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"/>
    </mc:Choice>
  </mc:AlternateContent>
  <xr:revisionPtr revIDLastSave="0" documentId="8_{53D4EB47-FE81-1A40-A509-570C9C0D1AE1}" xr6:coauthVersionLast="31" xr6:coauthVersionMax="31" xr10:uidLastSave="{00000000-0000-0000-0000-000000000000}"/>
  <bookViews>
    <workbookView xWindow="0" yWindow="460" windowWidth="28800" windowHeight="17540" tabRatio="500" activeTab="4" xr2:uid="{00000000-000D-0000-FFFF-FFFF00000000}"/>
  </bookViews>
  <sheets>
    <sheet name="NOTES" sheetId="5" r:id="rId1"/>
    <sheet name="California" sheetId="3" r:id="rId2"/>
    <sheet name="Illinois" sheetId="4" r:id="rId3"/>
    <sheet name="Texas" sheetId="2" r:id="rId4"/>
    <sheet name="Corrected" sheetId="1" r:id="rId5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3" i="5" l="1"/>
  <c r="E120" i="5"/>
  <c r="J120" i="5" s="1"/>
  <c r="I120" i="5"/>
  <c r="H120" i="5"/>
  <c r="H100" i="1"/>
  <c r="I100" i="1"/>
  <c r="J100" i="1"/>
  <c r="K79" i="1"/>
  <c r="K100" i="1"/>
  <c r="L100" i="1"/>
  <c r="M100" i="1"/>
  <c r="N100" i="1"/>
  <c r="O7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79" i="1"/>
  <c r="AF100" i="1" s="1"/>
  <c r="AG79" i="1"/>
  <c r="AG100" i="1" s="1"/>
  <c r="AH79" i="1"/>
  <c r="AH100" i="1"/>
  <c r="AI79" i="1"/>
  <c r="AI100" i="1"/>
  <c r="AJ59" i="1"/>
  <c r="AJ100" i="1" s="1"/>
  <c r="AJ81" i="1"/>
  <c r="AK100" i="1"/>
  <c r="AL59" i="1"/>
  <c r="AL81" i="1"/>
  <c r="AL100" i="1"/>
  <c r="AM100" i="1"/>
  <c r="AN59" i="1"/>
  <c r="AN100" i="1" s="1"/>
  <c r="AN81" i="1"/>
  <c r="AO100" i="1"/>
  <c r="AP59" i="1"/>
  <c r="AP81" i="1"/>
  <c r="AP100" i="1"/>
  <c r="AQ100" i="1"/>
  <c r="AR59" i="1"/>
  <c r="AR100" i="1" s="1"/>
  <c r="AR81" i="1"/>
  <c r="AS100" i="1"/>
  <c r="AT59" i="1"/>
  <c r="AT81" i="1"/>
  <c r="AT100" i="1"/>
  <c r="AU100" i="1"/>
  <c r="AV59" i="1"/>
  <c r="AV100" i="1" s="1"/>
  <c r="AV81" i="1"/>
  <c r="AW100" i="1"/>
  <c r="AX59" i="1"/>
  <c r="AX81" i="1"/>
  <c r="AX100" i="1"/>
  <c r="AY100" i="1"/>
  <c r="AZ79" i="1"/>
  <c r="AZ100" i="1" s="1"/>
  <c r="BA79" i="1"/>
  <c r="BA100" i="1"/>
  <c r="BB79" i="1"/>
  <c r="BB100" i="1"/>
  <c r="BC33" i="1"/>
  <c r="BC64" i="1"/>
  <c r="EO64" i="1" s="1"/>
  <c r="BD79" i="1"/>
  <c r="BD100" i="1"/>
  <c r="BF100" i="1"/>
  <c r="BG100" i="1"/>
  <c r="BH100" i="1"/>
  <c r="BI100" i="1"/>
  <c r="BJ100" i="1"/>
  <c r="BK100" i="1"/>
  <c r="BL79" i="1"/>
  <c r="BL100" i="1"/>
  <c r="BM79" i="1"/>
  <c r="BM100" i="1"/>
  <c r="BN79" i="1"/>
  <c r="BN100" i="1" s="1"/>
  <c r="BO33" i="1"/>
  <c r="BO64" i="1"/>
  <c r="BP79" i="1"/>
  <c r="BP100" i="1"/>
  <c r="BR79" i="1"/>
  <c r="BR100" i="1"/>
  <c r="BS79" i="1"/>
  <c r="BS100" i="1"/>
  <c r="BT79" i="1"/>
  <c r="BT100" i="1"/>
  <c r="BU33" i="1"/>
  <c r="BU64" i="1"/>
  <c r="BV79" i="1"/>
  <c r="BV100" i="1"/>
  <c r="BX100" i="1"/>
  <c r="BY100" i="1"/>
  <c r="BZ100" i="1"/>
  <c r="CA33" i="1"/>
  <c r="CA100" i="1" s="1"/>
  <c r="CB100" i="1"/>
  <c r="CC100" i="1"/>
  <c r="CD100" i="1"/>
  <c r="CE100" i="1"/>
  <c r="CF100" i="1"/>
  <c r="CG33" i="1"/>
  <c r="CG100" i="1"/>
  <c r="CH100" i="1"/>
  <c r="CI100" i="1"/>
  <c r="CJ100" i="1"/>
  <c r="CK100" i="1"/>
  <c r="CL100" i="1"/>
  <c r="CM33" i="1"/>
  <c r="CM64" i="1"/>
  <c r="CM100" i="1"/>
  <c r="CN100" i="1"/>
  <c r="CO100" i="1"/>
  <c r="CP100" i="1"/>
  <c r="CQ100" i="1"/>
  <c r="CR100" i="1"/>
  <c r="CS100" i="1"/>
  <c r="CT100" i="1"/>
  <c r="CU100" i="1"/>
  <c r="CV79" i="1"/>
  <c r="CV100" i="1"/>
  <c r="CW79" i="1"/>
  <c r="CW100" i="1"/>
  <c r="CX79" i="1"/>
  <c r="CX100" i="1" s="1"/>
  <c r="CY64" i="1"/>
  <c r="CZ79" i="1"/>
  <c r="CZ100" i="1"/>
  <c r="DB79" i="1"/>
  <c r="DB100" i="1" s="1"/>
  <c r="DC79" i="1"/>
  <c r="DC100" i="1"/>
  <c r="DD79" i="1"/>
  <c r="DD100" i="1"/>
  <c r="DE34" i="1"/>
  <c r="DE100" i="1" s="1"/>
  <c r="DE79" i="1"/>
  <c r="DF79" i="1"/>
  <c r="DF100" i="1"/>
  <c r="DH79" i="1"/>
  <c r="DH100" i="1"/>
  <c r="DI79" i="1"/>
  <c r="DI100" i="1"/>
  <c r="DJ79" i="1"/>
  <c r="DJ100" i="1"/>
  <c r="DK33" i="1"/>
  <c r="DK64" i="1"/>
  <c r="DL79" i="1"/>
  <c r="DL100" i="1"/>
  <c r="DN100" i="1"/>
  <c r="DO79" i="1"/>
  <c r="DO100" i="1"/>
  <c r="DP79" i="1"/>
  <c r="DP100" i="1" s="1"/>
  <c r="DR79" i="1"/>
  <c r="DR100" i="1"/>
  <c r="DT79" i="1"/>
  <c r="DT100" i="1" s="1"/>
  <c r="DU79" i="1"/>
  <c r="DU100" i="1"/>
  <c r="DV79" i="1"/>
  <c r="DV100" i="1"/>
  <c r="DW33" i="1"/>
  <c r="DW64" i="1"/>
  <c r="DX79" i="1"/>
  <c r="DX100" i="1"/>
  <c r="DZ79" i="1"/>
  <c r="DZ100" i="1"/>
  <c r="EA79" i="1"/>
  <c r="EA100" i="1" s="1"/>
  <c r="EB79" i="1"/>
  <c r="EB100" i="1"/>
  <c r="EC33" i="1"/>
  <c r="EC64" i="1"/>
  <c r="ED79" i="1"/>
  <c r="ED100" i="1" s="1"/>
  <c r="EF79" i="1"/>
  <c r="EF100" i="1"/>
  <c r="EG79" i="1"/>
  <c r="EG100" i="1"/>
  <c r="EH79" i="1"/>
  <c r="EH100" i="1" s="1"/>
  <c r="EI33" i="1"/>
  <c r="EI64" i="1"/>
  <c r="EJ79" i="1"/>
  <c r="EJ100" i="1"/>
  <c r="EL64" i="1"/>
  <c r="EM64" i="1"/>
  <c r="EN64" i="1"/>
  <c r="EO33" i="1"/>
  <c r="EP64" i="1"/>
  <c r="EQ64" i="1"/>
  <c r="ER79" i="1"/>
  <c r="ER100" i="1"/>
  <c r="ES79" i="1"/>
  <c r="ES100" i="1" s="1"/>
  <c r="ET79" i="1"/>
  <c r="ET100" i="1" s="1"/>
  <c r="EU33" i="1"/>
  <c r="EU64" i="1"/>
  <c r="EV79" i="1"/>
  <c r="EV100" i="1" s="1"/>
  <c r="EX79" i="1"/>
  <c r="EX100" i="1"/>
  <c r="EY79" i="1"/>
  <c r="EY100" i="1"/>
  <c r="EZ79" i="1"/>
  <c r="EZ100" i="1" s="1"/>
  <c r="FA33" i="1"/>
  <c r="FA64" i="1"/>
  <c r="FB79" i="1"/>
  <c r="FB100" i="1"/>
  <c r="FD33" i="1"/>
  <c r="FD64" i="1"/>
  <c r="FD79" i="1"/>
  <c r="FD100" i="1"/>
  <c r="FE33" i="1"/>
  <c r="FE64" i="1"/>
  <c r="FE79" i="1"/>
  <c r="FE100" i="1" s="1"/>
  <c r="FF33" i="1"/>
  <c r="FF64" i="1"/>
  <c r="FF79" i="1"/>
  <c r="FF100" i="1"/>
  <c r="FG33" i="1"/>
  <c r="FG64" i="1"/>
  <c r="FH64" i="1" s="1"/>
  <c r="FH79" i="1"/>
  <c r="FJ100" i="1"/>
  <c r="FK100" i="1"/>
  <c r="FL100" i="1"/>
  <c r="FM33" i="1"/>
  <c r="FM100" i="1"/>
  <c r="FN100" i="1"/>
  <c r="FO100" i="1"/>
  <c r="FP79" i="1"/>
  <c r="FP100" i="1"/>
  <c r="FQ79" i="1"/>
  <c r="FQ100" i="1"/>
  <c r="FR79" i="1"/>
  <c r="FR100" i="1"/>
  <c r="FS20" i="1"/>
  <c r="FS33" i="1"/>
  <c r="FS64" i="1"/>
  <c r="FT79" i="1"/>
  <c r="FT100" i="1" s="1"/>
  <c r="FV100" i="1"/>
  <c r="FW100" i="1"/>
  <c r="FX100" i="1"/>
  <c r="FY77" i="1"/>
  <c r="FY100" i="1" s="1"/>
  <c r="FY89" i="1"/>
  <c r="FZ100" i="1"/>
  <c r="GA100" i="1"/>
  <c r="GB79" i="1"/>
  <c r="GB100" i="1"/>
  <c r="GC79" i="1"/>
  <c r="GC100" i="1"/>
  <c r="GD79" i="1"/>
  <c r="GD100" i="1" s="1"/>
  <c r="GE20" i="1"/>
  <c r="GE77" i="1"/>
  <c r="GE92" i="1"/>
  <c r="GF79" i="1"/>
  <c r="GF100" i="1"/>
  <c r="GH79" i="1"/>
  <c r="GH100" i="1"/>
  <c r="GI79" i="1"/>
  <c r="GI100" i="1"/>
  <c r="GJ79" i="1"/>
  <c r="GJ100" i="1"/>
  <c r="GK20" i="1"/>
  <c r="GK33" i="1"/>
  <c r="GK64" i="1"/>
  <c r="GK77" i="1"/>
  <c r="GK89" i="1"/>
  <c r="GK92" i="1"/>
  <c r="GL79" i="1"/>
  <c r="GL100" i="1"/>
  <c r="GN79" i="1"/>
  <c r="GN100" i="1"/>
  <c r="GO79" i="1"/>
  <c r="GO100" i="1"/>
  <c r="GP79" i="1"/>
  <c r="GP100" i="1"/>
  <c r="GQ20" i="1"/>
  <c r="GQ33" i="1"/>
  <c r="GQ64" i="1"/>
  <c r="GQ77" i="1"/>
  <c r="GQ89" i="1"/>
  <c r="GQ92" i="1"/>
  <c r="GR79" i="1"/>
  <c r="GR100" i="1"/>
  <c r="GT79" i="1"/>
  <c r="GT100" i="1"/>
  <c r="GU79" i="1"/>
  <c r="GU100" i="1"/>
  <c r="GV79" i="1"/>
  <c r="GV100" i="1"/>
  <c r="GW20" i="1"/>
  <c r="GW33" i="1"/>
  <c r="GW64" i="1"/>
  <c r="GW77" i="1"/>
  <c r="GW89" i="1"/>
  <c r="GW92" i="1"/>
  <c r="GX79" i="1"/>
  <c r="GX100" i="1"/>
  <c r="GZ79" i="1"/>
  <c r="GZ100" i="1"/>
  <c r="HA79" i="1"/>
  <c r="HA100" i="1"/>
  <c r="HB79" i="1"/>
  <c r="HB100" i="1"/>
  <c r="HC20" i="1"/>
  <c r="HC33" i="1"/>
  <c r="HC64" i="1"/>
  <c r="HC77" i="1"/>
  <c r="HC89" i="1"/>
  <c r="HC92" i="1"/>
  <c r="HD79" i="1"/>
  <c r="HD100" i="1"/>
  <c r="HF79" i="1"/>
  <c r="HF100" i="1"/>
  <c r="HG79" i="1"/>
  <c r="HG100" i="1"/>
  <c r="HH79" i="1"/>
  <c r="HH100" i="1"/>
  <c r="HI33" i="1"/>
  <c r="HI64" i="1"/>
  <c r="HI89" i="1"/>
  <c r="HI92" i="1"/>
  <c r="HJ79" i="1"/>
  <c r="HJ100" i="1"/>
  <c r="HL79" i="1"/>
  <c r="HL100" i="1"/>
  <c r="HM79" i="1"/>
  <c r="HM100" i="1"/>
  <c r="HN79" i="1"/>
  <c r="HN100" i="1"/>
  <c r="HO33" i="1"/>
  <c r="HO64" i="1"/>
  <c r="HO89" i="1"/>
  <c r="HO92" i="1"/>
  <c r="HP79" i="1"/>
  <c r="HP100" i="1"/>
  <c r="HR79" i="1"/>
  <c r="HR100" i="1"/>
  <c r="HS79" i="1"/>
  <c r="HS100" i="1"/>
  <c r="HT79" i="1"/>
  <c r="HT100" i="1"/>
  <c r="HU20" i="1"/>
  <c r="HU33" i="1"/>
  <c r="HU64" i="1"/>
  <c r="HU77" i="1"/>
  <c r="HU89" i="1"/>
  <c r="HU92" i="1"/>
  <c r="HV79" i="1"/>
  <c r="HV100" i="1"/>
  <c r="HX79" i="1"/>
  <c r="HX100" i="1"/>
  <c r="HY79" i="1"/>
  <c r="HY100" i="1"/>
  <c r="HZ79" i="1"/>
  <c r="HZ100" i="1"/>
  <c r="IA64" i="1"/>
  <c r="IA89" i="1"/>
  <c r="IA92" i="1"/>
  <c r="IB79" i="1"/>
  <c r="IB100" i="1" s="1"/>
  <c r="ID100" i="1"/>
  <c r="IE100" i="1"/>
  <c r="IF100" i="1"/>
  <c r="IG64" i="1"/>
  <c r="IG100" i="1" s="1"/>
  <c r="IG89" i="1"/>
  <c r="IH100" i="1"/>
  <c r="II100" i="1"/>
  <c r="IJ79" i="1"/>
  <c r="IJ100" i="1" s="1"/>
  <c r="IK79" i="1"/>
  <c r="IK100" i="1" s="1"/>
  <c r="IL79" i="1"/>
  <c r="IL100" i="1" s="1"/>
  <c r="IM9" i="1"/>
  <c r="IM20" i="1"/>
  <c r="IM33" i="1"/>
  <c r="IM64" i="1"/>
  <c r="IM89" i="1"/>
  <c r="IM92" i="1"/>
  <c r="IN79" i="1"/>
  <c r="IN100" i="1" s="1"/>
  <c r="IP79" i="1"/>
  <c r="IP100" i="1" s="1"/>
  <c r="IQ79" i="1"/>
  <c r="IQ100" i="1" s="1"/>
  <c r="IR79" i="1"/>
  <c r="IR100" i="1" s="1"/>
  <c r="IS9" i="1"/>
  <c r="IS20" i="1"/>
  <c r="IS33" i="1"/>
  <c r="IS64" i="1"/>
  <c r="IS70" i="1"/>
  <c r="IS77" i="1"/>
  <c r="IS89" i="1"/>
  <c r="IS92" i="1"/>
  <c r="IT79" i="1"/>
  <c r="IT100" i="1" s="1"/>
  <c r="IV79" i="1"/>
  <c r="IV100" i="1" s="1"/>
  <c r="IW79" i="1"/>
  <c r="IW100" i="1" s="1"/>
  <c r="IX79" i="1"/>
  <c r="IX100" i="1" s="1"/>
  <c r="IY9" i="1"/>
  <c r="IY20" i="1"/>
  <c r="IY33" i="1"/>
  <c r="IY64" i="1"/>
  <c r="IY70" i="1"/>
  <c r="IY77" i="1"/>
  <c r="IY89" i="1"/>
  <c r="IY92" i="1"/>
  <c r="IZ79" i="1"/>
  <c r="IZ100" i="1" s="1"/>
  <c r="JE9" i="1"/>
  <c r="JE20" i="1"/>
  <c r="JE33" i="1"/>
  <c r="JE64" i="1"/>
  <c r="JE70" i="1"/>
  <c r="JE77" i="1"/>
  <c r="JE89" i="1"/>
  <c r="JE92" i="1"/>
  <c r="JH79" i="1"/>
  <c r="JH100" i="1" s="1"/>
  <c r="JI79" i="1"/>
  <c r="JI100" i="1" s="1"/>
  <c r="JJ79" i="1"/>
  <c r="JJ100" i="1" s="1"/>
  <c r="JK79" i="1"/>
  <c r="JK100" i="1" s="1"/>
  <c r="JL79" i="1"/>
  <c r="JL100" i="1" s="1"/>
  <c r="JQ9" i="1"/>
  <c r="JQ20" i="1"/>
  <c r="JQ33" i="1"/>
  <c r="JQ64" i="1"/>
  <c r="JQ70" i="1"/>
  <c r="JQ77" i="1"/>
  <c r="JQ89" i="1"/>
  <c r="JQ92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D101" i="1"/>
  <c r="BF101" i="1"/>
  <c r="BG101" i="1"/>
  <c r="BH101" i="1"/>
  <c r="BI101" i="1"/>
  <c r="BJ101" i="1"/>
  <c r="BK101" i="1"/>
  <c r="BL101" i="1"/>
  <c r="BM101" i="1"/>
  <c r="BN101" i="1"/>
  <c r="BP101" i="1"/>
  <c r="BR101" i="1"/>
  <c r="BS101" i="1"/>
  <c r="BT101" i="1"/>
  <c r="BV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Z101" i="1"/>
  <c r="DB101" i="1"/>
  <c r="DC101" i="1"/>
  <c r="DD101" i="1"/>
  <c r="DE101" i="1"/>
  <c r="DF101" i="1"/>
  <c r="DH101" i="1"/>
  <c r="DI101" i="1"/>
  <c r="DJ101" i="1"/>
  <c r="DL101" i="1"/>
  <c r="DN101" i="1"/>
  <c r="DO101" i="1"/>
  <c r="DP101" i="1"/>
  <c r="DR101" i="1"/>
  <c r="DT101" i="1"/>
  <c r="DU101" i="1"/>
  <c r="DV101" i="1"/>
  <c r="DX101" i="1"/>
  <c r="DZ101" i="1"/>
  <c r="EA101" i="1"/>
  <c r="EB101" i="1"/>
  <c r="ED101" i="1"/>
  <c r="EF101" i="1"/>
  <c r="EG101" i="1"/>
  <c r="EH101" i="1"/>
  <c r="EJ101" i="1"/>
  <c r="ER101" i="1"/>
  <c r="ES101" i="1"/>
  <c r="ET101" i="1"/>
  <c r="EV101" i="1"/>
  <c r="EX101" i="1"/>
  <c r="EY101" i="1"/>
  <c r="EZ101" i="1"/>
  <c r="FB101" i="1"/>
  <c r="FD101" i="1"/>
  <c r="FE101" i="1"/>
  <c r="FF101" i="1"/>
  <c r="FJ101" i="1"/>
  <c r="FK101" i="1"/>
  <c r="FL101" i="1"/>
  <c r="FM101" i="1"/>
  <c r="FN101" i="1"/>
  <c r="FO101" i="1"/>
  <c r="FP101" i="1"/>
  <c r="FQ101" i="1"/>
  <c r="FR101" i="1"/>
  <c r="FT101" i="1"/>
  <c r="FV101" i="1"/>
  <c r="FW101" i="1"/>
  <c r="FX101" i="1"/>
  <c r="FY101" i="1"/>
  <c r="FZ101" i="1"/>
  <c r="GA101" i="1"/>
  <c r="GB101" i="1"/>
  <c r="GC101" i="1"/>
  <c r="GD101" i="1"/>
  <c r="GF101" i="1"/>
  <c r="GH101" i="1"/>
  <c r="GI101" i="1"/>
  <c r="GJ101" i="1"/>
  <c r="GL101" i="1"/>
  <c r="GN101" i="1"/>
  <c r="GO101" i="1"/>
  <c r="GP101" i="1"/>
  <c r="GR101" i="1"/>
  <c r="GT101" i="1"/>
  <c r="GU101" i="1"/>
  <c r="GV101" i="1"/>
  <c r="GX101" i="1"/>
  <c r="GZ101" i="1"/>
  <c r="HA101" i="1"/>
  <c r="HB101" i="1"/>
  <c r="HD101" i="1"/>
  <c r="HF101" i="1"/>
  <c r="HG101" i="1"/>
  <c r="HH101" i="1"/>
  <c r="HJ101" i="1"/>
  <c r="HL101" i="1"/>
  <c r="HM101" i="1"/>
  <c r="HN101" i="1"/>
  <c r="HP101" i="1"/>
  <c r="HR101" i="1"/>
  <c r="HS101" i="1"/>
  <c r="HT101" i="1"/>
  <c r="HV101" i="1"/>
  <c r="HX101" i="1"/>
  <c r="HY101" i="1"/>
  <c r="HZ101" i="1"/>
  <c r="IB101" i="1"/>
  <c r="ID101" i="1"/>
  <c r="IE101" i="1"/>
  <c r="IF101" i="1"/>
  <c r="IG101" i="1"/>
  <c r="IH101" i="1"/>
  <c r="II101" i="1"/>
  <c r="IJ101" i="1"/>
  <c r="IK101" i="1"/>
  <c r="IL101" i="1"/>
  <c r="IN101" i="1"/>
  <c r="IP101" i="1"/>
  <c r="IQ101" i="1"/>
  <c r="IR101" i="1"/>
  <c r="IT101" i="1"/>
  <c r="IV101" i="1"/>
  <c r="IW101" i="1"/>
  <c r="IX101" i="1"/>
  <c r="IZ101" i="1"/>
  <c r="JH101" i="1"/>
  <c r="JI101" i="1"/>
  <c r="JJ101" i="1"/>
  <c r="JK101" i="1"/>
  <c r="JL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D102" i="1"/>
  <c r="BF102" i="1"/>
  <c r="BG102" i="1"/>
  <c r="BH102" i="1"/>
  <c r="BI102" i="1"/>
  <c r="BJ102" i="1"/>
  <c r="BK102" i="1"/>
  <c r="BL102" i="1"/>
  <c r="BM102" i="1"/>
  <c r="BN102" i="1"/>
  <c r="BP102" i="1"/>
  <c r="BR102" i="1"/>
  <c r="BS102" i="1"/>
  <c r="BT102" i="1"/>
  <c r="BV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Z102" i="1"/>
  <c r="DB102" i="1"/>
  <c r="DC102" i="1"/>
  <c r="DD102" i="1"/>
  <c r="DE102" i="1"/>
  <c r="DF102" i="1"/>
  <c r="DH102" i="1"/>
  <c r="DI102" i="1"/>
  <c r="DJ102" i="1"/>
  <c r="DL102" i="1"/>
  <c r="DN102" i="1"/>
  <c r="DO102" i="1"/>
  <c r="DP102" i="1"/>
  <c r="DR102" i="1"/>
  <c r="DT102" i="1"/>
  <c r="DU102" i="1"/>
  <c r="DV102" i="1"/>
  <c r="DX102" i="1"/>
  <c r="DZ102" i="1"/>
  <c r="EA102" i="1"/>
  <c r="EB102" i="1"/>
  <c r="ED102" i="1"/>
  <c r="EF102" i="1"/>
  <c r="EG102" i="1"/>
  <c r="EH102" i="1"/>
  <c r="EJ102" i="1"/>
  <c r="ER102" i="1"/>
  <c r="ES102" i="1"/>
  <c r="ET102" i="1"/>
  <c r="EV102" i="1"/>
  <c r="EX102" i="1"/>
  <c r="EY102" i="1"/>
  <c r="EZ102" i="1"/>
  <c r="FB102" i="1"/>
  <c r="FD102" i="1"/>
  <c r="FE102" i="1"/>
  <c r="FF102" i="1"/>
  <c r="FJ102" i="1"/>
  <c r="FK102" i="1"/>
  <c r="FL102" i="1"/>
  <c r="FM102" i="1"/>
  <c r="FN102" i="1"/>
  <c r="FO102" i="1"/>
  <c r="FP102" i="1"/>
  <c r="FQ102" i="1"/>
  <c r="FR102" i="1"/>
  <c r="FT102" i="1"/>
  <c r="FV102" i="1"/>
  <c r="FW102" i="1"/>
  <c r="FX102" i="1"/>
  <c r="FY102" i="1"/>
  <c r="FZ102" i="1"/>
  <c r="GA102" i="1"/>
  <c r="GB102" i="1"/>
  <c r="GC102" i="1"/>
  <c r="GD102" i="1"/>
  <c r="GF102" i="1"/>
  <c r="GH102" i="1"/>
  <c r="GI102" i="1"/>
  <c r="GJ102" i="1"/>
  <c r="GL102" i="1"/>
  <c r="GN102" i="1"/>
  <c r="GO102" i="1"/>
  <c r="GP102" i="1"/>
  <c r="GR102" i="1"/>
  <c r="GT102" i="1"/>
  <c r="GU102" i="1"/>
  <c r="GV102" i="1"/>
  <c r="GX102" i="1"/>
  <c r="GZ102" i="1"/>
  <c r="HA102" i="1"/>
  <c r="HB102" i="1"/>
  <c r="HD102" i="1"/>
  <c r="HF102" i="1"/>
  <c r="HG102" i="1"/>
  <c r="HH102" i="1"/>
  <c r="HJ102" i="1"/>
  <c r="HL102" i="1"/>
  <c r="HM102" i="1"/>
  <c r="HN102" i="1"/>
  <c r="HP102" i="1"/>
  <c r="HR102" i="1"/>
  <c r="HS102" i="1"/>
  <c r="HT102" i="1"/>
  <c r="HV102" i="1"/>
  <c r="HX102" i="1"/>
  <c r="HY102" i="1"/>
  <c r="HZ102" i="1"/>
  <c r="IB102" i="1"/>
  <c r="ID102" i="1"/>
  <c r="IE102" i="1"/>
  <c r="IF102" i="1"/>
  <c r="IG102" i="1"/>
  <c r="IH102" i="1"/>
  <c r="II102" i="1"/>
  <c r="IJ102" i="1"/>
  <c r="IK102" i="1"/>
  <c r="IL102" i="1"/>
  <c r="IN102" i="1"/>
  <c r="IP102" i="1"/>
  <c r="IQ102" i="1"/>
  <c r="IR102" i="1"/>
  <c r="IT102" i="1"/>
  <c r="IV102" i="1"/>
  <c r="IW102" i="1"/>
  <c r="IX102" i="1"/>
  <c r="IZ102" i="1"/>
  <c r="JH102" i="1"/>
  <c r="JI102" i="1"/>
  <c r="JJ102" i="1"/>
  <c r="JK102" i="1"/>
  <c r="JL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D103" i="1"/>
  <c r="BF103" i="1"/>
  <c r="BG103" i="1"/>
  <c r="BH103" i="1"/>
  <c r="BI103" i="1"/>
  <c r="BJ103" i="1"/>
  <c r="BK103" i="1"/>
  <c r="BL103" i="1"/>
  <c r="BM103" i="1"/>
  <c r="BN103" i="1"/>
  <c r="BP103" i="1"/>
  <c r="BR103" i="1"/>
  <c r="BS103" i="1"/>
  <c r="BT103" i="1"/>
  <c r="BV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Z103" i="1"/>
  <c r="DB103" i="1"/>
  <c r="DC103" i="1"/>
  <c r="DD103" i="1"/>
  <c r="DE103" i="1"/>
  <c r="DF103" i="1"/>
  <c r="DH103" i="1"/>
  <c r="DI103" i="1"/>
  <c r="DJ103" i="1"/>
  <c r="DL103" i="1"/>
  <c r="DN103" i="1"/>
  <c r="DO103" i="1"/>
  <c r="DP103" i="1"/>
  <c r="DR103" i="1"/>
  <c r="DT103" i="1"/>
  <c r="DU103" i="1"/>
  <c r="DV103" i="1"/>
  <c r="DX103" i="1"/>
  <c r="DZ103" i="1"/>
  <c r="EA103" i="1"/>
  <c r="EB103" i="1"/>
  <c r="ED103" i="1"/>
  <c r="EF103" i="1"/>
  <c r="EG103" i="1"/>
  <c r="EH103" i="1"/>
  <c r="EJ103" i="1"/>
  <c r="ER103" i="1"/>
  <c r="ES103" i="1"/>
  <c r="ET103" i="1"/>
  <c r="EV103" i="1"/>
  <c r="EX103" i="1"/>
  <c r="EY103" i="1"/>
  <c r="EZ103" i="1"/>
  <c r="FB103" i="1"/>
  <c r="FD103" i="1"/>
  <c r="FE103" i="1"/>
  <c r="FF103" i="1"/>
  <c r="FJ103" i="1"/>
  <c r="FK103" i="1"/>
  <c r="FL103" i="1"/>
  <c r="FM103" i="1"/>
  <c r="FN103" i="1"/>
  <c r="FO103" i="1"/>
  <c r="FP103" i="1"/>
  <c r="FQ103" i="1"/>
  <c r="FR103" i="1"/>
  <c r="FT103" i="1"/>
  <c r="FV103" i="1"/>
  <c r="FW103" i="1"/>
  <c r="FX103" i="1"/>
  <c r="FY103" i="1"/>
  <c r="FZ103" i="1"/>
  <c r="GA103" i="1"/>
  <c r="GB103" i="1"/>
  <c r="GC103" i="1"/>
  <c r="GD103" i="1"/>
  <c r="GF103" i="1"/>
  <c r="GH103" i="1"/>
  <c r="GI103" i="1"/>
  <c r="GJ103" i="1"/>
  <c r="GL103" i="1"/>
  <c r="GN103" i="1"/>
  <c r="GO103" i="1"/>
  <c r="GP103" i="1"/>
  <c r="GR103" i="1"/>
  <c r="GT103" i="1"/>
  <c r="GU103" i="1"/>
  <c r="GV103" i="1"/>
  <c r="GX103" i="1"/>
  <c r="GZ103" i="1"/>
  <c r="HA103" i="1"/>
  <c r="HB103" i="1"/>
  <c r="HD103" i="1"/>
  <c r="HF103" i="1"/>
  <c r="HG103" i="1"/>
  <c r="HH103" i="1"/>
  <c r="HJ103" i="1"/>
  <c r="HL103" i="1"/>
  <c r="HM103" i="1"/>
  <c r="HN103" i="1"/>
  <c r="HP103" i="1"/>
  <c r="HR103" i="1"/>
  <c r="HS103" i="1"/>
  <c r="HT103" i="1"/>
  <c r="HV103" i="1"/>
  <c r="HX103" i="1"/>
  <c r="HY103" i="1"/>
  <c r="HZ103" i="1"/>
  <c r="IB103" i="1"/>
  <c r="ID103" i="1"/>
  <c r="IE103" i="1"/>
  <c r="IF103" i="1"/>
  <c r="IG103" i="1"/>
  <c r="IH103" i="1"/>
  <c r="II103" i="1"/>
  <c r="IJ103" i="1"/>
  <c r="IK103" i="1"/>
  <c r="IL103" i="1"/>
  <c r="IN103" i="1"/>
  <c r="IP103" i="1"/>
  <c r="IQ103" i="1"/>
  <c r="IR103" i="1"/>
  <c r="IT103" i="1"/>
  <c r="IV103" i="1"/>
  <c r="IW103" i="1"/>
  <c r="IX103" i="1"/>
  <c r="IZ103" i="1"/>
  <c r="JH103" i="1"/>
  <c r="JI103" i="1"/>
  <c r="JJ103" i="1"/>
  <c r="JK103" i="1"/>
  <c r="JL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D104" i="1"/>
  <c r="BF104" i="1"/>
  <c r="BG104" i="1"/>
  <c r="BH104" i="1"/>
  <c r="BI104" i="1"/>
  <c r="BJ104" i="1"/>
  <c r="BK104" i="1"/>
  <c r="BL104" i="1"/>
  <c r="BM104" i="1"/>
  <c r="BN104" i="1"/>
  <c r="BP104" i="1"/>
  <c r="BR104" i="1"/>
  <c r="BS104" i="1"/>
  <c r="BT104" i="1"/>
  <c r="BV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Z104" i="1"/>
  <c r="DB104" i="1"/>
  <c r="DC104" i="1"/>
  <c r="DD104" i="1"/>
  <c r="DE104" i="1"/>
  <c r="DF104" i="1"/>
  <c r="DH104" i="1"/>
  <c r="DI104" i="1"/>
  <c r="DJ104" i="1"/>
  <c r="DL104" i="1"/>
  <c r="DN104" i="1"/>
  <c r="DO104" i="1"/>
  <c r="DP104" i="1"/>
  <c r="DR104" i="1"/>
  <c r="DT104" i="1"/>
  <c r="DU104" i="1"/>
  <c r="DV104" i="1"/>
  <c r="DX104" i="1"/>
  <c r="DZ104" i="1"/>
  <c r="EA104" i="1"/>
  <c r="EB104" i="1"/>
  <c r="ED104" i="1"/>
  <c r="EF104" i="1"/>
  <c r="EG104" i="1"/>
  <c r="EH104" i="1"/>
  <c r="EJ104" i="1"/>
  <c r="ER104" i="1"/>
  <c r="ES104" i="1"/>
  <c r="ET104" i="1"/>
  <c r="EV104" i="1"/>
  <c r="EX104" i="1"/>
  <c r="EY104" i="1"/>
  <c r="EZ104" i="1"/>
  <c r="FB104" i="1"/>
  <c r="FD104" i="1"/>
  <c r="FE104" i="1"/>
  <c r="FF104" i="1"/>
  <c r="FH104" i="1"/>
  <c r="FJ104" i="1"/>
  <c r="FK104" i="1"/>
  <c r="FL104" i="1"/>
  <c r="FM104" i="1"/>
  <c r="FN104" i="1"/>
  <c r="FO104" i="1"/>
  <c r="FP104" i="1"/>
  <c r="FQ104" i="1"/>
  <c r="FR104" i="1"/>
  <c r="FT104" i="1"/>
  <c r="FV104" i="1"/>
  <c r="FW104" i="1"/>
  <c r="FX104" i="1"/>
  <c r="FY104" i="1"/>
  <c r="FZ104" i="1"/>
  <c r="GA104" i="1"/>
  <c r="GB104" i="1"/>
  <c r="GC104" i="1"/>
  <c r="GD104" i="1"/>
  <c r="GF104" i="1"/>
  <c r="GH104" i="1"/>
  <c r="GI104" i="1"/>
  <c r="GJ104" i="1"/>
  <c r="GL104" i="1"/>
  <c r="GN104" i="1"/>
  <c r="GO104" i="1"/>
  <c r="GP104" i="1"/>
  <c r="GR104" i="1"/>
  <c r="GT104" i="1"/>
  <c r="GU104" i="1"/>
  <c r="GV104" i="1"/>
  <c r="GX104" i="1"/>
  <c r="GZ104" i="1"/>
  <c r="HA104" i="1"/>
  <c r="HB104" i="1"/>
  <c r="HD104" i="1"/>
  <c r="HF104" i="1"/>
  <c r="HG104" i="1"/>
  <c r="HH104" i="1"/>
  <c r="HJ104" i="1"/>
  <c r="HL104" i="1"/>
  <c r="HM104" i="1"/>
  <c r="HN104" i="1"/>
  <c r="HP104" i="1"/>
  <c r="HR104" i="1"/>
  <c r="HS104" i="1"/>
  <c r="HT104" i="1"/>
  <c r="HV104" i="1"/>
  <c r="HX104" i="1"/>
  <c r="HY104" i="1"/>
  <c r="HZ104" i="1"/>
  <c r="IB104" i="1"/>
  <c r="ID104" i="1"/>
  <c r="IE104" i="1"/>
  <c r="IF104" i="1"/>
  <c r="IG104" i="1"/>
  <c r="IH104" i="1"/>
  <c r="II104" i="1"/>
  <c r="IJ104" i="1"/>
  <c r="IK104" i="1"/>
  <c r="IL104" i="1"/>
  <c r="IN104" i="1"/>
  <c r="IP104" i="1"/>
  <c r="IQ104" i="1"/>
  <c r="IR104" i="1"/>
  <c r="IT104" i="1"/>
  <c r="IV104" i="1"/>
  <c r="IW104" i="1"/>
  <c r="IX104" i="1"/>
  <c r="IZ104" i="1"/>
  <c r="JH104" i="1"/>
  <c r="JI104" i="1"/>
  <c r="JJ104" i="1"/>
  <c r="JK104" i="1"/>
  <c r="JL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D105" i="1"/>
  <c r="BF105" i="1"/>
  <c r="BG105" i="1"/>
  <c r="BH105" i="1"/>
  <c r="BI105" i="1"/>
  <c r="BJ105" i="1"/>
  <c r="BK105" i="1"/>
  <c r="BL105" i="1"/>
  <c r="BM105" i="1"/>
  <c r="BN105" i="1"/>
  <c r="BP105" i="1"/>
  <c r="BR105" i="1"/>
  <c r="BS105" i="1"/>
  <c r="BT105" i="1"/>
  <c r="BV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Z105" i="1"/>
  <c r="DB105" i="1"/>
  <c r="DC105" i="1"/>
  <c r="DD105" i="1"/>
  <c r="DE105" i="1"/>
  <c r="DF105" i="1"/>
  <c r="DH105" i="1"/>
  <c r="DI105" i="1"/>
  <c r="DJ105" i="1"/>
  <c r="DL105" i="1"/>
  <c r="DN105" i="1"/>
  <c r="DO105" i="1"/>
  <c r="DP105" i="1"/>
  <c r="DR105" i="1"/>
  <c r="DT105" i="1"/>
  <c r="DU105" i="1"/>
  <c r="DV105" i="1"/>
  <c r="DX105" i="1"/>
  <c r="DZ105" i="1"/>
  <c r="EA105" i="1"/>
  <c r="EB105" i="1"/>
  <c r="ED105" i="1"/>
  <c r="EF105" i="1"/>
  <c r="EG105" i="1"/>
  <c r="EH105" i="1"/>
  <c r="EJ105" i="1"/>
  <c r="ER105" i="1"/>
  <c r="ES105" i="1"/>
  <c r="ET105" i="1"/>
  <c r="EV105" i="1"/>
  <c r="EX105" i="1"/>
  <c r="EY105" i="1"/>
  <c r="EZ105" i="1"/>
  <c r="FB105" i="1"/>
  <c r="FD105" i="1"/>
  <c r="FE105" i="1"/>
  <c r="FF105" i="1"/>
  <c r="FH105" i="1"/>
  <c r="FJ105" i="1"/>
  <c r="FK105" i="1"/>
  <c r="FL105" i="1"/>
  <c r="FM105" i="1"/>
  <c r="FN105" i="1"/>
  <c r="FO105" i="1"/>
  <c r="FP105" i="1"/>
  <c r="FQ105" i="1"/>
  <c r="FR105" i="1"/>
  <c r="FT105" i="1"/>
  <c r="FV105" i="1"/>
  <c r="FW105" i="1"/>
  <c r="FX105" i="1"/>
  <c r="FY105" i="1"/>
  <c r="FZ105" i="1"/>
  <c r="GA105" i="1"/>
  <c r="GB105" i="1"/>
  <c r="GC105" i="1"/>
  <c r="GD105" i="1"/>
  <c r="GF105" i="1"/>
  <c r="GH105" i="1"/>
  <c r="GI105" i="1"/>
  <c r="GJ105" i="1"/>
  <c r="GL105" i="1"/>
  <c r="GN105" i="1"/>
  <c r="GO105" i="1"/>
  <c r="GP105" i="1"/>
  <c r="GR105" i="1"/>
  <c r="GT105" i="1"/>
  <c r="GU105" i="1"/>
  <c r="GV105" i="1"/>
  <c r="GX105" i="1"/>
  <c r="GZ105" i="1"/>
  <c r="HA105" i="1"/>
  <c r="HB105" i="1"/>
  <c r="HD105" i="1"/>
  <c r="HF105" i="1"/>
  <c r="HG105" i="1"/>
  <c r="HH105" i="1"/>
  <c r="HJ105" i="1"/>
  <c r="HL105" i="1"/>
  <c r="HM105" i="1"/>
  <c r="HN105" i="1"/>
  <c r="HP105" i="1"/>
  <c r="HR105" i="1"/>
  <c r="HS105" i="1"/>
  <c r="HT105" i="1"/>
  <c r="HV105" i="1"/>
  <c r="HX105" i="1"/>
  <c r="HY105" i="1"/>
  <c r="HZ105" i="1"/>
  <c r="IB105" i="1"/>
  <c r="ID105" i="1"/>
  <c r="IE105" i="1"/>
  <c r="IF105" i="1"/>
  <c r="IG105" i="1"/>
  <c r="IH105" i="1"/>
  <c r="II105" i="1"/>
  <c r="IJ105" i="1"/>
  <c r="IK105" i="1"/>
  <c r="IL105" i="1"/>
  <c r="IN105" i="1"/>
  <c r="IP105" i="1"/>
  <c r="IQ105" i="1"/>
  <c r="IR105" i="1"/>
  <c r="IT105" i="1"/>
  <c r="IV105" i="1"/>
  <c r="IW105" i="1"/>
  <c r="IX105" i="1"/>
  <c r="IZ105" i="1"/>
  <c r="JH105" i="1"/>
  <c r="JI105" i="1"/>
  <c r="JJ105" i="1"/>
  <c r="JK105" i="1"/>
  <c r="JL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D106" i="1"/>
  <c r="BF106" i="1"/>
  <c r="BG106" i="1"/>
  <c r="BH106" i="1"/>
  <c r="BI106" i="1"/>
  <c r="BJ106" i="1"/>
  <c r="BK106" i="1"/>
  <c r="BL106" i="1"/>
  <c r="BM106" i="1"/>
  <c r="BN106" i="1"/>
  <c r="BP106" i="1"/>
  <c r="BR106" i="1"/>
  <c r="BS106" i="1"/>
  <c r="BT106" i="1"/>
  <c r="BV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Z106" i="1"/>
  <c r="DB106" i="1"/>
  <c r="DC106" i="1"/>
  <c r="DD106" i="1"/>
  <c r="DE106" i="1"/>
  <c r="DF106" i="1"/>
  <c r="DH106" i="1"/>
  <c r="DI106" i="1"/>
  <c r="DJ106" i="1"/>
  <c r="DL106" i="1"/>
  <c r="DN106" i="1"/>
  <c r="DO106" i="1"/>
  <c r="DP106" i="1"/>
  <c r="DR106" i="1"/>
  <c r="DT106" i="1"/>
  <c r="DU106" i="1"/>
  <c r="DV106" i="1"/>
  <c r="DX106" i="1"/>
  <c r="DZ106" i="1"/>
  <c r="EA106" i="1"/>
  <c r="EB106" i="1"/>
  <c r="ED106" i="1"/>
  <c r="EF106" i="1"/>
  <c r="EG106" i="1"/>
  <c r="EH106" i="1"/>
  <c r="EJ106" i="1"/>
  <c r="ER106" i="1"/>
  <c r="ES106" i="1"/>
  <c r="ET106" i="1"/>
  <c r="EV106" i="1"/>
  <c r="EX106" i="1"/>
  <c r="EY106" i="1"/>
  <c r="EZ106" i="1"/>
  <c r="FB106" i="1"/>
  <c r="FD106" i="1"/>
  <c r="FE106" i="1"/>
  <c r="FF106" i="1"/>
  <c r="FH106" i="1"/>
  <c r="FJ106" i="1"/>
  <c r="FK106" i="1"/>
  <c r="FL106" i="1"/>
  <c r="FM106" i="1"/>
  <c r="FN106" i="1"/>
  <c r="FO106" i="1"/>
  <c r="FP106" i="1"/>
  <c r="FQ106" i="1"/>
  <c r="FR106" i="1"/>
  <c r="FT106" i="1"/>
  <c r="FV106" i="1"/>
  <c r="FW106" i="1"/>
  <c r="FX106" i="1"/>
  <c r="FY106" i="1"/>
  <c r="FZ106" i="1"/>
  <c r="GA106" i="1"/>
  <c r="GB106" i="1"/>
  <c r="GC106" i="1"/>
  <c r="GD106" i="1"/>
  <c r="GF106" i="1"/>
  <c r="GH106" i="1"/>
  <c r="GI106" i="1"/>
  <c r="GJ106" i="1"/>
  <c r="GL106" i="1"/>
  <c r="GN106" i="1"/>
  <c r="GO106" i="1"/>
  <c r="GP106" i="1"/>
  <c r="GR106" i="1"/>
  <c r="GT106" i="1"/>
  <c r="GU106" i="1"/>
  <c r="GV106" i="1"/>
  <c r="GX106" i="1"/>
  <c r="GZ106" i="1"/>
  <c r="HA106" i="1"/>
  <c r="HB106" i="1"/>
  <c r="HD106" i="1"/>
  <c r="HF106" i="1"/>
  <c r="HG106" i="1"/>
  <c r="HH106" i="1"/>
  <c r="HJ106" i="1"/>
  <c r="HL106" i="1"/>
  <c r="HM106" i="1"/>
  <c r="HN106" i="1"/>
  <c r="HP106" i="1"/>
  <c r="HR106" i="1"/>
  <c r="HS106" i="1"/>
  <c r="HT106" i="1"/>
  <c r="HV106" i="1"/>
  <c r="HX106" i="1"/>
  <c r="HY106" i="1"/>
  <c r="HZ106" i="1"/>
  <c r="IB106" i="1"/>
  <c r="ID106" i="1"/>
  <c r="IE106" i="1"/>
  <c r="IF106" i="1"/>
  <c r="IG106" i="1"/>
  <c r="IH106" i="1"/>
  <c r="II106" i="1"/>
  <c r="IJ106" i="1"/>
  <c r="IK106" i="1"/>
  <c r="IL106" i="1"/>
  <c r="IN106" i="1"/>
  <c r="IP106" i="1"/>
  <c r="IQ106" i="1"/>
  <c r="IR106" i="1"/>
  <c r="IT106" i="1"/>
  <c r="IV106" i="1"/>
  <c r="IW106" i="1"/>
  <c r="IX106" i="1"/>
  <c r="IZ106" i="1"/>
  <c r="JH106" i="1"/>
  <c r="JI106" i="1"/>
  <c r="JJ106" i="1"/>
  <c r="JK106" i="1"/>
  <c r="JL106" i="1"/>
  <c r="G106" i="1"/>
  <c r="G105" i="1"/>
  <c r="G104" i="1"/>
  <c r="G103" i="1"/>
  <c r="G101" i="1"/>
  <c r="G100" i="1"/>
  <c r="G102" i="1"/>
  <c r="A98" i="1"/>
  <c r="KI3" i="1"/>
  <c r="KJ3" i="1" s="1"/>
  <c r="KI4" i="1"/>
  <c r="KJ4" i="1" s="1"/>
  <c r="KI5" i="1"/>
  <c r="KJ5" i="1"/>
  <c r="KI6" i="1"/>
  <c r="KJ6" i="1" s="1"/>
  <c r="KI7" i="1"/>
  <c r="KJ7" i="1" s="1"/>
  <c r="KI8" i="1"/>
  <c r="KJ8" i="1"/>
  <c r="KI9" i="1"/>
  <c r="KJ9" i="1" s="1"/>
  <c r="KI10" i="1"/>
  <c r="KJ10" i="1" s="1"/>
  <c r="KI11" i="1"/>
  <c r="KJ11" i="1"/>
  <c r="KI12" i="1"/>
  <c r="KJ12" i="1" s="1"/>
  <c r="KI13" i="1"/>
  <c r="KJ13" i="1" s="1"/>
  <c r="KI14" i="1"/>
  <c r="KJ14" i="1" s="1"/>
  <c r="KI15" i="1"/>
  <c r="KJ15" i="1"/>
  <c r="KI16" i="1"/>
  <c r="KJ16" i="1"/>
  <c r="KI17" i="1"/>
  <c r="KJ17" i="1"/>
  <c r="KI18" i="1"/>
  <c r="KJ18" i="1" s="1"/>
  <c r="KI19" i="1"/>
  <c r="KJ19" i="1"/>
  <c r="KI20" i="1"/>
  <c r="KJ20" i="1"/>
  <c r="KI21" i="1"/>
  <c r="KJ21" i="1" s="1"/>
  <c r="KI22" i="1"/>
  <c r="KJ22" i="1" s="1"/>
  <c r="KI23" i="1"/>
  <c r="KJ23" i="1" s="1"/>
  <c r="KI24" i="1"/>
  <c r="KJ24" i="1"/>
  <c r="KI25" i="1"/>
  <c r="KJ25" i="1" s="1"/>
  <c r="KI26" i="1"/>
  <c r="KJ26" i="1" s="1"/>
  <c r="KI27" i="1"/>
  <c r="KJ27" i="1" s="1"/>
  <c r="KI28" i="1"/>
  <c r="KJ28" i="1"/>
  <c r="KI29" i="1"/>
  <c r="KJ29" i="1"/>
  <c r="KI30" i="1"/>
  <c r="KJ30" i="1" s="1"/>
  <c r="KI31" i="1"/>
  <c r="KJ31" i="1"/>
  <c r="KI32" i="1"/>
  <c r="KJ32" i="1" s="1"/>
  <c r="KI33" i="1"/>
  <c r="KJ33" i="1"/>
  <c r="KI34" i="1"/>
  <c r="KJ34" i="1" s="1"/>
  <c r="KI35" i="1"/>
  <c r="KJ35" i="1" s="1"/>
  <c r="KI36" i="1"/>
  <c r="KJ36" i="1" s="1"/>
  <c r="KI37" i="1"/>
  <c r="KJ37" i="1"/>
  <c r="KI38" i="1"/>
  <c r="KJ38" i="1" s="1"/>
  <c r="KI39" i="1"/>
  <c r="KJ39" i="1"/>
  <c r="KI40" i="1"/>
  <c r="KJ40" i="1"/>
  <c r="KI41" i="1"/>
  <c r="KJ41" i="1" s="1"/>
  <c r="KI42" i="1"/>
  <c r="KJ42" i="1" s="1"/>
  <c r="KI43" i="1"/>
  <c r="KJ43" i="1"/>
  <c r="KI44" i="1"/>
  <c r="KJ44" i="1" s="1"/>
  <c r="KI45" i="1"/>
  <c r="KJ45" i="1" s="1"/>
  <c r="KI46" i="1"/>
  <c r="KJ46" i="1" s="1"/>
  <c r="KI47" i="1"/>
  <c r="KJ47" i="1"/>
  <c r="KI48" i="1"/>
  <c r="KJ48" i="1" s="1"/>
  <c r="KI49" i="1"/>
  <c r="KJ49" i="1"/>
  <c r="KI50" i="1"/>
  <c r="KJ50" i="1" s="1"/>
  <c r="KI51" i="1"/>
  <c r="KJ51" i="1"/>
  <c r="KI52" i="1"/>
  <c r="KJ52" i="1"/>
  <c r="KI53" i="1"/>
  <c r="KJ53" i="1" s="1"/>
  <c r="KI54" i="1"/>
  <c r="KJ54" i="1" s="1"/>
  <c r="KI55" i="1"/>
  <c r="KJ55" i="1" s="1"/>
  <c r="KI56" i="1"/>
  <c r="KJ56" i="1"/>
  <c r="KI57" i="1"/>
  <c r="KJ57" i="1"/>
  <c r="KI58" i="1"/>
  <c r="KJ58" i="1" s="1"/>
  <c r="KI59" i="1"/>
  <c r="KJ59" i="1" s="1"/>
  <c r="KI60" i="1"/>
  <c r="KJ60" i="1"/>
  <c r="KI61" i="1"/>
  <c r="KJ61" i="1"/>
  <c r="KI62" i="1"/>
  <c r="KJ62" i="1" s="1"/>
  <c r="KI63" i="1"/>
  <c r="KJ63" i="1"/>
  <c r="KI64" i="1"/>
  <c r="KJ64" i="1" s="1"/>
  <c r="KI65" i="1"/>
  <c r="KJ65" i="1"/>
  <c r="KI66" i="1"/>
  <c r="KJ66" i="1" s="1"/>
  <c r="KI67" i="1"/>
  <c r="KJ67" i="1" s="1"/>
  <c r="KI68" i="1"/>
  <c r="KJ68" i="1" s="1"/>
  <c r="KI69" i="1"/>
  <c r="KJ69" i="1"/>
  <c r="KI70" i="1"/>
  <c r="KJ70" i="1" s="1"/>
  <c r="KI71" i="1"/>
  <c r="KJ71" i="1" s="1"/>
  <c r="KI72" i="1"/>
  <c r="KJ72" i="1"/>
  <c r="KI73" i="1"/>
  <c r="KJ73" i="1" s="1"/>
  <c r="KI74" i="1"/>
  <c r="KJ74" i="1" s="1"/>
  <c r="KI75" i="1"/>
  <c r="KJ75" i="1"/>
  <c r="KI76" i="1"/>
  <c r="KJ76" i="1" s="1"/>
  <c r="KI77" i="1"/>
  <c r="KJ77" i="1" s="1"/>
  <c r="KI78" i="1"/>
  <c r="KJ78" i="1" s="1"/>
  <c r="KI79" i="1"/>
  <c r="KJ79" i="1"/>
  <c r="KI80" i="1"/>
  <c r="KJ80" i="1" s="1"/>
  <c r="KI81" i="1"/>
  <c r="KJ81" i="1"/>
  <c r="KI82" i="1"/>
  <c r="KJ82" i="1" s="1"/>
  <c r="KI83" i="1"/>
  <c r="KJ83" i="1"/>
  <c r="KI84" i="1"/>
  <c r="KJ84" i="1"/>
  <c r="KI85" i="1"/>
  <c r="KJ85" i="1" s="1"/>
  <c r="KI86" i="1"/>
  <c r="KJ86" i="1" s="1"/>
  <c r="KI87" i="1"/>
  <c r="KJ87" i="1" s="1"/>
  <c r="KI88" i="1"/>
  <c r="KJ88" i="1"/>
  <c r="KI89" i="1"/>
  <c r="KJ89" i="1"/>
  <c r="KI90" i="1"/>
  <c r="KJ90" i="1" s="1"/>
  <c r="KI91" i="1"/>
  <c r="KJ91" i="1" s="1"/>
  <c r="KI92" i="1"/>
  <c r="KJ92" i="1"/>
  <c r="KI93" i="1"/>
  <c r="KJ93" i="1"/>
  <c r="KI94" i="1"/>
  <c r="KJ94" i="1" s="1"/>
  <c r="KI95" i="1"/>
  <c r="KJ95" i="1"/>
  <c r="KI96" i="1"/>
  <c r="KJ96" i="1" s="1"/>
  <c r="KI97" i="1"/>
  <c r="KJ97" i="1"/>
  <c r="MG66" i="1"/>
  <c r="MH66" i="1"/>
  <c r="MQ60" i="1"/>
  <c r="MR60" i="1" s="1"/>
  <c r="MQ66" i="1"/>
  <c r="MR66" i="1"/>
  <c r="MQ64" i="1"/>
  <c r="MR64" i="1"/>
  <c r="MQ70" i="1"/>
  <c r="MR70" i="1"/>
  <c r="MQ89" i="1"/>
  <c r="MR89" i="1" s="1"/>
  <c r="MQ92" i="1"/>
  <c r="MR92" i="1"/>
  <c r="MQ94" i="1"/>
  <c r="MR94" i="1"/>
  <c r="MQ3" i="1"/>
  <c r="MR3" i="1"/>
  <c r="MQ4" i="1"/>
  <c r="MR4" i="1" s="1"/>
  <c r="MQ5" i="1"/>
  <c r="MR5" i="1"/>
  <c r="MQ6" i="1"/>
  <c r="MR6" i="1"/>
  <c r="MQ7" i="1"/>
  <c r="MR7" i="1"/>
  <c r="MQ8" i="1"/>
  <c r="MR8" i="1" s="1"/>
  <c r="MQ9" i="1"/>
  <c r="MR9" i="1"/>
  <c r="MQ10" i="1"/>
  <c r="MR10" i="1"/>
  <c r="MQ11" i="1"/>
  <c r="MR11" i="1"/>
  <c r="MQ12" i="1"/>
  <c r="MR12" i="1" s="1"/>
  <c r="MQ13" i="1"/>
  <c r="MR13" i="1"/>
  <c r="MQ14" i="1"/>
  <c r="MR14" i="1"/>
  <c r="MQ15" i="1"/>
  <c r="MR15" i="1"/>
  <c r="MQ16" i="1"/>
  <c r="MR16" i="1" s="1"/>
  <c r="MQ17" i="1"/>
  <c r="MR17" i="1"/>
  <c r="MQ18" i="1"/>
  <c r="MR18" i="1"/>
  <c r="MQ19" i="1"/>
  <c r="MR19" i="1"/>
  <c r="MQ20" i="1"/>
  <c r="MR20" i="1" s="1"/>
  <c r="MQ21" i="1"/>
  <c r="MR21" i="1"/>
  <c r="MQ22" i="1"/>
  <c r="MR22" i="1"/>
  <c r="MQ23" i="1"/>
  <c r="MR23" i="1"/>
  <c r="MQ24" i="1"/>
  <c r="MR24" i="1" s="1"/>
  <c r="MQ25" i="1"/>
  <c r="MR25" i="1"/>
  <c r="MQ26" i="1"/>
  <c r="MR26" i="1"/>
  <c r="MQ27" i="1"/>
  <c r="MR27" i="1"/>
  <c r="MQ28" i="1"/>
  <c r="MR28" i="1" s="1"/>
  <c r="MQ29" i="1"/>
  <c r="MR29" i="1"/>
  <c r="MQ30" i="1"/>
  <c r="MR30" i="1"/>
  <c r="MQ31" i="1"/>
  <c r="MR31" i="1"/>
  <c r="MQ32" i="1"/>
  <c r="MR32" i="1" s="1"/>
  <c r="MQ33" i="1"/>
  <c r="MR33" i="1"/>
  <c r="MQ34" i="1"/>
  <c r="MR34" i="1"/>
  <c r="MQ35" i="1"/>
  <c r="MR35" i="1"/>
  <c r="MQ36" i="1"/>
  <c r="MR36" i="1" s="1"/>
  <c r="MQ37" i="1"/>
  <c r="MR37" i="1"/>
  <c r="MQ38" i="1"/>
  <c r="MR38" i="1"/>
  <c r="MQ39" i="1"/>
  <c r="MR39" i="1"/>
  <c r="MQ40" i="1"/>
  <c r="MR40" i="1" s="1"/>
  <c r="MQ41" i="1"/>
  <c r="MR41" i="1"/>
  <c r="MQ42" i="1"/>
  <c r="MR42" i="1"/>
  <c r="MQ43" i="1"/>
  <c r="MR43" i="1"/>
  <c r="MQ44" i="1"/>
  <c r="MR44" i="1" s="1"/>
  <c r="MQ45" i="1"/>
  <c r="MR45" i="1"/>
  <c r="MQ46" i="1"/>
  <c r="MR46" i="1"/>
  <c r="MQ47" i="1"/>
  <c r="MR47" i="1"/>
  <c r="MQ48" i="1"/>
  <c r="MR48" i="1" s="1"/>
  <c r="MQ49" i="1"/>
  <c r="MR49" i="1"/>
  <c r="MQ50" i="1"/>
  <c r="MR50" i="1"/>
  <c r="MQ51" i="1"/>
  <c r="MR51" i="1"/>
  <c r="MQ52" i="1"/>
  <c r="MR52" i="1" s="1"/>
  <c r="MQ53" i="1"/>
  <c r="MR53" i="1"/>
  <c r="MQ54" i="1"/>
  <c r="MR54" i="1"/>
  <c r="MQ55" i="1"/>
  <c r="MR55" i="1"/>
  <c r="MQ56" i="1"/>
  <c r="MR56" i="1" s="1"/>
  <c r="MQ57" i="1"/>
  <c r="MR57" i="1"/>
  <c r="MQ58" i="1"/>
  <c r="MR58" i="1"/>
  <c r="MQ59" i="1"/>
  <c r="MR59" i="1"/>
  <c r="MQ61" i="1"/>
  <c r="MR61" i="1" s="1"/>
  <c r="MQ62" i="1"/>
  <c r="MR62" i="1"/>
  <c r="MQ63" i="1"/>
  <c r="MR63" i="1"/>
  <c r="MQ65" i="1"/>
  <c r="MR65" i="1"/>
  <c r="MQ67" i="1"/>
  <c r="MR67" i="1" s="1"/>
  <c r="MQ68" i="1"/>
  <c r="MR68" i="1"/>
  <c r="MQ69" i="1"/>
  <c r="MR69" i="1"/>
  <c r="MQ71" i="1"/>
  <c r="MR71" i="1"/>
  <c r="MQ72" i="1"/>
  <c r="MR72" i="1" s="1"/>
  <c r="MQ73" i="1"/>
  <c r="MR73" i="1"/>
  <c r="MQ74" i="1"/>
  <c r="MR74" i="1"/>
  <c r="MQ75" i="1"/>
  <c r="MR75" i="1"/>
  <c r="MQ76" i="1"/>
  <c r="MR76" i="1" s="1"/>
  <c r="MQ77" i="1"/>
  <c r="MR77" i="1"/>
  <c r="MQ78" i="1"/>
  <c r="MR78" i="1"/>
  <c r="MQ80" i="1"/>
  <c r="MR80" i="1"/>
  <c r="MQ81" i="1"/>
  <c r="MR81" i="1" s="1"/>
  <c r="MQ82" i="1"/>
  <c r="MR82" i="1"/>
  <c r="MQ83" i="1"/>
  <c r="MR83" i="1"/>
  <c r="MQ84" i="1"/>
  <c r="MR84" i="1"/>
  <c r="MQ85" i="1"/>
  <c r="MR85" i="1" s="1"/>
  <c r="MQ86" i="1"/>
  <c r="MR86" i="1"/>
  <c r="MQ87" i="1"/>
  <c r="MR87" i="1"/>
  <c r="MQ88" i="1"/>
  <c r="MR88" i="1"/>
  <c r="MQ90" i="1"/>
  <c r="MR90" i="1" s="1"/>
  <c r="MQ91" i="1"/>
  <c r="MR91" i="1"/>
  <c r="MQ93" i="1"/>
  <c r="MR93" i="1"/>
  <c r="MQ95" i="1"/>
  <c r="MR95" i="1"/>
  <c r="MQ96" i="1"/>
  <c r="MR96" i="1" s="1"/>
  <c r="MQ97" i="1"/>
  <c r="MR97" i="1"/>
  <c r="MO60" i="1"/>
  <c r="MP60" i="1"/>
  <c r="MO66" i="1"/>
  <c r="MP66" i="1"/>
  <c r="MO67" i="1"/>
  <c r="MP67" i="1" s="1"/>
  <c r="MO68" i="1"/>
  <c r="MP68" i="1" s="1"/>
  <c r="MO69" i="1"/>
  <c r="MP69" i="1"/>
  <c r="MO70" i="1"/>
  <c r="MP70" i="1" s="1"/>
  <c r="MO71" i="1"/>
  <c r="MP71" i="1" s="1"/>
  <c r="MO24" i="1"/>
  <c r="MP24" i="1" s="1"/>
  <c r="MO64" i="1"/>
  <c r="MP64" i="1"/>
  <c r="MO89" i="1"/>
  <c r="MP89" i="1" s="1"/>
  <c r="MO92" i="1"/>
  <c r="MP92" i="1"/>
  <c r="MO94" i="1"/>
  <c r="MP94" i="1" s="1"/>
  <c r="MO3" i="1"/>
  <c r="MP3" i="1"/>
  <c r="MO4" i="1"/>
  <c r="MP4" i="1"/>
  <c r="MO5" i="1"/>
  <c r="MP5" i="1" s="1"/>
  <c r="MO6" i="1"/>
  <c r="MP6" i="1" s="1"/>
  <c r="MO7" i="1"/>
  <c r="MP7" i="1" s="1"/>
  <c r="MO8" i="1"/>
  <c r="MP8" i="1"/>
  <c r="MO9" i="1"/>
  <c r="MP9" i="1" s="1"/>
  <c r="MO10" i="1"/>
  <c r="MP10" i="1"/>
  <c r="MO11" i="1"/>
  <c r="MP11" i="1" s="1"/>
  <c r="MO12" i="1"/>
  <c r="MP12" i="1"/>
  <c r="MO13" i="1"/>
  <c r="MP13" i="1"/>
  <c r="MO14" i="1"/>
  <c r="MP14" i="1"/>
  <c r="MO15" i="1"/>
  <c r="MP15" i="1" s="1"/>
  <c r="MO16" i="1"/>
  <c r="MP16" i="1"/>
  <c r="MO17" i="1"/>
  <c r="MP17" i="1"/>
  <c r="MO18" i="1"/>
  <c r="MP18" i="1"/>
  <c r="MO19" i="1"/>
  <c r="MP19" i="1" s="1"/>
  <c r="MO20" i="1"/>
  <c r="MP20" i="1"/>
  <c r="MO21" i="1"/>
  <c r="MP21" i="1"/>
  <c r="MO22" i="1"/>
  <c r="MP22" i="1"/>
  <c r="MO23" i="1"/>
  <c r="MP23" i="1" s="1"/>
  <c r="MO25" i="1"/>
  <c r="MP25" i="1"/>
  <c r="MO26" i="1"/>
  <c r="MP26" i="1" s="1"/>
  <c r="MO27" i="1"/>
  <c r="MP27" i="1"/>
  <c r="MO28" i="1"/>
  <c r="MP28" i="1" s="1"/>
  <c r="MO29" i="1"/>
  <c r="MP29" i="1"/>
  <c r="MO30" i="1"/>
  <c r="MP30" i="1"/>
  <c r="MO31" i="1"/>
  <c r="MP31" i="1"/>
  <c r="MO32" i="1"/>
  <c r="MP32" i="1" s="1"/>
  <c r="MO33" i="1"/>
  <c r="MP33" i="1"/>
  <c r="MO34" i="1"/>
  <c r="MP34" i="1" s="1"/>
  <c r="MO35" i="1"/>
  <c r="MP35" i="1"/>
  <c r="MO36" i="1"/>
  <c r="MP36" i="1" s="1"/>
  <c r="MO37" i="1"/>
  <c r="MP37" i="1"/>
  <c r="MO38" i="1"/>
  <c r="MP38" i="1" s="1"/>
  <c r="MO39" i="1"/>
  <c r="MP39" i="1"/>
  <c r="MO40" i="1"/>
  <c r="MP40" i="1" s="1"/>
  <c r="MO41" i="1"/>
  <c r="MP41" i="1"/>
  <c r="MO42" i="1"/>
  <c r="MP42" i="1" s="1"/>
  <c r="MO43" i="1"/>
  <c r="MP43" i="1"/>
  <c r="MO44" i="1"/>
  <c r="MP44" i="1" s="1"/>
  <c r="MO45" i="1"/>
  <c r="MP45" i="1"/>
  <c r="MO46" i="1"/>
  <c r="MP46" i="1"/>
  <c r="MO47" i="1"/>
  <c r="MP47" i="1"/>
  <c r="MO48" i="1"/>
  <c r="MP48" i="1" s="1"/>
  <c r="MO49" i="1"/>
  <c r="MP49" i="1"/>
  <c r="MO50" i="1"/>
  <c r="MP50" i="1"/>
  <c r="MO51" i="1"/>
  <c r="MP51" i="1"/>
  <c r="MO52" i="1"/>
  <c r="MP52" i="1" s="1"/>
  <c r="MO53" i="1"/>
  <c r="MP53" i="1"/>
  <c r="MO54" i="1"/>
  <c r="MP54" i="1"/>
  <c r="MO55" i="1"/>
  <c r="MP55" i="1"/>
  <c r="MO56" i="1"/>
  <c r="MP56" i="1" s="1"/>
  <c r="MO57" i="1"/>
  <c r="MP57" i="1"/>
  <c r="MO58" i="1"/>
  <c r="MP58" i="1" s="1"/>
  <c r="MO59" i="1"/>
  <c r="MP59" i="1"/>
  <c r="MO61" i="1"/>
  <c r="MP61" i="1" s="1"/>
  <c r="MO62" i="1"/>
  <c r="MP62" i="1"/>
  <c r="MO63" i="1"/>
  <c r="MP63" i="1"/>
  <c r="MO65" i="1"/>
  <c r="MP65" i="1"/>
  <c r="MO72" i="1"/>
  <c r="MP72" i="1" s="1"/>
  <c r="MO73" i="1"/>
  <c r="MP73" i="1"/>
  <c r="MO74" i="1"/>
  <c r="MP74" i="1" s="1"/>
  <c r="MO75" i="1"/>
  <c r="MP75" i="1"/>
  <c r="MO76" i="1"/>
  <c r="MP76" i="1" s="1"/>
  <c r="MO77" i="1"/>
  <c r="MP77" i="1"/>
  <c r="MO78" i="1"/>
  <c r="MP78" i="1" s="1"/>
  <c r="MO79" i="1"/>
  <c r="MO80" i="1"/>
  <c r="MP80" i="1" s="1"/>
  <c r="MO81" i="1"/>
  <c r="MP81" i="1"/>
  <c r="MO82" i="1"/>
  <c r="MP82" i="1"/>
  <c r="MO83" i="1"/>
  <c r="MP83" i="1"/>
  <c r="MO84" i="1"/>
  <c r="MP84" i="1" s="1"/>
  <c r="MO85" i="1"/>
  <c r="MP85" i="1"/>
  <c r="MO86" i="1"/>
  <c r="MP86" i="1"/>
  <c r="MO87" i="1"/>
  <c r="MP87" i="1"/>
  <c r="MO88" i="1"/>
  <c r="MP88" i="1" s="1"/>
  <c r="MO90" i="1"/>
  <c r="MP90" i="1"/>
  <c r="MO91" i="1"/>
  <c r="MP91" i="1"/>
  <c r="MO93" i="1"/>
  <c r="MP93" i="1"/>
  <c r="MO95" i="1"/>
  <c r="MP95" i="1" s="1"/>
  <c r="MO96" i="1"/>
  <c r="MP96" i="1"/>
  <c r="MO97" i="1"/>
  <c r="MP97" i="1" s="1"/>
  <c r="MM60" i="1"/>
  <c r="MN60" i="1" s="1"/>
  <c r="MM66" i="1"/>
  <c r="MN66" i="1"/>
  <c r="MM64" i="1"/>
  <c r="MN64" i="1"/>
  <c r="MM70" i="1"/>
  <c r="MN70" i="1" s="1"/>
  <c r="MM89" i="1"/>
  <c r="MN89" i="1" s="1"/>
  <c r="MM92" i="1"/>
  <c r="MN92" i="1"/>
  <c r="MM3" i="1"/>
  <c r="MN3" i="1"/>
  <c r="MM4" i="1"/>
  <c r="MN4" i="1" s="1"/>
  <c r="MM5" i="1"/>
  <c r="MN5" i="1" s="1"/>
  <c r="MM6" i="1"/>
  <c r="MN6" i="1"/>
  <c r="MM7" i="1"/>
  <c r="MN7" i="1"/>
  <c r="MM8" i="1"/>
  <c r="MN8" i="1" s="1"/>
  <c r="MM9" i="1"/>
  <c r="MN9" i="1" s="1"/>
  <c r="MM10" i="1"/>
  <c r="MN10" i="1"/>
  <c r="MM11" i="1"/>
  <c r="MN11" i="1"/>
  <c r="MM12" i="1"/>
  <c r="MN12" i="1" s="1"/>
  <c r="MM13" i="1"/>
  <c r="MN13" i="1" s="1"/>
  <c r="MM14" i="1"/>
  <c r="MN14" i="1"/>
  <c r="MM15" i="1"/>
  <c r="MN15" i="1"/>
  <c r="MM16" i="1"/>
  <c r="MN16" i="1" s="1"/>
  <c r="MM17" i="1"/>
  <c r="MN17" i="1" s="1"/>
  <c r="MM18" i="1"/>
  <c r="MN18" i="1"/>
  <c r="MM19" i="1"/>
  <c r="MN19" i="1"/>
  <c r="MM20" i="1"/>
  <c r="MN20" i="1" s="1"/>
  <c r="MM21" i="1"/>
  <c r="MN21" i="1" s="1"/>
  <c r="MM22" i="1"/>
  <c r="MN22" i="1"/>
  <c r="MM23" i="1"/>
  <c r="MN23" i="1"/>
  <c r="MM24" i="1"/>
  <c r="MN24" i="1" s="1"/>
  <c r="MM25" i="1"/>
  <c r="MN25" i="1" s="1"/>
  <c r="MM26" i="1"/>
  <c r="MN26" i="1"/>
  <c r="MM27" i="1"/>
  <c r="MN27" i="1"/>
  <c r="MM28" i="1"/>
  <c r="MN28" i="1" s="1"/>
  <c r="MM29" i="1"/>
  <c r="MN29" i="1" s="1"/>
  <c r="MM30" i="1"/>
  <c r="MN30" i="1"/>
  <c r="MM31" i="1"/>
  <c r="MN31" i="1"/>
  <c r="MM32" i="1"/>
  <c r="MN32" i="1" s="1"/>
  <c r="MM33" i="1"/>
  <c r="MN33" i="1" s="1"/>
  <c r="MM34" i="1"/>
  <c r="MN34" i="1"/>
  <c r="MM35" i="1"/>
  <c r="MN35" i="1"/>
  <c r="MM36" i="1"/>
  <c r="MN36" i="1" s="1"/>
  <c r="MM37" i="1"/>
  <c r="MN37" i="1" s="1"/>
  <c r="MM38" i="1"/>
  <c r="MN38" i="1"/>
  <c r="MM39" i="1"/>
  <c r="MN39" i="1"/>
  <c r="MM40" i="1"/>
  <c r="MN40" i="1" s="1"/>
  <c r="MM41" i="1"/>
  <c r="MN41" i="1" s="1"/>
  <c r="MM42" i="1"/>
  <c r="MN42" i="1"/>
  <c r="MM43" i="1"/>
  <c r="MN43" i="1"/>
  <c r="MM44" i="1"/>
  <c r="MN44" i="1" s="1"/>
  <c r="MM45" i="1"/>
  <c r="MN45" i="1" s="1"/>
  <c r="MM46" i="1"/>
  <c r="MN46" i="1"/>
  <c r="MM47" i="1"/>
  <c r="MN47" i="1"/>
  <c r="MM48" i="1"/>
  <c r="MN48" i="1" s="1"/>
  <c r="MM49" i="1"/>
  <c r="MN49" i="1" s="1"/>
  <c r="MM50" i="1"/>
  <c r="MN50" i="1"/>
  <c r="MM51" i="1"/>
  <c r="MN51" i="1"/>
  <c r="MM52" i="1"/>
  <c r="MN52" i="1" s="1"/>
  <c r="MM53" i="1"/>
  <c r="MN53" i="1" s="1"/>
  <c r="MM54" i="1"/>
  <c r="MN54" i="1"/>
  <c r="MM55" i="1"/>
  <c r="MN55" i="1"/>
  <c r="MM56" i="1"/>
  <c r="MN56" i="1" s="1"/>
  <c r="MM57" i="1"/>
  <c r="MN57" i="1" s="1"/>
  <c r="MM58" i="1"/>
  <c r="MN58" i="1"/>
  <c r="MM59" i="1"/>
  <c r="MN59" i="1"/>
  <c r="MM61" i="1"/>
  <c r="MN61" i="1" s="1"/>
  <c r="MM62" i="1"/>
  <c r="MN62" i="1" s="1"/>
  <c r="MM63" i="1"/>
  <c r="MN63" i="1"/>
  <c r="MM65" i="1"/>
  <c r="MN65" i="1"/>
  <c r="MM67" i="1"/>
  <c r="MN67" i="1" s="1"/>
  <c r="MM68" i="1"/>
  <c r="MN68" i="1" s="1"/>
  <c r="MM69" i="1"/>
  <c r="MN69" i="1"/>
  <c r="MM71" i="1"/>
  <c r="MN71" i="1"/>
  <c r="MM72" i="1"/>
  <c r="MN72" i="1" s="1"/>
  <c r="MM73" i="1"/>
  <c r="MN73" i="1" s="1"/>
  <c r="MM74" i="1"/>
  <c r="MN74" i="1"/>
  <c r="MM75" i="1"/>
  <c r="MN75" i="1"/>
  <c r="MM76" i="1"/>
  <c r="MN76" i="1" s="1"/>
  <c r="MM77" i="1"/>
  <c r="MN77" i="1" s="1"/>
  <c r="MM78" i="1"/>
  <c r="MN78" i="1"/>
  <c r="MM80" i="1"/>
  <c r="MN80" i="1" s="1"/>
  <c r="MM81" i="1"/>
  <c r="MN81" i="1" s="1"/>
  <c r="MM82" i="1"/>
  <c r="MN82" i="1"/>
  <c r="MM83" i="1"/>
  <c r="MN83" i="1"/>
  <c r="MM84" i="1"/>
  <c r="MN84" i="1" s="1"/>
  <c r="MM85" i="1"/>
  <c r="MN85" i="1" s="1"/>
  <c r="MM86" i="1"/>
  <c r="MN86" i="1"/>
  <c r="MM87" i="1"/>
  <c r="MN87" i="1"/>
  <c r="MM88" i="1"/>
  <c r="MN88" i="1" s="1"/>
  <c r="MM90" i="1"/>
  <c r="MN90" i="1" s="1"/>
  <c r="MM91" i="1"/>
  <c r="MN91" i="1"/>
  <c r="MM93" i="1"/>
  <c r="MN93" i="1"/>
  <c r="MM94" i="1"/>
  <c r="MN94" i="1" s="1"/>
  <c r="MM95" i="1"/>
  <c r="MN95" i="1" s="1"/>
  <c r="MM96" i="1"/>
  <c r="MN96" i="1"/>
  <c r="MM97" i="1"/>
  <c r="MN97" i="1"/>
  <c r="MK60" i="1"/>
  <c r="ML60" i="1"/>
  <c r="MK66" i="1"/>
  <c r="ML66" i="1" s="1"/>
  <c r="MK64" i="1"/>
  <c r="ML64" i="1"/>
  <c r="MK70" i="1"/>
  <c r="ML70" i="1" s="1"/>
  <c r="MK89" i="1"/>
  <c r="ML89" i="1"/>
  <c r="MK92" i="1"/>
  <c r="ML92" i="1" s="1"/>
  <c r="MK3" i="1"/>
  <c r="ML3" i="1"/>
  <c r="MK4" i="1"/>
  <c r="ML4" i="1" s="1"/>
  <c r="MK5" i="1"/>
  <c r="ML5" i="1"/>
  <c r="MK6" i="1"/>
  <c r="ML6" i="1" s="1"/>
  <c r="MK7" i="1"/>
  <c r="ML7" i="1"/>
  <c r="MK8" i="1"/>
  <c r="ML8" i="1" s="1"/>
  <c r="MK9" i="1"/>
  <c r="ML9" i="1"/>
  <c r="MK10" i="1"/>
  <c r="ML10" i="1" s="1"/>
  <c r="MK11" i="1"/>
  <c r="ML11" i="1"/>
  <c r="MK12" i="1"/>
  <c r="ML12" i="1"/>
  <c r="MK13" i="1"/>
  <c r="ML13" i="1"/>
  <c r="MK14" i="1"/>
  <c r="ML14" i="1" s="1"/>
  <c r="MK15" i="1"/>
  <c r="ML15" i="1"/>
  <c r="MK16" i="1"/>
  <c r="ML16" i="1"/>
  <c r="MK17" i="1"/>
  <c r="ML17" i="1"/>
  <c r="MK18" i="1"/>
  <c r="ML18" i="1" s="1"/>
  <c r="MK19" i="1"/>
  <c r="ML19" i="1"/>
  <c r="MK20" i="1"/>
  <c r="ML20" i="1"/>
  <c r="MK21" i="1"/>
  <c r="ML21" i="1"/>
  <c r="MK22" i="1"/>
  <c r="ML22" i="1" s="1"/>
  <c r="MK23" i="1"/>
  <c r="ML23" i="1"/>
  <c r="MK24" i="1"/>
  <c r="ML24" i="1" s="1"/>
  <c r="MK25" i="1"/>
  <c r="ML25" i="1"/>
  <c r="MK26" i="1"/>
  <c r="ML26" i="1" s="1"/>
  <c r="MK27" i="1"/>
  <c r="ML27" i="1"/>
  <c r="MK28" i="1"/>
  <c r="ML28" i="1"/>
  <c r="MK29" i="1"/>
  <c r="ML29" i="1"/>
  <c r="MK30" i="1"/>
  <c r="ML30" i="1" s="1"/>
  <c r="MK31" i="1"/>
  <c r="ML31" i="1"/>
  <c r="MK32" i="1"/>
  <c r="ML32" i="1" s="1"/>
  <c r="MK33" i="1"/>
  <c r="ML33" i="1"/>
  <c r="MK34" i="1"/>
  <c r="ML34" i="1" s="1"/>
  <c r="MK35" i="1"/>
  <c r="ML35" i="1"/>
  <c r="MK36" i="1"/>
  <c r="ML36" i="1" s="1"/>
  <c r="MK37" i="1"/>
  <c r="ML37" i="1"/>
  <c r="MK38" i="1"/>
  <c r="ML38" i="1" s="1"/>
  <c r="MK39" i="1"/>
  <c r="ML39" i="1"/>
  <c r="MK40" i="1"/>
  <c r="ML40" i="1" s="1"/>
  <c r="MK41" i="1"/>
  <c r="ML41" i="1"/>
  <c r="MK42" i="1"/>
  <c r="ML42" i="1" s="1"/>
  <c r="MK43" i="1"/>
  <c r="ML43" i="1"/>
  <c r="MK44" i="1"/>
  <c r="ML44" i="1"/>
  <c r="MK45" i="1"/>
  <c r="ML45" i="1"/>
  <c r="MK46" i="1"/>
  <c r="ML46" i="1" s="1"/>
  <c r="MK47" i="1"/>
  <c r="ML47" i="1"/>
  <c r="MK48" i="1"/>
  <c r="ML48" i="1"/>
  <c r="MK49" i="1"/>
  <c r="ML49" i="1"/>
  <c r="MK50" i="1"/>
  <c r="ML50" i="1" s="1"/>
  <c r="MK51" i="1"/>
  <c r="ML51" i="1"/>
  <c r="MK52" i="1"/>
  <c r="ML52" i="1"/>
  <c r="MK53" i="1"/>
  <c r="ML53" i="1"/>
  <c r="MK54" i="1"/>
  <c r="ML54" i="1" s="1"/>
  <c r="MK55" i="1"/>
  <c r="ML55" i="1"/>
  <c r="MK56" i="1"/>
  <c r="ML56" i="1" s="1"/>
  <c r="MK57" i="1"/>
  <c r="ML57" i="1"/>
  <c r="MK58" i="1"/>
  <c r="ML58" i="1" s="1"/>
  <c r="MK59" i="1"/>
  <c r="ML59" i="1"/>
  <c r="MK61" i="1"/>
  <c r="ML61" i="1"/>
  <c r="MK62" i="1"/>
  <c r="ML62" i="1"/>
  <c r="MK63" i="1"/>
  <c r="ML63" i="1" s="1"/>
  <c r="MK65" i="1"/>
  <c r="ML65" i="1"/>
  <c r="MK67" i="1"/>
  <c r="ML67" i="1" s="1"/>
  <c r="MK68" i="1"/>
  <c r="ML68" i="1"/>
  <c r="MK69" i="1"/>
  <c r="ML69" i="1" s="1"/>
  <c r="MK71" i="1"/>
  <c r="ML71" i="1"/>
  <c r="MK72" i="1"/>
  <c r="ML72" i="1" s="1"/>
  <c r="MK73" i="1"/>
  <c r="ML73" i="1"/>
  <c r="MK74" i="1"/>
  <c r="ML74" i="1" s="1"/>
  <c r="MK75" i="1"/>
  <c r="ML75" i="1"/>
  <c r="MK76" i="1"/>
  <c r="ML76" i="1" s="1"/>
  <c r="MK77" i="1"/>
  <c r="ML77" i="1"/>
  <c r="MK78" i="1"/>
  <c r="ML78" i="1" s="1"/>
  <c r="MK80" i="1"/>
  <c r="ML80" i="1"/>
  <c r="MK81" i="1"/>
  <c r="ML81" i="1"/>
  <c r="MK82" i="1"/>
  <c r="ML82" i="1" s="1"/>
  <c r="MK83" i="1"/>
  <c r="ML83" i="1"/>
  <c r="MK84" i="1"/>
  <c r="ML84" i="1" s="1"/>
  <c r="MK85" i="1"/>
  <c r="ML85" i="1"/>
  <c r="MK86" i="1"/>
  <c r="ML86" i="1" s="1"/>
  <c r="MK87" i="1"/>
  <c r="ML87" i="1"/>
  <c r="MK88" i="1"/>
  <c r="ML88" i="1"/>
  <c r="MK90" i="1"/>
  <c r="ML90" i="1"/>
  <c r="MK91" i="1"/>
  <c r="ML91" i="1" s="1"/>
  <c r="MK93" i="1"/>
  <c r="ML93" i="1"/>
  <c r="MK94" i="1"/>
  <c r="ML94" i="1" s="1"/>
  <c r="MK95" i="1"/>
  <c r="ML95" i="1"/>
  <c r="MK96" i="1"/>
  <c r="ML96" i="1" s="1"/>
  <c r="MK97" i="1"/>
  <c r="ML97" i="1"/>
  <c r="MI60" i="1"/>
  <c r="MJ60" i="1" s="1"/>
  <c r="MI66" i="1"/>
  <c r="MJ66" i="1" s="1"/>
  <c r="MI64" i="1"/>
  <c r="MJ64" i="1"/>
  <c r="MI70" i="1"/>
  <c r="MJ70" i="1"/>
  <c r="MI89" i="1"/>
  <c r="MJ89" i="1" s="1"/>
  <c r="MI92" i="1"/>
  <c r="MJ92" i="1" s="1"/>
  <c r="MI3" i="1"/>
  <c r="MJ3" i="1"/>
  <c r="MI4" i="1"/>
  <c r="MJ4" i="1"/>
  <c r="MI5" i="1"/>
  <c r="MJ5" i="1" s="1"/>
  <c r="MI6" i="1"/>
  <c r="MJ6" i="1" s="1"/>
  <c r="MI7" i="1"/>
  <c r="MJ7" i="1"/>
  <c r="MI8" i="1"/>
  <c r="MJ8" i="1"/>
  <c r="MI9" i="1"/>
  <c r="MJ9" i="1" s="1"/>
  <c r="MI10" i="1"/>
  <c r="MJ10" i="1" s="1"/>
  <c r="MI11" i="1"/>
  <c r="MJ11" i="1"/>
  <c r="MI12" i="1"/>
  <c r="MJ12" i="1"/>
  <c r="MI13" i="1"/>
  <c r="MJ13" i="1" s="1"/>
  <c r="MI14" i="1"/>
  <c r="MJ14" i="1" s="1"/>
  <c r="MI15" i="1"/>
  <c r="MJ15" i="1"/>
  <c r="MI16" i="1"/>
  <c r="MJ16" i="1"/>
  <c r="MI17" i="1"/>
  <c r="MJ17" i="1" s="1"/>
  <c r="MI18" i="1"/>
  <c r="MJ18" i="1" s="1"/>
  <c r="MI19" i="1"/>
  <c r="MJ19" i="1"/>
  <c r="MI20" i="1"/>
  <c r="MJ20" i="1"/>
  <c r="MI21" i="1"/>
  <c r="MJ21" i="1" s="1"/>
  <c r="MI22" i="1"/>
  <c r="MJ22" i="1" s="1"/>
  <c r="MI23" i="1"/>
  <c r="MJ23" i="1"/>
  <c r="MI24" i="1"/>
  <c r="MJ24" i="1"/>
  <c r="MI25" i="1"/>
  <c r="MJ25" i="1" s="1"/>
  <c r="MI26" i="1"/>
  <c r="MJ26" i="1" s="1"/>
  <c r="MI27" i="1"/>
  <c r="MJ27" i="1"/>
  <c r="MI28" i="1"/>
  <c r="MJ28" i="1"/>
  <c r="MI29" i="1"/>
  <c r="MJ29" i="1" s="1"/>
  <c r="MI30" i="1"/>
  <c r="MJ30" i="1" s="1"/>
  <c r="MI31" i="1"/>
  <c r="MJ31" i="1"/>
  <c r="MI32" i="1"/>
  <c r="MJ32" i="1"/>
  <c r="MI33" i="1"/>
  <c r="MJ33" i="1" s="1"/>
  <c r="MI34" i="1"/>
  <c r="MJ34" i="1" s="1"/>
  <c r="MI35" i="1"/>
  <c r="MJ35" i="1"/>
  <c r="MI36" i="1"/>
  <c r="MJ36" i="1"/>
  <c r="MI37" i="1"/>
  <c r="MJ37" i="1" s="1"/>
  <c r="MI38" i="1"/>
  <c r="MJ38" i="1" s="1"/>
  <c r="MI39" i="1"/>
  <c r="MJ39" i="1"/>
  <c r="MI40" i="1"/>
  <c r="MJ40" i="1"/>
  <c r="MI41" i="1"/>
  <c r="MJ41" i="1" s="1"/>
  <c r="MI42" i="1"/>
  <c r="MJ42" i="1" s="1"/>
  <c r="MI43" i="1"/>
  <c r="MJ43" i="1"/>
  <c r="MI44" i="1"/>
  <c r="MJ44" i="1"/>
  <c r="MI45" i="1"/>
  <c r="MJ45" i="1" s="1"/>
  <c r="MI46" i="1"/>
  <c r="MJ46" i="1" s="1"/>
  <c r="MI47" i="1"/>
  <c r="MJ47" i="1"/>
  <c r="MI48" i="1"/>
  <c r="MJ48" i="1"/>
  <c r="MI49" i="1"/>
  <c r="MJ49" i="1" s="1"/>
  <c r="MI50" i="1"/>
  <c r="MJ50" i="1" s="1"/>
  <c r="MI51" i="1"/>
  <c r="MJ51" i="1"/>
  <c r="MI52" i="1"/>
  <c r="MJ52" i="1"/>
  <c r="MI53" i="1"/>
  <c r="MJ53" i="1" s="1"/>
  <c r="MI54" i="1"/>
  <c r="MJ54" i="1" s="1"/>
  <c r="MI55" i="1"/>
  <c r="MJ55" i="1"/>
  <c r="MI56" i="1"/>
  <c r="MJ56" i="1"/>
  <c r="MI57" i="1"/>
  <c r="MJ57" i="1" s="1"/>
  <c r="MI58" i="1"/>
  <c r="MJ58" i="1" s="1"/>
  <c r="MI59" i="1"/>
  <c r="MJ59" i="1"/>
  <c r="MI61" i="1"/>
  <c r="MJ61" i="1"/>
  <c r="MI62" i="1"/>
  <c r="MJ62" i="1" s="1"/>
  <c r="MI63" i="1"/>
  <c r="MJ63" i="1" s="1"/>
  <c r="MI65" i="1"/>
  <c r="MJ65" i="1"/>
  <c r="MI67" i="1"/>
  <c r="MJ67" i="1"/>
  <c r="MI68" i="1"/>
  <c r="MJ68" i="1" s="1"/>
  <c r="MI69" i="1"/>
  <c r="MJ69" i="1" s="1"/>
  <c r="MI71" i="1"/>
  <c r="MJ71" i="1"/>
  <c r="MI72" i="1"/>
  <c r="MJ72" i="1"/>
  <c r="MI73" i="1"/>
  <c r="MJ73" i="1" s="1"/>
  <c r="MI74" i="1"/>
  <c r="MJ74" i="1" s="1"/>
  <c r="MI75" i="1"/>
  <c r="MJ75" i="1"/>
  <c r="MI76" i="1"/>
  <c r="MJ76" i="1" s="1"/>
  <c r="MI77" i="1"/>
  <c r="MJ77" i="1" s="1"/>
  <c r="MI78" i="1"/>
  <c r="MJ78" i="1" s="1"/>
  <c r="MI80" i="1"/>
  <c r="MJ80" i="1"/>
  <c r="MI81" i="1"/>
  <c r="MJ81" i="1" s="1"/>
  <c r="MI82" i="1"/>
  <c r="MJ82" i="1" s="1"/>
  <c r="MI83" i="1"/>
  <c r="MJ83" i="1"/>
  <c r="MI84" i="1"/>
  <c r="MJ84" i="1"/>
  <c r="MI85" i="1"/>
  <c r="MJ85" i="1" s="1"/>
  <c r="MI86" i="1"/>
  <c r="MJ86" i="1" s="1"/>
  <c r="MI87" i="1"/>
  <c r="MJ87" i="1"/>
  <c r="MI88" i="1"/>
  <c r="MJ88" i="1" s="1"/>
  <c r="MI90" i="1"/>
  <c r="MJ90" i="1" s="1"/>
  <c r="MI91" i="1"/>
  <c r="MJ91" i="1"/>
  <c r="MI93" i="1"/>
  <c r="MJ93" i="1"/>
  <c r="MI94" i="1"/>
  <c r="MJ94" i="1"/>
  <c r="MI95" i="1"/>
  <c r="MJ95" i="1" s="1"/>
  <c r="MI96" i="1"/>
  <c r="MJ96" i="1"/>
  <c r="MI97" i="1"/>
  <c r="MJ97" i="1"/>
  <c r="MG60" i="1"/>
  <c r="MH60" i="1"/>
  <c r="MG65" i="1"/>
  <c r="MH65" i="1"/>
  <c r="MG64" i="1"/>
  <c r="MH64" i="1" s="1"/>
  <c r="MG89" i="1"/>
  <c r="MH89" i="1"/>
  <c r="MG92" i="1"/>
  <c r="MH92" i="1" s="1"/>
  <c r="MG3" i="1"/>
  <c r="MH3" i="1"/>
  <c r="MG4" i="1"/>
  <c r="MH4" i="1" s="1"/>
  <c r="MG5" i="1"/>
  <c r="MH5" i="1"/>
  <c r="MG6" i="1"/>
  <c r="MH6" i="1" s="1"/>
  <c r="MG7" i="1"/>
  <c r="MH7" i="1"/>
  <c r="MG8" i="1"/>
  <c r="MH8" i="1" s="1"/>
  <c r="MG9" i="1"/>
  <c r="MH9" i="1"/>
  <c r="MG10" i="1"/>
  <c r="MH10" i="1" s="1"/>
  <c r="MG11" i="1"/>
  <c r="MH11" i="1"/>
  <c r="MG12" i="1"/>
  <c r="MH12" i="1" s="1"/>
  <c r="MG13" i="1"/>
  <c r="MH13" i="1"/>
  <c r="MG14" i="1"/>
  <c r="MH14" i="1"/>
  <c r="MG15" i="1"/>
  <c r="MH15" i="1"/>
  <c r="MG16" i="1"/>
  <c r="MH16" i="1" s="1"/>
  <c r="MG17" i="1"/>
  <c r="MH17" i="1"/>
  <c r="MG18" i="1"/>
  <c r="MH18" i="1"/>
  <c r="MG19" i="1"/>
  <c r="MH19" i="1"/>
  <c r="MG20" i="1"/>
  <c r="MH20" i="1" s="1"/>
  <c r="MG21" i="1"/>
  <c r="MH21" i="1"/>
  <c r="MG22" i="1"/>
  <c r="MH22" i="1"/>
  <c r="MG23" i="1"/>
  <c r="MH23" i="1"/>
  <c r="MG24" i="1"/>
  <c r="MH24" i="1" s="1"/>
  <c r="MG25" i="1"/>
  <c r="MH25" i="1"/>
  <c r="MG26" i="1"/>
  <c r="MH26" i="1" s="1"/>
  <c r="MG27" i="1"/>
  <c r="MH27" i="1"/>
  <c r="MG28" i="1"/>
  <c r="MH28" i="1" s="1"/>
  <c r="MG29" i="1"/>
  <c r="MH29" i="1"/>
  <c r="MG30" i="1"/>
  <c r="MH30" i="1"/>
  <c r="MG31" i="1"/>
  <c r="MH31" i="1"/>
  <c r="MG32" i="1"/>
  <c r="MH32" i="1" s="1"/>
  <c r="MG33" i="1"/>
  <c r="MH33" i="1"/>
  <c r="MG34" i="1"/>
  <c r="MH34" i="1" s="1"/>
  <c r="MG35" i="1"/>
  <c r="MH35" i="1"/>
  <c r="MG36" i="1"/>
  <c r="MH36" i="1" s="1"/>
  <c r="MG37" i="1"/>
  <c r="MH37" i="1"/>
  <c r="MG38" i="1"/>
  <c r="MH38" i="1" s="1"/>
  <c r="MG39" i="1"/>
  <c r="MH39" i="1"/>
  <c r="MG40" i="1"/>
  <c r="MH40" i="1" s="1"/>
  <c r="MG41" i="1"/>
  <c r="MH41" i="1"/>
  <c r="MG42" i="1"/>
  <c r="MH42" i="1" s="1"/>
  <c r="MG43" i="1"/>
  <c r="MH43" i="1"/>
  <c r="MG44" i="1"/>
  <c r="MH44" i="1" s="1"/>
  <c r="MG45" i="1"/>
  <c r="MH45" i="1"/>
  <c r="MG46" i="1"/>
  <c r="MH46" i="1"/>
  <c r="MG47" i="1"/>
  <c r="MH47" i="1"/>
  <c r="MG48" i="1"/>
  <c r="MH48" i="1" s="1"/>
  <c r="MG49" i="1"/>
  <c r="MH49" i="1"/>
  <c r="MG50" i="1"/>
  <c r="MH50" i="1"/>
  <c r="MG51" i="1"/>
  <c r="MH51" i="1"/>
  <c r="MG52" i="1"/>
  <c r="MH52" i="1" s="1"/>
  <c r="MG53" i="1"/>
  <c r="MH53" i="1"/>
  <c r="MG54" i="1"/>
  <c r="MH54" i="1"/>
  <c r="MG55" i="1"/>
  <c r="MH55" i="1"/>
  <c r="MG56" i="1"/>
  <c r="MH56" i="1" s="1"/>
  <c r="MG57" i="1"/>
  <c r="MH57" i="1"/>
  <c r="MG58" i="1"/>
  <c r="MH58" i="1" s="1"/>
  <c r="MG59" i="1"/>
  <c r="MH59" i="1"/>
  <c r="MG61" i="1"/>
  <c r="MH61" i="1" s="1"/>
  <c r="MG62" i="1"/>
  <c r="MH62" i="1"/>
  <c r="MG63" i="1"/>
  <c r="MH63" i="1"/>
  <c r="MG67" i="1"/>
  <c r="MH67" i="1"/>
  <c r="MG68" i="1"/>
  <c r="MH68" i="1" s="1"/>
  <c r="MG69" i="1"/>
  <c r="MH69" i="1"/>
  <c r="MG70" i="1"/>
  <c r="MH70" i="1" s="1"/>
  <c r="MG71" i="1"/>
  <c r="MH71" i="1"/>
  <c r="MG72" i="1"/>
  <c r="MH72" i="1" s="1"/>
  <c r="MG73" i="1"/>
  <c r="MH73" i="1"/>
  <c r="MG74" i="1"/>
  <c r="MH74" i="1" s="1"/>
  <c r="MG75" i="1"/>
  <c r="MH75" i="1"/>
  <c r="MG76" i="1"/>
  <c r="MH76" i="1" s="1"/>
  <c r="MG77" i="1"/>
  <c r="MH77" i="1"/>
  <c r="MG78" i="1"/>
  <c r="MH78" i="1" s="1"/>
  <c r="MG80" i="1"/>
  <c r="MH80" i="1" s="1"/>
  <c r="MG81" i="1"/>
  <c r="MH81" i="1"/>
  <c r="MG82" i="1"/>
  <c r="MH82" i="1"/>
  <c r="MG83" i="1"/>
  <c r="MH83" i="1"/>
  <c r="MG84" i="1"/>
  <c r="MH84" i="1" s="1"/>
  <c r="MG85" i="1"/>
  <c r="MH85" i="1"/>
  <c r="MG86" i="1"/>
  <c r="MH86" i="1"/>
  <c r="MG87" i="1"/>
  <c r="MH87" i="1"/>
  <c r="MG88" i="1"/>
  <c r="MH88" i="1" s="1"/>
  <c r="MG90" i="1"/>
  <c r="MH90" i="1"/>
  <c r="MG91" i="1"/>
  <c r="MH91" i="1" s="1"/>
  <c r="MG93" i="1"/>
  <c r="MH93" i="1"/>
  <c r="MG94" i="1"/>
  <c r="MH94" i="1" s="1"/>
  <c r="MG95" i="1"/>
  <c r="MH95" i="1"/>
  <c r="MG96" i="1"/>
  <c r="MH96" i="1"/>
  <c r="MG97" i="1"/>
  <c r="MH97" i="1"/>
  <c r="ME60" i="1"/>
  <c r="MF60" i="1" s="1"/>
  <c r="ME66" i="1"/>
  <c r="MF66" i="1" s="1"/>
  <c r="ME64" i="1"/>
  <c r="MF64" i="1" s="1"/>
  <c r="ME89" i="1"/>
  <c r="MF89" i="1" s="1"/>
  <c r="ME92" i="1"/>
  <c r="MF92" i="1"/>
  <c r="ME3" i="1"/>
  <c r="MF3" i="1" s="1"/>
  <c r="ME4" i="1"/>
  <c r="MF4" i="1" s="1"/>
  <c r="ME5" i="1"/>
  <c r="MF5" i="1"/>
  <c r="ME6" i="1"/>
  <c r="MF6" i="1" s="1"/>
  <c r="ME7" i="1"/>
  <c r="MF7" i="1"/>
  <c r="ME8" i="1"/>
  <c r="MF8" i="1" s="1"/>
  <c r="ME9" i="1"/>
  <c r="MF9" i="1" s="1"/>
  <c r="ME10" i="1"/>
  <c r="MF10" i="1"/>
  <c r="ME11" i="1"/>
  <c r="MF11" i="1"/>
  <c r="ME12" i="1"/>
  <c r="MF12" i="1" s="1"/>
  <c r="ME13" i="1"/>
  <c r="MF13" i="1" s="1"/>
  <c r="ME14" i="1"/>
  <c r="MF14" i="1" s="1"/>
  <c r="ME15" i="1"/>
  <c r="MF15" i="1"/>
  <c r="ME16" i="1"/>
  <c r="MF16" i="1" s="1"/>
  <c r="ME17" i="1"/>
  <c r="MF17" i="1"/>
  <c r="ME18" i="1"/>
  <c r="MF18" i="1" s="1"/>
  <c r="ME19" i="1"/>
  <c r="MF19" i="1" s="1"/>
  <c r="ME20" i="1"/>
  <c r="MF20" i="1" s="1"/>
  <c r="ME21" i="1"/>
  <c r="MF21" i="1" s="1"/>
  <c r="ME22" i="1"/>
  <c r="MF22" i="1" s="1"/>
  <c r="ME23" i="1"/>
  <c r="MF23" i="1"/>
  <c r="ME24" i="1"/>
  <c r="MF24" i="1" s="1"/>
  <c r="ME25" i="1"/>
  <c r="MF25" i="1" s="1"/>
  <c r="ME26" i="1"/>
  <c r="MF26" i="1" s="1"/>
  <c r="ME27" i="1"/>
  <c r="MF27" i="1"/>
  <c r="ME28" i="1"/>
  <c r="MF28" i="1" s="1"/>
  <c r="ME29" i="1"/>
  <c r="MF29" i="1" s="1"/>
  <c r="ME30" i="1"/>
  <c r="MF30" i="1" s="1"/>
  <c r="ME31" i="1"/>
  <c r="MF31" i="1"/>
  <c r="ME32" i="1"/>
  <c r="MF32" i="1" s="1"/>
  <c r="ME33" i="1"/>
  <c r="MF33" i="1"/>
  <c r="ME34" i="1"/>
  <c r="MF34" i="1" s="1"/>
  <c r="ME35" i="1"/>
  <c r="MF35" i="1" s="1"/>
  <c r="ME36" i="1"/>
  <c r="MF36" i="1" s="1"/>
  <c r="ME37" i="1"/>
  <c r="MF37" i="1" s="1"/>
  <c r="ME38" i="1"/>
  <c r="MF38" i="1" s="1"/>
  <c r="ME39" i="1"/>
  <c r="MF39" i="1"/>
  <c r="ME40" i="1"/>
  <c r="MF40" i="1" s="1"/>
  <c r="ME41" i="1"/>
  <c r="MF41" i="1" s="1"/>
  <c r="ME42" i="1"/>
  <c r="MF42" i="1"/>
  <c r="ME43" i="1"/>
  <c r="MF43" i="1"/>
  <c r="ME44" i="1"/>
  <c r="MF44" i="1" s="1"/>
  <c r="ME45" i="1"/>
  <c r="MF45" i="1" s="1"/>
  <c r="ME46" i="1"/>
  <c r="MF46" i="1" s="1"/>
  <c r="ME47" i="1"/>
  <c r="MF47" i="1" s="1"/>
  <c r="ME48" i="1"/>
  <c r="MF48" i="1" s="1"/>
  <c r="ME49" i="1"/>
  <c r="MF49" i="1"/>
  <c r="ME50" i="1"/>
  <c r="MF50" i="1"/>
  <c r="ME51" i="1"/>
  <c r="MF51" i="1"/>
  <c r="ME52" i="1"/>
  <c r="MF52" i="1" s="1"/>
  <c r="ME53" i="1"/>
  <c r="MF53" i="1"/>
  <c r="ME54" i="1"/>
  <c r="MF54" i="1" s="1"/>
  <c r="ME55" i="1"/>
  <c r="MF55" i="1" s="1"/>
  <c r="ME56" i="1"/>
  <c r="MF56" i="1" s="1"/>
  <c r="ME57" i="1"/>
  <c r="MF57" i="1" s="1"/>
  <c r="ME58" i="1"/>
  <c r="MF58" i="1" s="1"/>
  <c r="ME59" i="1"/>
  <c r="MF59" i="1"/>
  <c r="ME61" i="1"/>
  <c r="MF61" i="1" s="1"/>
  <c r="ME62" i="1"/>
  <c r="MF62" i="1" s="1"/>
  <c r="ME63" i="1"/>
  <c r="MF63" i="1"/>
  <c r="ME65" i="1"/>
  <c r="MF65" i="1"/>
  <c r="ME67" i="1"/>
  <c r="MF67" i="1" s="1"/>
  <c r="ME68" i="1"/>
  <c r="MF68" i="1" s="1"/>
  <c r="ME69" i="1"/>
  <c r="MF69" i="1" s="1"/>
  <c r="ME70" i="1"/>
  <c r="MF70" i="1" s="1"/>
  <c r="ME71" i="1"/>
  <c r="MF71" i="1" s="1"/>
  <c r="ME72" i="1"/>
  <c r="MF72" i="1"/>
  <c r="ME73" i="1"/>
  <c r="MF73" i="1" s="1"/>
  <c r="ME74" i="1"/>
  <c r="MF74" i="1" s="1"/>
  <c r="ME75" i="1"/>
  <c r="MF75" i="1" s="1"/>
  <c r="ME76" i="1"/>
  <c r="MF76" i="1"/>
  <c r="ME77" i="1"/>
  <c r="MF77" i="1" s="1"/>
  <c r="ME78" i="1"/>
  <c r="MF78" i="1" s="1"/>
  <c r="ME79" i="1"/>
  <c r="MF79" i="1" s="1"/>
  <c r="ME80" i="1"/>
  <c r="MF80" i="1"/>
  <c r="ME81" i="1"/>
  <c r="MF81" i="1" s="1"/>
  <c r="ME82" i="1"/>
  <c r="MF82" i="1"/>
  <c r="ME83" i="1"/>
  <c r="MF83" i="1" s="1"/>
  <c r="ME84" i="1"/>
  <c r="MF84" i="1" s="1"/>
  <c r="ME85" i="1"/>
  <c r="MF85" i="1" s="1"/>
  <c r="ME86" i="1"/>
  <c r="MF86" i="1" s="1"/>
  <c r="ME87" i="1"/>
  <c r="MF87" i="1" s="1"/>
  <c r="ME88" i="1"/>
  <c r="MF88" i="1"/>
  <c r="ME90" i="1"/>
  <c r="MF90" i="1" s="1"/>
  <c r="ME91" i="1"/>
  <c r="MF91" i="1" s="1"/>
  <c r="ME93" i="1"/>
  <c r="MF93" i="1" s="1"/>
  <c r="ME94" i="1"/>
  <c r="MF94" i="1"/>
  <c r="ME95" i="1"/>
  <c r="MF95" i="1" s="1"/>
  <c r="ME96" i="1"/>
  <c r="MF96" i="1" s="1"/>
  <c r="ME97" i="1"/>
  <c r="MF97" i="1" s="1"/>
  <c r="MC60" i="1"/>
  <c r="MD60" i="1" s="1"/>
  <c r="MC66" i="1"/>
  <c r="MD66" i="1"/>
  <c r="MC65" i="1"/>
  <c r="MD65" i="1"/>
  <c r="MC67" i="1"/>
  <c r="MD67" i="1"/>
  <c r="MC68" i="1"/>
  <c r="MD68" i="1" s="1"/>
  <c r="MC69" i="1"/>
  <c r="MD69" i="1"/>
  <c r="MC70" i="1"/>
  <c r="MD70" i="1"/>
  <c r="MC71" i="1"/>
  <c r="MD71" i="1"/>
  <c r="MC72" i="1"/>
  <c r="MD72" i="1" s="1"/>
  <c r="MC73" i="1"/>
  <c r="MD73" i="1"/>
  <c r="MC74" i="1"/>
  <c r="MD74" i="1"/>
  <c r="MC75" i="1"/>
  <c r="MD75" i="1"/>
  <c r="MC76" i="1"/>
  <c r="MD76" i="1" s="1"/>
  <c r="MC77" i="1"/>
  <c r="MD77" i="1"/>
  <c r="MC78" i="1"/>
  <c r="MD78" i="1" s="1"/>
  <c r="MC80" i="1"/>
  <c r="MD80" i="1" s="1"/>
  <c r="MC81" i="1"/>
  <c r="MD81" i="1"/>
  <c r="MC82" i="1"/>
  <c r="MD82" i="1" s="1"/>
  <c r="MC83" i="1"/>
  <c r="MD83" i="1"/>
  <c r="MC84" i="1"/>
  <c r="MD84" i="1" s="1"/>
  <c r="MC85" i="1"/>
  <c r="MD85" i="1"/>
  <c r="MC86" i="1"/>
  <c r="MD86" i="1" s="1"/>
  <c r="MC87" i="1"/>
  <c r="MD87" i="1"/>
  <c r="MC88" i="1"/>
  <c r="MD88" i="1" s="1"/>
  <c r="MC89" i="1"/>
  <c r="MD89" i="1"/>
  <c r="MC90" i="1"/>
  <c r="MD90" i="1" s="1"/>
  <c r="MC91" i="1"/>
  <c r="MD91" i="1"/>
  <c r="MC92" i="1"/>
  <c r="MD92" i="1" s="1"/>
  <c r="MC93" i="1"/>
  <c r="MD93" i="1"/>
  <c r="MC94" i="1"/>
  <c r="MD94" i="1"/>
  <c r="MC95" i="1"/>
  <c r="MD95" i="1"/>
  <c r="MC96" i="1"/>
  <c r="MD96" i="1" s="1"/>
  <c r="MC97" i="1"/>
  <c r="MD97" i="1"/>
  <c r="MC64" i="1"/>
  <c r="MD64" i="1"/>
  <c r="MC3" i="1"/>
  <c r="MD3" i="1"/>
  <c r="MC4" i="1"/>
  <c r="MD4" i="1" s="1"/>
  <c r="MC5" i="1"/>
  <c r="MD5" i="1"/>
  <c r="MC6" i="1"/>
  <c r="MD6" i="1"/>
  <c r="MC7" i="1"/>
  <c r="MD7" i="1"/>
  <c r="MC8" i="1"/>
  <c r="MD8" i="1" s="1"/>
  <c r="MC9" i="1"/>
  <c r="MD9" i="1"/>
  <c r="MC10" i="1"/>
  <c r="MD10" i="1" s="1"/>
  <c r="MC11" i="1"/>
  <c r="MD11" i="1"/>
  <c r="MC12" i="1"/>
  <c r="MD12" i="1" s="1"/>
  <c r="MC13" i="1"/>
  <c r="MD13" i="1"/>
  <c r="MC14" i="1"/>
  <c r="MD14" i="1"/>
  <c r="MC15" i="1"/>
  <c r="MD15" i="1"/>
  <c r="MC16" i="1"/>
  <c r="MD16" i="1" s="1"/>
  <c r="MC17" i="1"/>
  <c r="MD17" i="1"/>
  <c r="MC18" i="1"/>
  <c r="MD18" i="1" s="1"/>
  <c r="MC19" i="1"/>
  <c r="MD19" i="1"/>
  <c r="MC20" i="1"/>
  <c r="MD20" i="1" s="1"/>
  <c r="MC21" i="1"/>
  <c r="MD21" i="1"/>
  <c r="MC22" i="1"/>
  <c r="MD22" i="1" s="1"/>
  <c r="MC23" i="1"/>
  <c r="MD23" i="1"/>
  <c r="MC24" i="1"/>
  <c r="MD24" i="1" s="1"/>
  <c r="MC25" i="1"/>
  <c r="MD25" i="1"/>
  <c r="MC26" i="1"/>
  <c r="MD26" i="1" s="1"/>
  <c r="MC27" i="1"/>
  <c r="MD27" i="1"/>
  <c r="MC28" i="1"/>
  <c r="MD28" i="1" s="1"/>
  <c r="MC29" i="1"/>
  <c r="MD29" i="1"/>
  <c r="MC30" i="1"/>
  <c r="MD30" i="1"/>
  <c r="MC31" i="1"/>
  <c r="MD31" i="1"/>
  <c r="MC32" i="1"/>
  <c r="MD32" i="1" s="1"/>
  <c r="MC33" i="1"/>
  <c r="MD33" i="1"/>
  <c r="MC34" i="1"/>
  <c r="MD34" i="1"/>
  <c r="MC35" i="1"/>
  <c r="MD35" i="1"/>
  <c r="MC36" i="1"/>
  <c r="MD36" i="1" s="1"/>
  <c r="MC37" i="1"/>
  <c r="MD37" i="1"/>
  <c r="MC38" i="1"/>
  <c r="MD38" i="1"/>
  <c r="MC39" i="1"/>
  <c r="MD39" i="1"/>
  <c r="MC40" i="1"/>
  <c r="MD40" i="1" s="1"/>
  <c r="MC41" i="1"/>
  <c r="MD41" i="1"/>
  <c r="MC42" i="1"/>
  <c r="MD42" i="1" s="1"/>
  <c r="MC43" i="1"/>
  <c r="MD43" i="1"/>
  <c r="MC44" i="1"/>
  <c r="MD44" i="1" s="1"/>
  <c r="MC45" i="1"/>
  <c r="MD45" i="1"/>
  <c r="MC46" i="1"/>
  <c r="MD46" i="1"/>
  <c r="MC47" i="1"/>
  <c r="MD47" i="1"/>
  <c r="MC48" i="1"/>
  <c r="MD48" i="1" s="1"/>
  <c r="MC49" i="1"/>
  <c r="MD49" i="1"/>
  <c r="MC50" i="1"/>
  <c r="MD50" i="1" s="1"/>
  <c r="MC51" i="1"/>
  <c r="MD51" i="1"/>
  <c r="MC52" i="1"/>
  <c r="MD52" i="1" s="1"/>
  <c r="MC53" i="1"/>
  <c r="MD53" i="1"/>
  <c r="MC54" i="1"/>
  <c r="MD54" i="1" s="1"/>
  <c r="MC55" i="1"/>
  <c r="MD55" i="1"/>
  <c r="MC56" i="1"/>
  <c r="MD56" i="1" s="1"/>
  <c r="MC57" i="1"/>
  <c r="MD57" i="1"/>
  <c r="MC58" i="1"/>
  <c r="MD58" i="1" s="1"/>
  <c r="MC59" i="1"/>
  <c r="MD59" i="1"/>
  <c r="MC61" i="1"/>
  <c r="MD61" i="1" s="1"/>
  <c r="MC62" i="1"/>
  <c r="MD62" i="1"/>
  <c r="MC63" i="1"/>
  <c r="MD63" i="1"/>
  <c r="MA60" i="1"/>
  <c r="MB60" i="1" s="1"/>
  <c r="MA66" i="1"/>
  <c r="MB66" i="1" s="1"/>
  <c r="MA64" i="1"/>
  <c r="MB64" i="1" s="1"/>
  <c r="MA89" i="1"/>
  <c r="MB89" i="1" s="1"/>
  <c r="MA92" i="1"/>
  <c r="MB92" i="1"/>
  <c r="MA3" i="1"/>
  <c r="MB3" i="1" s="1"/>
  <c r="MA4" i="1"/>
  <c r="MB4" i="1" s="1"/>
  <c r="MA5" i="1"/>
  <c r="MB5" i="1" s="1"/>
  <c r="MA6" i="1"/>
  <c r="MB6" i="1"/>
  <c r="MA7" i="1"/>
  <c r="MB7" i="1" s="1"/>
  <c r="MA8" i="1"/>
  <c r="MB8" i="1" s="1"/>
  <c r="MA9" i="1"/>
  <c r="MB9" i="1" s="1"/>
  <c r="MA10" i="1"/>
  <c r="MB10" i="1"/>
  <c r="MA11" i="1"/>
  <c r="MB11" i="1" s="1"/>
  <c r="MA12" i="1"/>
  <c r="MB12" i="1"/>
  <c r="MA13" i="1"/>
  <c r="MB13" i="1" s="1"/>
  <c r="MA14" i="1"/>
  <c r="MB14" i="1" s="1"/>
  <c r="MA15" i="1"/>
  <c r="MB15" i="1" s="1"/>
  <c r="MA16" i="1"/>
  <c r="MB16" i="1" s="1"/>
  <c r="MA17" i="1"/>
  <c r="MB17" i="1" s="1"/>
  <c r="MA18" i="1"/>
  <c r="MB18" i="1"/>
  <c r="MA19" i="1"/>
  <c r="MB19" i="1" s="1"/>
  <c r="MA20" i="1"/>
  <c r="MB20" i="1" s="1"/>
  <c r="MA21" i="1"/>
  <c r="MB21" i="1" s="1"/>
  <c r="MA22" i="1"/>
  <c r="MB22" i="1"/>
  <c r="MA23" i="1"/>
  <c r="MB23" i="1" s="1"/>
  <c r="MA24" i="1"/>
  <c r="MB24" i="1" s="1"/>
  <c r="MA25" i="1"/>
  <c r="MB25" i="1" s="1"/>
  <c r="MA26" i="1"/>
  <c r="MB26" i="1"/>
  <c r="MA27" i="1"/>
  <c r="MB27" i="1" s="1"/>
  <c r="MA28" i="1"/>
  <c r="MB28" i="1"/>
  <c r="MA29" i="1"/>
  <c r="MB29" i="1" s="1"/>
  <c r="MA30" i="1"/>
  <c r="MB30" i="1" s="1"/>
  <c r="MA31" i="1"/>
  <c r="MB31" i="1" s="1"/>
  <c r="MA32" i="1"/>
  <c r="MB32" i="1" s="1"/>
  <c r="MA33" i="1"/>
  <c r="MB33" i="1" s="1"/>
  <c r="MA34" i="1"/>
  <c r="MB34" i="1"/>
  <c r="MA35" i="1"/>
  <c r="MB35" i="1" s="1"/>
  <c r="MA36" i="1"/>
  <c r="MB36" i="1" s="1"/>
  <c r="MA37" i="1"/>
  <c r="MB37" i="1" s="1"/>
  <c r="MA38" i="1"/>
  <c r="MB38" i="1"/>
  <c r="MA39" i="1"/>
  <c r="MB39" i="1" s="1"/>
  <c r="MA40" i="1"/>
  <c r="MB40" i="1" s="1"/>
  <c r="MA41" i="1"/>
  <c r="MB41" i="1" s="1"/>
  <c r="MA42" i="1"/>
  <c r="MB42" i="1"/>
  <c r="MA43" i="1"/>
  <c r="MB43" i="1"/>
  <c r="MA44" i="1"/>
  <c r="MB44" i="1"/>
  <c r="MA45" i="1"/>
  <c r="MB45" i="1" s="1"/>
  <c r="MA46" i="1"/>
  <c r="MB46" i="1" s="1"/>
  <c r="MA47" i="1"/>
  <c r="MB47" i="1" s="1"/>
  <c r="MA48" i="1"/>
  <c r="MB48" i="1"/>
  <c r="MA49" i="1"/>
  <c r="MB49" i="1" s="1"/>
  <c r="MA50" i="1"/>
  <c r="MB50" i="1" s="1"/>
  <c r="MA51" i="1"/>
  <c r="MB51" i="1"/>
  <c r="MA52" i="1"/>
  <c r="MB52" i="1" s="1"/>
  <c r="MA53" i="1"/>
  <c r="MB53" i="1" s="1"/>
  <c r="MA54" i="1"/>
  <c r="MB54" i="1"/>
  <c r="MA55" i="1"/>
  <c r="MB55" i="1" s="1"/>
  <c r="MA56" i="1"/>
  <c r="MB56" i="1" s="1"/>
  <c r="MA57" i="1"/>
  <c r="MB57" i="1" s="1"/>
  <c r="MA58" i="1"/>
  <c r="MB58" i="1"/>
  <c r="MA59" i="1"/>
  <c r="MB59" i="1" s="1"/>
  <c r="MA61" i="1"/>
  <c r="MB61" i="1" s="1"/>
  <c r="MA62" i="1"/>
  <c r="MB62" i="1" s="1"/>
  <c r="MA63" i="1"/>
  <c r="MB63" i="1"/>
  <c r="MA65" i="1"/>
  <c r="MB65" i="1" s="1"/>
  <c r="MA67" i="1"/>
  <c r="MB67" i="1"/>
  <c r="MA68" i="1"/>
  <c r="MB68" i="1" s="1"/>
  <c r="MA69" i="1"/>
  <c r="MB69" i="1" s="1"/>
  <c r="MA70" i="1"/>
  <c r="MB70" i="1" s="1"/>
  <c r="MA71" i="1"/>
  <c r="MB71" i="1" s="1"/>
  <c r="MA72" i="1"/>
  <c r="MB72" i="1" s="1"/>
  <c r="MA73" i="1"/>
  <c r="MB73" i="1"/>
  <c r="MA74" i="1"/>
  <c r="MB74" i="1" s="1"/>
  <c r="MA75" i="1"/>
  <c r="MB75" i="1" s="1"/>
  <c r="MA76" i="1"/>
  <c r="MB76" i="1" s="1"/>
  <c r="MA77" i="1"/>
  <c r="MB77" i="1"/>
  <c r="MA78" i="1"/>
  <c r="MB78" i="1" s="1"/>
  <c r="MA80" i="1"/>
  <c r="MB80" i="1" s="1"/>
  <c r="MA81" i="1"/>
  <c r="MB81" i="1"/>
  <c r="MA82" i="1"/>
  <c r="MB82" i="1" s="1"/>
  <c r="MA83" i="1"/>
  <c r="MB83" i="1"/>
  <c r="MA84" i="1"/>
  <c r="MB84" i="1" s="1"/>
  <c r="MA85" i="1"/>
  <c r="MB85" i="1" s="1"/>
  <c r="MA86" i="1"/>
  <c r="MB86" i="1" s="1"/>
  <c r="MA87" i="1"/>
  <c r="MB87" i="1" s="1"/>
  <c r="MA88" i="1"/>
  <c r="MB88" i="1" s="1"/>
  <c r="MA90" i="1"/>
  <c r="MB90" i="1"/>
  <c r="MA91" i="1"/>
  <c r="MB91" i="1" s="1"/>
  <c r="MA93" i="1"/>
  <c r="MB93" i="1" s="1"/>
  <c r="MA94" i="1"/>
  <c r="MB94" i="1" s="1"/>
  <c r="MA95" i="1"/>
  <c r="MB95" i="1"/>
  <c r="MA96" i="1"/>
  <c r="MB96" i="1" s="1"/>
  <c r="MA97" i="1"/>
  <c r="MB97" i="1" s="1"/>
  <c r="LY60" i="1"/>
  <c r="LZ60" i="1"/>
  <c r="LY66" i="1"/>
  <c r="LZ66" i="1" s="1"/>
  <c r="LY64" i="1"/>
  <c r="LZ64" i="1"/>
  <c r="LY89" i="1"/>
  <c r="LZ89" i="1" s="1"/>
  <c r="LY92" i="1"/>
  <c r="LZ92" i="1"/>
  <c r="LY3" i="1"/>
  <c r="LZ3" i="1" s="1"/>
  <c r="LY4" i="1"/>
  <c r="LZ4" i="1"/>
  <c r="LY5" i="1"/>
  <c r="LZ5" i="1"/>
  <c r="LY6" i="1"/>
  <c r="LZ6" i="1"/>
  <c r="LY7" i="1"/>
  <c r="LZ7" i="1" s="1"/>
  <c r="LY8" i="1"/>
  <c r="LZ8" i="1"/>
  <c r="LY9" i="1"/>
  <c r="LZ9" i="1"/>
  <c r="LY10" i="1"/>
  <c r="LZ10" i="1"/>
  <c r="LY11" i="1"/>
  <c r="LZ11" i="1" s="1"/>
  <c r="LY12" i="1"/>
  <c r="LZ12" i="1"/>
  <c r="LY13" i="1"/>
  <c r="LZ13" i="1"/>
  <c r="LY14" i="1"/>
  <c r="LZ14" i="1"/>
  <c r="LY15" i="1"/>
  <c r="LZ15" i="1" s="1"/>
  <c r="LY16" i="1"/>
  <c r="LZ16" i="1"/>
  <c r="LY17" i="1"/>
  <c r="LZ17" i="1" s="1"/>
  <c r="LY18" i="1"/>
  <c r="LZ18" i="1"/>
  <c r="LY19" i="1"/>
  <c r="LZ19" i="1" s="1"/>
  <c r="LY20" i="1"/>
  <c r="LZ20" i="1"/>
  <c r="LY21" i="1"/>
  <c r="LZ21" i="1"/>
  <c r="LY22" i="1"/>
  <c r="LZ22" i="1"/>
  <c r="LY23" i="1"/>
  <c r="LZ23" i="1" s="1"/>
  <c r="LY24" i="1"/>
  <c r="LZ24" i="1"/>
  <c r="LY25" i="1"/>
  <c r="LZ25" i="1" s="1"/>
  <c r="LY26" i="1"/>
  <c r="LZ26" i="1"/>
  <c r="LY27" i="1"/>
  <c r="LZ27" i="1" s="1"/>
  <c r="LY28" i="1"/>
  <c r="LZ28" i="1"/>
  <c r="LY29" i="1"/>
  <c r="LZ29" i="1" s="1"/>
  <c r="LY30" i="1"/>
  <c r="LZ30" i="1"/>
  <c r="LY31" i="1"/>
  <c r="LZ31" i="1" s="1"/>
  <c r="LY32" i="1"/>
  <c r="LZ32" i="1"/>
  <c r="LY33" i="1"/>
  <c r="LZ33" i="1" s="1"/>
  <c r="LY34" i="1"/>
  <c r="LZ34" i="1"/>
  <c r="LY35" i="1"/>
  <c r="LZ35" i="1" s="1"/>
  <c r="LY36" i="1"/>
  <c r="LZ36" i="1"/>
  <c r="LY37" i="1"/>
  <c r="LZ37" i="1"/>
  <c r="LY38" i="1"/>
  <c r="LZ38" i="1"/>
  <c r="LY39" i="1"/>
  <c r="LZ39" i="1" s="1"/>
  <c r="LY40" i="1"/>
  <c r="LZ40" i="1"/>
  <c r="LY41" i="1"/>
  <c r="LZ41" i="1"/>
  <c r="LY42" i="1"/>
  <c r="LZ42" i="1"/>
  <c r="LY43" i="1"/>
  <c r="LZ43" i="1" s="1"/>
  <c r="LY44" i="1"/>
  <c r="LZ44" i="1"/>
  <c r="LY45" i="1"/>
  <c r="LZ45" i="1"/>
  <c r="LY46" i="1"/>
  <c r="LZ46" i="1"/>
  <c r="LY47" i="1"/>
  <c r="LZ47" i="1" s="1"/>
  <c r="LY48" i="1"/>
  <c r="LZ48" i="1"/>
  <c r="LY49" i="1"/>
  <c r="LZ49" i="1" s="1"/>
  <c r="LY50" i="1"/>
  <c r="LZ50" i="1"/>
  <c r="LY51" i="1"/>
  <c r="LZ51" i="1" s="1"/>
  <c r="LY52" i="1"/>
  <c r="LZ52" i="1"/>
  <c r="LY53" i="1"/>
  <c r="LZ53" i="1"/>
  <c r="LY54" i="1"/>
  <c r="LZ54" i="1"/>
  <c r="LY55" i="1"/>
  <c r="LZ55" i="1" s="1"/>
  <c r="LY56" i="1"/>
  <c r="LZ56" i="1"/>
  <c r="LY57" i="1"/>
  <c r="LZ57" i="1" s="1"/>
  <c r="LY58" i="1"/>
  <c r="LZ58" i="1"/>
  <c r="LY59" i="1"/>
  <c r="LZ59" i="1" s="1"/>
  <c r="LY61" i="1"/>
  <c r="LZ61" i="1"/>
  <c r="LY62" i="1"/>
  <c r="LZ62" i="1" s="1"/>
  <c r="LY63" i="1"/>
  <c r="LZ63" i="1"/>
  <c r="LY65" i="1"/>
  <c r="LZ65" i="1" s="1"/>
  <c r="LY67" i="1"/>
  <c r="LZ67" i="1"/>
  <c r="LY68" i="1"/>
  <c r="LZ68" i="1" s="1"/>
  <c r="LY69" i="1"/>
  <c r="LZ69" i="1"/>
  <c r="LY70" i="1"/>
  <c r="LZ70" i="1" s="1"/>
  <c r="LY71" i="1"/>
  <c r="LZ71" i="1"/>
  <c r="LY72" i="1"/>
  <c r="LZ72" i="1"/>
  <c r="LY73" i="1"/>
  <c r="LZ73" i="1"/>
  <c r="LY74" i="1"/>
  <c r="LZ74" i="1" s="1"/>
  <c r="LY75" i="1"/>
  <c r="LZ75" i="1"/>
  <c r="LY76" i="1"/>
  <c r="LZ76" i="1"/>
  <c r="LY77" i="1"/>
  <c r="LZ77" i="1"/>
  <c r="LY78" i="1"/>
  <c r="LZ78" i="1" s="1"/>
  <c r="LY80" i="1"/>
  <c r="LZ80" i="1" s="1"/>
  <c r="LY81" i="1"/>
  <c r="LZ81" i="1"/>
  <c r="LY82" i="1"/>
  <c r="LZ82" i="1" s="1"/>
  <c r="LY83" i="1"/>
  <c r="LZ83" i="1"/>
  <c r="LY84" i="1"/>
  <c r="LZ84" i="1"/>
  <c r="LY85" i="1"/>
  <c r="LZ85" i="1"/>
  <c r="LY86" i="1"/>
  <c r="LZ86" i="1" s="1"/>
  <c r="LY87" i="1"/>
  <c r="LZ87" i="1"/>
  <c r="LY88" i="1"/>
  <c r="LZ88" i="1" s="1"/>
  <c r="LY90" i="1"/>
  <c r="LZ90" i="1"/>
  <c r="LY91" i="1"/>
  <c r="LZ91" i="1" s="1"/>
  <c r="LY93" i="1"/>
  <c r="LZ93" i="1"/>
  <c r="LY94" i="1"/>
  <c r="LZ94" i="1" s="1"/>
  <c r="LY95" i="1"/>
  <c r="LZ95" i="1"/>
  <c r="LY96" i="1"/>
  <c r="LZ96" i="1" s="1"/>
  <c r="LY97" i="1"/>
  <c r="LZ97" i="1"/>
  <c r="LW60" i="1"/>
  <c r="LX60" i="1" s="1"/>
  <c r="LW66" i="1"/>
  <c r="LX66" i="1" s="1"/>
  <c r="LW64" i="1"/>
  <c r="LX64" i="1" s="1"/>
  <c r="LW89" i="1"/>
  <c r="LX89" i="1"/>
  <c r="LW92" i="1"/>
  <c r="LX92" i="1" s="1"/>
  <c r="LW3" i="1"/>
  <c r="LX3" i="1" s="1"/>
  <c r="LW4" i="1"/>
  <c r="LX4" i="1" s="1"/>
  <c r="LW5" i="1"/>
  <c r="LX5" i="1"/>
  <c r="LW6" i="1"/>
  <c r="LX6" i="1" s="1"/>
  <c r="LW7" i="1"/>
  <c r="LX7" i="1"/>
  <c r="LW8" i="1"/>
  <c r="LX8" i="1" s="1"/>
  <c r="LW9" i="1"/>
  <c r="LX9" i="1" s="1"/>
  <c r="LW10" i="1"/>
  <c r="LX10" i="1" s="1"/>
  <c r="LW11" i="1"/>
  <c r="LX11" i="1"/>
  <c r="LW12" i="1"/>
  <c r="LX12" i="1" s="1"/>
  <c r="LW13" i="1"/>
  <c r="LX13" i="1"/>
  <c r="LW14" i="1"/>
  <c r="LX14" i="1" s="1"/>
  <c r="LW15" i="1"/>
  <c r="LX15" i="1" s="1"/>
  <c r="LW16" i="1"/>
  <c r="LX16" i="1" s="1"/>
  <c r="LW17" i="1"/>
  <c r="LX17" i="1"/>
  <c r="LW18" i="1"/>
  <c r="LX18" i="1" s="1"/>
  <c r="LW19" i="1"/>
  <c r="LX19" i="1" s="1"/>
  <c r="LW20" i="1"/>
  <c r="LX20" i="1" s="1"/>
  <c r="LW21" i="1"/>
  <c r="LX21" i="1"/>
  <c r="LW22" i="1"/>
  <c r="LX22" i="1" s="1"/>
  <c r="LW23" i="1"/>
  <c r="LX23" i="1"/>
  <c r="LW24" i="1"/>
  <c r="LX24" i="1" s="1"/>
  <c r="LW25" i="1"/>
  <c r="LX25" i="1" s="1"/>
  <c r="LW26" i="1"/>
  <c r="LX26" i="1" s="1"/>
  <c r="LW27" i="1"/>
  <c r="LX27" i="1" s="1"/>
  <c r="LW28" i="1"/>
  <c r="LX28" i="1" s="1"/>
  <c r="LW29" i="1"/>
  <c r="LX29" i="1"/>
  <c r="LW30" i="1"/>
  <c r="LX30" i="1" s="1"/>
  <c r="LW31" i="1"/>
  <c r="LX31" i="1" s="1"/>
  <c r="LW32" i="1"/>
  <c r="LX32" i="1" s="1"/>
  <c r="LW33" i="1"/>
  <c r="LX33" i="1"/>
  <c r="LW34" i="1"/>
  <c r="LX34" i="1" s="1"/>
  <c r="LW35" i="1"/>
  <c r="LX35" i="1" s="1"/>
  <c r="LW36" i="1"/>
  <c r="LX36" i="1" s="1"/>
  <c r="LW37" i="1"/>
  <c r="LX37" i="1"/>
  <c r="LW38" i="1"/>
  <c r="LX38" i="1" s="1"/>
  <c r="LW39" i="1"/>
  <c r="LX39" i="1"/>
  <c r="LW40" i="1"/>
  <c r="LX40" i="1" s="1"/>
  <c r="LW41" i="1"/>
  <c r="LX41" i="1" s="1"/>
  <c r="LW42" i="1"/>
  <c r="LX42" i="1" s="1"/>
  <c r="LW43" i="1"/>
  <c r="LX43" i="1" s="1"/>
  <c r="LW44" i="1"/>
  <c r="LX44" i="1" s="1"/>
  <c r="LW45" i="1"/>
  <c r="LX45" i="1"/>
  <c r="LW46" i="1"/>
  <c r="LX46" i="1" s="1"/>
  <c r="LW47" i="1"/>
  <c r="LX47" i="1" s="1"/>
  <c r="LW48" i="1"/>
  <c r="LX48" i="1" s="1"/>
  <c r="LW49" i="1"/>
  <c r="LX49" i="1"/>
  <c r="LW50" i="1"/>
  <c r="LX50" i="1" s="1"/>
  <c r="LW51" i="1"/>
  <c r="LX51" i="1" s="1"/>
  <c r="LW52" i="1"/>
  <c r="LX52" i="1" s="1"/>
  <c r="LW53" i="1"/>
  <c r="LX53" i="1"/>
  <c r="LW54" i="1"/>
  <c r="LX54" i="1" s="1"/>
  <c r="LW55" i="1"/>
  <c r="LX55" i="1"/>
  <c r="LW56" i="1"/>
  <c r="LX56" i="1" s="1"/>
  <c r="LW57" i="1"/>
  <c r="LX57" i="1" s="1"/>
  <c r="LW58" i="1"/>
  <c r="LX58" i="1" s="1"/>
  <c r="LW59" i="1"/>
  <c r="LX59" i="1" s="1"/>
  <c r="LW61" i="1"/>
  <c r="LX61" i="1" s="1"/>
  <c r="LW62" i="1"/>
  <c r="LX62" i="1"/>
  <c r="LW63" i="1"/>
  <c r="LX63" i="1" s="1"/>
  <c r="LW65" i="1"/>
  <c r="LX65" i="1" s="1"/>
  <c r="LW67" i="1"/>
  <c r="LX67" i="1" s="1"/>
  <c r="LW68" i="1"/>
  <c r="LX68" i="1"/>
  <c r="LW69" i="1"/>
  <c r="LX69" i="1" s="1"/>
  <c r="LW70" i="1"/>
  <c r="LX70" i="1" s="1"/>
  <c r="LW71" i="1"/>
  <c r="LX71" i="1" s="1"/>
  <c r="LW72" i="1"/>
  <c r="LX72" i="1"/>
  <c r="LW73" i="1"/>
  <c r="LX73" i="1" s="1"/>
  <c r="LW74" i="1"/>
  <c r="LX74" i="1"/>
  <c r="LW75" i="1"/>
  <c r="LX75" i="1" s="1"/>
  <c r="LW76" i="1"/>
  <c r="LX76" i="1" s="1"/>
  <c r="LW77" i="1"/>
  <c r="LX77" i="1" s="1"/>
  <c r="LW78" i="1"/>
  <c r="LX78" i="1"/>
  <c r="LW80" i="1"/>
  <c r="LX80" i="1"/>
  <c r="LW81" i="1"/>
  <c r="LX81" i="1" s="1"/>
  <c r="LW82" i="1"/>
  <c r="LX82" i="1" s="1"/>
  <c r="LW83" i="1"/>
  <c r="LX83" i="1" s="1"/>
  <c r="LW84" i="1"/>
  <c r="LX84" i="1"/>
  <c r="LW85" i="1"/>
  <c r="LX85" i="1" s="1"/>
  <c r="LW86" i="1"/>
  <c r="LX86" i="1"/>
  <c r="LW87" i="1"/>
  <c r="LX87" i="1" s="1"/>
  <c r="LW88" i="1"/>
  <c r="LX88" i="1" s="1"/>
  <c r="LW90" i="1"/>
  <c r="LX90" i="1" s="1"/>
  <c r="LW91" i="1"/>
  <c r="LX91" i="1"/>
  <c r="LW93" i="1"/>
  <c r="LX93" i="1" s="1"/>
  <c r="LW94" i="1"/>
  <c r="LX94" i="1" s="1"/>
  <c r="LW95" i="1"/>
  <c r="LX95" i="1" s="1"/>
  <c r="LW96" i="1"/>
  <c r="LX96" i="1"/>
  <c r="LW97" i="1"/>
  <c r="LX97" i="1"/>
  <c r="LU60" i="1"/>
  <c r="LV60" i="1" s="1"/>
  <c r="LU66" i="1"/>
  <c r="LV66" i="1"/>
  <c r="LU64" i="1"/>
  <c r="LV64" i="1" s="1"/>
  <c r="LU89" i="1"/>
  <c r="LV89" i="1"/>
  <c r="LU92" i="1"/>
  <c r="LV92" i="1"/>
  <c r="LU3" i="1"/>
  <c r="LV3" i="1"/>
  <c r="LU4" i="1"/>
  <c r="LV4" i="1" s="1"/>
  <c r="LU5" i="1"/>
  <c r="LV5" i="1"/>
  <c r="LU6" i="1"/>
  <c r="LV6" i="1"/>
  <c r="LU7" i="1"/>
  <c r="LV7" i="1"/>
  <c r="LU8" i="1"/>
  <c r="LV8" i="1" s="1"/>
  <c r="LU9" i="1"/>
  <c r="LV9" i="1"/>
  <c r="LU10" i="1"/>
  <c r="LV10" i="1"/>
  <c r="LU11" i="1"/>
  <c r="LV11" i="1"/>
  <c r="LU12" i="1"/>
  <c r="LV12" i="1" s="1"/>
  <c r="LU13" i="1"/>
  <c r="LV13" i="1"/>
  <c r="LU14" i="1"/>
  <c r="LV14" i="1" s="1"/>
  <c r="LU15" i="1"/>
  <c r="LV15" i="1"/>
  <c r="LU16" i="1"/>
  <c r="LV16" i="1" s="1"/>
  <c r="LU17" i="1"/>
  <c r="LV17" i="1"/>
  <c r="LU18" i="1"/>
  <c r="LV18" i="1"/>
  <c r="LU19" i="1"/>
  <c r="LV19" i="1"/>
  <c r="LU20" i="1"/>
  <c r="LV20" i="1" s="1"/>
  <c r="LU21" i="1"/>
  <c r="LV21" i="1"/>
  <c r="LU22" i="1"/>
  <c r="LV22" i="1" s="1"/>
  <c r="LU23" i="1"/>
  <c r="LV23" i="1"/>
  <c r="LU24" i="1"/>
  <c r="LV24" i="1" s="1"/>
  <c r="LU25" i="1"/>
  <c r="LV25" i="1"/>
  <c r="LU26" i="1"/>
  <c r="LV26" i="1" s="1"/>
  <c r="LU27" i="1"/>
  <c r="LV27" i="1"/>
  <c r="LU28" i="1"/>
  <c r="LV28" i="1" s="1"/>
  <c r="LU29" i="1"/>
  <c r="LV29" i="1"/>
  <c r="LU30" i="1"/>
  <c r="LV30" i="1" s="1"/>
  <c r="LU31" i="1"/>
  <c r="LV31" i="1"/>
  <c r="LU32" i="1"/>
  <c r="LV32" i="1" s="1"/>
  <c r="LU33" i="1"/>
  <c r="LV33" i="1"/>
  <c r="LU34" i="1"/>
  <c r="LV34" i="1"/>
  <c r="LU35" i="1"/>
  <c r="LV35" i="1"/>
  <c r="LU36" i="1"/>
  <c r="LV36" i="1" s="1"/>
  <c r="LU37" i="1"/>
  <c r="LV37" i="1"/>
  <c r="LU38" i="1"/>
  <c r="LV38" i="1"/>
  <c r="LU39" i="1"/>
  <c r="LV39" i="1"/>
  <c r="LU40" i="1"/>
  <c r="LV40" i="1" s="1"/>
  <c r="LU41" i="1"/>
  <c r="LV41" i="1"/>
  <c r="LU42" i="1"/>
  <c r="LV42" i="1"/>
  <c r="LU43" i="1"/>
  <c r="LV43" i="1"/>
  <c r="LU44" i="1"/>
  <c r="LV44" i="1" s="1"/>
  <c r="LU45" i="1"/>
  <c r="LV45" i="1"/>
  <c r="LU46" i="1"/>
  <c r="LV46" i="1" s="1"/>
  <c r="LU47" i="1"/>
  <c r="LV47" i="1"/>
  <c r="LU48" i="1"/>
  <c r="LV48" i="1" s="1"/>
  <c r="LU49" i="1"/>
  <c r="LV49" i="1"/>
  <c r="LU50" i="1"/>
  <c r="LV50" i="1"/>
  <c r="LU51" i="1"/>
  <c r="LV51" i="1"/>
  <c r="LU52" i="1"/>
  <c r="LV52" i="1" s="1"/>
  <c r="LU53" i="1"/>
  <c r="LV53" i="1"/>
  <c r="LU54" i="1"/>
  <c r="LV54" i="1" s="1"/>
  <c r="LU55" i="1"/>
  <c r="LV55" i="1"/>
  <c r="LU56" i="1"/>
  <c r="LV56" i="1" s="1"/>
  <c r="LU57" i="1"/>
  <c r="LV57" i="1"/>
  <c r="LU58" i="1"/>
  <c r="LV58" i="1" s="1"/>
  <c r="LU59" i="1"/>
  <c r="LV59" i="1"/>
  <c r="LU61" i="1"/>
  <c r="LV61" i="1" s="1"/>
  <c r="LU62" i="1"/>
  <c r="LV62" i="1"/>
  <c r="LU63" i="1"/>
  <c r="LV63" i="1" s="1"/>
  <c r="LU65" i="1"/>
  <c r="LV65" i="1"/>
  <c r="LU67" i="1"/>
  <c r="LV67" i="1" s="1"/>
  <c r="LU68" i="1"/>
  <c r="LV68" i="1"/>
  <c r="LU69" i="1"/>
  <c r="LV69" i="1"/>
  <c r="LU70" i="1"/>
  <c r="LV70" i="1"/>
  <c r="LU71" i="1"/>
  <c r="LV71" i="1" s="1"/>
  <c r="LU72" i="1"/>
  <c r="LV72" i="1"/>
  <c r="LU73" i="1"/>
  <c r="LV73" i="1"/>
  <c r="LU74" i="1"/>
  <c r="LV74" i="1"/>
  <c r="LU75" i="1"/>
  <c r="LV75" i="1" s="1"/>
  <c r="LU76" i="1"/>
  <c r="LV76" i="1"/>
  <c r="LU77" i="1"/>
  <c r="LV77" i="1"/>
  <c r="LU78" i="1"/>
  <c r="LV78" i="1"/>
  <c r="LU80" i="1"/>
  <c r="LV80" i="1"/>
  <c r="LU81" i="1"/>
  <c r="LV81" i="1"/>
  <c r="LU82" i="1"/>
  <c r="LV82" i="1"/>
  <c r="LU83" i="1"/>
  <c r="LV83" i="1" s="1"/>
  <c r="LU84" i="1"/>
  <c r="LV84" i="1"/>
  <c r="LU85" i="1"/>
  <c r="LV85" i="1"/>
  <c r="LU86" i="1"/>
  <c r="LV86" i="1"/>
  <c r="LU87" i="1"/>
  <c r="LV87" i="1" s="1"/>
  <c r="LU88" i="1"/>
  <c r="LV88" i="1"/>
  <c r="LU90" i="1"/>
  <c r="LV90" i="1"/>
  <c r="LU91" i="1"/>
  <c r="LV91" i="1"/>
  <c r="LU93" i="1"/>
  <c r="LV93" i="1" s="1"/>
  <c r="LU94" i="1"/>
  <c r="LV94" i="1"/>
  <c r="LU95" i="1"/>
  <c r="LV95" i="1"/>
  <c r="LU96" i="1"/>
  <c r="LV96" i="1"/>
  <c r="LU97" i="1"/>
  <c r="LV97" i="1" s="1"/>
  <c r="LS60" i="1"/>
  <c r="LT60" i="1" s="1"/>
  <c r="LS66" i="1"/>
  <c r="LT66" i="1"/>
  <c r="LS64" i="1"/>
  <c r="LT64" i="1" s="1"/>
  <c r="LS89" i="1"/>
  <c r="LT89" i="1" s="1"/>
  <c r="LS92" i="1"/>
  <c r="LT92" i="1" s="1"/>
  <c r="LS3" i="1"/>
  <c r="LT3" i="1"/>
  <c r="LS4" i="1"/>
  <c r="LT4" i="1" s="1"/>
  <c r="LS5" i="1"/>
  <c r="LT5" i="1" s="1"/>
  <c r="LS6" i="1"/>
  <c r="LT6" i="1" s="1"/>
  <c r="LS7" i="1"/>
  <c r="LT7" i="1"/>
  <c r="LS8" i="1"/>
  <c r="LT8" i="1" s="1"/>
  <c r="LS9" i="1"/>
  <c r="LT9" i="1" s="1"/>
  <c r="LS10" i="1"/>
  <c r="LT10" i="1" s="1"/>
  <c r="LS11" i="1"/>
  <c r="LT11" i="1"/>
  <c r="LS12" i="1"/>
  <c r="LT12" i="1" s="1"/>
  <c r="LS13" i="1"/>
  <c r="LT13" i="1" s="1"/>
  <c r="LS14" i="1"/>
  <c r="LT14" i="1" s="1"/>
  <c r="LS15" i="1"/>
  <c r="LT15" i="1"/>
  <c r="LS16" i="1"/>
  <c r="LT16" i="1" s="1"/>
  <c r="LS17" i="1"/>
  <c r="LT17" i="1" s="1"/>
  <c r="LS18" i="1"/>
  <c r="LT18" i="1" s="1"/>
  <c r="LS19" i="1"/>
  <c r="LT19" i="1"/>
  <c r="LS20" i="1"/>
  <c r="LT20" i="1" s="1"/>
  <c r="LS21" i="1"/>
  <c r="LT21" i="1" s="1"/>
  <c r="LS22" i="1"/>
  <c r="LT22" i="1" s="1"/>
  <c r="LS23" i="1"/>
  <c r="LT23" i="1"/>
  <c r="LS24" i="1"/>
  <c r="LT24" i="1" s="1"/>
  <c r="LS25" i="1"/>
  <c r="LT25" i="1" s="1"/>
  <c r="LS26" i="1"/>
  <c r="LT26" i="1" s="1"/>
  <c r="LS27" i="1"/>
  <c r="LT27" i="1"/>
  <c r="LS28" i="1"/>
  <c r="LT28" i="1" s="1"/>
  <c r="LS29" i="1"/>
  <c r="LT29" i="1" s="1"/>
  <c r="LS30" i="1"/>
  <c r="LT30" i="1" s="1"/>
  <c r="LS31" i="1"/>
  <c r="LT31" i="1"/>
  <c r="LS32" i="1"/>
  <c r="LT32" i="1" s="1"/>
  <c r="LS33" i="1"/>
  <c r="LT33" i="1" s="1"/>
  <c r="LS34" i="1"/>
  <c r="LT34" i="1" s="1"/>
  <c r="LS35" i="1"/>
  <c r="LT35" i="1"/>
  <c r="LS36" i="1"/>
  <c r="LT36" i="1" s="1"/>
  <c r="LS37" i="1"/>
  <c r="LT37" i="1" s="1"/>
  <c r="LS38" i="1"/>
  <c r="LT38" i="1" s="1"/>
  <c r="LS39" i="1"/>
  <c r="LT39" i="1"/>
  <c r="LS40" i="1"/>
  <c r="LT40" i="1" s="1"/>
  <c r="LS41" i="1"/>
  <c r="LT41" i="1" s="1"/>
  <c r="LS42" i="1"/>
  <c r="LT42" i="1" s="1"/>
  <c r="LS43" i="1"/>
  <c r="LT43" i="1"/>
  <c r="LS44" i="1"/>
  <c r="LT44" i="1" s="1"/>
  <c r="LS45" i="1"/>
  <c r="LT45" i="1" s="1"/>
  <c r="LS46" i="1"/>
  <c r="LT46" i="1" s="1"/>
  <c r="LS47" i="1"/>
  <c r="LT47" i="1"/>
  <c r="LS48" i="1"/>
  <c r="LT48" i="1" s="1"/>
  <c r="LS49" i="1"/>
  <c r="LT49" i="1" s="1"/>
  <c r="LS50" i="1"/>
  <c r="LT50" i="1" s="1"/>
  <c r="LS51" i="1"/>
  <c r="LT51" i="1"/>
  <c r="LS52" i="1"/>
  <c r="LT52" i="1" s="1"/>
  <c r="LS53" i="1"/>
  <c r="LT53" i="1" s="1"/>
  <c r="LS54" i="1"/>
  <c r="LT54" i="1"/>
  <c r="LS55" i="1"/>
  <c r="LT55" i="1"/>
  <c r="LS56" i="1"/>
  <c r="LT56" i="1" s="1"/>
  <c r="LS57" i="1"/>
  <c r="LT57" i="1" s="1"/>
  <c r="LS58" i="1"/>
  <c r="LT58" i="1" s="1"/>
  <c r="LS59" i="1"/>
  <c r="LT59" i="1"/>
  <c r="LS61" i="1"/>
  <c r="LT61" i="1" s="1"/>
  <c r="LS62" i="1"/>
  <c r="LT62" i="1" s="1"/>
  <c r="LS63" i="1"/>
  <c r="LT63" i="1" s="1"/>
  <c r="LS65" i="1"/>
  <c r="LT65" i="1"/>
  <c r="LS67" i="1"/>
  <c r="LT67" i="1" s="1"/>
  <c r="LS68" i="1"/>
  <c r="LT68" i="1" s="1"/>
  <c r="LS69" i="1"/>
  <c r="LT69" i="1" s="1"/>
  <c r="LS70" i="1"/>
  <c r="LT70" i="1"/>
  <c r="LS71" i="1"/>
  <c r="LT71" i="1" s="1"/>
  <c r="LS72" i="1"/>
  <c r="LT72" i="1" s="1"/>
  <c r="LS73" i="1"/>
  <c r="LT73" i="1" s="1"/>
  <c r="LS74" i="1"/>
  <c r="LT74" i="1"/>
  <c r="LS75" i="1"/>
  <c r="LT75" i="1" s="1"/>
  <c r="LS76" i="1"/>
  <c r="LT76" i="1" s="1"/>
  <c r="LS77" i="1"/>
  <c r="LT77" i="1" s="1"/>
  <c r="LS78" i="1"/>
  <c r="LT78" i="1"/>
  <c r="LS80" i="1"/>
  <c r="LT80" i="1" s="1"/>
  <c r="LS81" i="1"/>
  <c r="LT81" i="1" s="1"/>
  <c r="LS82" i="1"/>
  <c r="LT82" i="1"/>
  <c r="LS83" i="1"/>
  <c r="LT83" i="1" s="1"/>
  <c r="LS84" i="1"/>
  <c r="LT84" i="1" s="1"/>
  <c r="LS85" i="1"/>
  <c r="LT85" i="1" s="1"/>
  <c r="LS86" i="1"/>
  <c r="LT86" i="1"/>
  <c r="LS87" i="1"/>
  <c r="LT87" i="1" s="1"/>
  <c r="LS88" i="1"/>
  <c r="LT88" i="1" s="1"/>
  <c r="LS90" i="1"/>
  <c r="LT90" i="1"/>
  <c r="LS91" i="1"/>
  <c r="LT91" i="1"/>
  <c r="LS93" i="1"/>
  <c r="LT93" i="1" s="1"/>
  <c r="LS94" i="1"/>
  <c r="LT94" i="1" s="1"/>
  <c r="LS95" i="1"/>
  <c r="LT95" i="1" s="1"/>
  <c r="LS96" i="1"/>
  <c r="LT96" i="1"/>
  <c r="LS97" i="1"/>
  <c r="LT97" i="1" s="1"/>
  <c r="LQ60" i="1"/>
  <c r="LR60" i="1"/>
  <c r="LQ66" i="1"/>
  <c r="LR66" i="1"/>
  <c r="LQ64" i="1"/>
  <c r="LR64" i="1"/>
  <c r="LQ89" i="1"/>
  <c r="LR89" i="1" s="1"/>
  <c r="LQ92" i="1"/>
  <c r="LR92" i="1"/>
  <c r="LQ24" i="1"/>
  <c r="LR24" i="1"/>
  <c r="LQ3" i="1"/>
  <c r="LR3" i="1"/>
  <c r="LQ4" i="1"/>
  <c r="LR4" i="1" s="1"/>
  <c r="LQ5" i="1"/>
  <c r="LR5" i="1"/>
  <c r="LQ6" i="1"/>
  <c r="LR6" i="1"/>
  <c r="LQ7" i="1"/>
  <c r="LR7" i="1"/>
  <c r="LQ8" i="1"/>
  <c r="LR8" i="1" s="1"/>
  <c r="LQ9" i="1"/>
  <c r="LR9" i="1"/>
  <c r="LQ10" i="1"/>
  <c r="LR10" i="1"/>
  <c r="LQ11" i="1"/>
  <c r="LR11" i="1"/>
  <c r="LQ12" i="1"/>
  <c r="LR12" i="1" s="1"/>
  <c r="LQ13" i="1"/>
  <c r="LR13" i="1"/>
  <c r="LQ14" i="1"/>
  <c r="LR14" i="1"/>
  <c r="LQ15" i="1"/>
  <c r="LR15" i="1"/>
  <c r="LQ16" i="1"/>
  <c r="LR16" i="1" s="1"/>
  <c r="LQ17" i="1"/>
  <c r="LR17" i="1"/>
  <c r="LQ18" i="1"/>
  <c r="LR18" i="1"/>
  <c r="LQ19" i="1"/>
  <c r="LR19" i="1"/>
  <c r="LQ20" i="1"/>
  <c r="LR20" i="1" s="1"/>
  <c r="LQ21" i="1"/>
  <c r="LR21" i="1"/>
  <c r="LQ22" i="1"/>
  <c r="LR22" i="1"/>
  <c r="LQ23" i="1"/>
  <c r="LR23" i="1"/>
  <c r="LQ25" i="1"/>
  <c r="LR25" i="1" s="1"/>
  <c r="LQ26" i="1"/>
  <c r="LR26" i="1"/>
  <c r="LQ27" i="1"/>
  <c r="LR27" i="1"/>
  <c r="LQ28" i="1"/>
  <c r="LR28" i="1"/>
  <c r="LQ29" i="1"/>
  <c r="LR29" i="1" s="1"/>
  <c r="LQ30" i="1"/>
  <c r="LR30" i="1"/>
  <c r="LQ31" i="1"/>
  <c r="LR31" i="1"/>
  <c r="LQ32" i="1"/>
  <c r="LR32" i="1"/>
  <c r="LQ33" i="1"/>
  <c r="LR33" i="1" s="1"/>
  <c r="LQ34" i="1"/>
  <c r="LR34" i="1"/>
  <c r="LQ35" i="1"/>
  <c r="LR35" i="1"/>
  <c r="LQ36" i="1"/>
  <c r="LR36" i="1"/>
  <c r="LQ37" i="1"/>
  <c r="LR37" i="1" s="1"/>
  <c r="LQ38" i="1"/>
  <c r="LR38" i="1"/>
  <c r="LQ39" i="1"/>
  <c r="LR39" i="1"/>
  <c r="LQ40" i="1"/>
  <c r="LR40" i="1"/>
  <c r="LQ41" i="1"/>
  <c r="LR41" i="1" s="1"/>
  <c r="LQ42" i="1"/>
  <c r="LR42" i="1"/>
  <c r="LQ43" i="1"/>
  <c r="LR43" i="1"/>
  <c r="LQ44" i="1"/>
  <c r="LR44" i="1"/>
  <c r="LQ45" i="1"/>
  <c r="LR45" i="1" s="1"/>
  <c r="LQ46" i="1"/>
  <c r="LR46" i="1"/>
  <c r="LQ47" i="1"/>
  <c r="LR47" i="1"/>
  <c r="LQ48" i="1"/>
  <c r="LR48" i="1"/>
  <c r="LQ49" i="1"/>
  <c r="LR49" i="1" s="1"/>
  <c r="LQ50" i="1"/>
  <c r="LR50" i="1"/>
  <c r="LQ51" i="1"/>
  <c r="LR51" i="1"/>
  <c r="LQ52" i="1"/>
  <c r="LR52" i="1"/>
  <c r="LQ53" i="1"/>
  <c r="LR53" i="1" s="1"/>
  <c r="LQ54" i="1"/>
  <c r="LR54" i="1"/>
  <c r="LQ55" i="1"/>
  <c r="LR55" i="1"/>
  <c r="LQ56" i="1"/>
  <c r="LR56" i="1"/>
  <c r="LQ57" i="1"/>
  <c r="LR57" i="1" s="1"/>
  <c r="LQ58" i="1"/>
  <c r="LR58" i="1"/>
  <c r="LQ59" i="1"/>
  <c r="LR59" i="1"/>
  <c r="LQ61" i="1"/>
  <c r="LR61" i="1"/>
  <c r="LQ62" i="1"/>
  <c r="LR62" i="1" s="1"/>
  <c r="LQ63" i="1"/>
  <c r="LR63" i="1"/>
  <c r="LQ65" i="1"/>
  <c r="LR65" i="1"/>
  <c r="LQ67" i="1"/>
  <c r="LR67" i="1"/>
  <c r="LQ68" i="1"/>
  <c r="LR68" i="1" s="1"/>
  <c r="LQ69" i="1"/>
  <c r="LR69" i="1"/>
  <c r="LQ70" i="1"/>
  <c r="LR70" i="1"/>
  <c r="LQ71" i="1"/>
  <c r="LR71" i="1"/>
  <c r="LQ72" i="1"/>
  <c r="LR72" i="1" s="1"/>
  <c r="LQ73" i="1"/>
  <c r="LR73" i="1"/>
  <c r="LQ74" i="1"/>
  <c r="LR74" i="1"/>
  <c r="LQ75" i="1"/>
  <c r="LR75" i="1"/>
  <c r="LQ76" i="1"/>
  <c r="LR76" i="1" s="1"/>
  <c r="LQ77" i="1"/>
  <c r="LR77" i="1"/>
  <c r="LQ78" i="1"/>
  <c r="LR78" i="1"/>
  <c r="LQ80" i="1"/>
  <c r="LR80" i="1" s="1"/>
  <c r="LQ81" i="1"/>
  <c r="LR81" i="1"/>
  <c r="LQ82" i="1"/>
  <c r="LR82" i="1"/>
  <c r="LQ83" i="1"/>
  <c r="LR83" i="1"/>
  <c r="LQ84" i="1"/>
  <c r="LR84" i="1" s="1"/>
  <c r="LQ85" i="1"/>
  <c r="LR85" i="1"/>
  <c r="LQ86" i="1"/>
  <c r="LR86" i="1"/>
  <c r="LQ87" i="1"/>
  <c r="LR87" i="1"/>
  <c r="LQ88" i="1"/>
  <c r="LR88" i="1" s="1"/>
  <c r="LQ90" i="1"/>
  <c r="LR90" i="1"/>
  <c r="LQ91" i="1"/>
  <c r="LR91" i="1"/>
  <c r="LQ93" i="1"/>
  <c r="LR93" i="1"/>
  <c r="LQ94" i="1"/>
  <c r="LR94" i="1" s="1"/>
  <c r="LQ95" i="1"/>
  <c r="LR95" i="1"/>
  <c r="LQ96" i="1"/>
  <c r="LR96" i="1"/>
  <c r="LQ97" i="1"/>
  <c r="LR97" i="1"/>
  <c r="LO60" i="1"/>
  <c r="LP60" i="1" s="1"/>
  <c r="LO66" i="1"/>
  <c r="LP66" i="1" s="1"/>
  <c r="LO64" i="1"/>
  <c r="LP64" i="1"/>
  <c r="LO89" i="1"/>
  <c r="LP89" i="1" s="1"/>
  <c r="LO92" i="1"/>
  <c r="LP92" i="1" s="1"/>
  <c r="LO3" i="1"/>
  <c r="LP3" i="1" s="1"/>
  <c r="LO4" i="1"/>
  <c r="LP4" i="1"/>
  <c r="LO5" i="1"/>
  <c r="LP5" i="1" s="1"/>
  <c r="LO6" i="1"/>
  <c r="LP6" i="1" s="1"/>
  <c r="LO7" i="1"/>
  <c r="LP7" i="1" s="1"/>
  <c r="LO8" i="1"/>
  <c r="LP8" i="1"/>
  <c r="LO9" i="1"/>
  <c r="LP9" i="1" s="1"/>
  <c r="LO10" i="1"/>
  <c r="LP10" i="1" s="1"/>
  <c r="LO11" i="1"/>
  <c r="LP11" i="1" s="1"/>
  <c r="LO12" i="1"/>
  <c r="LP12" i="1"/>
  <c r="LO13" i="1"/>
  <c r="LP13" i="1" s="1"/>
  <c r="LO14" i="1"/>
  <c r="LP14" i="1" s="1"/>
  <c r="LO15" i="1"/>
  <c r="LP15" i="1" s="1"/>
  <c r="LO16" i="1"/>
  <c r="LP16" i="1"/>
  <c r="LO17" i="1"/>
  <c r="LP17" i="1" s="1"/>
  <c r="LO18" i="1"/>
  <c r="LP18" i="1" s="1"/>
  <c r="LO19" i="1"/>
  <c r="LP19" i="1" s="1"/>
  <c r="LO20" i="1"/>
  <c r="LP20" i="1"/>
  <c r="LO21" i="1"/>
  <c r="LP21" i="1" s="1"/>
  <c r="LO22" i="1"/>
  <c r="LP22" i="1" s="1"/>
  <c r="LO23" i="1"/>
  <c r="LP23" i="1" s="1"/>
  <c r="LO24" i="1"/>
  <c r="LP24" i="1"/>
  <c r="LO25" i="1"/>
  <c r="LP25" i="1" s="1"/>
  <c r="LO26" i="1"/>
  <c r="LP26" i="1" s="1"/>
  <c r="LO27" i="1"/>
  <c r="LP27" i="1" s="1"/>
  <c r="LO28" i="1"/>
  <c r="LP28" i="1"/>
  <c r="LO29" i="1"/>
  <c r="LP29" i="1"/>
  <c r="LO30" i="1"/>
  <c r="LP30" i="1" s="1"/>
  <c r="LO31" i="1"/>
  <c r="LP31" i="1"/>
  <c r="LO32" i="1"/>
  <c r="LP32" i="1"/>
  <c r="LO33" i="1"/>
  <c r="LP33" i="1"/>
  <c r="LO34" i="1"/>
  <c r="LP34" i="1" s="1"/>
  <c r="LO35" i="1"/>
  <c r="LP35" i="1" s="1"/>
  <c r="LO36" i="1"/>
  <c r="LP36" i="1"/>
  <c r="LO37" i="1"/>
  <c r="LP37" i="1"/>
  <c r="LO38" i="1"/>
  <c r="LP38" i="1" s="1"/>
  <c r="LO39" i="1"/>
  <c r="LP39" i="1" s="1"/>
  <c r="LO40" i="1"/>
  <c r="LP40" i="1"/>
  <c r="LO41" i="1"/>
  <c r="LP41" i="1"/>
  <c r="LO42" i="1"/>
  <c r="LP42" i="1" s="1"/>
  <c r="LO43" i="1"/>
  <c r="LP43" i="1" s="1"/>
  <c r="LO44" i="1"/>
  <c r="LP44" i="1"/>
  <c r="LO45" i="1"/>
  <c r="LP45" i="1" s="1"/>
  <c r="LO46" i="1"/>
  <c r="LP46" i="1" s="1"/>
  <c r="LO47" i="1"/>
  <c r="LP47" i="1" s="1"/>
  <c r="LO48" i="1"/>
  <c r="LP48" i="1"/>
  <c r="LO49" i="1"/>
  <c r="LP49" i="1"/>
  <c r="LO50" i="1"/>
  <c r="LP50" i="1" s="1"/>
  <c r="LO51" i="1"/>
  <c r="LP51" i="1" s="1"/>
  <c r="LO52" i="1"/>
  <c r="LP52" i="1"/>
  <c r="LO53" i="1"/>
  <c r="LP53" i="1"/>
  <c r="LO54" i="1"/>
  <c r="LP54" i="1" s="1"/>
  <c r="LO55" i="1"/>
  <c r="LP55" i="1" s="1"/>
  <c r="LO56" i="1"/>
  <c r="LP56" i="1"/>
  <c r="LO57" i="1"/>
  <c r="LP57" i="1"/>
  <c r="LO58" i="1"/>
  <c r="LP58" i="1" s="1"/>
  <c r="LO59" i="1"/>
  <c r="LP59" i="1" s="1"/>
  <c r="LO61" i="1"/>
  <c r="LP61" i="1"/>
  <c r="LO62" i="1"/>
  <c r="LP62" i="1" s="1"/>
  <c r="LO63" i="1"/>
  <c r="LP63" i="1" s="1"/>
  <c r="LO65" i="1"/>
  <c r="LP65" i="1" s="1"/>
  <c r="LO67" i="1"/>
  <c r="LP67" i="1"/>
  <c r="LO68" i="1"/>
  <c r="LP68" i="1"/>
  <c r="LO69" i="1"/>
  <c r="LP69" i="1" s="1"/>
  <c r="LO70" i="1"/>
  <c r="LP70" i="1" s="1"/>
  <c r="LO71" i="1"/>
  <c r="LP71" i="1"/>
  <c r="LO72" i="1"/>
  <c r="LP72" i="1"/>
  <c r="LO73" i="1"/>
  <c r="LP73" i="1" s="1"/>
  <c r="LO74" i="1"/>
  <c r="LP74" i="1" s="1"/>
  <c r="LO75" i="1"/>
  <c r="LP75" i="1"/>
  <c r="LO76" i="1"/>
  <c r="LP76" i="1"/>
  <c r="LO77" i="1"/>
  <c r="LP77" i="1" s="1"/>
  <c r="LO78" i="1"/>
  <c r="LP78" i="1" s="1"/>
  <c r="LO80" i="1"/>
  <c r="LP80" i="1"/>
  <c r="LO81" i="1"/>
  <c r="LP81" i="1" s="1"/>
  <c r="LO82" i="1"/>
  <c r="LP82" i="1" s="1"/>
  <c r="LO83" i="1"/>
  <c r="LP83" i="1"/>
  <c r="LO84" i="1"/>
  <c r="LP84" i="1"/>
  <c r="LO85" i="1"/>
  <c r="LP85" i="1" s="1"/>
  <c r="LO86" i="1"/>
  <c r="LP86" i="1" s="1"/>
  <c r="LO87" i="1"/>
  <c r="LP87" i="1"/>
  <c r="LO88" i="1"/>
  <c r="LP88" i="1"/>
  <c r="LO90" i="1"/>
  <c r="LP90" i="1" s="1"/>
  <c r="LO91" i="1"/>
  <c r="LP91" i="1" s="1"/>
  <c r="LO93" i="1"/>
  <c r="LP93" i="1"/>
  <c r="LO94" i="1"/>
  <c r="LP94" i="1" s="1"/>
  <c r="LO95" i="1"/>
  <c r="LP95" i="1" s="1"/>
  <c r="LO96" i="1"/>
  <c r="LP96" i="1" s="1"/>
  <c r="LO97" i="1"/>
  <c r="LP97" i="1"/>
  <c r="LM60" i="1"/>
  <c r="LN60" i="1" s="1"/>
  <c r="LM66" i="1"/>
  <c r="LN66" i="1"/>
  <c r="LM64" i="1"/>
  <c r="LN64" i="1"/>
  <c r="LM89" i="1"/>
  <c r="LN89" i="1"/>
  <c r="LM92" i="1"/>
  <c r="LN92" i="1" s="1"/>
  <c r="LM3" i="1"/>
  <c r="LN3" i="1"/>
  <c r="LM4" i="1"/>
  <c r="LN4" i="1"/>
  <c r="LM5" i="1"/>
  <c r="LN5" i="1"/>
  <c r="LM6" i="1"/>
  <c r="LN6" i="1" s="1"/>
  <c r="LM7" i="1"/>
  <c r="LN7" i="1"/>
  <c r="LM8" i="1"/>
  <c r="LN8" i="1"/>
  <c r="LM9" i="1"/>
  <c r="LN9" i="1"/>
  <c r="LM10" i="1"/>
  <c r="LN10" i="1" s="1"/>
  <c r="LM11" i="1"/>
  <c r="LN11" i="1"/>
  <c r="LM12" i="1"/>
  <c r="LN12" i="1"/>
  <c r="LM13" i="1"/>
  <c r="LN13" i="1"/>
  <c r="LM14" i="1"/>
  <c r="LN14" i="1" s="1"/>
  <c r="LM15" i="1"/>
  <c r="LN15" i="1"/>
  <c r="LM16" i="1"/>
  <c r="LN16" i="1"/>
  <c r="LM17" i="1"/>
  <c r="LN17" i="1"/>
  <c r="LM18" i="1"/>
  <c r="LN18" i="1" s="1"/>
  <c r="LM19" i="1"/>
  <c r="LN19" i="1"/>
  <c r="LM20" i="1"/>
  <c r="LN20" i="1"/>
  <c r="LM21" i="1"/>
  <c r="LN21" i="1"/>
  <c r="LM22" i="1"/>
  <c r="LN22" i="1" s="1"/>
  <c r="LM23" i="1"/>
  <c r="LN23" i="1"/>
  <c r="LM24" i="1"/>
  <c r="LN24" i="1"/>
  <c r="LM25" i="1"/>
  <c r="LN25" i="1"/>
  <c r="LM26" i="1"/>
  <c r="LN26" i="1" s="1"/>
  <c r="LM27" i="1"/>
  <c r="LN27" i="1" s="1"/>
  <c r="LM28" i="1"/>
  <c r="LN28" i="1"/>
  <c r="LM29" i="1"/>
  <c r="LN29" i="1"/>
  <c r="LM30" i="1"/>
  <c r="LN30" i="1" s="1"/>
  <c r="LM31" i="1"/>
  <c r="LN31" i="1" s="1"/>
  <c r="LM32" i="1"/>
  <c r="LN32" i="1"/>
  <c r="LM33" i="1"/>
  <c r="LN33" i="1"/>
  <c r="LM34" i="1"/>
  <c r="LN34" i="1" s="1"/>
  <c r="LM35" i="1"/>
  <c r="LN35" i="1"/>
  <c r="LM36" i="1"/>
  <c r="LN36" i="1"/>
  <c r="LM37" i="1"/>
  <c r="LN37" i="1"/>
  <c r="LM38" i="1"/>
  <c r="LN38" i="1" s="1"/>
  <c r="LM39" i="1"/>
  <c r="LN39" i="1" s="1"/>
  <c r="LM40" i="1"/>
  <c r="LN40" i="1"/>
  <c r="LM41" i="1"/>
  <c r="LN41" i="1"/>
  <c r="LM42" i="1"/>
  <c r="LN42" i="1" s="1"/>
  <c r="LM43" i="1"/>
  <c r="LN43" i="1"/>
  <c r="LM44" i="1"/>
  <c r="LN44" i="1"/>
  <c r="LM45" i="1"/>
  <c r="LN45" i="1"/>
  <c r="LM46" i="1"/>
  <c r="LN46" i="1" s="1"/>
  <c r="LM47" i="1"/>
  <c r="LN47" i="1" s="1"/>
  <c r="LM48" i="1"/>
  <c r="LN48" i="1"/>
  <c r="LM49" i="1"/>
  <c r="LN49" i="1"/>
  <c r="LM50" i="1"/>
  <c r="LN50" i="1"/>
  <c r="LM51" i="1"/>
  <c r="LN51" i="1"/>
  <c r="LM52" i="1"/>
  <c r="LN52" i="1"/>
  <c r="LM53" i="1"/>
  <c r="LN53" i="1"/>
  <c r="LM54" i="1"/>
  <c r="LN54" i="1"/>
  <c r="LM55" i="1"/>
  <c r="LN55" i="1" s="1"/>
  <c r="LM56" i="1"/>
  <c r="LN56" i="1"/>
  <c r="LM57" i="1"/>
  <c r="LN57" i="1"/>
  <c r="LM58" i="1"/>
  <c r="LN58" i="1"/>
  <c r="LM59" i="1"/>
  <c r="LN59" i="1" s="1"/>
  <c r="LM61" i="1"/>
  <c r="LN61" i="1"/>
  <c r="LM62" i="1"/>
  <c r="LN62" i="1"/>
  <c r="LM63" i="1"/>
  <c r="LN63" i="1"/>
  <c r="LM65" i="1"/>
  <c r="LN65" i="1" s="1"/>
  <c r="LM67" i="1"/>
  <c r="LN67" i="1"/>
  <c r="LM68" i="1"/>
  <c r="LN68" i="1"/>
  <c r="LM69" i="1"/>
  <c r="LN69" i="1"/>
  <c r="LM70" i="1"/>
  <c r="LN70" i="1" s="1"/>
  <c r="LM71" i="1"/>
  <c r="LN71" i="1"/>
  <c r="LM72" i="1"/>
  <c r="LN72" i="1"/>
  <c r="LM73" i="1"/>
  <c r="LN73" i="1"/>
  <c r="LM74" i="1"/>
  <c r="LN74" i="1" s="1"/>
  <c r="LM75" i="1"/>
  <c r="LN75" i="1"/>
  <c r="LM76" i="1"/>
  <c r="LN76" i="1"/>
  <c r="LM77" i="1"/>
  <c r="LN77" i="1"/>
  <c r="LM78" i="1"/>
  <c r="LN78" i="1" s="1"/>
  <c r="LM80" i="1"/>
  <c r="LN80" i="1"/>
  <c r="LM81" i="1"/>
  <c r="LN81" i="1"/>
  <c r="LM82" i="1"/>
  <c r="LN82" i="1" s="1"/>
  <c r="LM83" i="1"/>
  <c r="LN83" i="1"/>
  <c r="LM84" i="1"/>
  <c r="LN84" i="1"/>
  <c r="LM85" i="1"/>
  <c r="LN85" i="1"/>
  <c r="LM86" i="1"/>
  <c r="LN86" i="1" s="1"/>
  <c r="LM87" i="1"/>
  <c r="LN87" i="1"/>
  <c r="LM88" i="1"/>
  <c r="LN88" i="1"/>
  <c r="LM90" i="1"/>
  <c r="LN90" i="1"/>
  <c r="LM91" i="1"/>
  <c r="LN91" i="1" s="1"/>
  <c r="LM93" i="1"/>
  <c r="LN93" i="1"/>
  <c r="LM94" i="1"/>
  <c r="LN94" i="1"/>
  <c r="LM95" i="1"/>
  <c r="LN95" i="1"/>
  <c r="LM96" i="1"/>
  <c r="LN96" i="1" s="1"/>
  <c r="LM97" i="1"/>
  <c r="LN97" i="1"/>
  <c r="LK60" i="1"/>
  <c r="LL60" i="1" s="1"/>
  <c r="LK66" i="1"/>
  <c r="LL66" i="1" s="1"/>
  <c r="LK64" i="1"/>
  <c r="LL64" i="1"/>
  <c r="LK89" i="1"/>
  <c r="LL89" i="1"/>
  <c r="LK92" i="1"/>
  <c r="LL92" i="1"/>
  <c r="LK3" i="1"/>
  <c r="LL3" i="1" s="1"/>
  <c r="LK4" i="1"/>
  <c r="LL4" i="1" s="1"/>
  <c r="LK5" i="1"/>
  <c r="LL5" i="1"/>
  <c r="LK6" i="1"/>
  <c r="LL6" i="1"/>
  <c r="LK7" i="1"/>
  <c r="LL7" i="1" s="1"/>
  <c r="LK8" i="1"/>
  <c r="LL8" i="1" s="1"/>
  <c r="LK9" i="1"/>
  <c r="LL9" i="1"/>
  <c r="LK10" i="1"/>
  <c r="LL10" i="1"/>
  <c r="LK11" i="1"/>
  <c r="LL11" i="1" s="1"/>
  <c r="LK12" i="1"/>
  <c r="LL12" i="1" s="1"/>
  <c r="LK13" i="1"/>
  <c r="LL13" i="1"/>
  <c r="LK14" i="1"/>
  <c r="LL14" i="1"/>
  <c r="LK15" i="1"/>
  <c r="LL15" i="1" s="1"/>
  <c r="LK16" i="1"/>
  <c r="LL16" i="1" s="1"/>
  <c r="LK17" i="1"/>
  <c r="LL17" i="1"/>
  <c r="LK18" i="1"/>
  <c r="LL18" i="1"/>
  <c r="LK19" i="1"/>
  <c r="LL19" i="1" s="1"/>
  <c r="LK20" i="1"/>
  <c r="LL20" i="1"/>
  <c r="LK21" i="1"/>
  <c r="LL21" i="1"/>
  <c r="LK22" i="1"/>
  <c r="LL22" i="1"/>
  <c r="LK23" i="1"/>
  <c r="LL23" i="1" s="1"/>
  <c r="LK24" i="1"/>
  <c r="LL24" i="1" s="1"/>
  <c r="LK25" i="1"/>
  <c r="LL25" i="1"/>
  <c r="LK26" i="1"/>
  <c r="LL26" i="1"/>
  <c r="LK27" i="1"/>
  <c r="LL27" i="1" s="1"/>
  <c r="LK28" i="1"/>
  <c r="LL28" i="1" s="1"/>
  <c r="LK29" i="1"/>
  <c r="LL29" i="1"/>
  <c r="LK30" i="1"/>
  <c r="LL30" i="1"/>
  <c r="LK31" i="1"/>
  <c r="LL31" i="1" s="1"/>
  <c r="LK32" i="1"/>
  <c r="LL32" i="1" s="1"/>
  <c r="LK33" i="1"/>
  <c r="LL33" i="1"/>
  <c r="LK34" i="1"/>
  <c r="LL34" i="1" s="1"/>
  <c r="LK35" i="1"/>
  <c r="LL35" i="1" s="1"/>
  <c r="LK36" i="1"/>
  <c r="LL36" i="1" s="1"/>
  <c r="LK37" i="1"/>
  <c r="LL37" i="1"/>
  <c r="LK38" i="1"/>
  <c r="LL38" i="1"/>
  <c r="LK39" i="1"/>
  <c r="LL39" i="1" s="1"/>
  <c r="LK40" i="1"/>
  <c r="LL40" i="1" s="1"/>
  <c r="LK41" i="1"/>
  <c r="LL41" i="1"/>
  <c r="LK42" i="1"/>
  <c r="LL42" i="1"/>
  <c r="LK43" i="1"/>
  <c r="LL43" i="1" s="1"/>
  <c r="LK44" i="1"/>
  <c r="LL44" i="1"/>
  <c r="LK45" i="1"/>
  <c r="LL45" i="1"/>
  <c r="LK46" i="1"/>
  <c r="LL46" i="1"/>
  <c r="LK47" i="1"/>
  <c r="LL47" i="1" s="1"/>
  <c r="LK48" i="1"/>
  <c r="LL48" i="1" s="1"/>
  <c r="LK49" i="1"/>
  <c r="LL49" i="1"/>
  <c r="LK50" i="1"/>
  <c r="LL50" i="1"/>
  <c r="LK51" i="1"/>
  <c r="LL51" i="1" s="1"/>
  <c r="LK52" i="1"/>
  <c r="LL52" i="1" s="1"/>
  <c r="LK53" i="1"/>
  <c r="LL53" i="1"/>
  <c r="LK54" i="1"/>
  <c r="LL54" i="1"/>
  <c r="LK55" i="1"/>
  <c r="LL55" i="1" s="1"/>
  <c r="LK56" i="1"/>
  <c r="LL56" i="1" s="1"/>
  <c r="LK57" i="1"/>
  <c r="LL57" i="1"/>
  <c r="LK58" i="1"/>
  <c r="LL58" i="1"/>
  <c r="LK59" i="1"/>
  <c r="LL59" i="1" s="1"/>
  <c r="LK61" i="1"/>
  <c r="LL61" i="1" s="1"/>
  <c r="LK62" i="1"/>
  <c r="LL62" i="1"/>
  <c r="LK63" i="1"/>
  <c r="LL63" i="1"/>
  <c r="LK65" i="1"/>
  <c r="LL65" i="1" s="1"/>
  <c r="LK67" i="1"/>
  <c r="LL67" i="1" s="1"/>
  <c r="LK68" i="1"/>
  <c r="LL68" i="1"/>
  <c r="LK69" i="1"/>
  <c r="LL69" i="1"/>
  <c r="LK70" i="1"/>
  <c r="LL70" i="1" s="1"/>
  <c r="LK71" i="1"/>
  <c r="LL71" i="1" s="1"/>
  <c r="LK72" i="1"/>
  <c r="LL72" i="1"/>
  <c r="LK73" i="1"/>
  <c r="LL73" i="1"/>
  <c r="LK74" i="1"/>
  <c r="LL74" i="1" s="1"/>
  <c r="LK75" i="1"/>
  <c r="LL75" i="1" s="1"/>
  <c r="LK76" i="1"/>
  <c r="LL76" i="1"/>
  <c r="LK77" i="1"/>
  <c r="LL77" i="1"/>
  <c r="LK78" i="1"/>
  <c r="LL78" i="1" s="1"/>
  <c r="LK79" i="1"/>
  <c r="LL79" i="1" s="1"/>
  <c r="LK80" i="1"/>
  <c r="LL80" i="1"/>
  <c r="LK81" i="1"/>
  <c r="LL81" i="1"/>
  <c r="LK82" i="1"/>
  <c r="LL82" i="1" s="1"/>
  <c r="LK83" i="1"/>
  <c r="LL83" i="1" s="1"/>
  <c r="LK84" i="1"/>
  <c r="LL84" i="1"/>
  <c r="LK85" i="1"/>
  <c r="LL85" i="1"/>
  <c r="LK86" i="1"/>
  <c r="LL86" i="1" s="1"/>
  <c r="LK87" i="1"/>
  <c r="LL87" i="1" s="1"/>
  <c r="LK88" i="1"/>
  <c r="LL88" i="1"/>
  <c r="LK90" i="1"/>
  <c r="LL90" i="1"/>
  <c r="LK91" i="1"/>
  <c r="LL91" i="1" s="1"/>
  <c r="LK93" i="1"/>
  <c r="LL93" i="1" s="1"/>
  <c r="LK94" i="1"/>
  <c r="LL94" i="1"/>
  <c r="LK95" i="1"/>
  <c r="LL95" i="1"/>
  <c r="LK96" i="1"/>
  <c r="LL96" i="1" s="1"/>
  <c r="LK97" i="1"/>
  <c r="LL97" i="1" s="1"/>
  <c r="LI60" i="1"/>
  <c r="LJ60" i="1"/>
  <c r="LI66" i="1"/>
  <c r="LJ66" i="1"/>
  <c r="LI64" i="1"/>
  <c r="LJ64" i="1" s="1"/>
  <c r="LI3" i="1"/>
  <c r="LJ3" i="1"/>
  <c r="LI4" i="1"/>
  <c r="LJ4" i="1"/>
  <c r="LI5" i="1"/>
  <c r="LJ5" i="1"/>
  <c r="LI6" i="1"/>
  <c r="LJ6" i="1" s="1"/>
  <c r="LI7" i="1"/>
  <c r="LJ7" i="1"/>
  <c r="LI8" i="1"/>
  <c r="LJ8" i="1"/>
  <c r="LI9" i="1"/>
  <c r="LJ9" i="1"/>
  <c r="LI10" i="1"/>
  <c r="LJ10" i="1" s="1"/>
  <c r="LI11" i="1"/>
  <c r="LJ11" i="1"/>
  <c r="LI12" i="1"/>
  <c r="LJ12" i="1"/>
  <c r="LI13" i="1"/>
  <c r="LJ13" i="1" s="1"/>
  <c r="LI14" i="1"/>
  <c r="LJ14" i="1" s="1"/>
  <c r="LI15" i="1"/>
  <c r="LJ15" i="1"/>
  <c r="LI16" i="1"/>
  <c r="LJ16" i="1"/>
  <c r="LI17" i="1"/>
  <c r="LJ17" i="1"/>
  <c r="LI18" i="1"/>
  <c r="LJ18" i="1"/>
  <c r="LI19" i="1"/>
  <c r="LJ19" i="1"/>
  <c r="LI20" i="1"/>
  <c r="LJ20" i="1"/>
  <c r="LI21" i="1"/>
  <c r="LJ21" i="1"/>
  <c r="LI22" i="1"/>
  <c r="LJ22" i="1" s="1"/>
  <c r="LI23" i="1"/>
  <c r="LJ23" i="1"/>
  <c r="LI24" i="1"/>
  <c r="LJ24" i="1"/>
  <c r="LI25" i="1"/>
  <c r="LJ25" i="1"/>
  <c r="LI26" i="1"/>
  <c r="LJ26" i="1" s="1"/>
  <c r="LI27" i="1"/>
  <c r="LJ27" i="1"/>
  <c r="LI28" i="1"/>
  <c r="LJ28" i="1"/>
  <c r="LI29" i="1"/>
  <c r="LJ29" i="1"/>
  <c r="LI30" i="1"/>
  <c r="LJ30" i="1" s="1"/>
  <c r="LI31" i="1"/>
  <c r="LJ31" i="1"/>
  <c r="LI32" i="1"/>
  <c r="LJ32" i="1"/>
  <c r="LI33" i="1"/>
  <c r="LJ33" i="1"/>
  <c r="LI34" i="1"/>
  <c r="LJ34" i="1" s="1"/>
  <c r="LI35" i="1"/>
  <c r="LJ35" i="1"/>
  <c r="LI36" i="1"/>
  <c r="LJ36" i="1"/>
  <c r="LI37" i="1"/>
  <c r="LJ37" i="1"/>
  <c r="LI38" i="1"/>
  <c r="LJ38" i="1" s="1"/>
  <c r="LI39" i="1"/>
  <c r="LJ39" i="1"/>
  <c r="LI40" i="1"/>
  <c r="LJ40" i="1"/>
  <c r="LI41" i="1"/>
  <c r="LJ41" i="1"/>
  <c r="LI42" i="1"/>
  <c r="LJ42" i="1" s="1"/>
  <c r="LI43" i="1"/>
  <c r="LJ43" i="1"/>
  <c r="LI44" i="1"/>
  <c r="LJ44" i="1"/>
  <c r="LI45" i="1"/>
  <c r="LJ45" i="1"/>
  <c r="LI46" i="1"/>
  <c r="LJ46" i="1" s="1"/>
  <c r="LI47" i="1"/>
  <c r="LJ47" i="1"/>
  <c r="LI48" i="1"/>
  <c r="LJ48" i="1"/>
  <c r="LI49" i="1"/>
  <c r="LJ49" i="1" s="1"/>
  <c r="LI50" i="1"/>
  <c r="LJ50" i="1" s="1"/>
  <c r="LI51" i="1"/>
  <c r="LJ51" i="1"/>
  <c r="LI52" i="1"/>
  <c r="LJ52" i="1"/>
  <c r="LI53" i="1"/>
  <c r="LJ53" i="1"/>
  <c r="LI54" i="1"/>
  <c r="LJ54" i="1" s="1"/>
  <c r="LI55" i="1"/>
  <c r="LJ55" i="1"/>
  <c r="LI56" i="1"/>
  <c r="LJ56" i="1"/>
  <c r="LI57" i="1"/>
  <c r="LJ57" i="1"/>
  <c r="LI58" i="1"/>
  <c r="LJ58" i="1" s="1"/>
  <c r="LI59" i="1"/>
  <c r="LJ59" i="1"/>
  <c r="LI61" i="1"/>
  <c r="LJ61" i="1"/>
  <c r="LI62" i="1"/>
  <c r="LJ62" i="1"/>
  <c r="LI63" i="1"/>
  <c r="LJ63" i="1" s="1"/>
  <c r="LI65" i="1"/>
  <c r="LJ65" i="1"/>
  <c r="LI67" i="1"/>
  <c r="LJ67" i="1"/>
  <c r="LI68" i="1"/>
  <c r="LJ68" i="1"/>
  <c r="LI69" i="1"/>
  <c r="LJ69" i="1" s="1"/>
  <c r="LI70" i="1"/>
  <c r="LJ70" i="1"/>
  <c r="LI71" i="1"/>
  <c r="LJ71" i="1"/>
  <c r="LI72" i="1"/>
  <c r="LJ72" i="1"/>
  <c r="LI73" i="1"/>
  <c r="LJ73" i="1" s="1"/>
  <c r="LI74" i="1"/>
  <c r="LJ74" i="1"/>
  <c r="LI75" i="1"/>
  <c r="LJ75" i="1"/>
  <c r="LI76" i="1"/>
  <c r="LJ76" i="1"/>
  <c r="LI77" i="1"/>
  <c r="LJ77" i="1" s="1"/>
  <c r="LI78" i="1"/>
  <c r="LJ78" i="1"/>
  <c r="LI80" i="1"/>
  <c r="LJ80" i="1" s="1"/>
  <c r="LI81" i="1"/>
  <c r="LJ81" i="1" s="1"/>
  <c r="LI82" i="1"/>
  <c r="LJ82" i="1"/>
  <c r="LI83" i="1"/>
  <c r="LJ83" i="1"/>
  <c r="LI84" i="1"/>
  <c r="LJ84" i="1"/>
  <c r="LI85" i="1"/>
  <c r="LJ85" i="1" s="1"/>
  <c r="LI86" i="1"/>
  <c r="LJ86" i="1"/>
  <c r="LI87" i="1"/>
  <c r="LJ87" i="1"/>
  <c r="LI88" i="1"/>
  <c r="LJ88" i="1"/>
  <c r="LI89" i="1"/>
  <c r="LJ89" i="1" s="1"/>
  <c r="LI90" i="1"/>
  <c r="LJ90" i="1"/>
  <c r="LI91" i="1"/>
  <c r="LJ91" i="1"/>
  <c r="LI92" i="1"/>
  <c r="LJ92" i="1"/>
  <c r="LI93" i="1"/>
  <c r="LJ93" i="1" s="1"/>
  <c r="LI94" i="1"/>
  <c r="LJ94" i="1"/>
  <c r="LI95" i="1"/>
  <c r="LJ95" i="1"/>
  <c r="LI96" i="1"/>
  <c r="LJ96" i="1"/>
  <c r="LI97" i="1"/>
  <c r="LJ97" i="1" s="1"/>
  <c r="LG60" i="1"/>
  <c r="LH60" i="1"/>
  <c r="LG66" i="1"/>
  <c r="LH66" i="1"/>
  <c r="LG64" i="1"/>
  <c r="LH64" i="1" s="1"/>
  <c r="LG3" i="1"/>
  <c r="LH3" i="1" s="1"/>
  <c r="LG4" i="1"/>
  <c r="LH4" i="1"/>
  <c r="LG5" i="1"/>
  <c r="LH5" i="1"/>
  <c r="LG6" i="1"/>
  <c r="LH6" i="1" s="1"/>
  <c r="LG7" i="1"/>
  <c r="LH7" i="1" s="1"/>
  <c r="LG8" i="1"/>
  <c r="LH8" i="1"/>
  <c r="LG9" i="1"/>
  <c r="LH9" i="1"/>
  <c r="LG10" i="1"/>
  <c r="LH10" i="1" s="1"/>
  <c r="LG11" i="1"/>
  <c r="LH11" i="1" s="1"/>
  <c r="LG12" i="1"/>
  <c r="LH12" i="1"/>
  <c r="LG13" i="1"/>
  <c r="LH13" i="1"/>
  <c r="LG14" i="1"/>
  <c r="LH14" i="1" s="1"/>
  <c r="LG15" i="1"/>
  <c r="LH15" i="1"/>
  <c r="LG16" i="1"/>
  <c r="LH16" i="1"/>
  <c r="LG17" i="1"/>
  <c r="LH17" i="1"/>
  <c r="LG18" i="1"/>
  <c r="LH18" i="1" s="1"/>
  <c r="LG19" i="1"/>
  <c r="LH19" i="1" s="1"/>
  <c r="LG20" i="1"/>
  <c r="LH20" i="1"/>
  <c r="LG21" i="1"/>
  <c r="LH21" i="1" s="1"/>
  <c r="LG22" i="1"/>
  <c r="LH22" i="1" s="1"/>
  <c r="LG23" i="1"/>
  <c r="LH23" i="1" s="1"/>
  <c r="LG24" i="1"/>
  <c r="LH24" i="1"/>
  <c r="LG25" i="1"/>
  <c r="LH25" i="1"/>
  <c r="LG26" i="1"/>
  <c r="LH26" i="1" s="1"/>
  <c r="LG27" i="1"/>
  <c r="LH27" i="1" s="1"/>
  <c r="LG28" i="1"/>
  <c r="LH28" i="1"/>
  <c r="LG29" i="1"/>
  <c r="LH29" i="1"/>
  <c r="LG30" i="1"/>
  <c r="LH30" i="1" s="1"/>
  <c r="LG31" i="1"/>
  <c r="LH31" i="1"/>
  <c r="LG32" i="1"/>
  <c r="LH32" i="1"/>
  <c r="LG33" i="1"/>
  <c r="LH33" i="1"/>
  <c r="LG34" i="1"/>
  <c r="LH34" i="1" s="1"/>
  <c r="LG35" i="1"/>
  <c r="LH35" i="1" s="1"/>
  <c r="LG36" i="1"/>
  <c r="LH36" i="1"/>
  <c r="LG37" i="1"/>
  <c r="LH37" i="1"/>
  <c r="LG38" i="1"/>
  <c r="LH38" i="1" s="1"/>
  <c r="LG39" i="1"/>
  <c r="LH39" i="1" s="1"/>
  <c r="LG40" i="1"/>
  <c r="LH40" i="1"/>
  <c r="LG41" i="1"/>
  <c r="LH41" i="1"/>
  <c r="LG42" i="1"/>
  <c r="LH42" i="1" s="1"/>
  <c r="LG43" i="1"/>
  <c r="LH43" i="1" s="1"/>
  <c r="LG44" i="1"/>
  <c r="LH44" i="1"/>
  <c r="LG45" i="1"/>
  <c r="LH45" i="1"/>
  <c r="LG46" i="1"/>
  <c r="LH46" i="1" s="1"/>
  <c r="LG47" i="1"/>
  <c r="LH47" i="1" s="1"/>
  <c r="LG48" i="1"/>
  <c r="LH48" i="1"/>
  <c r="LG49" i="1"/>
  <c r="LH49" i="1"/>
  <c r="LG50" i="1"/>
  <c r="LH50" i="1" s="1"/>
  <c r="LG51" i="1"/>
  <c r="LH51" i="1" s="1"/>
  <c r="LG52" i="1"/>
  <c r="LH52" i="1"/>
  <c r="LG53" i="1"/>
  <c r="LH53" i="1"/>
  <c r="LG54" i="1"/>
  <c r="LH54" i="1" s="1"/>
  <c r="LG55" i="1"/>
  <c r="LH55" i="1" s="1"/>
  <c r="LG56" i="1"/>
  <c r="LH56" i="1"/>
  <c r="LG57" i="1"/>
  <c r="LH57" i="1"/>
  <c r="LG58" i="1"/>
  <c r="LH58" i="1" s="1"/>
  <c r="LG59" i="1"/>
  <c r="LH59" i="1" s="1"/>
  <c r="LG61" i="1"/>
  <c r="LH61" i="1"/>
  <c r="LG62" i="1"/>
  <c r="LH62" i="1"/>
  <c r="LG63" i="1"/>
  <c r="LH63" i="1" s="1"/>
  <c r="LG65" i="1"/>
  <c r="LH65" i="1" s="1"/>
  <c r="LG67" i="1"/>
  <c r="LH67" i="1"/>
  <c r="LG68" i="1"/>
  <c r="LH68" i="1"/>
  <c r="LG69" i="1"/>
  <c r="LH69" i="1" s="1"/>
  <c r="LG70" i="1"/>
  <c r="LH70" i="1"/>
  <c r="LG71" i="1"/>
  <c r="LH71" i="1"/>
  <c r="LG72" i="1"/>
  <c r="LH72" i="1"/>
  <c r="LG73" i="1"/>
  <c r="LH73" i="1" s="1"/>
  <c r="LG74" i="1"/>
  <c r="LH74" i="1"/>
  <c r="LG75" i="1"/>
  <c r="LH75" i="1"/>
  <c r="LG76" i="1"/>
  <c r="LH76" i="1"/>
  <c r="LG77" i="1"/>
  <c r="LH77" i="1" s="1"/>
  <c r="LG78" i="1"/>
  <c r="LH78" i="1" s="1"/>
  <c r="LG79" i="1"/>
  <c r="LH79" i="1"/>
  <c r="LG80" i="1"/>
  <c r="LH80" i="1"/>
  <c r="LG81" i="1"/>
  <c r="LH81" i="1" s="1"/>
  <c r="LG82" i="1"/>
  <c r="LH82" i="1" s="1"/>
  <c r="LG83" i="1"/>
  <c r="LH83" i="1"/>
  <c r="LG84" i="1"/>
  <c r="LH84" i="1"/>
  <c r="LG85" i="1"/>
  <c r="LH85" i="1" s="1"/>
  <c r="LG86" i="1"/>
  <c r="LH86" i="1" s="1"/>
  <c r="LG87" i="1"/>
  <c r="LH87" i="1"/>
  <c r="LG88" i="1"/>
  <c r="LH88" i="1"/>
  <c r="LG89" i="1"/>
  <c r="LH89" i="1" s="1"/>
  <c r="LG90" i="1"/>
  <c r="LH90" i="1" s="1"/>
  <c r="LG91" i="1"/>
  <c r="LH91" i="1"/>
  <c r="LG92" i="1"/>
  <c r="LH92" i="1"/>
  <c r="LG93" i="1"/>
  <c r="LH93" i="1" s="1"/>
  <c r="LG94" i="1"/>
  <c r="LH94" i="1" s="1"/>
  <c r="LG95" i="1"/>
  <c r="LH95" i="1"/>
  <c r="LG96" i="1"/>
  <c r="LH96" i="1"/>
  <c r="LG97" i="1"/>
  <c r="LH97" i="1" s="1"/>
  <c r="LE60" i="1"/>
  <c r="LF60" i="1"/>
  <c r="LE66" i="1"/>
  <c r="LF66" i="1"/>
  <c r="LE64" i="1"/>
  <c r="LF64" i="1"/>
  <c r="LE3" i="1"/>
  <c r="LF3" i="1" s="1"/>
  <c r="LE4" i="1"/>
  <c r="LF4" i="1"/>
  <c r="LE5" i="1"/>
  <c r="LF5" i="1"/>
  <c r="LE6" i="1"/>
  <c r="LF6" i="1"/>
  <c r="LE7" i="1"/>
  <c r="LF7" i="1" s="1"/>
  <c r="LE8" i="1"/>
  <c r="LF8" i="1"/>
  <c r="LE9" i="1"/>
  <c r="LF9" i="1"/>
  <c r="LE10" i="1"/>
  <c r="LF10" i="1"/>
  <c r="LE11" i="1"/>
  <c r="LF11" i="1" s="1"/>
  <c r="LE12" i="1"/>
  <c r="LF12" i="1"/>
  <c r="LE13" i="1"/>
  <c r="LF13" i="1"/>
  <c r="LE14" i="1"/>
  <c r="LF14" i="1"/>
  <c r="LE15" i="1"/>
  <c r="LF15" i="1" s="1"/>
  <c r="LE16" i="1"/>
  <c r="LF16" i="1"/>
  <c r="LE17" i="1"/>
  <c r="LF17" i="1" s="1"/>
  <c r="LE18" i="1"/>
  <c r="LF18" i="1"/>
  <c r="LE19" i="1"/>
  <c r="LF19" i="1" s="1"/>
  <c r="LE20" i="1"/>
  <c r="LF20" i="1"/>
  <c r="LE21" i="1"/>
  <c r="LF21" i="1"/>
  <c r="LE22" i="1"/>
  <c r="LF22" i="1"/>
  <c r="LE23" i="1"/>
  <c r="LF23" i="1" s="1"/>
  <c r="LE24" i="1"/>
  <c r="LF24" i="1"/>
  <c r="LE25" i="1"/>
  <c r="LF25" i="1"/>
  <c r="LE26" i="1"/>
  <c r="LF26" i="1" s="1"/>
  <c r="LE27" i="1"/>
  <c r="LF27" i="1" s="1"/>
  <c r="LE28" i="1"/>
  <c r="LF28" i="1"/>
  <c r="LE29" i="1"/>
  <c r="LF29" i="1"/>
  <c r="LE30" i="1"/>
  <c r="LF30" i="1"/>
  <c r="LE31" i="1"/>
  <c r="LF31" i="1"/>
  <c r="LE32" i="1"/>
  <c r="LF32" i="1"/>
  <c r="LE33" i="1"/>
  <c r="LF33" i="1"/>
  <c r="LE34" i="1"/>
  <c r="LF34" i="1"/>
  <c r="LE35" i="1"/>
  <c r="LF35" i="1"/>
  <c r="LE36" i="1"/>
  <c r="LF36" i="1"/>
  <c r="LE37" i="1"/>
  <c r="LF37" i="1"/>
  <c r="LE38" i="1"/>
  <c r="LF38" i="1"/>
  <c r="LE39" i="1"/>
  <c r="LF39" i="1"/>
  <c r="LE40" i="1"/>
  <c r="LF40" i="1"/>
  <c r="LE41" i="1"/>
  <c r="LF41" i="1"/>
  <c r="LE42" i="1"/>
  <c r="LF42" i="1"/>
  <c r="LE43" i="1"/>
  <c r="LF43" i="1"/>
  <c r="LE44" i="1"/>
  <c r="LF44" i="1"/>
  <c r="LE45" i="1"/>
  <c r="LF45" i="1"/>
  <c r="LE46" i="1"/>
  <c r="LF46" i="1"/>
  <c r="LE47" i="1"/>
  <c r="LF47" i="1"/>
  <c r="LE48" i="1"/>
  <c r="LF48" i="1"/>
  <c r="LE49" i="1"/>
  <c r="LF49" i="1"/>
  <c r="LE50" i="1"/>
  <c r="LF50" i="1"/>
  <c r="LE51" i="1"/>
  <c r="LF51" i="1"/>
  <c r="LE52" i="1"/>
  <c r="LF52" i="1"/>
  <c r="LE53" i="1"/>
  <c r="LF53" i="1"/>
  <c r="LE54" i="1"/>
  <c r="LF54" i="1"/>
  <c r="LE55" i="1"/>
  <c r="LF55" i="1"/>
  <c r="LE56" i="1"/>
  <c r="LF56" i="1"/>
  <c r="LE57" i="1"/>
  <c r="LF57" i="1"/>
  <c r="LE58" i="1"/>
  <c r="LF58" i="1"/>
  <c r="LE59" i="1"/>
  <c r="LF59" i="1"/>
  <c r="LE61" i="1"/>
  <c r="LF61" i="1"/>
  <c r="LE62" i="1"/>
  <c r="LF62" i="1"/>
  <c r="LE63" i="1"/>
  <c r="LF63" i="1"/>
  <c r="LE65" i="1"/>
  <c r="LF65" i="1"/>
  <c r="LE67" i="1"/>
  <c r="LF67" i="1"/>
  <c r="LE68" i="1"/>
  <c r="LF68" i="1"/>
  <c r="LE69" i="1"/>
  <c r="LF69" i="1"/>
  <c r="LE70" i="1"/>
  <c r="LF70" i="1"/>
  <c r="LE71" i="1"/>
  <c r="LF71" i="1"/>
  <c r="LE72" i="1"/>
  <c r="LF72" i="1"/>
  <c r="LE73" i="1"/>
  <c r="LF73" i="1"/>
  <c r="LE74" i="1"/>
  <c r="LF74" i="1"/>
  <c r="LE75" i="1"/>
  <c r="LF75" i="1"/>
  <c r="LE76" i="1"/>
  <c r="LF76" i="1"/>
  <c r="LE77" i="1"/>
  <c r="LF77" i="1"/>
  <c r="LE78" i="1"/>
  <c r="LF78" i="1"/>
  <c r="LE80" i="1"/>
  <c r="LF80" i="1"/>
  <c r="LE81" i="1"/>
  <c r="LF81" i="1"/>
  <c r="LE82" i="1"/>
  <c r="LF82" i="1"/>
  <c r="LE83" i="1"/>
  <c r="LF83" i="1"/>
  <c r="LE84" i="1"/>
  <c r="LF84" i="1"/>
  <c r="LE85" i="1"/>
  <c r="LF85" i="1"/>
  <c r="LE86" i="1"/>
  <c r="LF86" i="1"/>
  <c r="LE87" i="1"/>
  <c r="LF87" i="1"/>
  <c r="LE88" i="1"/>
  <c r="LF88" i="1"/>
  <c r="LE89" i="1"/>
  <c r="LF89" i="1"/>
  <c r="LE90" i="1"/>
  <c r="LF90" i="1"/>
  <c r="LE91" i="1"/>
  <c r="LF91" i="1"/>
  <c r="LE92" i="1"/>
  <c r="LF92" i="1"/>
  <c r="LE93" i="1"/>
  <c r="LF93" i="1"/>
  <c r="LE94" i="1"/>
  <c r="LF94" i="1"/>
  <c r="LE95" i="1"/>
  <c r="LF95" i="1"/>
  <c r="LE96" i="1"/>
  <c r="LF96" i="1"/>
  <c r="LE97" i="1"/>
  <c r="LF97" i="1"/>
  <c r="LC60" i="1"/>
  <c r="LD60" i="1"/>
  <c r="LC66" i="1"/>
  <c r="LD66" i="1"/>
  <c r="LC64" i="1"/>
  <c r="LD64" i="1"/>
  <c r="LC3" i="1"/>
  <c r="LD3" i="1" s="1"/>
  <c r="LC4" i="1"/>
  <c r="LD4" i="1"/>
  <c r="LC5" i="1"/>
  <c r="LD5" i="1"/>
  <c r="LC6" i="1"/>
  <c r="LD6" i="1"/>
  <c r="LC7" i="1"/>
  <c r="LD7" i="1" s="1"/>
  <c r="LC8" i="1"/>
  <c r="LD8" i="1"/>
  <c r="LC9" i="1"/>
  <c r="LD9" i="1"/>
  <c r="LC10" i="1"/>
  <c r="LD10" i="1"/>
  <c r="LC11" i="1"/>
  <c r="LD11" i="1" s="1"/>
  <c r="LC12" i="1"/>
  <c r="LD12" i="1"/>
  <c r="LC13" i="1"/>
  <c r="LD13" i="1"/>
  <c r="LC14" i="1"/>
  <c r="LD14" i="1"/>
  <c r="LC15" i="1"/>
  <c r="LD15" i="1" s="1"/>
  <c r="LC16" i="1"/>
  <c r="LD16" i="1"/>
  <c r="LC17" i="1"/>
  <c r="LD17" i="1"/>
  <c r="LC18" i="1"/>
  <c r="LD18" i="1"/>
  <c r="LC19" i="1"/>
  <c r="LD19" i="1" s="1"/>
  <c r="LC20" i="1"/>
  <c r="LD20" i="1"/>
  <c r="LC21" i="1"/>
  <c r="LD21" i="1"/>
  <c r="LC22" i="1"/>
  <c r="LD22" i="1"/>
  <c r="LC23" i="1"/>
  <c r="LD23" i="1" s="1"/>
  <c r="LC24" i="1"/>
  <c r="LD24" i="1"/>
  <c r="LC25" i="1"/>
  <c r="LD25" i="1"/>
  <c r="LC26" i="1"/>
  <c r="LD26" i="1"/>
  <c r="LC27" i="1"/>
  <c r="LD27" i="1" s="1"/>
  <c r="LC28" i="1"/>
  <c r="LD28" i="1"/>
  <c r="LC29" i="1"/>
  <c r="LD29" i="1"/>
  <c r="LC30" i="1"/>
  <c r="LD30" i="1"/>
  <c r="LC31" i="1"/>
  <c r="LD31" i="1" s="1"/>
  <c r="LC32" i="1"/>
  <c r="LD32" i="1"/>
  <c r="LC33" i="1"/>
  <c r="LD33" i="1"/>
  <c r="LC34" i="1"/>
  <c r="LD34" i="1"/>
  <c r="LC35" i="1"/>
  <c r="LD35" i="1" s="1"/>
  <c r="LC36" i="1"/>
  <c r="LD36" i="1"/>
  <c r="LC37" i="1"/>
  <c r="LD37" i="1"/>
  <c r="LC38" i="1"/>
  <c r="LD38" i="1"/>
  <c r="LC39" i="1"/>
  <c r="LD39" i="1" s="1"/>
  <c r="LC40" i="1"/>
  <c r="LD40" i="1"/>
  <c r="LC41" i="1"/>
  <c r="LD41" i="1"/>
  <c r="LC42" i="1"/>
  <c r="LD42" i="1"/>
  <c r="LC43" i="1"/>
  <c r="LD43" i="1" s="1"/>
  <c r="LC44" i="1"/>
  <c r="LD44" i="1"/>
  <c r="LC45" i="1"/>
  <c r="LD45" i="1"/>
  <c r="LC46" i="1"/>
  <c r="LD46" i="1"/>
  <c r="LC47" i="1"/>
  <c r="LD47" i="1" s="1"/>
  <c r="LC48" i="1"/>
  <c r="LD48" i="1"/>
  <c r="LC49" i="1"/>
  <c r="LD49" i="1"/>
  <c r="LC50" i="1"/>
  <c r="LD50" i="1"/>
  <c r="LC51" i="1"/>
  <c r="LD51" i="1" s="1"/>
  <c r="LC52" i="1"/>
  <c r="LD52" i="1"/>
  <c r="LC53" i="1"/>
  <c r="LD53" i="1"/>
  <c r="LC54" i="1"/>
  <c r="LD54" i="1"/>
  <c r="LC55" i="1"/>
  <c r="LD55" i="1" s="1"/>
  <c r="LC56" i="1"/>
  <c r="LD56" i="1"/>
  <c r="LC57" i="1"/>
  <c r="LD57" i="1"/>
  <c r="LC58" i="1"/>
  <c r="LD58" i="1"/>
  <c r="LC59" i="1"/>
  <c r="LD59" i="1" s="1"/>
  <c r="LC61" i="1"/>
  <c r="LD61" i="1"/>
  <c r="LC62" i="1"/>
  <c r="LD62" i="1"/>
  <c r="LC63" i="1"/>
  <c r="LD63" i="1"/>
  <c r="LC65" i="1"/>
  <c r="LD65" i="1" s="1"/>
  <c r="LC67" i="1"/>
  <c r="LD67" i="1"/>
  <c r="LC68" i="1"/>
  <c r="LD68" i="1"/>
  <c r="LC69" i="1"/>
  <c r="LD69" i="1"/>
  <c r="LC70" i="1"/>
  <c r="LD70" i="1" s="1"/>
  <c r="LC71" i="1"/>
  <c r="LD71" i="1"/>
  <c r="LC72" i="1"/>
  <c r="LD72" i="1"/>
  <c r="LC73" i="1"/>
  <c r="LD73" i="1"/>
  <c r="LC74" i="1"/>
  <c r="LD74" i="1" s="1"/>
  <c r="LC75" i="1"/>
  <c r="LD75" i="1"/>
  <c r="LC76" i="1"/>
  <c r="LD76" i="1"/>
  <c r="LC77" i="1"/>
  <c r="LD77" i="1"/>
  <c r="LC78" i="1"/>
  <c r="LD78" i="1" s="1"/>
  <c r="LC80" i="1"/>
  <c r="LD80" i="1"/>
  <c r="LC81" i="1"/>
  <c r="LD81" i="1"/>
  <c r="LC82" i="1"/>
  <c r="LD82" i="1" s="1"/>
  <c r="LC83" i="1"/>
  <c r="LD83" i="1"/>
  <c r="LC84" i="1"/>
  <c r="LD84" i="1"/>
  <c r="LC85" i="1"/>
  <c r="LD85" i="1"/>
  <c r="LC86" i="1"/>
  <c r="LD86" i="1" s="1"/>
  <c r="LC87" i="1"/>
  <c r="LD87" i="1"/>
  <c r="LC88" i="1"/>
  <c r="LD88" i="1"/>
  <c r="LC89" i="1"/>
  <c r="LD89" i="1"/>
  <c r="LC90" i="1"/>
  <c r="LD90" i="1" s="1"/>
  <c r="LC91" i="1"/>
  <c r="LD91" i="1"/>
  <c r="LC92" i="1"/>
  <c r="LD92" i="1"/>
  <c r="LC93" i="1"/>
  <c r="LD93" i="1"/>
  <c r="LC94" i="1"/>
  <c r="LD94" i="1" s="1"/>
  <c r="LC95" i="1"/>
  <c r="LD95" i="1"/>
  <c r="LC96" i="1"/>
  <c r="LD96" i="1"/>
  <c r="LC97" i="1"/>
  <c r="LD97" i="1"/>
  <c r="LA60" i="1"/>
  <c r="LB60" i="1"/>
  <c r="LA66" i="1"/>
  <c r="LB66" i="1"/>
  <c r="LA64" i="1"/>
  <c r="LB64" i="1"/>
  <c r="LA3" i="1"/>
  <c r="LB3" i="1"/>
  <c r="LA4" i="1"/>
  <c r="LB4" i="1"/>
  <c r="LA5" i="1"/>
  <c r="LB5" i="1"/>
  <c r="LA6" i="1"/>
  <c r="LB6" i="1"/>
  <c r="LA7" i="1"/>
  <c r="LB7" i="1"/>
  <c r="LA8" i="1"/>
  <c r="LB8" i="1"/>
  <c r="LA9" i="1"/>
  <c r="LB9" i="1"/>
  <c r="LA10" i="1"/>
  <c r="LB10" i="1"/>
  <c r="LA11" i="1"/>
  <c r="LB11" i="1"/>
  <c r="LA12" i="1"/>
  <c r="LB12" i="1"/>
  <c r="LA13" i="1"/>
  <c r="LB13" i="1"/>
  <c r="LA14" i="1"/>
  <c r="LB14" i="1"/>
  <c r="LA15" i="1"/>
  <c r="LB15" i="1"/>
  <c r="LA16" i="1"/>
  <c r="LB16" i="1"/>
  <c r="LA17" i="1"/>
  <c r="LB17" i="1"/>
  <c r="LA18" i="1"/>
  <c r="LB18" i="1"/>
  <c r="LA19" i="1"/>
  <c r="LB19" i="1"/>
  <c r="LA20" i="1"/>
  <c r="LB20" i="1"/>
  <c r="LA21" i="1"/>
  <c r="LB21" i="1"/>
  <c r="LA22" i="1"/>
  <c r="LB22" i="1"/>
  <c r="LA23" i="1"/>
  <c r="LB23" i="1"/>
  <c r="LA24" i="1"/>
  <c r="LB24" i="1"/>
  <c r="LA25" i="1"/>
  <c r="LB25" i="1"/>
  <c r="LA26" i="1"/>
  <c r="LB26" i="1"/>
  <c r="LA27" i="1"/>
  <c r="LB27" i="1"/>
  <c r="LA28" i="1"/>
  <c r="LB28" i="1"/>
  <c r="LA29" i="1"/>
  <c r="LB29" i="1"/>
  <c r="LA30" i="1"/>
  <c r="LB30" i="1"/>
  <c r="LA31" i="1"/>
  <c r="LB31" i="1"/>
  <c r="LA32" i="1"/>
  <c r="LB32" i="1"/>
  <c r="LA33" i="1"/>
  <c r="LB33" i="1"/>
  <c r="LA34" i="1"/>
  <c r="LB34" i="1"/>
  <c r="LA35" i="1"/>
  <c r="LB35" i="1"/>
  <c r="LA36" i="1"/>
  <c r="LB36" i="1"/>
  <c r="LA37" i="1"/>
  <c r="LB37" i="1"/>
  <c r="LA38" i="1"/>
  <c r="LB38" i="1"/>
  <c r="LA39" i="1"/>
  <c r="LB39" i="1"/>
  <c r="LA40" i="1"/>
  <c r="LB40" i="1"/>
  <c r="LA41" i="1"/>
  <c r="LB41" i="1"/>
  <c r="LA42" i="1"/>
  <c r="LB42" i="1"/>
  <c r="LA43" i="1"/>
  <c r="LB43" i="1"/>
  <c r="LA44" i="1"/>
  <c r="LB44" i="1"/>
  <c r="LA45" i="1"/>
  <c r="LB45" i="1"/>
  <c r="LA46" i="1"/>
  <c r="LB46" i="1"/>
  <c r="LA47" i="1"/>
  <c r="LB47" i="1"/>
  <c r="LA48" i="1"/>
  <c r="LB48" i="1"/>
  <c r="LA49" i="1"/>
  <c r="LB49" i="1"/>
  <c r="LA50" i="1"/>
  <c r="LB50" i="1"/>
  <c r="LA51" i="1"/>
  <c r="LB51" i="1"/>
  <c r="LA52" i="1"/>
  <c r="LB52" i="1"/>
  <c r="LA53" i="1"/>
  <c r="LB53" i="1"/>
  <c r="LA54" i="1"/>
  <c r="LB54" i="1"/>
  <c r="LA55" i="1"/>
  <c r="LB55" i="1"/>
  <c r="LA56" i="1"/>
  <c r="LB56" i="1"/>
  <c r="LA57" i="1"/>
  <c r="LB57" i="1"/>
  <c r="LA58" i="1"/>
  <c r="LB58" i="1"/>
  <c r="LA59" i="1"/>
  <c r="LB59" i="1"/>
  <c r="LA61" i="1"/>
  <c r="LB61" i="1"/>
  <c r="LA62" i="1"/>
  <c r="LB62" i="1"/>
  <c r="LA63" i="1"/>
  <c r="LB63" i="1"/>
  <c r="LA65" i="1"/>
  <c r="LB65" i="1"/>
  <c r="LA67" i="1"/>
  <c r="LB67" i="1"/>
  <c r="LA68" i="1"/>
  <c r="LB68" i="1"/>
  <c r="LA69" i="1"/>
  <c r="LB69" i="1"/>
  <c r="LA70" i="1"/>
  <c r="LB70" i="1"/>
  <c r="LA71" i="1"/>
  <c r="LB71" i="1"/>
  <c r="LA72" i="1"/>
  <c r="LB72" i="1"/>
  <c r="LA73" i="1"/>
  <c r="LB73" i="1"/>
  <c r="LA74" i="1"/>
  <c r="LB74" i="1"/>
  <c r="LA75" i="1"/>
  <c r="LB75" i="1"/>
  <c r="LA76" i="1"/>
  <c r="LB76" i="1"/>
  <c r="LA77" i="1"/>
  <c r="LB77" i="1"/>
  <c r="LA78" i="1"/>
  <c r="LB78" i="1"/>
  <c r="LA80" i="1"/>
  <c r="LB80" i="1"/>
  <c r="LA81" i="1"/>
  <c r="LB81" i="1"/>
  <c r="LA82" i="1"/>
  <c r="LB82" i="1"/>
  <c r="LA83" i="1"/>
  <c r="LB83" i="1"/>
  <c r="LA84" i="1"/>
  <c r="LB84" i="1"/>
  <c r="LA85" i="1"/>
  <c r="LB85" i="1"/>
  <c r="LA86" i="1"/>
  <c r="LB86" i="1"/>
  <c r="LA87" i="1"/>
  <c r="LB87" i="1"/>
  <c r="LA88" i="1"/>
  <c r="LB88" i="1"/>
  <c r="LA89" i="1"/>
  <c r="LB89" i="1"/>
  <c r="LA90" i="1"/>
  <c r="LB90" i="1"/>
  <c r="LA91" i="1"/>
  <c r="LB91" i="1"/>
  <c r="LA92" i="1"/>
  <c r="LB92" i="1"/>
  <c r="LA93" i="1"/>
  <c r="LB93" i="1"/>
  <c r="LA94" i="1"/>
  <c r="LB94" i="1"/>
  <c r="LA95" i="1"/>
  <c r="LB95" i="1"/>
  <c r="LA96" i="1"/>
  <c r="LB96" i="1"/>
  <c r="LA97" i="1"/>
  <c r="LB97" i="1"/>
  <c r="KY60" i="1"/>
  <c r="KZ60" i="1" s="1"/>
  <c r="KY66" i="1"/>
  <c r="KZ66" i="1"/>
  <c r="KY64" i="1"/>
  <c r="KZ64" i="1"/>
  <c r="KY40" i="1"/>
  <c r="KZ40" i="1"/>
  <c r="KY3" i="1"/>
  <c r="KZ3" i="1" s="1"/>
  <c r="KY4" i="1"/>
  <c r="KZ4" i="1"/>
  <c r="KY5" i="1"/>
  <c r="KZ5" i="1"/>
  <c r="KY6" i="1"/>
  <c r="KZ6" i="1"/>
  <c r="KY7" i="1"/>
  <c r="KZ7" i="1" s="1"/>
  <c r="KY8" i="1"/>
  <c r="KZ8" i="1"/>
  <c r="KY9" i="1"/>
  <c r="KZ9" i="1"/>
  <c r="KY10" i="1"/>
  <c r="KZ10" i="1"/>
  <c r="KY11" i="1"/>
  <c r="KZ11" i="1" s="1"/>
  <c r="KY12" i="1"/>
  <c r="KZ12" i="1"/>
  <c r="KY13" i="1"/>
  <c r="KZ13" i="1"/>
  <c r="KY14" i="1"/>
  <c r="KZ14" i="1"/>
  <c r="KY15" i="1"/>
  <c r="KZ15" i="1" s="1"/>
  <c r="KY16" i="1"/>
  <c r="KZ16" i="1"/>
  <c r="KY17" i="1"/>
  <c r="KZ17" i="1"/>
  <c r="KY18" i="1"/>
  <c r="KZ18" i="1"/>
  <c r="KY19" i="1"/>
  <c r="KZ19" i="1" s="1"/>
  <c r="KY20" i="1"/>
  <c r="KZ20" i="1"/>
  <c r="KY21" i="1"/>
  <c r="KZ21" i="1"/>
  <c r="KY22" i="1"/>
  <c r="KZ22" i="1"/>
  <c r="KY23" i="1"/>
  <c r="KZ23" i="1" s="1"/>
  <c r="KY24" i="1"/>
  <c r="KZ24" i="1"/>
  <c r="KY25" i="1"/>
  <c r="KZ25" i="1"/>
  <c r="KY26" i="1"/>
  <c r="KZ26" i="1"/>
  <c r="KY27" i="1"/>
  <c r="KZ27" i="1" s="1"/>
  <c r="KY28" i="1"/>
  <c r="KZ28" i="1"/>
  <c r="KY29" i="1"/>
  <c r="KZ29" i="1"/>
  <c r="KY30" i="1"/>
  <c r="KZ30" i="1"/>
  <c r="KY31" i="1"/>
  <c r="KZ31" i="1" s="1"/>
  <c r="KY32" i="1"/>
  <c r="KZ32" i="1"/>
  <c r="KY33" i="1"/>
  <c r="KZ33" i="1"/>
  <c r="KY34" i="1"/>
  <c r="KZ34" i="1"/>
  <c r="KY35" i="1"/>
  <c r="KZ35" i="1" s="1"/>
  <c r="KY36" i="1"/>
  <c r="KZ36" i="1"/>
  <c r="KY37" i="1"/>
  <c r="KZ37" i="1"/>
  <c r="KY38" i="1"/>
  <c r="KZ38" i="1"/>
  <c r="KY39" i="1"/>
  <c r="KZ39" i="1" s="1"/>
  <c r="KY41" i="1"/>
  <c r="KZ41" i="1"/>
  <c r="KY42" i="1"/>
  <c r="KZ42" i="1"/>
  <c r="KY43" i="1"/>
  <c r="KZ43" i="1"/>
  <c r="KY44" i="1"/>
  <c r="KZ44" i="1" s="1"/>
  <c r="KY45" i="1"/>
  <c r="KZ45" i="1"/>
  <c r="KY46" i="1"/>
  <c r="KZ46" i="1"/>
  <c r="KY47" i="1"/>
  <c r="KZ47" i="1"/>
  <c r="KY48" i="1"/>
  <c r="KZ48" i="1" s="1"/>
  <c r="KY49" i="1"/>
  <c r="KZ49" i="1"/>
  <c r="KY50" i="1"/>
  <c r="KZ50" i="1"/>
  <c r="KY51" i="1"/>
  <c r="KZ51" i="1"/>
  <c r="KY52" i="1"/>
  <c r="KZ52" i="1" s="1"/>
  <c r="KY53" i="1"/>
  <c r="KZ53" i="1"/>
  <c r="KY54" i="1"/>
  <c r="KZ54" i="1"/>
  <c r="KY55" i="1"/>
  <c r="KZ55" i="1"/>
  <c r="KY56" i="1"/>
  <c r="KZ56" i="1" s="1"/>
  <c r="KY57" i="1"/>
  <c r="KZ57" i="1"/>
  <c r="KY58" i="1"/>
  <c r="KZ58" i="1"/>
  <c r="KY59" i="1"/>
  <c r="KZ59" i="1"/>
  <c r="KY61" i="1"/>
  <c r="KZ61" i="1" s="1"/>
  <c r="KY62" i="1"/>
  <c r="KZ62" i="1"/>
  <c r="KY63" i="1"/>
  <c r="KZ63" i="1"/>
  <c r="KY65" i="1"/>
  <c r="KZ65" i="1"/>
  <c r="KY67" i="1"/>
  <c r="KZ67" i="1" s="1"/>
  <c r="KY68" i="1"/>
  <c r="KZ68" i="1"/>
  <c r="KY69" i="1"/>
  <c r="KZ69" i="1"/>
  <c r="KY70" i="1"/>
  <c r="KZ70" i="1"/>
  <c r="KY71" i="1"/>
  <c r="KZ71" i="1" s="1"/>
  <c r="KY72" i="1"/>
  <c r="KZ72" i="1"/>
  <c r="KY73" i="1"/>
  <c r="KZ73" i="1"/>
  <c r="KY74" i="1"/>
  <c r="KZ74" i="1"/>
  <c r="KY75" i="1"/>
  <c r="KZ75" i="1" s="1"/>
  <c r="KY76" i="1"/>
  <c r="KZ76" i="1"/>
  <c r="KY77" i="1"/>
  <c r="KZ77" i="1"/>
  <c r="KY78" i="1"/>
  <c r="KZ78" i="1"/>
  <c r="KY80" i="1"/>
  <c r="KZ80" i="1"/>
  <c r="KY81" i="1"/>
  <c r="KZ81" i="1"/>
  <c r="KY82" i="1"/>
  <c r="KZ82" i="1"/>
  <c r="KY83" i="1"/>
  <c r="KZ83" i="1" s="1"/>
  <c r="KY84" i="1"/>
  <c r="KZ84" i="1"/>
  <c r="KY85" i="1"/>
  <c r="KZ85" i="1"/>
  <c r="KY86" i="1"/>
  <c r="KZ86" i="1"/>
  <c r="KY87" i="1"/>
  <c r="KZ87" i="1" s="1"/>
  <c r="KY88" i="1"/>
  <c r="KZ88" i="1"/>
  <c r="KY89" i="1"/>
  <c r="KZ89" i="1"/>
  <c r="KY90" i="1"/>
  <c r="KZ90" i="1"/>
  <c r="KY91" i="1"/>
  <c r="KZ91" i="1" s="1"/>
  <c r="KY92" i="1"/>
  <c r="KZ92" i="1"/>
  <c r="KY93" i="1"/>
  <c r="KZ93" i="1"/>
  <c r="KY94" i="1"/>
  <c r="KZ94" i="1"/>
  <c r="KY95" i="1"/>
  <c r="KZ95" i="1" s="1"/>
  <c r="KY96" i="1"/>
  <c r="KZ96" i="1"/>
  <c r="KY97" i="1"/>
  <c r="KZ97" i="1"/>
  <c r="KW60" i="1"/>
  <c r="KX60" i="1"/>
  <c r="KW66" i="1"/>
  <c r="KX66" i="1"/>
  <c r="KW64" i="1"/>
  <c r="KX64" i="1"/>
  <c r="KW3" i="1"/>
  <c r="KX3" i="1"/>
  <c r="KW4" i="1"/>
  <c r="KX4" i="1"/>
  <c r="KW5" i="1"/>
  <c r="KX5" i="1"/>
  <c r="KW6" i="1"/>
  <c r="KX6" i="1"/>
  <c r="KW7" i="1"/>
  <c r="KX7" i="1"/>
  <c r="KW8" i="1"/>
  <c r="KX8" i="1"/>
  <c r="KW9" i="1"/>
  <c r="KX9" i="1"/>
  <c r="KW10" i="1"/>
  <c r="KX10" i="1"/>
  <c r="KW11" i="1"/>
  <c r="KX11" i="1"/>
  <c r="KW12" i="1"/>
  <c r="KX12" i="1"/>
  <c r="KW13" i="1"/>
  <c r="KX13" i="1"/>
  <c r="KW14" i="1"/>
  <c r="KX14" i="1"/>
  <c r="KW15" i="1"/>
  <c r="KX15" i="1"/>
  <c r="KW16" i="1"/>
  <c r="KX16" i="1"/>
  <c r="KW17" i="1"/>
  <c r="KX17" i="1"/>
  <c r="KW18" i="1"/>
  <c r="KX18" i="1"/>
  <c r="KW19" i="1"/>
  <c r="KX19" i="1"/>
  <c r="KW20" i="1"/>
  <c r="KX20" i="1"/>
  <c r="KW21" i="1"/>
  <c r="KX21" i="1"/>
  <c r="KW22" i="1"/>
  <c r="KX22" i="1"/>
  <c r="KW23" i="1"/>
  <c r="KX23" i="1"/>
  <c r="KW24" i="1"/>
  <c r="KX24" i="1"/>
  <c r="KW25" i="1"/>
  <c r="KX25" i="1"/>
  <c r="KW26" i="1"/>
  <c r="KX26" i="1"/>
  <c r="KW27" i="1"/>
  <c r="KX27" i="1"/>
  <c r="KW28" i="1"/>
  <c r="KX28" i="1"/>
  <c r="KW29" i="1"/>
  <c r="KX29" i="1"/>
  <c r="KW30" i="1"/>
  <c r="KX30" i="1"/>
  <c r="KW31" i="1"/>
  <c r="KX31" i="1"/>
  <c r="KW32" i="1"/>
  <c r="KX32" i="1"/>
  <c r="KW33" i="1"/>
  <c r="KX33" i="1"/>
  <c r="KW34" i="1"/>
  <c r="KX34" i="1"/>
  <c r="KW35" i="1"/>
  <c r="KX35" i="1"/>
  <c r="KW36" i="1"/>
  <c r="KX36" i="1"/>
  <c r="KW37" i="1"/>
  <c r="KX37" i="1"/>
  <c r="KW38" i="1"/>
  <c r="KX38" i="1"/>
  <c r="KW39" i="1"/>
  <c r="KX39" i="1"/>
  <c r="KW40" i="1"/>
  <c r="KX40" i="1"/>
  <c r="KW41" i="1"/>
  <c r="KX41" i="1"/>
  <c r="KW42" i="1"/>
  <c r="KX42" i="1"/>
  <c r="KW43" i="1"/>
  <c r="KX43" i="1"/>
  <c r="KW44" i="1"/>
  <c r="KX44" i="1"/>
  <c r="KW45" i="1"/>
  <c r="KX45" i="1"/>
  <c r="KW46" i="1"/>
  <c r="KX46" i="1"/>
  <c r="KW47" i="1"/>
  <c r="KX47" i="1"/>
  <c r="KW48" i="1"/>
  <c r="KX48" i="1"/>
  <c r="KW49" i="1"/>
  <c r="KX49" i="1"/>
  <c r="KW50" i="1"/>
  <c r="KX50" i="1"/>
  <c r="KW51" i="1"/>
  <c r="KX51" i="1"/>
  <c r="KW52" i="1"/>
  <c r="KX52" i="1"/>
  <c r="KW53" i="1"/>
  <c r="KX53" i="1"/>
  <c r="KW54" i="1"/>
  <c r="KX54" i="1"/>
  <c r="KW55" i="1"/>
  <c r="KX55" i="1"/>
  <c r="KW56" i="1"/>
  <c r="KX56" i="1"/>
  <c r="KW57" i="1"/>
  <c r="KX57" i="1"/>
  <c r="KW58" i="1"/>
  <c r="KX58" i="1"/>
  <c r="KW59" i="1"/>
  <c r="KX59" i="1"/>
  <c r="KW61" i="1"/>
  <c r="KX61" i="1"/>
  <c r="KW62" i="1"/>
  <c r="KX62" i="1"/>
  <c r="KW63" i="1"/>
  <c r="KX63" i="1"/>
  <c r="KW65" i="1"/>
  <c r="KX65" i="1"/>
  <c r="KW67" i="1"/>
  <c r="KX67" i="1"/>
  <c r="KW68" i="1"/>
  <c r="KX68" i="1"/>
  <c r="KW69" i="1"/>
  <c r="KX69" i="1"/>
  <c r="KW70" i="1"/>
  <c r="KX70" i="1"/>
  <c r="KW71" i="1"/>
  <c r="KX71" i="1"/>
  <c r="KW72" i="1"/>
  <c r="KX72" i="1"/>
  <c r="KW73" i="1"/>
  <c r="KX73" i="1"/>
  <c r="KW74" i="1"/>
  <c r="KX74" i="1"/>
  <c r="KW75" i="1"/>
  <c r="KX75" i="1"/>
  <c r="KW76" i="1"/>
  <c r="KX76" i="1"/>
  <c r="KW77" i="1"/>
  <c r="KX77" i="1"/>
  <c r="KW78" i="1"/>
  <c r="KX78" i="1"/>
  <c r="KW80" i="1"/>
  <c r="KX80" i="1"/>
  <c r="KW81" i="1"/>
  <c r="KX81" i="1"/>
  <c r="KW82" i="1"/>
  <c r="KX82" i="1"/>
  <c r="KW83" i="1"/>
  <c r="KX83" i="1"/>
  <c r="KW84" i="1"/>
  <c r="KX84" i="1"/>
  <c r="KW85" i="1"/>
  <c r="KX85" i="1"/>
  <c r="KW86" i="1"/>
  <c r="KX86" i="1"/>
  <c r="KW87" i="1"/>
  <c r="KX87" i="1"/>
  <c r="KW88" i="1"/>
  <c r="KX88" i="1"/>
  <c r="KW89" i="1"/>
  <c r="KX89" i="1"/>
  <c r="KW90" i="1"/>
  <c r="KX90" i="1"/>
  <c r="KW91" i="1"/>
  <c r="KX91" i="1"/>
  <c r="KW92" i="1"/>
  <c r="KX92" i="1"/>
  <c r="KW93" i="1"/>
  <c r="KX93" i="1"/>
  <c r="KW94" i="1"/>
  <c r="KX94" i="1"/>
  <c r="KW95" i="1"/>
  <c r="KX95" i="1"/>
  <c r="KW96" i="1"/>
  <c r="KX96" i="1"/>
  <c r="KW97" i="1"/>
  <c r="KX97" i="1"/>
  <c r="KU60" i="1"/>
  <c r="KV60" i="1"/>
  <c r="KU66" i="1"/>
  <c r="KV66" i="1" s="1"/>
  <c r="KU67" i="1"/>
  <c r="KV67" i="1" s="1"/>
  <c r="KU64" i="1"/>
  <c r="KV64" i="1"/>
  <c r="KU3" i="1"/>
  <c r="KV3" i="1"/>
  <c r="KU4" i="1"/>
  <c r="KV4" i="1" s="1"/>
  <c r="KU5" i="1"/>
  <c r="KV5" i="1" s="1"/>
  <c r="KU6" i="1"/>
  <c r="KV6" i="1"/>
  <c r="KU7" i="1"/>
  <c r="KV7" i="1"/>
  <c r="KU8" i="1"/>
  <c r="KV8" i="1" s="1"/>
  <c r="KU9" i="1"/>
  <c r="KV9" i="1" s="1"/>
  <c r="KU10" i="1"/>
  <c r="KV10" i="1"/>
  <c r="KU11" i="1"/>
  <c r="KV11" i="1"/>
  <c r="KU12" i="1"/>
  <c r="KV12" i="1" s="1"/>
  <c r="KU13" i="1"/>
  <c r="KV13" i="1" s="1"/>
  <c r="KU14" i="1"/>
  <c r="KV14" i="1"/>
  <c r="KU15" i="1"/>
  <c r="KV15" i="1"/>
  <c r="KU16" i="1"/>
  <c r="KV16" i="1" s="1"/>
  <c r="KU17" i="1"/>
  <c r="KV17" i="1" s="1"/>
  <c r="KU18" i="1"/>
  <c r="KV18" i="1"/>
  <c r="KU19" i="1"/>
  <c r="KV19" i="1"/>
  <c r="KU20" i="1"/>
  <c r="KV20" i="1" s="1"/>
  <c r="KU21" i="1"/>
  <c r="KV21" i="1" s="1"/>
  <c r="KU22" i="1"/>
  <c r="KV22" i="1"/>
  <c r="KU23" i="1"/>
  <c r="KV23" i="1"/>
  <c r="KU24" i="1"/>
  <c r="KV24" i="1" s="1"/>
  <c r="KU25" i="1"/>
  <c r="KV25" i="1" s="1"/>
  <c r="KU26" i="1"/>
  <c r="KV26" i="1"/>
  <c r="KU27" i="1"/>
  <c r="KV27" i="1"/>
  <c r="KU28" i="1"/>
  <c r="KV28" i="1" s="1"/>
  <c r="KU29" i="1"/>
  <c r="KV29" i="1" s="1"/>
  <c r="KU30" i="1"/>
  <c r="KV30" i="1"/>
  <c r="KU31" i="1"/>
  <c r="KV31" i="1"/>
  <c r="KU32" i="1"/>
  <c r="KV32" i="1" s="1"/>
  <c r="KU33" i="1"/>
  <c r="KV33" i="1" s="1"/>
  <c r="KU34" i="1"/>
  <c r="KV34" i="1"/>
  <c r="KU35" i="1"/>
  <c r="KV35" i="1"/>
  <c r="KU36" i="1"/>
  <c r="KV36" i="1" s="1"/>
  <c r="KU37" i="1"/>
  <c r="KV37" i="1" s="1"/>
  <c r="KU38" i="1"/>
  <c r="KV38" i="1"/>
  <c r="KU39" i="1"/>
  <c r="KV39" i="1"/>
  <c r="KU40" i="1"/>
  <c r="KV40" i="1" s="1"/>
  <c r="KU41" i="1"/>
  <c r="KV41" i="1" s="1"/>
  <c r="KU42" i="1"/>
  <c r="KV42" i="1"/>
  <c r="KU43" i="1"/>
  <c r="KV43" i="1"/>
  <c r="KU44" i="1"/>
  <c r="KV44" i="1" s="1"/>
  <c r="KU45" i="1"/>
  <c r="KV45" i="1" s="1"/>
  <c r="KU46" i="1"/>
  <c r="KV46" i="1"/>
  <c r="KU47" i="1"/>
  <c r="KV47" i="1"/>
  <c r="KU48" i="1"/>
  <c r="KV48" i="1" s="1"/>
  <c r="KU49" i="1"/>
  <c r="KV49" i="1" s="1"/>
  <c r="KU50" i="1"/>
  <c r="KV50" i="1"/>
  <c r="KU51" i="1"/>
  <c r="KV51" i="1"/>
  <c r="KU52" i="1"/>
  <c r="KV52" i="1" s="1"/>
  <c r="KU53" i="1"/>
  <c r="KV53" i="1" s="1"/>
  <c r="KU54" i="1"/>
  <c r="KV54" i="1"/>
  <c r="KU55" i="1"/>
  <c r="KV55" i="1"/>
  <c r="KU56" i="1"/>
  <c r="KV56" i="1" s="1"/>
  <c r="KU57" i="1"/>
  <c r="KV57" i="1" s="1"/>
  <c r="KU58" i="1"/>
  <c r="KV58" i="1"/>
  <c r="KU59" i="1"/>
  <c r="KV59" i="1"/>
  <c r="KU61" i="1"/>
  <c r="KV61" i="1" s="1"/>
  <c r="KU62" i="1"/>
  <c r="KV62" i="1" s="1"/>
  <c r="KU63" i="1"/>
  <c r="KV63" i="1"/>
  <c r="KU65" i="1"/>
  <c r="KV65" i="1"/>
  <c r="KU68" i="1"/>
  <c r="KV68" i="1" s="1"/>
  <c r="KU69" i="1"/>
  <c r="KV69" i="1" s="1"/>
  <c r="KU70" i="1"/>
  <c r="KV70" i="1"/>
  <c r="KU71" i="1"/>
  <c r="KV71" i="1"/>
  <c r="KU72" i="1"/>
  <c r="KV72" i="1" s="1"/>
  <c r="KU73" i="1"/>
  <c r="KV73" i="1" s="1"/>
  <c r="KU74" i="1"/>
  <c r="KV74" i="1"/>
  <c r="KU75" i="1"/>
  <c r="KV75" i="1"/>
  <c r="KU76" i="1"/>
  <c r="KV76" i="1" s="1"/>
  <c r="KU77" i="1"/>
  <c r="KV77" i="1" s="1"/>
  <c r="KU78" i="1"/>
  <c r="KV78" i="1"/>
  <c r="KU80" i="1"/>
  <c r="KV80" i="1" s="1"/>
  <c r="KU81" i="1"/>
  <c r="KV81" i="1" s="1"/>
  <c r="KU82" i="1"/>
  <c r="KV82" i="1"/>
  <c r="KU83" i="1"/>
  <c r="KV83" i="1"/>
  <c r="KU84" i="1"/>
  <c r="KV84" i="1" s="1"/>
  <c r="KU85" i="1"/>
  <c r="KV85" i="1" s="1"/>
  <c r="KU86" i="1"/>
  <c r="KV86" i="1"/>
  <c r="KU87" i="1"/>
  <c r="KV87" i="1"/>
  <c r="KU88" i="1"/>
  <c r="KV88" i="1" s="1"/>
  <c r="KU89" i="1"/>
  <c r="KV89" i="1" s="1"/>
  <c r="KU90" i="1"/>
  <c r="KV90" i="1"/>
  <c r="KU91" i="1"/>
  <c r="KV91" i="1"/>
  <c r="KU92" i="1"/>
  <c r="KV92" i="1" s="1"/>
  <c r="KU93" i="1"/>
  <c r="KV93" i="1" s="1"/>
  <c r="KU94" i="1"/>
  <c r="KV94" i="1"/>
  <c r="KU95" i="1"/>
  <c r="KV95" i="1"/>
  <c r="KU96" i="1"/>
  <c r="KV96" i="1" s="1"/>
  <c r="KU97" i="1"/>
  <c r="KV97" i="1"/>
  <c r="KS60" i="1"/>
  <c r="KT60" i="1"/>
  <c r="KS66" i="1"/>
  <c r="KT66" i="1"/>
  <c r="KS64" i="1"/>
  <c r="KT64" i="1"/>
  <c r="KS3" i="1"/>
  <c r="KT3" i="1"/>
  <c r="KS4" i="1"/>
  <c r="KT4" i="1"/>
  <c r="KS5" i="1"/>
  <c r="KT5" i="1"/>
  <c r="KS6" i="1"/>
  <c r="KT6" i="1"/>
  <c r="KS7" i="1"/>
  <c r="KT7" i="1"/>
  <c r="KS8" i="1"/>
  <c r="KT8" i="1"/>
  <c r="KS9" i="1"/>
  <c r="KT9" i="1"/>
  <c r="KS10" i="1"/>
  <c r="KT10" i="1"/>
  <c r="KS11" i="1"/>
  <c r="KT11" i="1"/>
  <c r="KS12" i="1"/>
  <c r="KT12" i="1"/>
  <c r="KS13" i="1"/>
  <c r="KT13" i="1"/>
  <c r="KS14" i="1"/>
  <c r="KT14" i="1"/>
  <c r="KS15" i="1"/>
  <c r="KT15" i="1"/>
  <c r="KS16" i="1"/>
  <c r="KT16" i="1"/>
  <c r="KS17" i="1"/>
  <c r="KT17" i="1"/>
  <c r="KS18" i="1"/>
  <c r="KT18" i="1"/>
  <c r="KS19" i="1"/>
  <c r="KT19" i="1"/>
  <c r="KS20" i="1"/>
  <c r="KT20" i="1"/>
  <c r="KS21" i="1"/>
  <c r="KT21" i="1"/>
  <c r="KS22" i="1"/>
  <c r="KT22" i="1"/>
  <c r="KS23" i="1"/>
  <c r="KT23" i="1"/>
  <c r="KS24" i="1"/>
  <c r="KT24" i="1"/>
  <c r="KS25" i="1"/>
  <c r="KT25" i="1"/>
  <c r="KS26" i="1"/>
  <c r="KT26" i="1"/>
  <c r="KS27" i="1"/>
  <c r="KT27" i="1"/>
  <c r="KS28" i="1"/>
  <c r="KT28" i="1"/>
  <c r="KS29" i="1"/>
  <c r="KT29" i="1"/>
  <c r="KS30" i="1"/>
  <c r="KT30" i="1"/>
  <c r="KS31" i="1"/>
  <c r="KT31" i="1"/>
  <c r="KS32" i="1"/>
  <c r="KT32" i="1"/>
  <c r="KS33" i="1"/>
  <c r="KT33" i="1"/>
  <c r="KS34" i="1"/>
  <c r="KT34" i="1"/>
  <c r="KS35" i="1"/>
  <c r="KT35" i="1"/>
  <c r="KS36" i="1"/>
  <c r="KT36" i="1"/>
  <c r="KS37" i="1"/>
  <c r="KT37" i="1"/>
  <c r="KS38" i="1"/>
  <c r="KT38" i="1"/>
  <c r="KS39" i="1"/>
  <c r="KT39" i="1"/>
  <c r="KS40" i="1"/>
  <c r="KT40" i="1"/>
  <c r="KS41" i="1"/>
  <c r="KT41" i="1"/>
  <c r="KS42" i="1"/>
  <c r="KT42" i="1"/>
  <c r="KS43" i="1"/>
  <c r="KT43" i="1"/>
  <c r="KS44" i="1"/>
  <c r="KT44" i="1"/>
  <c r="KS45" i="1"/>
  <c r="KT45" i="1"/>
  <c r="KS46" i="1"/>
  <c r="KT46" i="1"/>
  <c r="KS47" i="1"/>
  <c r="KT47" i="1"/>
  <c r="KS48" i="1"/>
  <c r="KT48" i="1"/>
  <c r="KS49" i="1"/>
  <c r="KT49" i="1"/>
  <c r="KS50" i="1"/>
  <c r="KT50" i="1"/>
  <c r="KS51" i="1"/>
  <c r="KT51" i="1"/>
  <c r="KS52" i="1"/>
  <c r="KT52" i="1"/>
  <c r="KS53" i="1"/>
  <c r="KT53" i="1"/>
  <c r="KS54" i="1"/>
  <c r="KT54" i="1"/>
  <c r="KS55" i="1"/>
  <c r="KT55" i="1"/>
  <c r="KS56" i="1"/>
  <c r="KT56" i="1"/>
  <c r="KS57" i="1"/>
  <c r="KT57" i="1"/>
  <c r="KS58" i="1"/>
  <c r="KT58" i="1"/>
  <c r="KS59" i="1"/>
  <c r="KT59" i="1"/>
  <c r="KS61" i="1"/>
  <c r="KT61" i="1"/>
  <c r="KS62" i="1"/>
  <c r="KT62" i="1"/>
  <c r="KS63" i="1"/>
  <c r="KT63" i="1"/>
  <c r="KS65" i="1"/>
  <c r="KT65" i="1"/>
  <c r="KS67" i="1"/>
  <c r="KT67" i="1"/>
  <c r="KS68" i="1"/>
  <c r="KT68" i="1"/>
  <c r="KS69" i="1"/>
  <c r="KT69" i="1"/>
  <c r="KS70" i="1"/>
  <c r="KT70" i="1"/>
  <c r="KS71" i="1"/>
  <c r="KT71" i="1"/>
  <c r="KS72" i="1"/>
  <c r="KT72" i="1"/>
  <c r="KS73" i="1"/>
  <c r="KT73" i="1"/>
  <c r="KS74" i="1"/>
  <c r="KT74" i="1"/>
  <c r="KS75" i="1"/>
  <c r="KT75" i="1"/>
  <c r="KS76" i="1"/>
  <c r="KT76" i="1"/>
  <c r="KS77" i="1"/>
  <c r="KT77" i="1"/>
  <c r="KS78" i="1"/>
  <c r="KT78" i="1"/>
  <c r="KS80" i="1"/>
  <c r="KT80" i="1"/>
  <c r="KS81" i="1"/>
  <c r="KT81" i="1"/>
  <c r="KS82" i="1"/>
  <c r="KT82" i="1"/>
  <c r="KS83" i="1"/>
  <c r="KT83" i="1"/>
  <c r="KS84" i="1"/>
  <c r="KT84" i="1"/>
  <c r="KS85" i="1"/>
  <c r="KT85" i="1"/>
  <c r="KS86" i="1"/>
  <c r="KT86" i="1"/>
  <c r="KS87" i="1"/>
  <c r="KT87" i="1"/>
  <c r="KS88" i="1"/>
  <c r="KT88" i="1"/>
  <c r="KS89" i="1"/>
  <c r="KT89" i="1"/>
  <c r="KS90" i="1"/>
  <c r="KT90" i="1"/>
  <c r="KS91" i="1"/>
  <c r="KT91" i="1"/>
  <c r="KS92" i="1"/>
  <c r="KT92" i="1"/>
  <c r="KS93" i="1"/>
  <c r="KT93" i="1" s="1"/>
  <c r="KS94" i="1"/>
  <c r="KT94" i="1"/>
  <c r="KS95" i="1"/>
  <c r="KT95" i="1"/>
  <c r="KS96" i="1"/>
  <c r="KT96" i="1"/>
  <c r="KS97" i="1"/>
  <c r="KT97" i="1"/>
  <c r="KQ60" i="1"/>
  <c r="KR60" i="1"/>
  <c r="KQ66" i="1"/>
  <c r="KR66" i="1"/>
  <c r="KQ64" i="1"/>
  <c r="KR64" i="1" s="1"/>
  <c r="KQ3" i="1"/>
  <c r="KR3" i="1"/>
  <c r="KQ4" i="1"/>
  <c r="KR4" i="1"/>
  <c r="KQ5" i="1"/>
  <c r="KR5" i="1" s="1"/>
  <c r="KQ6" i="1"/>
  <c r="KR6" i="1" s="1"/>
  <c r="KQ7" i="1"/>
  <c r="KR7" i="1"/>
  <c r="KQ8" i="1"/>
  <c r="KR8" i="1"/>
  <c r="KQ9" i="1"/>
  <c r="KR9" i="1" s="1"/>
  <c r="KQ10" i="1"/>
  <c r="KR10" i="1" s="1"/>
  <c r="KQ11" i="1"/>
  <c r="KR11" i="1"/>
  <c r="KQ12" i="1"/>
  <c r="KR12" i="1"/>
  <c r="KQ13" i="1"/>
  <c r="KR13" i="1" s="1"/>
  <c r="KQ14" i="1"/>
  <c r="KR14" i="1" s="1"/>
  <c r="KQ15" i="1"/>
  <c r="KR15" i="1"/>
  <c r="KQ16" i="1"/>
  <c r="KR16" i="1"/>
  <c r="KQ17" i="1"/>
  <c r="KR17" i="1" s="1"/>
  <c r="KQ18" i="1"/>
  <c r="KR18" i="1" s="1"/>
  <c r="KQ19" i="1"/>
  <c r="KR19" i="1"/>
  <c r="KQ20" i="1"/>
  <c r="KR20" i="1"/>
  <c r="KQ21" i="1"/>
  <c r="KR21" i="1" s="1"/>
  <c r="KQ22" i="1"/>
  <c r="KR22" i="1" s="1"/>
  <c r="KQ23" i="1"/>
  <c r="KR23" i="1"/>
  <c r="KQ24" i="1"/>
  <c r="KR24" i="1"/>
  <c r="KQ25" i="1"/>
  <c r="KR25" i="1" s="1"/>
  <c r="KQ26" i="1"/>
  <c r="KR26" i="1" s="1"/>
  <c r="KQ27" i="1"/>
  <c r="KR27" i="1"/>
  <c r="KQ28" i="1"/>
  <c r="KR28" i="1"/>
  <c r="KQ29" i="1"/>
  <c r="KR29" i="1" s="1"/>
  <c r="KQ30" i="1"/>
  <c r="KR30" i="1" s="1"/>
  <c r="KQ31" i="1"/>
  <c r="KR31" i="1"/>
  <c r="KQ32" i="1"/>
  <c r="KR32" i="1"/>
  <c r="KQ33" i="1"/>
  <c r="KR33" i="1" s="1"/>
  <c r="KQ34" i="1"/>
  <c r="KR34" i="1" s="1"/>
  <c r="KQ35" i="1"/>
  <c r="KR35" i="1"/>
  <c r="KQ36" i="1"/>
  <c r="KR36" i="1"/>
  <c r="KQ37" i="1"/>
  <c r="KR37" i="1" s="1"/>
  <c r="KQ38" i="1"/>
  <c r="KR38" i="1" s="1"/>
  <c r="KQ39" i="1"/>
  <c r="KR39" i="1"/>
  <c r="KQ40" i="1"/>
  <c r="KR40" i="1"/>
  <c r="KQ41" i="1"/>
  <c r="KR41" i="1" s="1"/>
  <c r="KQ42" i="1"/>
  <c r="KR42" i="1" s="1"/>
  <c r="KQ43" i="1"/>
  <c r="KR43" i="1"/>
  <c r="KQ44" i="1"/>
  <c r="KR44" i="1"/>
  <c r="KQ45" i="1"/>
  <c r="KR45" i="1" s="1"/>
  <c r="KQ46" i="1"/>
  <c r="KR46" i="1" s="1"/>
  <c r="KQ47" i="1"/>
  <c r="KR47" i="1"/>
  <c r="KQ48" i="1"/>
  <c r="KR48" i="1"/>
  <c r="KQ49" i="1"/>
  <c r="KR49" i="1" s="1"/>
  <c r="KQ50" i="1"/>
  <c r="KR50" i="1" s="1"/>
  <c r="KQ51" i="1"/>
  <c r="KR51" i="1"/>
  <c r="KQ52" i="1"/>
  <c r="KR52" i="1"/>
  <c r="KQ53" i="1"/>
  <c r="KR53" i="1" s="1"/>
  <c r="KQ54" i="1"/>
  <c r="KR54" i="1" s="1"/>
  <c r="KQ55" i="1"/>
  <c r="KR55" i="1"/>
  <c r="KQ56" i="1"/>
  <c r="KR56" i="1"/>
  <c r="KQ57" i="1"/>
  <c r="KR57" i="1" s="1"/>
  <c r="KQ58" i="1"/>
  <c r="KR58" i="1" s="1"/>
  <c r="KQ59" i="1"/>
  <c r="KR59" i="1"/>
  <c r="KQ61" i="1"/>
  <c r="KR61" i="1"/>
  <c r="KQ62" i="1"/>
  <c r="KR62" i="1" s="1"/>
  <c r="KQ63" i="1"/>
  <c r="KR63" i="1" s="1"/>
  <c r="KQ65" i="1"/>
  <c r="KR65" i="1"/>
  <c r="KQ67" i="1"/>
  <c r="KR67" i="1"/>
  <c r="KQ68" i="1"/>
  <c r="KR68" i="1" s="1"/>
  <c r="KQ69" i="1"/>
  <c r="KR69" i="1" s="1"/>
  <c r="KQ70" i="1"/>
  <c r="KR70" i="1"/>
  <c r="KQ71" i="1"/>
  <c r="KR71" i="1"/>
  <c r="KQ72" i="1"/>
  <c r="KR72" i="1" s="1"/>
  <c r="KQ73" i="1"/>
  <c r="KR73" i="1" s="1"/>
  <c r="KQ74" i="1"/>
  <c r="KR74" i="1"/>
  <c r="KQ75" i="1"/>
  <c r="KR75" i="1"/>
  <c r="KQ76" i="1"/>
  <c r="KR76" i="1" s="1"/>
  <c r="KQ77" i="1"/>
  <c r="KR77" i="1" s="1"/>
  <c r="KQ78" i="1"/>
  <c r="KR78" i="1"/>
  <c r="KQ80" i="1"/>
  <c r="KR80" i="1"/>
  <c r="KQ81" i="1"/>
  <c r="KR81" i="1" s="1"/>
  <c r="KQ82" i="1"/>
  <c r="KR82" i="1" s="1"/>
  <c r="KQ83" i="1"/>
  <c r="KR83" i="1"/>
  <c r="KQ84" i="1"/>
  <c r="KR84" i="1"/>
  <c r="KQ85" i="1"/>
  <c r="KR85" i="1" s="1"/>
  <c r="KQ86" i="1"/>
  <c r="KR86" i="1" s="1"/>
  <c r="KQ87" i="1"/>
  <c r="KR87" i="1"/>
  <c r="KQ88" i="1"/>
  <c r="KR88" i="1"/>
  <c r="KQ89" i="1"/>
  <c r="KR89" i="1" s="1"/>
  <c r="KQ90" i="1"/>
  <c r="KR90" i="1" s="1"/>
  <c r="KQ91" i="1"/>
  <c r="KR91" i="1"/>
  <c r="KQ92" i="1"/>
  <c r="KR92" i="1"/>
  <c r="KQ93" i="1"/>
  <c r="KR93" i="1" s="1"/>
  <c r="KQ94" i="1"/>
  <c r="KR94" i="1" s="1"/>
  <c r="KQ95" i="1"/>
  <c r="KR95" i="1"/>
  <c r="KQ96" i="1"/>
  <c r="KR96" i="1"/>
  <c r="KQ97" i="1"/>
  <c r="KR97" i="1" s="1"/>
  <c r="KO60" i="1"/>
  <c r="KP60" i="1" s="1"/>
  <c r="KO66" i="1"/>
  <c r="KP66" i="1"/>
  <c r="KO64" i="1"/>
  <c r="KP64" i="1"/>
  <c r="KO3" i="1"/>
  <c r="KP3" i="1" s="1"/>
  <c r="KO4" i="1"/>
  <c r="KP4" i="1" s="1"/>
  <c r="KO5" i="1"/>
  <c r="KP5" i="1"/>
  <c r="KO6" i="1"/>
  <c r="KP6" i="1"/>
  <c r="KO7" i="1"/>
  <c r="KP7" i="1" s="1"/>
  <c r="KO8" i="1"/>
  <c r="KP8" i="1" s="1"/>
  <c r="KO9" i="1"/>
  <c r="KP9" i="1"/>
  <c r="KO10" i="1"/>
  <c r="KP10" i="1"/>
  <c r="KO11" i="1"/>
  <c r="KP11" i="1" s="1"/>
  <c r="KO12" i="1"/>
  <c r="KP12" i="1" s="1"/>
  <c r="KO13" i="1"/>
  <c r="KP13" i="1"/>
  <c r="KO14" i="1"/>
  <c r="KP14" i="1"/>
  <c r="KO15" i="1"/>
  <c r="KP15" i="1" s="1"/>
  <c r="KO16" i="1"/>
  <c r="KP16" i="1" s="1"/>
  <c r="KO17" i="1"/>
  <c r="KP17" i="1"/>
  <c r="KO18" i="1"/>
  <c r="KP18" i="1"/>
  <c r="KO19" i="1"/>
  <c r="KP19" i="1" s="1"/>
  <c r="KO20" i="1"/>
  <c r="KP20" i="1" s="1"/>
  <c r="KO21" i="1"/>
  <c r="KP21" i="1"/>
  <c r="KO22" i="1"/>
  <c r="KP22" i="1"/>
  <c r="KO23" i="1"/>
  <c r="KP23" i="1" s="1"/>
  <c r="KO24" i="1"/>
  <c r="KP24" i="1" s="1"/>
  <c r="KO25" i="1"/>
  <c r="KP25" i="1" s="1"/>
  <c r="KO26" i="1"/>
  <c r="KP26" i="1"/>
  <c r="KO27" i="1"/>
  <c r="KP27" i="1" s="1"/>
  <c r="KO28" i="1"/>
  <c r="KP28" i="1" s="1"/>
  <c r="KO29" i="1"/>
  <c r="KP29" i="1" s="1"/>
  <c r="KO30" i="1"/>
  <c r="KP30" i="1"/>
  <c r="KO31" i="1"/>
  <c r="KP31" i="1" s="1"/>
  <c r="KO32" i="1"/>
  <c r="KP32" i="1" s="1"/>
  <c r="KO33" i="1"/>
  <c r="KP33" i="1" s="1"/>
  <c r="KO34" i="1"/>
  <c r="KP34" i="1"/>
  <c r="KO35" i="1"/>
  <c r="KP35" i="1" s="1"/>
  <c r="KO36" i="1"/>
  <c r="KP36" i="1" s="1"/>
  <c r="KO37" i="1"/>
  <c r="KP37" i="1" s="1"/>
  <c r="KO38" i="1"/>
  <c r="KP38" i="1"/>
  <c r="KO39" i="1"/>
  <c r="KP39" i="1" s="1"/>
  <c r="KO40" i="1"/>
  <c r="KP40" i="1" s="1"/>
  <c r="KO41" i="1"/>
  <c r="KP41" i="1" s="1"/>
  <c r="KO42" i="1"/>
  <c r="KP42" i="1"/>
  <c r="KO43" i="1"/>
  <c r="KP43" i="1" s="1"/>
  <c r="KO44" i="1"/>
  <c r="KP44" i="1" s="1"/>
  <c r="KO45" i="1"/>
  <c r="KP45" i="1" s="1"/>
  <c r="KO46" i="1"/>
  <c r="KP46" i="1"/>
  <c r="KO47" i="1"/>
  <c r="KP47" i="1" s="1"/>
  <c r="KO48" i="1"/>
  <c r="KP48" i="1" s="1"/>
  <c r="KO49" i="1"/>
  <c r="KP49" i="1" s="1"/>
  <c r="KO50" i="1"/>
  <c r="KP50" i="1"/>
  <c r="KO51" i="1"/>
  <c r="KP51" i="1" s="1"/>
  <c r="KO52" i="1"/>
  <c r="KP52" i="1" s="1"/>
  <c r="KO53" i="1"/>
  <c r="KP53" i="1" s="1"/>
  <c r="KO54" i="1"/>
  <c r="KP54" i="1"/>
  <c r="KO55" i="1"/>
  <c r="KP55" i="1" s="1"/>
  <c r="KO56" i="1"/>
  <c r="KP56" i="1" s="1"/>
  <c r="KO57" i="1"/>
  <c r="KP57" i="1" s="1"/>
  <c r="KO58" i="1"/>
  <c r="KP58" i="1"/>
  <c r="KO59" i="1"/>
  <c r="KP59" i="1" s="1"/>
  <c r="KO61" i="1"/>
  <c r="KP61" i="1" s="1"/>
  <c r="KO62" i="1"/>
  <c r="KP62" i="1" s="1"/>
  <c r="KO63" i="1"/>
  <c r="KP63" i="1"/>
  <c r="KO65" i="1"/>
  <c r="KP65" i="1" s="1"/>
  <c r="KO67" i="1"/>
  <c r="KP67" i="1"/>
  <c r="KO68" i="1"/>
  <c r="KP68" i="1" s="1"/>
  <c r="KO69" i="1"/>
  <c r="KP69" i="1"/>
  <c r="KO70" i="1"/>
  <c r="KP70" i="1" s="1"/>
  <c r="KO71" i="1"/>
  <c r="KP71" i="1" s="1"/>
  <c r="KO72" i="1"/>
  <c r="KP72" i="1" s="1"/>
  <c r="KO73" i="1"/>
  <c r="KP73" i="1"/>
  <c r="KO74" i="1"/>
  <c r="KP74" i="1" s="1"/>
  <c r="KO75" i="1"/>
  <c r="KP75" i="1" s="1"/>
  <c r="KO76" i="1"/>
  <c r="KP76" i="1" s="1"/>
  <c r="KO77" i="1"/>
  <c r="KP77" i="1"/>
  <c r="KO78" i="1"/>
  <c r="KP78" i="1" s="1"/>
  <c r="KO80" i="1"/>
  <c r="KP80" i="1" s="1"/>
  <c r="KO81" i="1"/>
  <c r="KP81" i="1"/>
  <c r="KO82" i="1"/>
  <c r="KP82" i="1" s="1"/>
  <c r="KO83" i="1"/>
  <c r="KP83" i="1" s="1"/>
  <c r="KO84" i="1"/>
  <c r="KP84" i="1" s="1"/>
  <c r="KO85" i="1"/>
  <c r="KP85" i="1"/>
  <c r="KO86" i="1"/>
  <c r="KP86" i="1" s="1"/>
  <c r="KO87" i="1"/>
  <c r="KP87" i="1" s="1"/>
  <c r="KO88" i="1"/>
  <c r="KP88" i="1" s="1"/>
  <c r="KO89" i="1"/>
  <c r="KP89" i="1"/>
  <c r="KO90" i="1"/>
  <c r="KP90" i="1" s="1"/>
  <c r="KO91" i="1"/>
  <c r="KP91" i="1" s="1"/>
  <c r="KO92" i="1"/>
  <c r="KP92" i="1" s="1"/>
  <c r="KO93" i="1"/>
  <c r="KP93" i="1"/>
  <c r="KO94" i="1"/>
  <c r="KP94" i="1" s="1"/>
  <c r="KO95" i="1"/>
  <c r="KP95" i="1" s="1"/>
  <c r="KO96" i="1"/>
  <c r="KP96" i="1" s="1"/>
  <c r="KO97" i="1"/>
  <c r="KP97" i="1"/>
  <c r="KM60" i="1"/>
  <c r="KN60" i="1" s="1"/>
  <c r="KM66" i="1"/>
  <c r="KN66" i="1"/>
  <c r="KM64" i="1"/>
  <c r="KN64" i="1"/>
  <c r="KM30" i="1"/>
  <c r="KN30" i="1" s="1"/>
  <c r="KM3" i="1"/>
  <c r="KN3" i="1" s="1"/>
  <c r="KM4" i="1"/>
  <c r="KN4" i="1"/>
  <c r="KM5" i="1"/>
  <c r="KN5" i="1"/>
  <c r="KM6" i="1"/>
  <c r="KN6" i="1" s="1"/>
  <c r="KM7" i="1"/>
  <c r="KN7" i="1" s="1"/>
  <c r="KM8" i="1"/>
  <c r="KN8" i="1"/>
  <c r="KM9" i="1"/>
  <c r="KN9" i="1"/>
  <c r="KM10" i="1"/>
  <c r="KN10" i="1" s="1"/>
  <c r="KM11" i="1"/>
  <c r="KN11" i="1" s="1"/>
  <c r="KM12" i="1"/>
  <c r="KN12" i="1"/>
  <c r="KM13" i="1"/>
  <c r="KN13" i="1"/>
  <c r="KM14" i="1"/>
  <c r="KN14" i="1" s="1"/>
  <c r="KM15" i="1"/>
  <c r="KN15" i="1" s="1"/>
  <c r="KM16" i="1"/>
  <c r="KN16" i="1"/>
  <c r="KM17" i="1"/>
  <c r="KN17" i="1"/>
  <c r="KM18" i="1"/>
  <c r="KN18" i="1" s="1"/>
  <c r="KM19" i="1"/>
  <c r="KN19" i="1" s="1"/>
  <c r="KM20" i="1"/>
  <c r="KN20" i="1"/>
  <c r="KM21" i="1"/>
  <c r="KN21" i="1"/>
  <c r="KM22" i="1"/>
  <c r="KN22" i="1" s="1"/>
  <c r="KM23" i="1"/>
  <c r="KN23" i="1" s="1"/>
  <c r="KM24" i="1"/>
  <c r="KN24" i="1"/>
  <c r="KM25" i="1"/>
  <c r="KN25" i="1"/>
  <c r="KM26" i="1"/>
  <c r="KN26" i="1" s="1"/>
  <c r="KM27" i="1"/>
  <c r="KN27" i="1" s="1"/>
  <c r="KM28" i="1"/>
  <c r="KN28" i="1"/>
  <c r="KM29" i="1"/>
  <c r="KN29" i="1"/>
  <c r="KM31" i="1"/>
  <c r="KN31" i="1" s="1"/>
  <c r="KM32" i="1"/>
  <c r="KN32" i="1" s="1"/>
  <c r="KM33" i="1"/>
  <c r="KN33" i="1"/>
  <c r="KM34" i="1"/>
  <c r="KM35" i="1"/>
  <c r="KN35" i="1" s="1"/>
  <c r="KM36" i="1"/>
  <c r="KN36" i="1" s="1"/>
  <c r="KM37" i="1"/>
  <c r="KN37" i="1"/>
  <c r="KM38" i="1"/>
  <c r="KN38" i="1"/>
  <c r="KM39" i="1"/>
  <c r="KN39" i="1" s="1"/>
  <c r="KM40" i="1"/>
  <c r="KN40" i="1" s="1"/>
  <c r="KM41" i="1"/>
  <c r="KN41" i="1"/>
  <c r="KM42" i="1"/>
  <c r="KN42" i="1"/>
  <c r="KM43" i="1"/>
  <c r="KN43" i="1" s="1"/>
  <c r="KM44" i="1"/>
  <c r="KN44" i="1" s="1"/>
  <c r="KM45" i="1"/>
  <c r="KN45" i="1"/>
  <c r="KM46" i="1"/>
  <c r="KN46" i="1"/>
  <c r="KM47" i="1"/>
  <c r="KN47" i="1" s="1"/>
  <c r="KM48" i="1"/>
  <c r="KN48" i="1" s="1"/>
  <c r="KM49" i="1"/>
  <c r="KN49" i="1"/>
  <c r="KM50" i="1"/>
  <c r="KN50" i="1"/>
  <c r="KM51" i="1"/>
  <c r="KN51" i="1" s="1"/>
  <c r="KM52" i="1"/>
  <c r="KN52" i="1" s="1"/>
  <c r="KM53" i="1"/>
  <c r="KN53" i="1"/>
  <c r="KM54" i="1"/>
  <c r="KN54" i="1"/>
  <c r="KM55" i="1"/>
  <c r="KN55" i="1" s="1"/>
  <c r="KM56" i="1"/>
  <c r="KN56" i="1"/>
  <c r="KM57" i="1"/>
  <c r="KN57" i="1"/>
  <c r="KM58" i="1"/>
  <c r="KN58" i="1"/>
  <c r="KM59" i="1"/>
  <c r="KN59" i="1" s="1"/>
  <c r="KM61" i="1"/>
  <c r="KN61" i="1"/>
  <c r="KM62" i="1"/>
  <c r="KN62" i="1"/>
  <c r="KM63" i="1"/>
  <c r="KN63" i="1"/>
  <c r="KM65" i="1"/>
  <c r="KN65" i="1" s="1"/>
  <c r="KM67" i="1"/>
  <c r="KN67" i="1" s="1"/>
  <c r="KM68" i="1"/>
  <c r="KN68" i="1"/>
  <c r="KM69" i="1"/>
  <c r="KN69" i="1"/>
  <c r="KM70" i="1"/>
  <c r="KN70" i="1" s="1"/>
  <c r="KM71" i="1"/>
  <c r="KN71" i="1" s="1"/>
  <c r="KM72" i="1"/>
  <c r="KN72" i="1"/>
  <c r="KM73" i="1"/>
  <c r="KN73" i="1"/>
  <c r="KM74" i="1"/>
  <c r="KN74" i="1" s="1"/>
  <c r="KM75" i="1"/>
  <c r="KN75" i="1" s="1"/>
  <c r="KM76" i="1"/>
  <c r="KN76" i="1"/>
  <c r="KM77" i="1"/>
  <c r="KN77" i="1"/>
  <c r="KM78" i="1"/>
  <c r="KN78" i="1" s="1"/>
  <c r="KM79" i="1"/>
  <c r="KM80" i="1"/>
  <c r="KN80" i="1"/>
  <c r="KM81" i="1"/>
  <c r="KN81" i="1"/>
  <c r="KM82" i="1"/>
  <c r="KN82" i="1" s="1"/>
  <c r="KM83" i="1"/>
  <c r="KN83" i="1" s="1"/>
  <c r="KM84" i="1"/>
  <c r="KN84" i="1"/>
  <c r="KM85" i="1"/>
  <c r="KN85" i="1"/>
  <c r="KM86" i="1"/>
  <c r="KN86" i="1" s="1"/>
  <c r="KM87" i="1"/>
  <c r="KN87" i="1" s="1"/>
  <c r="KM88" i="1"/>
  <c r="KN88" i="1"/>
  <c r="KM89" i="1"/>
  <c r="KN89" i="1"/>
  <c r="KM90" i="1"/>
  <c r="KN90" i="1" s="1"/>
  <c r="KM91" i="1"/>
  <c r="KN91" i="1" s="1"/>
  <c r="KM92" i="1"/>
  <c r="KN92" i="1"/>
  <c r="KM93" i="1"/>
  <c r="KN93" i="1"/>
  <c r="KM94" i="1"/>
  <c r="KN94" i="1" s="1"/>
  <c r="KM95" i="1"/>
  <c r="KN95" i="1" s="1"/>
  <c r="KM96" i="1"/>
  <c r="KN96" i="1"/>
  <c r="KM97" i="1"/>
  <c r="KN97" i="1"/>
  <c r="KK60" i="1"/>
  <c r="KL60" i="1" s="1"/>
  <c r="KK66" i="1"/>
  <c r="KL66" i="1" s="1"/>
  <c r="KK64" i="1"/>
  <c r="KL64" i="1" s="1"/>
  <c r="KK3" i="1"/>
  <c r="KL3" i="1"/>
  <c r="KK4" i="1"/>
  <c r="KL4" i="1" s="1"/>
  <c r="KK5" i="1"/>
  <c r="KL5" i="1" s="1"/>
  <c r="KK6" i="1"/>
  <c r="KL6" i="1" s="1"/>
  <c r="KK7" i="1"/>
  <c r="KL7" i="1"/>
  <c r="KK8" i="1"/>
  <c r="KL8" i="1" s="1"/>
  <c r="KK9" i="1"/>
  <c r="KL9" i="1" s="1"/>
  <c r="KK10" i="1"/>
  <c r="KL10" i="1" s="1"/>
  <c r="KK11" i="1"/>
  <c r="KL11" i="1"/>
  <c r="KK12" i="1"/>
  <c r="KL12" i="1" s="1"/>
  <c r="KK13" i="1"/>
  <c r="KL13" i="1" s="1"/>
  <c r="KK14" i="1"/>
  <c r="KL14" i="1" s="1"/>
  <c r="KK15" i="1"/>
  <c r="KL15" i="1"/>
  <c r="KK16" i="1"/>
  <c r="KL16" i="1" s="1"/>
  <c r="KK17" i="1"/>
  <c r="KL17" i="1" s="1"/>
  <c r="KK18" i="1"/>
  <c r="KL18" i="1" s="1"/>
  <c r="KK19" i="1"/>
  <c r="KL19" i="1"/>
  <c r="KK20" i="1"/>
  <c r="KL20" i="1" s="1"/>
  <c r="KK21" i="1"/>
  <c r="KL21" i="1" s="1"/>
  <c r="KK22" i="1"/>
  <c r="KL22" i="1" s="1"/>
  <c r="KK23" i="1"/>
  <c r="KL23" i="1"/>
  <c r="KK24" i="1"/>
  <c r="KL24" i="1" s="1"/>
  <c r="KK25" i="1"/>
  <c r="KL25" i="1" s="1"/>
  <c r="KK26" i="1"/>
  <c r="KL26" i="1" s="1"/>
  <c r="KK27" i="1"/>
  <c r="KL27" i="1"/>
  <c r="KK28" i="1"/>
  <c r="KL28" i="1" s="1"/>
  <c r="KK29" i="1"/>
  <c r="KL29" i="1" s="1"/>
  <c r="KK30" i="1"/>
  <c r="KL30" i="1" s="1"/>
  <c r="KK31" i="1"/>
  <c r="KL31" i="1"/>
  <c r="KK32" i="1"/>
  <c r="KL32" i="1" s="1"/>
  <c r="KK33" i="1"/>
  <c r="KL33" i="1" s="1"/>
  <c r="KK34" i="1"/>
  <c r="KL34" i="1" s="1"/>
  <c r="KK35" i="1"/>
  <c r="KL35" i="1"/>
  <c r="KK36" i="1"/>
  <c r="KL36" i="1" s="1"/>
  <c r="KK37" i="1"/>
  <c r="KL37" i="1" s="1"/>
  <c r="KK38" i="1"/>
  <c r="KL38" i="1" s="1"/>
  <c r="KK39" i="1"/>
  <c r="KL39" i="1"/>
  <c r="KK40" i="1"/>
  <c r="KL40" i="1" s="1"/>
  <c r="KK41" i="1"/>
  <c r="KL41" i="1" s="1"/>
  <c r="KK42" i="1"/>
  <c r="KL42" i="1" s="1"/>
  <c r="KK43" i="1"/>
  <c r="KL43" i="1"/>
  <c r="KK44" i="1"/>
  <c r="KL44" i="1" s="1"/>
  <c r="KK45" i="1"/>
  <c r="KL45" i="1" s="1"/>
  <c r="KK46" i="1"/>
  <c r="KL46" i="1" s="1"/>
  <c r="KK47" i="1"/>
  <c r="KL47" i="1"/>
  <c r="KK48" i="1"/>
  <c r="KL48" i="1" s="1"/>
  <c r="KK49" i="1"/>
  <c r="KL49" i="1" s="1"/>
  <c r="KK50" i="1"/>
  <c r="KL50" i="1" s="1"/>
  <c r="KK51" i="1"/>
  <c r="KL51" i="1"/>
  <c r="KK52" i="1"/>
  <c r="KL52" i="1" s="1"/>
  <c r="KK53" i="1"/>
  <c r="KL53" i="1" s="1"/>
  <c r="KK54" i="1"/>
  <c r="KL54" i="1" s="1"/>
  <c r="KK55" i="1"/>
  <c r="KL55" i="1"/>
  <c r="KK56" i="1"/>
  <c r="KL56" i="1" s="1"/>
  <c r="KK57" i="1"/>
  <c r="KL57" i="1" s="1"/>
  <c r="KK58" i="1"/>
  <c r="KL58" i="1" s="1"/>
  <c r="KK59" i="1"/>
  <c r="KL59" i="1"/>
  <c r="KK61" i="1"/>
  <c r="KL61" i="1" s="1"/>
  <c r="KK62" i="1"/>
  <c r="KL62" i="1" s="1"/>
  <c r="KK63" i="1"/>
  <c r="KL63" i="1" s="1"/>
  <c r="KK65" i="1"/>
  <c r="KL65" i="1"/>
  <c r="KK67" i="1"/>
  <c r="KL67" i="1" s="1"/>
  <c r="KK68" i="1"/>
  <c r="KL68" i="1" s="1"/>
  <c r="KK69" i="1"/>
  <c r="KL69" i="1" s="1"/>
  <c r="KK70" i="1"/>
  <c r="KL70" i="1"/>
  <c r="KK71" i="1"/>
  <c r="KL71" i="1" s="1"/>
  <c r="KK72" i="1"/>
  <c r="KL72" i="1" s="1"/>
  <c r="KK73" i="1"/>
  <c r="KL73" i="1" s="1"/>
  <c r="KK74" i="1"/>
  <c r="KL74" i="1"/>
  <c r="KK75" i="1"/>
  <c r="KL75" i="1" s="1"/>
  <c r="KK76" i="1"/>
  <c r="KL76" i="1" s="1"/>
  <c r="KK77" i="1"/>
  <c r="KL77" i="1" s="1"/>
  <c r="KK78" i="1"/>
  <c r="KL78" i="1"/>
  <c r="KK80" i="1"/>
  <c r="KL80" i="1" s="1"/>
  <c r="KK81" i="1"/>
  <c r="KL81" i="1" s="1"/>
  <c r="KK82" i="1"/>
  <c r="KL82" i="1"/>
  <c r="KK83" i="1"/>
  <c r="KL83" i="1" s="1"/>
  <c r="KK84" i="1"/>
  <c r="KL84" i="1" s="1"/>
  <c r="KK85" i="1"/>
  <c r="KL85" i="1" s="1"/>
  <c r="KK86" i="1"/>
  <c r="KL86" i="1"/>
  <c r="KK87" i="1"/>
  <c r="KL87" i="1" s="1"/>
  <c r="KK88" i="1"/>
  <c r="KL88" i="1" s="1"/>
  <c r="KK89" i="1"/>
  <c r="KL89" i="1" s="1"/>
  <c r="KK90" i="1"/>
  <c r="KL90" i="1"/>
  <c r="KK91" i="1"/>
  <c r="KL91" i="1" s="1"/>
  <c r="KK92" i="1"/>
  <c r="KL92" i="1" s="1"/>
  <c r="KK93" i="1"/>
  <c r="KL93" i="1" s="1"/>
  <c r="KK94" i="1"/>
  <c r="KL94" i="1"/>
  <c r="KK95" i="1"/>
  <c r="KL95" i="1" s="1"/>
  <c r="KK96" i="1"/>
  <c r="KL96" i="1" s="1"/>
  <c r="KK97" i="1"/>
  <c r="KL97" i="1" s="1"/>
  <c r="KG60" i="1"/>
  <c r="KH60" i="1" s="1"/>
  <c r="KG66" i="1"/>
  <c r="KH66" i="1"/>
  <c r="KG64" i="1"/>
  <c r="KH64" i="1"/>
  <c r="KG15" i="1"/>
  <c r="KH15" i="1"/>
  <c r="KG3" i="1"/>
  <c r="KH3" i="1" s="1"/>
  <c r="KG4" i="1"/>
  <c r="KH4" i="1"/>
  <c r="KG5" i="1"/>
  <c r="KH5" i="1"/>
  <c r="KG6" i="1"/>
  <c r="KH6" i="1"/>
  <c r="KG7" i="1"/>
  <c r="KH7" i="1" s="1"/>
  <c r="KG8" i="1"/>
  <c r="KH8" i="1"/>
  <c r="KG9" i="1"/>
  <c r="KH9" i="1"/>
  <c r="KG10" i="1"/>
  <c r="KH10" i="1"/>
  <c r="KG11" i="1"/>
  <c r="KH11" i="1" s="1"/>
  <c r="KG12" i="1"/>
  <c r="KH12" i="1"/>
  <c r="KG13" i="1"/>
  <c r="KH13" i="1"/>
  <c r="KG14" i="1"/>
  <c r="KH14" i="1"/>
  <c r="KG16" i="1"/>
  <c r="KH16" i="1" s="1"/>
  <c r="KG17" i="1"/>
  <c r="KH17" i="1"/>
  <c r="KG18" i="1"/>
  <c r="KH18" i="1"/>
  <c r="KG19" i="1"/>
  <c r="KH19" i="1"/>
  <c r="KG20" i="1"/>
  <c r="KH20" i="1" s="1"/>
  <c r="KG21" i="1"/>
  <c r="KH21" i="1"/>
  <c r="KG22" i="1"/>
  <c r="KH22" i="1"/>
  <c r="KG23" i="1"/>
  <c r="KH23" i="1"/>
  <c r="KG24" i="1"/>
  <c r="KH24" i="1" s="1"/>
  <c r="KG25" i="1"/>
  <c r="KH25" i="1" s="1"/>
  <c r="KG26" i="1"/>
  <c r="KH26" i="1"/>
  <c r="KG27" i="1"/>
  <c r="KH27" i="1"/>
  <c r="KG28" i="1"/>
  <c r="KH28" i="1" s="1"/>
  <c r="KG29" i="1"/>
  <c r="KH29" i="1" s="1"/>
  <c r="KG30" i="1"/>
  <c r="KH30" i="1"/>
  <c r="KG31" i="1"/>
  <c r="KH31" i="1"/>
  <c r="KG32" i="1"/>
  <c r="KH32" i="1" s="1"/>
  <c r="KG33" i="1"/>
  <c r="KH33" i="1" s="1"/>
  <c r="KG34" i="1"/>
  <c r="KH34" i="1"/>
  <c r="KG35" i="1"/>
  <c r="KH35" i="1"/>
  <c r="KG36" i="1"/>
  <c r="KH36" i="1" s="1"/>
  <c r="KG37" i="1"/>
  <c r="KH37" i="1" s="1"/>
  <c r="KG38" i="1"/>
  <c r="KH38" i="1"/>
  <c r="KG39" i="1"/>
  <c r="KH39" i="1"/>
  <c r="KG40" i="1"/>
  <c r="KH40" i="1" s="1"/>
  <c r="KG41" i="1"/>
  <c r="KH41" i="1" s="1"/>
  <c r="KG42" i="1"/>
  <c r="KH42" i="1"/>
  <c r="KG43" i="1"/>
  <c r="KH43" i="1"/>
  <c r="KG44" i="1"/>
  <c r="KH44" i="1" s="1"/>
  <c r="KG45" i="1"/>
  <c r="KH45" i="1" s="1"/>
  <c r="KG46" i="1"/>
  <c r="KH46" i="1"/>
  <c r="KG47" i="1"/>
  <c r="KH47" i="1"/>
  <c r="KG48" i="1"/>
  <c r="KH48" i="1" s="1"/>
  <c r="KG49" i="1"/>
  <c r="KH49" i="1"/>
  <c r="KG50" i="1"/>
  <c r="KH50" i="1"/>
  <c r="KG51" i="1"/>
  <c r="KH51" i="1"/>
  <c r="KG52" i="1"/>
  <c r="KH52" i="1" s="1"/>
  <c r="KG53" i="1"/>
  <c r="KH53" i="1" s="1"/>
  <c r="KG54" i="1"/>
  <c r="KH54" i="1"/>
  <c r="KG55" i="1"/>
  <c r="KH55" i="1"/>
  <c r="KG56" i="1"/>
  <c r="KH56" i="1" s="1"/>
  <c r="KG57" i="1"/>
  <c r="KH57" i="1" s="1"/>
  <c r="KG58" i="1"/>
  <c r="KH58" i="1"/>
  <c r="KG59" i="1"/>
  <c r="KH59" i="1"/>
  <c r="KG61" i="1"/>
  <c r="KH61" i="1" s="1"/>
  <c r="KG62" i="1"/>
  <c r="KH62" i="1" s="1"/>
  <c r="KG63" i="1"/>
  <c r="KH63" i="1"/>
  <c r="KG65" i="1"/>
  <c r="KH65" i="1"/>
  <c r="KG67" i="1"/>
  <c r="KH67" i="1" s="1"/>
  <c r="KG68" i="1"/>
  <c r="KH68" i="1" s="1"/>
  <c r="KG69" i="1"/>
  <c r="KH69" i="1"/>
  <c r="KG70" i="1"/>
  <c r="KH70" i="1"/>
  <c r="KG71" i="1"/>
  <c r="KH71" i="1" s="1"/>
  <c r="KG72" i="1"/>
  <c r="KH72" i="1" s="1"/>
  <c r="KG73" i="1"/>
  <c r="KH73" i="1"/>
  <c r="KG74" i="1"/>
  <c r="KH74" i="1"/>
  <c r="KG75" i="1"/>
  <c r="KH75" i="1" s="1"/>
  <c r="KG76" i="1"/>
  <c r="KH76" i="1" s="1"/>
  <c r="KG77" i="1"/>
  <c r="KH77" i="1"/>
  <c r="KG78" i="1"/>
  <c r="KH78" i="1"/>
  <c r="KG79" i="1"/>
  <c r="KH79" i="1" s="1"/>
  <c r="KG80" i="1"/>
  <c r="KH80" i="1" s="1"/>
  <c r="KG81" i="1"/>
  <c r="KH81" i="1"/>
  <c r="KG82" i="1"/>
  <c r="KH82" i="1"/>
  <c r="KG83" i="1"/>
  <c r="KH83" i="1" s="1"/>
  <c r="KG84" i="1"/>
  <c r="KH84" i="1" s="1"/>
  <c r="KG85" i="1"/>
  <c r="KH85" i="1"/>
  <c r="KG86" i="1"/>
  <c r="KH86" i="1"/>
  <c r="KG87" i="1"/>
  <c r="KH87" i="1" s="1"/>
  <c r="KG88" i="1"/>
  <c r="KH88" i="1" s="1"/>
  <c r="KG89" i="1"/>
  <c r="KH89" i="1"/>
  <c r="KG90" i="1"/>
  <c r="KH90" i="1"/>
  <c r="KG91" i="1"/>
  <c r="KH91" i="1" s="1"/>
  <c r="KG92" i="1"/>
  <c r="KH92" i="1" s="1"/>
  <c r="KG93" i="1"/>
  <c r="KH93" i="1"/>
  <c r="KG94" i="1"/>
  <c r="KH94" i="1"/>
  <c r="KG95" i="1"/>
  <c r="KH95" i="1" s="1"/>
  <c r="KG96" i="1"/>
  <c r="KH96" i="1" s="1"/>
  <c r="KG97" i="1"/>
  <c r="KH97" i="1"/>
  <c r="KE60" i="1"/>
  <c r="KF60" i="1"/>
  <c r="KE66" i="1"/>
  <c r="KF66" i="1" s="1"/>
  <c r="KE64" i="1"/>
  <c r="KF64" i="1" s="1"/>
  <c r="KE3" i="1"/>
  <c r="KF3" i="1" s="1"/>
  <c r="KE4" i="1"/>
  <c r="KF4" i="1"/>
  <c r="KE5" i="1"/>
  <c r="KF5" i="1" s="1"/>
  <c r="KE6" i="1"/>
  <c r="KF6" i="1" s="1"/>
  <c r="KE7" i="1"/>
  <c r="KF7" i="1" s="1"/>
  <c r="KE8" i="1"/>
  <c r="KF8" i="1"/>
  <c r="KE9" i="1"/>
  <c r="KF9" i="1" s="1"/>
  <c r="KE10" i="1"/>
  <c r="KF10" i="1" s="1"/>
  <c r="KE11" i="1"/>
  <c r="KF11" i="1" s="1"/>
  <c r="KE12" i="1"/>
  <c r="KF12" i="1" s="1"/>
  <c r="KE13" i="1"/>
  <c r="KF13" i="1" s="1"/>
  <c r="KE14" i="1"/>
  <c r="KF14" i="1" s="1"/>
  <c r="KE15" i="1"/>
  <c r="KF15" i="1" s="1"/>
  <c r="KE16" i="1"/>
  <c r="KF16" i="1"/>
  <c r="KE17" i="1"/>
  <c r="KF17" i="1" s="1"/>
  <c r="KE18" i="1"/>
  <c r="KF18" i="1" s="1"/>
  <c r="KE19" i="1"/>
  <c r="KF19" i="1" s="1"/>
  <c r="KE20" i="1"/>
  <c r="KF20" i="1" s="1"/>
  <c r="KE21" i="1"/>
  <c r="KF21" i="1" s="1"/>
  <c r="KE22" i="1"/>
  <c r="KF22" i="1" s="1"/>
  <c r="KE23" i="1"/>
  <c r="KF23" i="1" s="1"/>
  <c r="KE24" i="1"/>
  <c r="KF24" i="1"/>
  <c r="KE25" i="1"/>
  <c r="KF25" i="1" s="1"/>
  <c r="KE26" i="1"/>
  <c r="KF26" i="1" s="1"/>
  <c r="KE27" i="1"/>
  <c r="KF27" i="1" s="1"/>
  <c r="KE28" i="1"/>
  <c r="KF28" i="1" s="1"/>
  <c r="KE29" i="1"/>
  <c r="KF29" i="1" s="1"/>
  <c r="KE30" i="1"/>
  <c r="KF30" i="1" s="1"/>
  <c r="KE31" i="1"/>
  <c r="KF31" i="1" s="1"/>
  <c r="KE32" i="1"/>
  <c r="KF32" i="1"/>
  <c r="KE33" i="1"/>
  <c r="KF33" i="1" s="1"/>
  <c r="KE34" i="1"/>
  <c r="KF34" i="1" s="1"/>
  <c r="KE35" i="1"/>
  <c r="KF35" i="1" s="1"/>
  <c r="KE36" i="1"/>
  <c r="KF36" i="1"/>
  <c r="KE37" i="1"/>
  <c r="KF37" i="1" s="1"/>
  <c r="KE38" i="1"/>
  <c r="KF38" i="1" s="1"/>
  <c r="KE39" i="1"/>
  <c r="KF39" i="1" s="1"/>
  <c r="KE40" i="1"/>
  <c r="KF40" i="1"/>
  <c r="KE41" i="1"/>
  <c r="KF41" i="1" s="1"/>
  <c r="KE42" i="1"/>
  <c r="KF42" i="1" s="1"/>
  <c r="KE43" i="1"/>
  <c r="KF43" i="1" s="1"/>
  <c r="KE44" i="1"/>
  <c r="KF44" i="1" s="1"/>
  <c r="KE45" i="1"/>
  <c r="KF45" i="1" s="1"/>
  <c r="KE46" i="1"/>
  <c r="KF46" i="1" s="1"/>
  <c r="KE47" i="1"/>
  <c r="KF47" i="1" s="1"/>
  <c r="KE48" i="1"/>
  <c r="KF48" i="1"/>
  <c r="KE49" i="1"/>
  <c r="KF49" i="1" s="1"/>
  <c r="KE50" i="1"/>
  <c r="KF50" i="1" s="1"/>
  <c r="KE51" i="1"/>
  <c r="KF51" i="1" s="1"/>
  <c r="KE52" i="1"/>
  <c r="KF52" i="1" s="1"/>
  <c r="KE53" i="1"/>
  <c r="KF53" i="1" s="1"/>
  <c r="KE54" i="1"/>
  <c r="KF54" i="1" s="1"/>
  <c r="KE55" i="1"/>
  <c r="KF55" i="1" s="1"/>
  <c r="KE56" i="1"/>
  <c r="KF56" i="1"/>
  <c r="KE57" i="1"/>
  <c r="KF57" i="1" s="1"/>
  <c r="KE58" i="1"/>
  <c r="KF58" i="1" s="1"/>
  <c r="KE59" i="1"/>
  <c r="KF59" i="1" s="1"/>
  <c r="KE61" i="1"/>
  <c r="KF61" i="1" s="1"/>
  <c r="KE62" i="1"/>
  <c r="KF62" i="1" s="1"/>
  <c r="KE63" i="1"/>
  <c r="KF63" i="1" s="1"/>
  <c r="KE65" i="1"/>
  <c r="KF65" i="1" s="1"/>
  <c r="KE67" i="1"/>
  <c r="KF67" i="1"/>
  <c r="KE68" i="1"/>
  <c r="KF68" i="1" s="1"/>
  <c r="KE69" i="1"/>
  <c r="KF69" i="1" s="1"/>
  <c r="KE70" i="1"/>
  <c r="KF70" i="1" s="1"/>
  <c r="KE71" i="1"/>
  <c r="KF71" i="1"/>
  <c r="KE72" i="1"/>
  <c r="KF72" i="1" s="1"/>
  <c r="KE73" i="1"/>
  <c r="KF73" i="1" s="1"/>
  <c r="KE74" i="1"/>
  <c r="KF74" i="1" s="1"/>
  <c r="KE75" i="1"/>
  <c r="KF75" i="1"/>
  <c r="KE76" i="1"/>
  <c r="KF76" i="1" s="1"/>
  <c r="KE77" i="1"/>
  <c r="KF77" i="1" s="1"/>
  <c r="KE78" i="1"/>
  <c r="KF78" i="1" s="1"/>
  <c r="KE79" i="1"/>
  <c r="KF79" i="1" s="1"/>
  <c r="KE80" i="1"/>
  <c r="KF80" i="1" s="1"/>
  <c r="KE81" i="1"/>
  <c r="KF81" i="1" s="1"/>
  <c r="KE82" i="1"/>
  <c r="KF82" i="1" s="1"/>
  <c r="KE83" i="1"/>
  <c r="KF83" i="1"/>
  <c r="KE84" i="1"/>
  <c r="KF84" i="1" s="1"/>
  <c r="KE85" i="1"/>
  <c r="KF85" i="1" s="1"/>
  <c r="KE86" i="1"/>
  <c r="KF86" i="1" s="1"/>
  <c r="KE87" i="1"/>
  <c r="KF87" i="1" s="1"/>
  <c r="KE88" i="1"/>
  <c r="KF88" i="1" s="1"/>
  <c r="KE89" i="1"/>
  <c r="KF89" i="1" s="1"/>
  <c r="KE90" i="1"/>
  <c r="KF90" i="1" s="1"/>
  <c r="KE91" i="1"/>
  <c r="KF91" i="1"/>
  <c r="KE92" i="1"/>
  <c r="KF92" i="1" s="1"/>
  <c r="KE93" i="1"/>
  <c r="KF93" i="1" s="1"/>
  <c r="KE94" i="1"/>
  <c r="KF94" i="1" s="1"/>
  <c r="KE95" i="1"/>
  <c r="KF95" i="1" s="1"/>
  <c r="KE96" i="1"/>
  <c r="KF96" i="1" s="1"/>
  <c r="KE97" i="1"/>
  <c r="KF97" i="1"/>
  <c r="KC60" i="1"/>
  <c r="KD60" i="1"/>
  <c r="KC66" i="1"/>
  <c r="KD66" i="1" s="1"/>
  <c r="KC64" i="1"/>
  <c r="KD64" i="1"/>
  <c r="KC3" i="1"/>
  <c r="KD3" i="1"/>
  <c r="KC4" i="1"/>
  <c r="KD4" i="1"/>
  <c r="KC5" i="1"/>
  <c r="KD5" i="1" s="1"/>
  <c r="KC6" i="1"/>
  <c r="KD6" i="1"/>
  <c r="KC7" i="1"/>
  <c r="KD7" i="1"/>
  <c r="KC8" i="1"/>
  <c r="KD8" i="1"/>
  <c r="KC9" i="1"/>
  <c r="KD9" i="1" s="1"/>
  <c r="KC10" i="1"/>
  <c r="KD10" i="1"/>
  <c r="KC11" i="1"/>
  <c r="KD11" i="1"/>
  <c r="KC12" i="1"/>
  <c r="KD12" i="1"/>
  <c r="KC13" i="1"/>
  <c r="KD13" i="1" s="1"/>
  <c r="KC14" i="1"/>
  <c r="KD14" i="1"/>
  <c r="KC15" i="1"/>
  <c r="KD15" i="1"/>
  <c r="KC16" i="1"/>
  <c r="KD16" i="1"/>
  <c r="KC17" i="1"/>
  <c r="KD17" i="1" s="1"/>
  <c r="KC18" i="1"/>
  <c r="KD18" i="1" s="1"/>
  <c r="KC19" i="1"/>
  <c r="KD19" i="1"/>
  <c r="KC20" i="1"/>
  <c r="KD20" i="1"/>
  <c r="KC21" i="1"/>
  <c r="KD21" i="1" s="1"/>
  <c r="KC22" i="1"/>
  <c r="KD22" i="1" s="1"/>
  <c r="KC23" i="1"/>
  <c r="KD23" i="1"/>
  <c r="KC24" i="1"/>
  <c r="KD24" i="1"/>
  <c r="KC25" i="1"/>
  <c r="KD25" i="1" s="1"/>
  <c r="KC26" i="1"/>
  <c r="KD26" i="1" s="1"/>
  <c r="KC27" i="1"/>
  <c r="KD27" i="1"/>
  <c r="KC28" i="1"/>
  <c r="KD28" i="1"/>
  <c r="KC29" i="1"/>
  <c r="KD29" i="1" s="1"/>
  <c r="KC30" i="1"/>
  <c r="KD30" i="1" s="1"/>
  <c r="KC31" i="1"/>
  <c r="KD31" i="1"/>
  <c r="KC32" i="1"/>
  <c r="KD32" i="1"/>
  <c r="KC33" i="1"/>
  <c r="KD33" i="1" s="1"/>
  <c r="KC34" i="1"/>
  <c r="KD34" i="1"/>
  <c r="KC35" i="1"/>
  <c r="KD35" i="1"/>
  <c r="KC36" i="1"/>
  <c r="KD36" i="1"/>
  <c r="KC37" i="1"/>
  <c r="KD37" i="1" s="1"/>
  <c r="KC38" i="1"/>
  <c r="KD38" i="1"/>
  <c r="KC39" i="1"/>
  <c r="KD39" i="1"/>
  <c r="KC40" i="1"/>
  <c r="KD40" i="1"/>
  <c r="KC41" i="1"/>
  <c r="KD41" i="1"/>
  <c r="KC42" i="1"/>
  <c r="KD42" i="1" s="1"/>
  <c r="KC43" i="1"/>
  <c r="KD43" i="1" s="1"/>
  <c r="KC44" i="1"/>
  <c r="KD44" i="1" s="1"/>
  <c r="KC45" i="1"/>
  <c r="KD45" i="1"/>
  <c r="KC46" i="1"/>
  <c r="KD46" i="1" s="1"/>
  <c r="KD98" i="1" s="1"/>
  <c r="KC47" i="1"/>
  <c r="KD47" i="1" s="1"/>
  <c r="KC48" i="1"/>
  <c r="KD48" i="1" s="1"/>
  <c r="KC49" i="1"/>
  <c r="KD49" i="1"/>
  <c r="KC50" i="1"/>
  <c r="KD50" i="1" s="1"/>
  <c r="KC51" i="1"/>
  <c r="KD51" i="1" s="1"/>
  <c r="KC52" i="1"/>
  <c r="KD52" i="1" s="1"/>
  <c r="KC53" i="1"/>
  <c r="KD53" i="1"/>
  <c r="KC54" i="1"/>
  <c r="KD54" i="1" s="1"/>
  <c r="KC55" i="1"/>
  <c r="KD55" i="1" s="1"/>
  <c r="KC56" i="1"/>
  <c r="KD56" i="1" s="1"/>
  <c r="KC57" i="1"/>
  <c r="KD57" i="1"/>
  <c r="KC58" i="1"/>
  <c r="KD58" i="1" s="1"/>
  <c r="MT58" i="1" s="1"/>
  <c r="MV58" i="1" s="1"/>
  <c r="KC59" i="1"/>
  <c r="KD59" i="1" s="1"/>
  <c r="KC61" i="1"/>
  <c r="KD61" i="1" s="1"/>
  <c r="KC62" i="1"/>
  <c r="KD62" i="1"/>
  <c r="KC63" i="1"/>
  <c r="KD63" i="1" s="1"/>
  <c r="KC65" i="1"/>
  <c r="KD65" i="1" s="1"/>
  <c r="KC67" i="1"/>
  <c r="KD67" i="1" s="1"/>
  <c r="KC68" i="1"/>
  <c r="KD68" i="1"/>
  <c r="KC69" i="1"/>
  <c r="KD69" i="1" s="1"/>
  <c r="KC70" i="1"/>
  <c r="KD70" i="1" s="1"/>
  <c r="KC71" i="1"/>
  <c r="KD71" i="1" s="1"/>
  <c r="KC72" i="1"/>
  <c r="KD72" i="1"/>
  <c r="KC73" i="1"/>
  <c r="KD73" i="1" s="1"/>
  <c r="KC74" i="1"/>
  <c r="KD74" i="1" s="1"/>
  <c r="KC75" i="1"/>
  <c r="KD75" i="1" s="1"/>
  <c r="KC76" i="1"/>
  <c r="KD76" i="1"/>
  <c r="KC77" i="1"/>
  <c r="KD77" i="1" s="1"/>
  <c r="KC78" i="1"/>
  <c r="KD78" i="1" s="1"/>
  <c r="KC79" i="1"/>
  <c r="KD79" i="1" s="1"/>
  <c r="KC80" i="1"/>
  <c r="KD80" i="1"/>
  <c r="KC81" i="1"/>
  <c r="KD81" i="1" s="1"/>
  <c r="KC82" i="1"/>
  <c r="KD82" i="1" s="1"/>
  <c r="KC83" i="1"/>
  <c r="KD83" i="1" s="1"/>
  <c r="KC84" i="1"/>
  <c r="KD84" i="1"/>
  <c r="KC85" i="1"/>
  <c r="KD85" i="1" s="1"/>
  <c r="KC86" i="1"/>
  <c r="KD86" i="1" s="1"/>
  <c r="KC87" i="1"/>
  <c r="KD87" i="1" s="1"/>
  <c r="KC88" i="1"/>
  <c r="KD88" i="1"/>
  <c r="KC89" i="1"/>
  <c r="KD89" i="1" s="1"/>
  <c r="KC90" i="1"/>
  <c r="KD90" i="1" s="1"/>
  <c r="KC91" i="1"/>
  <c r="KD91" i="1" s="1"/>
  <c r="KC92" i="1"/>
  <c r="KD92" i="1"/>
  <c r="KC93" i="1"/>
  <c r="KD93" i="1" s="1"/>
  <c r="KC94" i="1"/>
  <c r="KD94" i="1" s="1"/>
  <c r="KC95" i="1"/>
  <c r="KD95" i="1" s="1"/>
  <c r="KC96" i="1"/>
  <c r="KD96" i="1"/>
  <c r="KC97" i="1"/>
  <c r="KD97" i="1" s="1"/>
  <c r="KA60" i="1"/>
  <c r="KB60" i="1"/>
  <c r="KA66" i="1"/>
  <c r="KB66" i="1"/>
  <c r="KA64" i="1"/>
  <c r="KB64" i="1" s="1"/>
  <c r="KA3" i="1"/>
  <c r="KB3" i="1"/>
  <c r="KA4" i="1"/>
  <c r="KB4" i="1"/>
  <c r="KA5" i="1"/>
  <c r="KB5" i="1"/>
  <c r="KA6" i="1"/>
  <c r="KB6" i="1" s="1"/>
  <c r="KA7" i="1"/>
  <c r="KB7" i="1"/>
  <c r="KA8" i="1"/>
  <c r="KB8" i="1"/>
  <c r="KA9" i="1"/>
  <c r="KB9" i="1"/>
  <c r="KA10" i="1"/>
  <c r="KB10" i="1" s="1"/>
  <c r="KA11" i="1"/>
  <c r="KB11" i="1"/>
  <c r="KA12" i="1"/>
  <c r="KB12" i="1"/>
  <c r="KA13" i="1"/>
  <c r="KB13" i="1"/>
  <c r="KA14" i="1"/>
  <c r="KB14" i="1" s="1"/>
  <c r="KA15" i="1"/>
  <c r="KB15" i="1"/>
  <c r="KA16" i="1"/>
  <c r="KB16" i="1"/>
  <c r="KA17" i="1"/>
  <c r="KB17" i="1"/>
  <c r="KA18" i="1"/>
  <c r="KB18" i="1" s="1"/>
  <c r="KA19" i="1"/>
  <c r="KB19" i="1"/>
  <c r="KA20" i="1"/>
  <c r="KB20" i="1"/>
  <c r="KA21" i="1"/>
  <c r="KB21" i="1"/>
  <c r="KA22" i="1"/>
  <c r="KB22" i="1" s="1"/>
  <c r="KA23" i="1"/>
  <c r="KB23" i="1"/>
  <c r="KA24" i="1"/>
  <c r="KB24" i="1"/>
  <c r="KA25" i="1"/>
  <c r="KB25" i="1"/>
  <c r="KA26" i="1"/>
  <c r="KB26" i="1" s="1"/>
  <c r="KA27" i="1"/>
  <c r="KB27" i="1"/>
  <c r="KA28" i="1"/>
  <c r="KB28" i="1"/>
  <c r="KA29" i="1"/>
  <c r="KB29" i="1"/>
  <c r="KA30" i="1"/>
  <c r="KB30" i="1" s="1"/>
  <c r="KA31" i="1"/>
  <c r="KB31" i="1"/>
  <c r="KA32" i="1"/>
  <c r="KB32" i="1"/>
  <c r="KA33" i="1"/>
  <c r="KB33" i="1"/>
  <c r="KA34" i="1"/>
  <c r="KB34" i="1" s="1"/>
  <c r="KA35" i="1"/>
  <c r="KB35" i="1"/>
  <c r="KA36" i="1"/>
  <c r="KB36" i="1"/>
  <c r="KA37" i="1"/>
  <c r="KB37" i="1"/>
  <c r="KA38" i="1"/>
  <c r="KB38" i="1" s="1"/>
  <c r="KA39" i="1"/>
  <c r="KB39" i="1"/>
  <c r="KA40" i="1"/>
  <c r="KB40" i="1"/>
  <c r="KA41" i="1"/>
  <c r="KB41" i="1"/>
  <c r="KA42" i="1"/>
  <c r="KB42" i="1" s="1"/>
  <c r="KA43" i="1"/>
  <c r="KB43" i="1"/>
  <c r="KA44" i="1"/>
  <c r="KB44" i="1"/>
  <c r="KA45" i="1"/>
  <c r="KB45" i="1"/>
  <c r="KA46" i="1"/>
  <c r="KB46" i="1" s="1"/>
  <c r="KA47" i="1"/>
  <c r="KB47" i="1"/>
  <c r="KA48" i="1"/>
  <c r="KB48" i="1"/>
  <c r="KA49" i="1"/>
  <c r="KB49" i="1"/>
  <c r="KA50" i="1"/>
  <c r="KB50" i="1" s="1"/>
  <c r="KA51" i="1"/>
  <c r="KB51" i="1"/>
  <c r="KA52" i="1"/>
  <c r="KB52" i="1"/>
  <c r="KA53" i="1"/>
  <c r="KB53" i="1"/>
  <c r="KA54" i="1"/>
  <c r="KB54" i="1" s="1"/>
  <c r="KA55" i="1"/>
  <c r="KB55" i="1"/>
  <c r="KA56" i="1"/>
  <c r="KB56" i="1"/>
  <c r="KA57" i="1"/>
  <c r="KB57" i="1"/>
  <c r="KA58" i="1"/>
  <c r="KB58" i="1" s="1"/>
  <c r="KA59" i="1"/>
  <c r="KB59" i="1"/>
  <c r="KA61" i="1"/>
  <c r="KB61" i="1"/>
  <c r="KA62" i="1"/>
  <c r="KB62" i="1"/>
  <c r="KA63" i="1"/>
  <c r="KB63" i="1" s="1"/>
  <c r="KA65" i="1"/>
  <c r="KB65" i="1"/>
  <c r="KA67" i="1"/>
  <c r="KB67" i="1"/>
  <c r="KA68" i="1"/>
  <c r="KB68" i="1"/>
  <c r="KA69" i="1"/>
  <c r="KB69" i="1" s="1"/>
  <c r="KA70" i="1"/>
  <c r="KB70" i="1"/>
  <c r="KA71" i="1"/>
  <c r="KB71" i="1"/>
  <c r="KA72" i="1"/>
  <c r="KB72" i="1" s="1"/>
  <c r="KA73" i="1"/>
  <c r="KB73" i="1" s="1"/>
  <c r="KA74" i="1"/>
  <c r="KB74" i="1"/>
  <c r="KA75" i="1"/>
  <c r="KB75" i="1"/>
  <c r="KA76" i="1"/>
  <c r="KB76" i="1" s="1"/>
  <c r="KA77" i="1"/>
  <c r="KB77" i="1" s="1"/>
  <c r="KA78" i="1"/>
  <c r="KB78" i="1"/>
  <c r="KB79" i="1"/>
  <c r="KA80" i="1"/>
  <c r="KB80" i="1" s="1"/>
  <c r="KA81" i="1"/>
  <c r="KB81" i="1" s="1"/>
  <c r="KA82" i="1"/>
  <c r="KB82" i="1"/>
  <c r="KA83" i="1"/>
  <c r="KB83" i="1"/>
  <c r="KA84" i="1"/>
  <c r="KB84" i="1" s="1"/>
  <c r="KA85" i="1"/>
  <c r="KB85" i="1" s="1"/>
  <c r="KA86" i="1"/>
  <c r="KB86" i="1"/>
  <c r="KA87" i="1"/>
  <c r="KB87" i="1"/>
  <c r="KA88" i="1"/>
  <c r="KB88" i="1" s="1"/>
  <c r="KA89" i="1"/>
  <c r="KB89" i="1" s="1"/>
  <c r="KA90" i="1"/>
  <c r="KB90" i="1"/>
  <c r="KA91" i="1"/>
  <c r="KB91" i="1"/>
  <c r="KA92" i="1"/>
  <c r="KB92" i="1" s="1"/>
  <c r="KA93" i="1"/>
  <c r="KB93" i="1" s="1"/>
  <c r="KA94" i="1"/>
  <c r="KB94" i="1"/>
  <c r="KA95" i="1"/>
  <c r="KB95" i="1"/>
  <c r="MT95" i="1" s="1"/>
  <c r="MV95" i="1" s="1"/>
  <c r="KA96" i="1"/>
  <c r="KB96" i="1" s="1"/>
  <c r="KA97" i="1"/>
  <c r="KB97" i="1" s="1"/>
  <c r="JY60" i="1"/>
  <c r="JZ60" i="1" s="1"/>
  <c r="JY66" i="1"/>
  <c r="JZ66" i="1" s="1"/>
  <c r="JY67" i="1"/>
  <c r="JZ67" i="1"/>
  <c r="JY68" i="1"/>
  <c r="JZ68" i="1" s="1"/>
  <c r="JY69" i="1"/>
  <c r="JZ69" i="1" s="1"/>
  <c r="JY70" i="1"/>
  <c r="JZ70" i="1" s="1"/>
  <c r="JY71" i="1"/>
  <c r="JZ71" i="1"/>
  <c r="JY64" i="1"/>
  <c r="JZ64" i="1" s="1"/>
  <c r="JY3" i="1"/>
  <c r="JZ3" i="1" s="1"/>
  <c r="JY4" i="1"/>
  <c r="JZ4" i="1" s="1"/>
  <c r="JY5" i="1"/>
  <c r="JZ5" i="1"/>
  <c r="JY6" i="1"/>
  <c r="JZ6" i="1" s="1"/>
  <c r="JY7" i="1"/>
  <c r="JZ7" i="1" s="1"/>
  <c r="JY8" i="1"/>
  <c r="JZ8" i="1" s="1"/>
  <c r="JY9" i="1"/>
  <c r="JZ9" i="1"/>
  <c r="JY10" i="1"/>
  <c r="JZ10" i="1" s="1"/>
  <c r="JY11" i="1"/>
  <c r="JZ11" i="1" s="1"/>
  <c r="JY12" i="1"/>
  <c r="JZ12" i="1" s="1"/>
  <c r="JY13" i="1"/>
  <c r="JZ13" i="1"/>
  <c r="JY14" i="1"/>
  <c r="JZ14" i="1" s="1"/>
  <c r="JY15" i="1"/>
  <c r="JZ15" i="1" s="1"/>
  <c r="JY16" i="1"/>
  <c r="JZ16" i="1" s="1"/>
  <c r="JY17" i="1"/>
  <c r="JZ17" i="1"/>
  <c r="JY18" i="1"/>
  <c r="JZ18" i="1" s="1"/>
  <c r="JY19" i="1"/>
  <c r="JZ19" i="1" s="1"/>
  <c r="JY20" i="1"/>
  <c r="JZ20" i="1" s="1"/>
  <c r="JY21" i="1"/>
  <c r="JZ21" i="1"/>
  <c r="JY22" i="1"/>
  <c r="JZ22" i="1" s="1"/>
  <c r="JY23" i="1"/>
  <c r="JZ23" i="1" s="1"/>
  <c r="JY24" i="1"/>
  <c r="JZ24" i="1" s="1"/>
  <c r="JY25" i="1"/>
  <c r="JZ25" i="1"/>
  <c r="JY26" i="1"/>
  <c r="JZ26" i="1" s="1"/>
  <c r="JY27" i="1"/>
  <c r="JZ27" i="1" s="1"/>
  <c r="JY28" i="1"/>
  <c r="JZ28" i="1" s="1"/>
  <c r="JY29" i="1"/>
  <c r="JZ29" i="1"/>
  <c r="JY30" i="1"/>
  <c r="JZ30" i="1" s="1"/>
  <c r="JY31" i="1"/>
  <c r="JZ31" i="1" s="1"/>
  <c r="JY32" i="1"/>
  <c r="JZ32" i="1" s="1"/>
  <c r="JY33" i="1"/>
  <c r="JZ33" i="1"/>
  <c r="JY34" i="1"/>
  <c r="JZ34" i="1" s="1"/>
  <c r="JY35" i="1"/>
  <c r="JZ35" i="1" s="1"/>
  <c r="JY36" i="1"/>
  <c r="JZ36" i="1" s="1"/>
  <c r="JY37" i="1"/>
  <c r="JZ37" i="1"/>
  <c r="JY38" i="1"/>
  <c r="JZ38" i="1" s="1"/>
  <c r="JY39" i="1"/>
  <c r="JZ39" i="1" s="1"/>
  <c r="JY40" i="1"/>
  <c r="JZ40" i="1" s="1"/>
  <c r="JY41" i="1"/>
  <c r="JZ41" i="1"/>
  <c r="JY42" i="1"/>
  <c r="JZ42" i="1" s="1"/>
  <c r="JY43" i="1"/>
  <c r="JZ43" i="1" s="1"/>
  <c r="JY44" i="1"/>
  <c r="JZ44" i="1" s="1"/>
  <c r="JY45" i="1"/>
  <c r="JZ45" i="1"/>
  <c r="JY46" i="1"/>
  <c r="JZ46" i="1" s="1"/>
  <c r="JY47" i="1"/>
  <c r="JZ47" i="1" s="1"/>
  <c r="JY48" i="1"/>
  <c r="JZ48" i="1" s="1"/>
  <c r="JY49" i="1"/>
  <c r="JZ49" i="1"/>
  <c r="JY50" i="1"/>
  <c r="JZ50" i="1" s="1"/>
  <c r="MT50" i="1" s="1"/>
  <c r="MV50" i="1" s="1"/>
  <c r="JY51" i="1"/>
  <c r="JZ51" i="1" s="1"/>
  <c r="JY52" i="1"/>
  <c r="JZ52" i="1" s="1"/>
  <c r="JY53" i="1"/>
  <c r="JZ53" i="1"/>
  <c r="JY54" i="1"/>
  <c r="JZ54" i="1" s="1"/>
  <c r="JY55" i="1"/>
  <c r="JZ55" i="1" s="1"/>
  <c r="JY56" i="1"/>
  <c r="JZ56" i="1" s="1"/>
  <c r="JY57" i="1"/>
  <c r="JZ57" i="1"/>
  <c r="JY58" i="1"/>
  <c r="JZ58" i="1" s="1"/>
  <c r="JY59" i="1"/>
  <c r="JZ59" i="1" s="1"/>
  <c r="JY61" i="1"/>
  <c r="JZ61" i="1" s="1"/>
  <c r="JY62" i="1"/>
  <c r="JZ62" i="1"/>
  <c r="JY63" i="1"/>
  <c r="JZ63" i="1" s="1"/>
  <c r="MT63" i="1" s="1"/>
  <c r="MV63" i="1" s="1"/>
  <c r="JY65" i="1"/>
  <c r="JZ65" i="1" s="1"/>
  <c r="JY72" i="1"/>
  <c r="JZ72" i="1" s="1"/>
  <c r="JY73" i="1"/>
  <c r="JZ73" i="1"/>
  <c r="JY74" i="1"/>
  <c r="JZ74" i="1" s="1"/>
  <c r="JY75" i="1"/>
  <c r="JZ75" i="1" s="1"/>
  <c r="JY76" i="1"/>
  <c r="JZ76" i="1" s="1"/>
  <c r="MT76" i="1" s="1"/>
  <c r="MV76" i="1" s="1"/>
  <c r="JY77" i="1"/>
  <c r="JZ77" i="1"/>
  <c r="JY78" i="1"/>
  <c r="JZ78" i="1" s="1"/>
  <c r="JY79" i="1"/>
  <c r="JY80" i="1"/>
  <c r="JZ80" i="1" s="1"/>
  <c r="JY81" i="1"/>
  <c r="JZ81" i="1"/>
  <c r="JY82" i="1"/>
  <c r="JZ82" i="1" s="1"/>
  <c r="MT82" i="1" s="1"/>
  <c r="MV82" i="1" s="1"/>
  <c r="JY83" i="1"/>
  <c r="JZ83" i="1" s="1"/>
  <c r="JY84" i="1"/>
  <c r="JZ84" i="1" s="1"/>
  <c r="JY85" i="1"/>
  <c r="JZ85" i="1"/>
  <c r="JY86" i="1"/>
  <c r="JZ86" i="1" s="1"/>
  <c r="JY87" i="1"/>
  <c r="JZ87" i="1" s="1"/>
  <c r="JY88" i="1"/>
  <c r="JZ88" i="1" s="1"/>
  <c r="JY89" i="1"/>
  <c r="JZ89" i="1"/>
  <c r="JY90" i="1"/>
  <c r="JZ90" i="1" s="1"/>
  <c r="JY91" i="1"/>
  <c r="JZ91" i="1" s="1"/>
  <c r="JY92" i="1"/>
  <c r="JZ92" i="1" s="1"/>
  <c r="JY93" i="1"/>
  <c r="JZ93" i="1"/>
  <c r="JY94" i="1"/>
  <c r="JZ94" i="1" s="1"/>
  <c r="JY95" i="1"/>
  <c r="JZ95" i="1" s="1"/>
  <c r="JY96" i="1"/>
  <c r="JZ96" i="1" s="1"/>
  <c r="JY97" i="1"/>
  <c r="JZ97" i="1"/>
  <c r="JW60" i="1"/>
  <c r="JX60" i="1"/>
  <c r="JW66" i="1"/>
  <c r="JX66" i="1"/>
  <c r="JW64" i="1"/>
  <c r="JX64" i="1" s="1"/>
  <c r="JW3" i="1"/>
  <c r="JX3" i="1" s="1"/>
  <c r="JW4" i="1"/>
  <c r="JX4" i="1"/>
  <c r="JW5" i="1"/>
  <c r="JX5" i="1"/>
  <c r="JW6" i="1"/>
  <c r="JX6" i="1" s="1"/>
  <c r="JW7" i="1"/>
  <c r="JX7" i="1" s="1"/>
  <c r="JW8" i="1"/>
  <c r="JX8" i="1"/>
  <c r="JW9" i="1"/>
  <c r="JX9" i="1"/>
  <c r="JW10" i="1"/>
  <c r="JX10" i="1" s="1"/>
  <c r="JW11" i="1"/>
  <c r="JX11" i="1" s="1"/>
  <c r="JW12" i="1"/>
  <c r="JX12" i="1"/>
  <c r="JW13" i="1"/>
  <c r="JX13" i="1"/>
  <c r="JW14" i="1"/>
  <c r="JX14" i="1" s="1"/>
  <c r="MT14" i="1" s="1"/>
  <c r="MV14" i="1" s="1"/>
  <c r="JW15" i="1"/>
  <c r="JX15" i="1" s="1"/>
  <c r="JW16" i="1"/>
  <c r="JX16" i="1"/>
  <c r="JW17" i="1"/>
  <c r="JX17" i="1"/>
  <c r="JW18" i="1"/>
  <c r="JX18" i="1" s="1"/>
  <c r="JW19" i="1"/>
  <c r="JX19" i="1" s="1"/>
  <c r="JW20" i="1"/>
  <c r="JX20" i="1"/>
  <c r="JW21" i="1"/>
  <c r="JX21" i="1"/>
  <c r="JW22" i="1"/>
  <c r="JX22" i="1" s="1"/>
  <c r="JW23" i="1"/>
  <c r="JX23" i="1" s="1"/>
  <c r="JW24" i="1"/>
  <c r="JX24" i="1"/>
  <c r="JW25" i="1"/>
  <c r="JX25" i="1"/>
  <c r="JW26" i="1"/>
  <c r="JX26" i="1" s="1"/>
  <c r="MT26" i="1" s="1"/>
  <c r="JW27" i="1"/>
  <c r="JX27" i="1" s="1"/>
  <c r="JW28" i="1"/>
  <c r="JX28" i="1"/>
  <c r="JW29" i="1"/>
  <c r="JX29" i="1"/>
  <c r="JW30" i="1"/>
  <c r="JX30" i="1" s="1"/>
  <c r="JW31" i="1"/>
  <c r="JX31" i="1" s="1"/>
  <c r="JW32" i="1"/>
  <c r="JX32" i="1"/>
  <c r="JW33" i="1"/>
  <c r="JX33" i="1"/>
  <c r="JW34" i="1"/>
  <c r="JX34" i="1" s="1"/>
  <c r="JW35" i="1"/>
  <c r="JX35" i="1" s="1"/>
  <c r="JW36" i="1"/>
  <c r="JX36" i="1"/>
  <c r="JW37" i="1"/>
  <c r="JX37" i="1"/>
  <c r="JW38" i="1"/>
  <c r="JX38" i="1" s="1"/>
  <c r="JW39" i="1"/>
  <c r="JX39" i="1" s="1"/>
  <c r="JW40" i="1"/>
  <c r="JX40" i="1"/>
  <c r="JW41" i="1"/>
  <c r="JX41" i="1"/>
  <c r="JW42" i="1"/>
  <c r="JX42" i="1" s="1"/>
  <c r="JW43" i="1"/>
  <c r="JX43" i="1" s="1"/>
  <c r="JW44" i="1"/>
  <c r="JX44" i="1"/>
  <c r="JW45" i="1"/>
  <c r="JX45" i="1"/>
  <c r="JW46" i="1"/>
  <c r="JX46" i="1" s="1"/>
  <c r="MT46" i="1" s="1"/>
  <c r="MV46" i="1" s="1"/>
  <c r="JW47" i="1"/>
  <c r="JX47" i="1" s="1"/>
  <c r="JW48" i="1"/>
  <c r="JX48" i="1"/>
  <c r="JW49" i="1"/>
  <c r="JX49" i="1"/>
  <c r="JW50" i="1"/>
  <c r="JX50" i="1"/>
  <c r="JW51" i="1"/>
  <c r="JX51" i="1" s="1"/>
  <c r="JW52" i="1"/>
  <c r="JX52" i="1"/>
  <c r="JW53" i="1"/>
  <c r="JX53" i="1"/>
  <c r="JW54" i="1"/>
  <c r="JX54" i="1" s="1"/>
  <c r="JW55" i="1"/>
  <c r="JX55" i="1" s="1"/>
  <c r="JW56" i="1"/>
  <c r="JX56" i="1"/>
  <c r="JW57" i="1"/>
  <c r="JX57" i="1"/>
  <c r="JW58" i="1"/>
  <c r="JX58" i="1" s="1"/>
  <c r="JW59" i="1"/>
  <c r="JX59" i="1" s="1"/>
  <c r="JW61" i="1"/>
  <c r="JX61" i="1"/>
  <c r="JW62" i="1"/>
  <c r="JX62" i="1"/>
  <c r="JW63" i="1"/>
  <c r="JX63" i="1" s="1"/>
  <c r="JW65" i="1"/>
  <c r="JX65" i="1" s="1"/>
  <c r="JW67" i="1"/>
  <c r="JX67" i="1"/>
  <c r="JW68" i="1"/>
  <c r="JX68" i="1"/>
  <c r="JW69" i="1"/>
  <c r="JX69" i="1" s="1"/>
  <c r="JW70" i="1"/>
  <c r="JX70" i="1" s="1"/>
  <c r="JW71" i="1"/>
  <c r="JX71" i="1"/>
  <c r="JW72" i="1"/>
  <c r="JX72" i="1"/>
  <c r="JW73" i="1"/>
  <c r="JX73" i="1" s="1"/>
  <c r="JW74" i="1"/>
  <c r="JX74" i="1" s="1"/>
  <c r="JW75" i="1"/>
  <c r="JX75" i="1"/>
  <c r="MT75" i="1" s="1"/>
  <c r="MV75" i="1" s="1"/>
  <c r="JW76" i="1"/>
  <c r="JX76" i="1"/>
  <c r="JW77" i="1"/>
  <c r="JX77" i="1" s="1"/>
  <c r="JW78" i="1"/>
  <c r="JX78" i="1" s="1"/>
  <c r="JW79" i="1"/>
  <c r="JX79" i="1"/>
  <c r="JW80" i="1"/>
  <c r="JX80" i="1"/>
  <c r="MT80" i="1" s="1"/>
  <c r="MV80" i="1" s="1"/>
  <c r="JW81" i="1"/>
  <c r="JX81" i="1" s="1"/>
  <c r="JW82" i="1"/>
  <c r="JX82" i="1" s="1"/>
  <c r="JW83" i="1"/>
  <c r="JX83" i="1"/>
  <c r="JW84" i="1"/>
  <c r="JX84" i="1"/>
  <c r="JW85" i="1"/>
  <c r="JX85" i="1" s="1"/>
  <c r="JW86" i="1"/>
  <c r="JX86" i="1" s="1"/>
  <c r="MT86" i="1" s="1"/>
  <c r="MV86" i="1" s="1"/>
  <c r="JW87" i="1"/>
  <c r="JX87" i="1"/>
  <c r="JW88" i="1"/>
  <c r="JX88" i="1"/>
  <c r="JW89" i="1"/>
  <c r="JX89" i="1" s="1"/>
  <c r="JW90" i="1"/>
  <c r="JX90" i="1" s="1"/>
  <c r="MT90" i="1" s="1"/>
  <c r="MV90" i="1" s="1"/>
  <c r="JW91" i="1"/>
  <c r="JX91" i="1"/>
  <c r="JW92" i="1"/>
  <c r="JX92" i="1"/>
  <c r="JW93" i="1"/>
  <c r="JX93" i="1" s="1"/>
  <c r="JW94" i="1"/>
  <c r="JX94" i="1" s="1"/>
  <c r="JW95" i="1"/>
  <c r="JX95" i="1"/>
  <c r="JW96" i="1"/>
  <c r="JX96" i="1"/>
  <c r="MT96" i="1" s="1"/>
  <c r="MV96" i="1" s="1"/>
  <c r="JW97" i="1"/>
  <c r="JX97" i="1" s="1"/>
  <c r="JU66" i="1"/>
  <c r="JV66" i="1" s="1"/>
  <c r="MT66" i="1" s="1"/>
  <c r="JU67" i="1"/>
  <c r="JV67" i="1" s="1"/>
  <c r="JU68" i="1"/>
  <c r="JV68" i="1" s="1"/>
  <c r="JU69" i="1"/>
  <c r="JV69" i="1"/>
  <c r="JU70" i="1"/>
  <c r="JV70" i="1" s="1"/>
  <c r="JU71" i="1"/>
  <c r="JV71" i="1" s="1"/>
  <c r="MT71" i="1" s="1"/>
  <c r="MV71" i="1" s="1"/>
  <c r="JU60" i="1"/>
  <c r="JV60" i="1" s="1"/>
  <c r="JU64" i="1"/>
  <c r="JV64" i="1"/>
  <c r="JU3" i="1"/>
  <c r="JV3" i="1" s="1"/>
  <c r="JU4" i="1"/>
  <c r="JV4" i="1" s="1"/>
  <c r="JU5" i="1"/>
  <c r="JV5" i="1" s="1"/>
  <c r="MT5" i="1" s="1"/>
  <c r="MV5" i="1" s="1"/>
  <c r="JU6" i="1"/>
  <c r="JV6" i="1"/>
  <c r="MT6" i="1" s="1"/>
  <c r="MV6" i="1" s="1"/>
  <c r="JU7" i="1"/>
  <c r="JV7" i="1" s="1"/>
  <c r="JU8" i="1"/>
  <c r="JV8" i="1" s="1"/>
  <c r="JU9" i="1"/>
  <c r="JV9" i="1" s="1"/>
  <c r="JU10" i="1"/>
  <c r="JV10" i="1"/>
  <c r="JU11" i="1"/>
  <c r="JV11" i="1" s="1"/>
  <c r="MT11" i="1" s="1"/>
  <c r="MV11" i="1" s="1"/>
  <c r="JU12" i="1"/>
  <c r="JV12" i="1" s="1"/>
  <c r="JU13" i="1"/>
  <c r="JV13" i="1" s="1"/>
  <c r="MT13" i="1" s="1"/>
  <c r="MV13" i="1" s="1"/>
  <c r="JU14" i="1"/>
  <c r="JV14" i="1"/>
  <c r="JU15" i="1"/>
  <c r="JV15" i="1" s="1"/>
  <c r="JU16" i="1"/>
  <c r="JV16" i="1" s="1"/>
  <c r="JU17" i="1"/>
  <c r="JV17" i="1" s="1"/>
  <c r="MT17" i="1" s="1"/>
  <c r="JU18" i="1"/>
  <c r="JV18" i="1"/>
  <c r="JU19" i="1"/>
  <c r="JV19" i="1" s="1"/>
  <c r="MT19" i="1" s="1"/>
  <c r="MV19" i="1" s="1"/>
  <c r="JU20" i="1"/>
  <c r="JV20" i="1" s="1"/>
  <c r="MT20" i="1" s="1"/>
  <c r="JU21" i="1"/>
  <c r="JV21" i="1" s="1"/>
  <c r="MT21" i="1" s="1"/>
  <c r="JU22" i="1"/>
  <c r="JV22" i="1"/>
  <c r="JU23" i="1"/>
  <c r="JV23" i="1" s="1"/>
  <c r="JU24" i="1"/>
  <c r="JV24" i="1" s="1"/>
  <c r="JU25" i="1"/>
  <c r="JV25" i="1" s="1"/>
  <c r="MT25" i="1" s="1"/>
  <c r="MV25" i="1" s="1"/>
  <c r="JU26" i="1"/>
  <c r="JV26" i="1"/>
  <c r="JU27" i="1"/>
  <c r="JV27" i="1" s="1"/>
  <c r="JU28" i="1"/>
  <c r="JV28" i="1" s="1"/>
  <c r="JU29" i="1"/>
  <c r="JV29" i="1" s="1"/>
  <c r="JU30" i="1"/>
  <c r="JV30" i="1"/>
  <c r="JU31" i="1"/>
  <c r="JV31" i="1" s="1"/>
  <c r="JU32" i="1"/>
  <c r="JV32" i="1" s="1"/>
  <c r="MT32" i="1" s="1"/>
  <c r="MV32" i="1" s="1"/>
  <c r="JU33" i="1"/>
  <c r="JV33" i="1" s="1"/>
  <c r="JU34" i="1"/>
  <c r="JV34" i="1"/>
  <c r="JU35" i="1"/>
  <c r="JV35" i="1" s="1"/>
  <c r="JU36" i="1"/>
  <c r="JV36" i="1" s="1"/>
  <c r="JU37" i="1"/>
  <c r="JV37" i="1" s="1"/>
  <c r="MT37" i="1" s="1"/>
  <c r="MV37" i="1" s="1"/>
  <c r="JU38" i="1"/>
  <c r="JV38" i="1"/>
  <c r="JU39" i="1"/>
  <c r="JV39" i="1" s="1"/>
  <c r="MT39" i="1" s="1"/>
  <c r="JU40" i="1"/>
  <c r="JV40" i="1" s="1"/>
  <c r="JU41" i="1"/>
  <c r="JV41" i="1" s="1"/>
  <c r="JU42" i="1"/>
  <c r="JV42" i="1"/>
  <c r="JU43" i="1"/>
  <c r="JV43" i="1" s="1"/>
  <c r="MT43" i="1" s="1"/>
  <c r="MV43" i="1" s="1"/>
  <c r="JU44" i="1"/>
  <c r="JV44" i="1" s="1"/>
  <c r="JU45" i="1"/>
  <c r="JV45" i="1" s="1"/>
  <c r="MT45" i="1" s="1"/>
  <c r="MV45" i="1" s="1"/>
  <c r="JU46" i="1"/>
  <c r="JV46" i="1"/>
  <c r="JU47" i="1"/>
  <c r="JV47" i="1" s="1"/>
  <c r="JU48" i="1"/>
  <c r="JV48" i="1" s="1"/>
  <c r="JU49" i="1"/>
  <c r="JV49" i="1" s="1"/>
  <c r="MT49" i="1" s="1"/>
  <c r="MV49" i="1" s="1"/>
  <c r="JU50" i="1"/>
  <c r="JV50" i="1"/>
  <c r="JU51" i="1"/>
  <c r="JV51" i="1" s="1"/>
  <c r="MT51" i="1" s="1"/>
  <c r="MV51" i="1" s="1"/>
  <c r="JU52" i="1"/>
  <c r="JV52" i="1" s="1"/>
  <c r="JU53" i="1"/>
  <c r="JV53" i="1" s="1"/>
  <c r="JU54" i="1"/>
  <c r="JV54" i="1"/>
  <c r="JU55" i="1"/>
  <c r="JV55" i="1" s="1"/>
  <c r="JU56" i="1"/>
  <c r="JV56" i="1" s="1"/>
  <c r="JU57" i="1"/>
  <c r="JV57" i="1" s="1"/>
  <c r="MT57" i="1" s="1"/>
  <c r="MV57" i="1" s="1"/>
  <c r="JU58" i="1"/>
  <c r="JV58" i="1"/>
  <c r="JU59" i="1"/>
  <c r="JV59" i="1" s="1"/>
  <c r="JU61" i="1"/>
  <c r="JV61" i="1" s="1"/>
  <c r="JU62" i="1"/>
  <c r="JV62" i="1" s="1"/>
  <c r="JU63" i="1"/>
  <c r="JV63" i="1"/>
  <c r="JU65" i="1"/>
  <c r="JV65" i="1" s="1"/>
  <c r="JU72" i="1"/>
  <c r="JV72" i="1" s="1"/>
  <c r="MT72" i="1" s="1"/>
  <c r="MV72" i="1" s="1"/>
  <c r="JU73" i="1"/>
  <c r="JV73" i="1" s="1"/>
  <c r="JU74" i="1"/>
  <c r="JV74" i="1"/>
  <c r="JU75" i="1"/>
  <c r="JV75" i="1" s="1"/>
  <c r="JU76" i="1"/>
  <c r="JV76" i="1" s="1"/>
  <c r="JU77" i="1"/>
  <c r="JV77" i="1" s="1"/>
  <c r="MT77" i="1" s="1"/>
  <c r="MV77" i="1" s="1"/>
  <c r="JU78" i="1"/>
  <c r="JV78" i="1"/>
  <c r="JU80" i="1"/>
  <c r="JV80" i="1" s="1"/>
  <c r="JU81" i="1"/>
  <c r="JV81" i="1" s="1"/>
  <c r="JU82" i="1"/>
  <c r="JV82" i="1"/>
  <c r="JU83" i="1"/>
  <c r="JV83" i="1" s="1"/>
  <c r="JU84" i="1"/>
  <c r="JV84" i="1" s="1"/>
  <c r="MT84" i="1" s="1"/>
  <c r="MV84" i="1" s="1"/>
  <c r="JU85" i="1"/>
  <c r="JV85" i="1" s="1"/>
  <c r="MT85" i="1" s="1"/>
  <c r="MV85" i="1" s="1"/>
  <c r="JU86" i="1"/>
  <c r="JV86" i="1"/>
  <c r="JU87" i="1"/>
  <c r="JV87" i="1" s="1"/>
  <c r="JU88" i="1"/>
  <c r="JV88" i="1" s="1"/>
  <c r="MT88" i="1" s="1"/>
  <c r="MV88" i="1" s="1"/>
  <c r="JU89" i="1"/>
  <c r="JV89" i="1" s="1"/>
  <c r="JU90" i="1"/>
  <c r="JV90" i="1"/>
  <c r="JU91" i="1"/>
  <c r="JV91" i="1" s="1"/>
  <c r="MT91" i="1" s="1"/>
  <c r="MV91" i="1" s="1"/>
  <c r="JU92" i="1"/>
  <c r="JV92" i="1" s="1"/>
  <c r="MT92" i="1" s="1"/>
  <c r="MV92" i="1" s="1"/>
  <c r="JU93" i="1"/>
  <c r="JV93" i="1" s="1"/>
  <c r="JU94" i="1"/>
  <c r="JV94" i="1"/>
  <c r="JU95" i="1"/>
  <c r="JV95" i="1" s="1"/>
  <c r="JU96" i="1"/>
  <c r="JV96" i="1" s="1"/>
  <c r="JU97" i="1"/>
  <c r="JV97" i="1" s="1"/>
  <c r="MT97" i="1" s="1"/>
  <c r="MV97" i="1" s="1"/>
  <c r="MV66" i="1"/>
  <c r="MV17" i="1"/>
  <c r="MV20" i="1"/>
  <c r="MV21" i="1"/>
  <c r="MV26" i="1"/>
  <c r="MV39" i="1"/>
  <c r="MT54" i="1"/>
  <c r="MV54" i="1" s="1"/>
  <c r="MT73" i="1"/>
  <c r="MV73" i="1" s="1"/>
  <c r="MT81" i="1"/>
  <c r="MV81" i="1" s="1"/>
  <c r="F77" i="3"/>
  <c r="G77" i="3"/>
  <c r="I77" i="3"/>
  <c r="H28" i="3"/>
  <c r="H29" i="3"/>
  <c r="H34" i="3"/>
  <c r="H36" i="3"/>
  <c r="H37" i="3"/>
  <c r="H38" i="3"/>
  <c r="H39" i="3"/>
  <c r="H40" i="3"/>
  <c r="H41" i="3"/>
  <c r="H44" i="3"/>
  <c r="H45" i="3"/>
  <c r="H47" i="3"/>
  <c r="H50" i="3"/>
  <c r="H51" i="3"/>
  <c r="H52" i="3"/>
  <c r="H53" i="3"/>
  <c r="H54" i="3"/>
  <c r="H55" i="3"/>
  <c r="H56" i="3"/>
  <c r="H59" i="3"/>
  <c r="H60" i="3"/>
  <c r="H61" i="3"/>
  <c r="H63" i="3"/>
  <c r="D62" i="3"/>
  <c r="D77" i="3" s="1"/>
  <c r="E62" i="3"/>
  <c r="E77" i="3" s="1"/>
  <c r="F62" i="3"/>
  <c r="G62" i="3"/>
  <c r="H43" i="3"/>
  <c r="I62" i="3"/>
  <c r="J62" i="3"/>
  <c r="J77" i="3" s="1"/>
  <c r="C62" i="3"/>
  <c r="C77" i="3" s="1"/>
  <c r="D75" i="3"/>
  <c r="E75" i="3"/>
  <c r="F75" i="3"/>
  <c r="G75" i="3"/>
  <c r="H26" i="3"/>
  <c r="I75" i="3"/>
  <c r="J75" i="3"/>
  <c r="C75" i="3"/>
  <c r="H65" i="3"/>
  <c r="C74" i="3"/>
  <c r="E74" i="3"/>
  <c r="D74" i="3"/>
  <c r="J74" i="3"/>
  <c r="I74" i="3"/>
  <c r="G74" i="3"/>
  <c r="F74" i="3"/>
  <c r="K10" i="4"/>
  <c r="T8" i="2"/>
  <c r="T9" i="2"/>
  <c r="BQ79" i="1" s="1"/>
  <c r="T10" i="2"/>
  <c r="BW79" i="1" s="1"/>
  <c r="T15" i="2"/>
  <c r="DA79" i="1" s="1"/>
  <c r="T16" i="2"/>
  <c r="DG79" i="1" s="1"/>
  <c r="KN79" i="1" s="1"/>
  <c r="T17" i="2"/>
  <c r="DM79" i="1" s="1"/>
  <c r="T18" i="2"/>
  <c r="DS79" i="1" s="1"/>
  <c r="T19" i="2"/>
  <c r="DY79" i="1" s="1"/>
  <c r="T20" i="2"/>
  <c r="EE79" i="1" s="1"/>
  <c r="T21" i="2"/>
  <c r="EK79" i="1" s="1"/>
  <c r="C22" i="2"/>
  <c r="EM79" i="1" s="1"/>
  <c r="D22" i="2"/>
  <c r="EN79" i="1" s="1"/>
  <c r="T24" i="2"/>
  <c r="EW79" i="1" s="1"/>
  <c r="T25" i="2"/>
  <c r="FC79" i="1" s="1"/>
  <c r="T26" i="2"/>
  <c r="FI79" i="1" s="1"/>
  <c r="T28" i="2"/>
  <c r="FU79" i="1" s="1"/>
  <c r="T30" i="2"/>
  <c r="GG79" i="1" s="1"/>
  <c r="T31" i="2"/>
  <c r="GM79" i="1" s="1"/>
  <c r="T32" i="2"/>
  <c r="GS79" i="1" s="1"/>
  <c r="T33" i="2"/>
  <c r="GY79" i="1" s="1"/>
  <c r="T34" i="2"/>
  <c r="HE79" i="1" s="1"/>
  <c r="T35" i="2"/>
  <c r="HK79" i="1" s="1"/>
  <c r="T36" i="2"/>
  <c r="HQ79" i="1" s="1"/>
  <c r="T37" i="2"/>
  <c r="HW79" i="1" s="1"/>
  <c r="T38" i="2"/>
  <c r="IC79" i="1" s="1"/>
  <c r="T40" i="2"/>
  <c r="IO79" i="1" s="1"/>
  <c r="T41" i="2"/>
  <c r="IU79" i="1" s="1"/>
  <c r="T42" i="2"/>
  <c r="JA79" i="1" s="1"/>
  <c r="C43" i="2"/>
  <c r="JC79" i="1" s="1"/>
  <c r="D43" i="2"/>
  <c r="T44" i="2"/>
  <c r="JM79" i="1" s="1"/>
  <c r="C45" i="2"/>
  <c r="JO79" i="1" s="1"/>
  <c r="C46" i="2"/>
  <c r="T7" i="2"/>
  <c r="BE79" i="1" s="1"/>
  <c r="R8" i="2"/>
  <c r="R9" i="2"/>
  <c r="BO79" i="1" s="1"/>
  <c r="R10" i="2"/>
  <c r="BU79" i="1" s="1"/>
  <c r="KA79" i="1" s="1"/>
  <c r="R15" i="2"/>
  <c r="CY79" i="1" s="1"/>
  <c r="R17" i="2"/>
  <c r="DK79" i="1" s="1"/>
  <c r="R18" i="2"/>
  <c r="DQ79" i="1" s="1"/>
  <c r="R19" i="2"/>
  <c r="DW79" i="1" s="1"/>
  <c r="R20" i="2"/>
  <c r="EC79" i="1" s="1"/>
  <c r="R21" i="2"/>
  <c r="EI79" i="1" s="1"/>
  <c r="R24" i="2"/>
  <c r="EU79" i="1" s="1"/>
  <c r="R25" i="2"/>
  <c r="FA79" i="1" s="1"/>
  <c r="R26" i="2"/>
  <c r="FG79" i="1" s="1"/>
  <c r="R28" i="2"/>
  <c r="FS79" i="1" s="1"/>
  <c r="R30" i="2"/>
  <c r="GE79" i="1" s="1"/>
  <c r="R31" i="2"/>
  <c r="GK79" i="1" s="1"/>
  <c r="R32" i="2"/>
  <c r="GQ79" i="1" s="1"/>
  <c r="R33" i="2"/>
  <c r="GW79" i="1" s="1"/>
  <c r="R34" i="2"/>
  <c r="HC79" i="1" s="1"/>
  <c r="R35" i="2"/>
  <c r="HI79" i="1" s="1"/>
  <c r="R36" i="2"/>
  <c r="HO79" i="1" s="1"/>
  <c r="R37" i="2"/>
  <c r="HU79" i="1" s="1"/>
  <c r="R38" i="2"/>
  <c r="IA79" i="1" s="1"/>
  <c r="R40" i="2"/>
  <c r="IM79" i="1" s="1"/>
  <c r="R41" i="2"/>
  <c r="IS79" i="1" s="1"/>
  <c r="R42" i="2"/>
  <c r="IY79" i="1" s="1"/>
  <c r="R7" i="2"/>
  <c r="BC79" i="1" s="1"/>
  <c r="B43" i="2"/>
  <c r="JB79" i="1" s="1"/>
  <c r="E43" i="2"/>
  <c r="F43" i="2"/>
  <c r="F45" i="2" s="1"/>
  <c r="F46" i="2" s="1"/>
  <c r="G43" i="2"/>
  <c r="G45" i="2" s="1"/>
  <c r="G46" i="2" s="1"/>
  <c r="H43" i="2"/>
  <c r="I43" i="2"/>
  <c r="I45" i="2" s="1"/>
  <c r="J43" i="2"/>
  <c r="K43" i="2"/>
  <c r="K45" i="2" s="1"/>
  <c r="L43" i="2"/>
  <c r="M43" i="2"/>
  <c r="M45" i="2" s="1"/>
  <c r="N43" i="2"/>
  <c r="N45" i="2" s="1"/>
  <c r="N46" i="2" s="1"/>
  <c r="O43" i="2"/>
  <c r="O45" i="2" s="1"/>
  <c r="O46" i="2" s="1"/>
  <c r="P43" i="2"/>
  <c r="Q43" i="2"/>
  <c r="Q45" i="2" s="1"/>
  <c r="S43" i="2"/>
  <c r="JF79" i="1" s="1"/>
  <c r="H45" i="2"/>
  <c r="J45" i="2"/>
  <c r="J46" i="2" s="1"/>
  <c r="L45" i="2"/>
  <c r="L46" i="2" s="1"/>
  <c r="P45" i="2"/>
  <c r="S45" i="2"/>
  <c r="JR79" i="1" s="1"/>
  <c r="B22" i="2"/>
  <c r="EL79" i="1" s="1"/>
  <c r="E22" i="2"/>
  <c r="F22" i="2"/>
  <c r="G22" i="2"/>
  <c r="H22" i="2"/>
  <c r="H46" i="2"/>
  <c r="I22" i="2"/>
  <c r="I46" i="2" s="1"/>
  <c r="J22" i="2"/>
  <c r="K22" i="2"/>
  <c r="K46" i="2"/>
  <c r="L22" i="2"/>
  <c r="M22" i="2"/>
  <c r="M46" i="2" s="1"/>
  <c r="N22" i="2"/>
  <c r="O22" i="2"/>
  <c r="P22" i="2"/>
  <c r="P46" i="2"/>
  <c r="Q22" i="2"/>
  <c r="Q46" i="2" s="1"/>
  <c r="S22" i="2"/>
  <c r="EP79" i="1" s="1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JD79" i="1" l="1"/>
  <c r="D45" i="2"/>
  <c r="GQ101" i="1"/>
  <c r="GQ102" i="1"/>
  <c r="GQ103" i="1"/>
  <c r="GQ104" i="1"/>
  <c r="GQ105" i="1"/>
  <c r="GQ106" i="1"/>
  <c r="LQ79" i="1"/>
  <c r="MT65" i="1"/>
  <c r="MV65" i="1" s="1"/>
  <c r="MT44" i="1"/>
  <c r="MV44" i="1" s="1"/>
  <c r="MT31" i="1"/>
  <c r="MV31" i="1" s="1"/>
  <c r="MT18" i="1"/>
  <c r="MV18" i="1" s="1"/>
  <c r="MT12" i="1"/>
  <c r="MV12" i="1" s="1"/>
  <c r="MT70" i="1"/>
  <c r="MV70" i="1" s="1"/>
  <c r="JX98" i="1"/>
  <c r="GK101" i="1"/>
  <c r="GK102" i="1"/>
  <c r="GK103" i="1"/>
  <c r="GK100" i="1"/>
  <c r="GK104" i="1"/>
  <c r="GK105" i="1"/>
  <c r="GK106" i="1"/>
  <c r="LO79" i="1"/>
  <c r="R22" i="2"/>
  <c r="EO79" i="1" s="1"/>
  <c r="EI100" i="1"/>
  <c r="EI101" i="1"/>
  <c r="EI102" i="1"/>
  <c r="EI103" i="1"/>
  <c r="EI105" i="1"/>
  <c r="EI104" i="1"/>
  <c r="EI106" i="1"/>
  <c r="KW79" i="1"/>
  <c r="DS101" i="1"/>
  <c r="DS102" i="1"/>
  <c r="DS103" i="1"/>
  <c r="DS100" i="1"/>
  <c r="DS105" i="1"/>
  <c r="DS104" i="1"/>
  <c r="DS106" i="1"/>
  <c r="GY101" i="1"/>
  <c r="GY102" i="1"/>
  <c r="GY103" i="1"/>
  <c r="GY100" i="1"/>
  <c r="GY104" i="1"/>
  <c r="GY105" i="1"/>
  <c r="GY106" i="1"/>
  <c r="MT56" i="1"/>
  <c r="MV56" i="1" s="1"/>
  <c r="JR100" i="1"/>
  <c r="JR101" i="1"/>
  <c r="JR102" i="1"/>
  <c r="JR103" i="1"/>
  <c r="JR104" i="1"/>
  <c r="JR105" i="1"/>
  <c r="JR106" i="1"/>
  <c r="IA101" i="1"/>
  <c r="IA102" i="1"/>
  <c r="IA100" i="1"/>
  <c r="IA103" i="1"/>
  <c r="MC79" i="1"/>
  <c r="IA105" i="1"/>
  <c r="IA104" i="1"/>
  <c r="IA106" i="1"/>
  <c r="GE101" i="1"/>
  <c r="GE102" i="1"/>
  <c r="GE103" i="1"/>
  <c r="GE100" i="1"/>
  <c r="GE105" i="1"/>
  <c r="GE104" i="1"/>
  <c r="GE106" i="1"/>
  <c r="LM79" i="1"/>
  <c r="DQ100" i="1"/>
  <c r="DQ101" i="1"/>
  <c r="DQ102" i="1"/>
  <c r="DQ103" i="1"/>
  <c r="DQ104" i="1"/>
  <c r="DQ105" i="1"/>
  <c r="DQ106" i="1"/>
  <c r="KQ79" i="1"/>
  <c r="KR79" i="1" s="1"/>
  <c r="KR98" i="1" s="1"/>
  <c r="MT83" i="1"/>
  <c r="MV83" i="1" s="1"/>
  <c r="MT55" i="1"/>
  <c r="MV55" i="1" s="1"/>
  <c r="MT36" i="1"/>
  <c r="MV36" i="1" s="1"/>
  <c r="MT23" i="1"/>
  <c r="MV23" i="1" s="1"/>
  <c r="MT4" i="1"/>
  <c r="MV4" i="1" s="1"/>
  <c r="GW101" i="1"/>
  <c r="GW102" i="1"/>
  <c r="GW103" i="1"/>
  <c r="GW104" i="1"/>
  <c r="GW105" i="1"/>
  <c r="GW106" i="1"/>
  <c r="LS79" i="1"/>
  <c r="LT79" i="1" s="1"/>
  <c r="LT98" i="1" s="1"/>
  <c r="DW101" i="1"/>
  <c r="DW102" i="1"/>
  <c r="DW103" i="1"/>
  <c r="DW104" i="1"/>
  <c r="DW105" i="1"/>
  <c r="DW106" i="1"/>
  <c r="KS79" i="1"/>
  <c r="MT30" i="1"/>
  <c r="MV30" i="1" s="1"/>
  <c r="MT74" i="1"/>
  <c r="MV74" i="1" s="1"/>
  <c r="KF98" i="1"/>
  <c r="R43" i="2"/>
  <c r="JE79" i="1" s="1"/>
  <c r="HU101" i="1"/>
  <c r="HU102" i="1"/>
  <c r="HU103" i="1"/>
  <c r="HU100" i="1"/>
  <c r="HU104" i="1"/>
  <c r="HU105" i="1"/>
  <c r="HU106" i="1"/>
  <c r="MA79" i="1"/>
  <c r="FS101" i="1"/>
  <c r="FS102" i="1"/>
  <c r="FS103" i="1"/>
  <c r="FS100" i="1"/>
  <c r="FS104" i="1"/>
  <c r="FS105" i="1"/>
  <c r="FS106" i="1"/>
  <c r="LI79" i="1"/>
  <c r="H62" i="3"/>
  <c r="MT89" i="1"/>
  <c r="MV89" i="1" s="1"/>
  <c r="MT62" i="1"/>
  <c r="MV62" i="1" s="1"/>
  <c r="MT48" i="1"/>
  <c r="MV48" i="1" s="1"/>
  <c r="MT35" i="1"/>
  <c r="MV35" i="1" s="1"/>
  <c r="MT29" i="1"/>
  <c r="MV29" i="1" s="1"/>
  <c r="MT22" i="1"/>
  <c r="MV22" i="1" s="1"/>
  <c r="MT16" i="1"/>
  <c r="MV16" i="1" s="1"/>
  <c r="MT3" i="1"/>
  <c r="MV3" i="1" s="1"/>
  <c r="MT68" i="1"/>
  <c r="MV68" i="1" s="1"/>
  <c r="MT78" i="1"/>
  <c r="MV78" i="1" s="1"/>
  <c r="MT38" i="1"/>
  <c r="MV38" i="1" s="1"/>
  <c r="IY101" i="1"/>
  <c r="IY102" i="1"/>
  <c r="IY103" i="1"/>
  <c r="IY105" i="1"/>
  <c r="IY104" i="1"/>
  <c r="IY106" i="1"/>
  <c r="MK79" i="1"/>
  <c r="HK100" i="1"/>
  <c r="HK101" i="1"/>
  <c r="HK102" i="1"/>
  <c r="HK103" i="1"/>
  <c r="HK106" i="1"/>
  <c r="HK105" i="1"/>
  <c r="HK104" i="1"/>
  <c r="IS101" i="1"/>
  <c r="IS102" i="1"/>
  <c r="IS103" i="1"/>
  <c r="IS104" i="1"/>
  <c r="IS105" i="1"/>
  <c r="MI79" i="1"/>
  <c r="IS106" i="1"/>
  <c r="IM101" i="1"/>
  <c r="IM102" i="1"/>
  <c r="IM103" i="1"/>
  <c r="IM104" i="1"/>
  <c r="IM105" i="1"/>
  <c r="IM106" i="1"/>
  <c r="MG79" i="1"/>
  <c r="MT69" i="1"/>
  <c r="MV69" i="1" s="1"/>
  <c r="E45" i="2"/>
  <c r="R45" i="2" s="1"/>
  <c r="JQ79" i="1" s="1"/>
  <c r="JB100" i="1"/>
  <c r="JB101" i="1"/>
  <c r="JB102" i="1"/>
  <c r="JB103" i="1"/>
  <c r="JB104" i="1"/>
  <c r="JB105" i="1"/>
  <c r="MM79" i="1"/>
  <c r="JB106" i="1"/>
  <c r="CY101" i="1"/>
  <c r="CY102" i="1"/>
  <c r="CY103" i="1"/>
  <c r="CY100" i="1"/>
  <c r="CY104" i="1"/>
  <c r="CY105" i="1"/>
  <c r="CY106" i="1"/>
  <c r="KK79" i="1"/>
  <c r="JO100" i="1"/>
  <c r="JO101" i="1"/>
  <c r="JO102" i="1"/>
  <c r="JO103" i="1"/>
  <c r="JO106" i="1"/>
  <c r="JO104" i="1"/>
  <c r="JO105" i="1"/>
  <c r="IC100" i="1"/>
  <c r="IC101" i="1"/>
  <c r="IC102" i="1"/>
  <c r="IC103" i="1"/>
  <c r="IC104" i="1"/>
  <c r="IC105" i="1"/>
  <c r="IC106" i="1"/>
  <c r="MD79" i="1"/>
  <c r="GG100" i="1"/>
  <c r="GG101" i="1"/>
  <c r="GG102" i="1"/>
  <c r="GG103" i="1"/>
  <c r="GG104" i="1"/>
  <c r="GG105" i="1"/>
  <c r="GG106" i="1"/>
  <c r="LN79" i="1"/>
  <c r="EK100" i="1"/>
  <c r="EK101" i="1"/>
  <c r="EK102" i="1"/>
  <c r="EK103" i="1"/>
  <c r="EK104" i="1"/>
  <c r="EK105" i="1"/>
  <c r="EK106" i="1"/>
  <c r="KX79" i="1"/>
  <c r="BQ100" i="1"/>
  <c r="BQ101" i="1"/>
  <c r="BQ102" i="1"/>
  <c r="BQ103" i="1"/>
  <c r="BQ104" i="1"/>
  <c r="BQ105" i="1"/>
  <c r="BQ106" i="1"/>
  <c r="JZ79" i="1"/>
  <c r="JZ98" i="1" s="1"/>
  <c r="MT94" i="1"/>
  <c r="MV94" i="1" s="1"/>
  <c r="MT61" i="1"/>
  <c r="MV61" i="1" s="1"/>
  <c r="MT47" i="1"/>
  <c r="MV47" i="1" s="1"/>
  <c r="MT41" i="1"/>
  <c r="MV41" i="1" s="1"/>
  <c r="MT28" i="1"/>
  <c r="MV28" i="1" s="1"/>
  <c r="MT15" i="1"/>
  <c r="MV15" i="1" s="1"/>
  <c r="MT9" i="1"/>
  <c r="MV9" i="1" s="1"/>
  <c r="MT64" i="1"/>
  <c r="MV64" i="1" s="1"/>
  <c r="MT67" i="1"/>
  <c r="MV67" i="1" s="1"/>
  <c r="KB98" i="1"/>
  <c r="EC100" i="1"/>
  <c r="EC101" i="1"/>
  <c r="EC102" i="1"/>
  <c r="EC103" i="1"/>
  <c r="EC104" i="1"/>
  <c r="EC105" i="1"/>
  <c r="EC106" i="1"/>
  <c r="KU79" i="1"/>
  <c r="BE101" i="1"/>
  <c r="BE102" i="1"/>
  <c r="BE103" i="1"/>
  <c r="BE100" i="1"/>
  <c r="BE104" i="1"/>
  <c r="BE105" i="1"/>
  <c r="BE106" i="1"/>
  <c r="EP101" i="1"/>
  <c r="EP102" i="1"/>
  <c r="EP103" i="1"/>
  <c r="EP104" i="1"/>
  <c r="EP106" i="1"/>
  <c r="EP105" i="1"/>
  <c r="HI101" i="1"/>
  <c r="HI102" i="1"/>
  <c r="HI103" i="1"/>
  <c r="HI100" i="1"/>
  <c r="HI104" i="1"/>
  <c r="HI105" i="1"/>
  <c r="LW79" i="1"/>
  <c r="LX79" i="1" s="1"/>
  <c r="LX98" i="1" s="1"/>
  <c r="HI106" i="1"/>
  <c r="JM101" i="1"/>
  <c r="JM102" i="1"/>
  <c r="JM100" i="1"/>
  <c r="JM103" i="1"/>
  <c r="JM104" i="1"/>
  <c r="JM105" i="1"/>
  <c r="JM106" i="1"/>
  <c r="MP79" i="1"/>
  <c r="EE101" i="1"/>
  <c r="EE102" i="1"/>
  <c r="EE103" i="1"/>
  <c r="EE100" i="1"/>
  <c r="EE104" i="1"/>
  <c r="EE105" i="1"/>
  <c r="EE106" i="1"/>
  <c r="KV79" i="1"/>
  <c r="MT87" i="1"/>
  <c r="MV87" i="1" s="1"/>
  <c r="MT59" i="1"/>
  <c r="MV59" i="1" s="1"/>
  <c r="MT53" i="1"/>
  <c r="MV53" i="1" s="1"/>
  <c r="MT40" i="1"/>
  <c r="MV40" i="1" s="1"/>
  <c r="MT27" i="1"/>
  <c r="MV27" i="1" s="1"/>
  <c r="MT8" i="1"/>
  <c r="MV8" i="1" s="1"/>
  <c r="MT42" i="1"/>
  <c r="MV42" i="1" s="1"/>
  <c r="MT10" i="1"/>
  <c r="MV10" i="1" s="1"/>
  <c r="FC101" i="1"/>
  <c r="FC102" i="1"/>
  <c r="FC103" i="1"/>
  <c r="FC100" i="1"/>
  <c r="FC104" i="1"/>
  <c r="FC105" i="1"/>
  <c r="FC106" i="1"/>
  <c r="JA100" i="1"/>
  <c r="JA101" i="1"/>
  <c r="JA102" i="1"/>
  <c r="JA103" i="1"/>
  <c r="JA104" i="1"/>
  <c r="JA105" i="1"/>
  <c r="ML79" i="1"/>
  <c r="JA106" i="1"/>
  <c r="T22" i="2"/>
  <c r="EQ79" i="1" s="1"/>
  <c r="MT24" i="1"/>
  <c r="MV24" i="1" s="1"/>
  <c r="S46" i="2"/>
  <c r="B45" i="2"/>
  <c r="BC101" i="1"/>
  <c r="BC102" i="1"/>
  <c r="BC103" i="1"/>
  <c r="BC104" i="1"/>
  <c r="BC105" i="1"/>
  <c r="BC106" i="1"/>
  <c r="JU79" i="1"/>
  <c r="JV79" i="1" s="1"/>
  <c r="FA100" i="1"/>
  <c r="FA101" i="1"/>
  <c r="FA102" i="1"/>
  <c r="FA103" i="1"/>
  <c r="FA104" i="1"/>
  <c r="FA105" i="1"/>
  <c r="FA106" i="1"/>
  <c r="LC79" i="1"/>
  <c r="LD79" i="1" s="1"/>
  <c r="LD98" i="1" s="1"/>
  <c r="HW101" i="1"/>
  <c r="HW102" i="1"/>
  <c r="HW103" i="1"/>
  <c r="HW100" i="1"/>
  <c r="HW104" i="1"/>
  <c r="HW105" i="1"/>
  <c r="HW106" i="1"/>
  <c r="MB79" i="1"/>
  <c r="FU100" i="1"/>
  <c r="FU101" i="1"/>
  <c r="FU102" i="1"/>
  <c r="FU103" i="1"/>
  <c r="FU104" i="1"/>
  <c r="FU105" i="1"/>
  <c r="FU106" i="1"/>
  <c r="LJ79" i="1"/>
  <c r="E46" i="2"/>
  <c r="R46" i="2" s="1"/>
  <c r="T43" i="2"/>
  <c r="JG79" i="1" s="1"/>
  <c r="HQ100" i="1"/>
  <c r="HQ101" i="1"/>
  <c r="HQ102" i="1"/>
  <c r="HQ103" i="1"/>
  <c r="HQ104" i="1"/>
  <c r="HQ105" i="1"/>
  <c r="HQ106" i="1"/>
  <c r="FI100" i="1"/>
  <c r="FI101" i="1"/>
  <c r="FI102" i="1"/>
  <c r="FI103" i="1"/>
  <c r="FI104" i="1"/>
  <c r="FI105" i="1"/>
  <c r="FI106" i="1"/>
  <c r="DY101" i="1"/>
  <c r="DY102" i="1"/>
  <c r="DY103" i="1"/>
  <c r="DY100" i="1"/>
  <c r="DY104" i="1"/>
  <c r="DY105" i="1"/>
  <c r="DY106" i="1"/>
  <c r="KT79" i="1"/>
  <c r="KT98" i="1" s="1"/>
  <c r="MT93" i="1"/>
  <c r="MV93" i="1" s="1"/>
  <c r="MT52" i="1"/>
  <c r="MV52" i="1" s="1"/>
  <c r="MT33" i="1"/>
  <c r="MV33" i="1" s="1"/>
  <c r="MT7" i="1"/>
  <c r="MV7" i="1" s="1"/>
  <c r="MT60" i="1"/>
  <c r="MV60" i="1" s="1"/>
  <c r="KH98" i="1"/>
  <c r="KV98" i="1"/>
  <c r="KX98" i="1"/>
  <c r="EL100" i="1"/>
  <c r="EL101" i="1"/>
  <c r="EL102" i="1"/>
  <c r="EL103" i="1"/>
  <c r="EL104" i="1"/>
  <c r="EL105" i="1"/>
  <c r="EL106" i="1"/>
  <c r="KY79" i="1"/>
  <c r="JF101" i="1"/>
  <c r="JF102" i="1"/>
  <c r="JF100" i="1"/>
  <c r="JF103" i="1"/>
  <c r="JF106" i="1"/>
  <c r="JF104" i="1"/>
  <c r="JF105" i="1"/>
  <c r="HO101" i="1"/>
  <c r="HO102" i="1"/>
  <c r="HO103" i="1"/>
  <c r="HO100" i="1"/>
  <c r="HO104" i="1"/>
  <c r="HO105" i="1"/>
  <c r="HO106" i="1"/>
  <c r="LY79" i="1"/>
  <c r="LZ79" i="1" s="1"/>
  <c r="LZ98" i="1" s="1"/>
  <c r="FG101" i="1"/>
  <c r="FG102" i="1"/>
  <c r="FG103" i="1"/>
  <c r="FG100" i="1"/>
  <c r="FG106" i="1"/>
  <c r="FG105" i="1"/>
  <c r="FG104" i="1"/>
  <c r="LE79" i="1"/>
  <c r="LF79" i="1" s="1"/>
  <c r="LF98" i="1" s="1"/>
  <c r="DK101" i="1"/>
  <c r="DK102" i="1"/>
  <c r="DK103" i="1"/>
  <c r="DK100" i="1"/>
  <c r="DK105" i="1"/>
  <c r="DK104" i="1"/>
  <c r="DK106" i="1"/>
  <c r="KO79" i="1"/>
  <c r="KP79" i="1" s="1"/>
  <c r="KP98" i="1" s="1"/>
  <c r="JC100" i="1"/>
  <c r="JC101" i="1"/>
  <c r="JC102" i="1"/>
  <c r="JC103" i="1"/>
  <c r="JC104" i="1"/>
  <c r="JC105" i="1"/>
  <c r="JC106" i="1"/>
  <c r="HE100" i="1"/>
  <c r="HE101" i="1"/>
  <c r="HE102" i="1"/>
  <c r="HE103" i="1"/>
  <c r="HE104" i="1"/>
  <c r="HE105" i="1"/>
  <c r="HE106" i="1"/>
  <c r="LV79" i="1"/>
  <c r="EW100" i="1"/>
  <c r="EW101" i="1"/>
  <c r="EW102" i="1"/>
  <c r="EW103" i="1"/>
  <c r="EW104" i="1"/>
  <c r="EW105" i="1"/>
  <c r="EW106" i="1"/>
  <c r="LB79" i="1"/>
  <c r="LB98" i="1" s="1"/>
  <c r="DM100" i="1"/>
  <c r="DM101" i="1"/>
  <c r="DM102" i="1"/>
  <c r="DM103" i="1"/>
  <c r="DM104" i="1"/>
  <c r="DM105" i="1"/>
  <c r="DM106" i="1"/>
  <c r="HC101" i="1"/>
  <c r="HC102" i="1"/>
  <c r="HC103" i="1"/>
  <c r="HC106" i="1"/>
  <c r="HC105" i="1"/>
  <c r="HC104" i="1"/>
  <c r="LU79" i="1"/>
  <c r="EU101" i="1"/>
  <c r="EU102" i="1"/>
  <c r="EU103" i="1"/>
  <c r="EU100" i="1"/>
  <c r="EU104" i="1"/>
  <c r="EU105" i="1"/>
  <c r="EU106" i="1"/>
  <c r="LA79" i="1"/>
  <c r="BU101" i="1"/>
  <c r="BU102" i="1"/>
  <c r="BU103" i="1"/>
  <c r="BU104" i="1"/>
  <c r="BU105" i="1"/>
  <c r="BU106" i="1"/>
  <c r="IU100" i="1"/>
  <c r="IU101" i="1"/>
  <c r="IU102" i="1"/>
  <c r="IU103" i="1"/>
  <c r="IU104" i="1"/>
  <c r="IU105" i="1"/>
  <c r="IU106" i="1"/>
  <c r="MJ79" i="1"/>
  <c r="GS101" i="1"/>
  <c r="GS102" i="1"/>
  <c r="GS103" i="1"/>
  <c r="GS100" i="1"/>
  <c r="GS104" i="1"/>
  <c r="GS105" i="1"/>
  <c r="GS106" i="1"/>
  <c r="LR79" i="1"/>
  <c r="EN101" i="1"/>
  <c r="EN102" i="1"/>
  <c r="EN103" i="1"/>
  <c r="EN106" i="1"/>
  <c r="EN105" i="1"/>
  <c r="EN104" i="1"/>
  <c r="DA101" i="1"/>
  <c r="DA102" i="1"/>
  <c r="DA103" i="1"/>
  <c r="DA100" i="1"/>
  <c r="DA104" i="1"/>
  <c r="DA105" i="1"/>
  <c r="DA106" i="1"/>
  <c r="KL79" i="1"/>
  <c r="KL98" i="1" s="1"/>
  <c r="BO100" i="1"/>
  <c r="BO101" i="1"/>
  <c r="BO102" i="1"/>
  <c r="BO103" i="1"/>
  <c r="BO104" i="1"/>
  <c r="BO106" i="1"/>
  <c r="BO105" i="1"/>
  <c r="IO101" i="1"/>
  <c r="IO102" i="1"/>
  <c r="IO100" i="1"/>
  <c r="IO103" i="1"/>
  <c r="IO104" i="1"/>
  <c r="IO105" i="1"/>
  <c r="IO106" i="1"/>
  <c r="MH79" i="1"/>
  <c r="GM100" i="1"/>
  <c r="GM101" i="1"/>
  <c r="GM102" i="1"/>
  <c r="GM103" i="1"/>
  <c r="GM104" i="1"/>
  <c r="GM106" i="1"/>
  <c r="GM105" i="1"/>
  <c r="LP79" i="1"/>
  <c r="LP98" i="1" s="1"/>
  <c r="EM101" i="1"/>
  <c r="EM102" i="1"/>
  <c r="EM103" i="1"/>
  <c r="EM100" i="1"/>
  <c r="EM104" i="1"/>
  <c r="EM105" i="1"/>
  <c r="EM106" i="1"/>
  <c r="BW101" i="1"/>
  <c r="BW102" i="1"/>
  <c r="BW103" i="1"/>
  <c r="BW100" i="1"/>
  <c r="BW105" i="1"/>
  <c r="BW104" i="1"/>
  <c r="BW106" i="1"/>
  <c r="MF98" i="1"/>
  <c r="LR98" i="1"/>
  <c r="LV98" i="1"/>
  <c r="MH98" i="1"/>
  <c r="KJ98" i="1"/>
  <c r="LH98" i="1"/>
  <c r="LN98" i="1"/>
  <c r="MJ98" i="1"/>
  <c r="MB98" i="1"/>
  <c r="ML98" i="1"/>
  <c r="LJ98" i="1"/>
  <c r="LL98" i="1"/>
  <c r="MP98" i="1"/>
  <c r="MD98" i="1"/>
  <c r="JE100" i="1"/>
  <c r="IY100" i="1"/>
  <c r="HC100" i="1"/>
  <c r="BU100" i="1"/>
  <c r="EO101" i="1"/>
  <c r="EO102" i="1"/>
  <c r="EO103" i="1"/>
  <c r="EO100" i="1"/>
  <c r="GQ100" i="1"/>
  <c r="BC100" i="1"/>
  <c r="JQ100" i="1"/>
  <c r="EP100" i="1"/>
  <c r="DW100" i="1"/>
  <c r="IS100" i="1"/>
  <c r="FH100" i="1"/>
  <c r="FH101" i="1"/>
  <c r="FH102" i="1"/>
  <c r="FH103" i="1"/>
  <c r="EN100" i="1"/>
  <c r="GW100" i="1"/>
  <c r="IM100" i="1"/>
  <c r="DG34" i="1"/>
  <c r="JV98" i="1" l="1"/>
  <c r="JG100" i="1"/>
  <c r="JG101" i="1"/>
  <c r="JG102" i="1"/>
  <c r="JG103" i="1"/>
  <c r="JG106" i="1"/>
  <c r="JG104" i="1"/>
  <c r="JG105" i="1"/>
  <c r="MN79" i="1"/>
  <c r="MN98" i="1" s="1"/>
  <c r="JN79" i="1"/>
  <c r="T45" i="2"/>
  <c r="JS79" i="1" s="1"/>
  <c r="B46" i="2"/>
  <c r="T46" i="2" s="1"/>
  <c r="H64" i="3"/>
  <c r="H77" i="3"/>
  <c r="JE101" i="1"/>
  <c r="JE102" i="1"/>
  <c r="JE103" i="1"/>
  <c r="JE104" i="1"/>
  <c r="JE105" i="1"/>
  <c r="JE106" i="1"/>
  <c r="EO104" i="1"/>
  <c r="EO105" i="1"/>
  <c r="EO106" i="1"/>
  <c r="DG101" i="1"/>
  <c r="DG102" i="1"/>
  <c r="DG103" i="1"/>
  <c r="DG100" i="1"/>
  <c r="DG104" i="1"/>
  <c r="DG105" i="1"/>
  <c r="DG106" i="1"/>
  <c r="KN34" i="1"/>
  <c r="EQ100" i="1"/>
  <c r="EQ101" i="1"/>
  <c r="EQ102" i="1"/>
  <c r="EQ103" i="1"/>
  <c r="EQ105" i="1"/>
  <c r="EQ104" i="1"/>
  <c r="EQ106" i="1"/>
  <c r="KZ79" i="1"/>
  <c r="KZ98" i="1" s="1"/>
  <c r="JQ101" i="1"/>
  <c r="JQ102" i="1"/>
  <c r="JQ103" i="1"/>
  <c r="JQ104" i="1"/>
  <c r="JQ105" i="1"/>
  <c r="JQ106" i="1"/>
  <c r="JP79" i="1"/>
  <c r="D46" i="2"/>
  <c r="JD101" i="1"/>
  <c r="JD102" i="1"/>
  <c r="JD100" i="1"/>
  <c r="JD103" i="1"/>
  <c r="JD106" i="1"/>
  <c r="JD104" i="1"/>
  <c r="JD105" i="1"/>
  <c r="H68" i="3" l="1"/>
  <c r="H74" i="3" s="1"/>
  <c r="H75" i="3"/>
  <c r="JN101" i="1"/>
  <c r="JN102" i="1"/>
  <c r="JN100" i="1"/>
  <c r="MQ79" i="1"/>
  <c r="JN103" i="1"/>
  <c r="JN106" i="1"/>
  <c r="JN104" i="1"/>
  <c r="JN105" i="1"/>
  <c r="JP100" i="1"/>
  <c r="JP101" i="1"/>
  <c r="JP102" i="1"/>
  <c r="JP103" i="1"/>
  <c r="JP106" i="1"/>
  <c r="JP104" i="1"/>
  <c r="JP105" i="1"/>
  <c r="JS100" i="1"/>
  <c r="JS101" i="1"/>
  <c r="JS102" i="1"/>
  <c r="JS103" i="1"/>
  <c r="JS104" i="1"/>
  <c r="JS105" i="1"/>
  <c r="JS106" i="1"/>
  <c r="MR79" i="1"/>
  <c r="MR98" i="1" s="1"/>
  <c r="MT34" i="1"/>
  <c r="MV34" i="1" s="1"/>
  <c r="KN98" i="1"/>
  <c r="MT79" i="1" l="1"/>
  <c r="MV79" i="1" s="1"/>
  <c r="MV98" i="1"/>
</calcChain>
</file>

<file path=xl/sharedStrings.xml><?xml version="1.0" encoding="utf-8"?>
<sst xmlns="http://schemas.openxmlformats.org/spreadsheetml/2006/main" count="1432" uniqueCount="617">
  <si>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</si>
  <si>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</si>
  <si>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</si>
  <si>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</si>
  <si>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</si>
  <si>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</si>
  <si>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</si>
  <si>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</si>
  <si>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</si>
  <si>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</si>
  <si>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</si>
  <si>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</si>
  <si>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</si>
  <si>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</si>
  <si>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</si>
  <si>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</si>
  <si>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</si>
  <si>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</si>
  <si>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</si>
  <si>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</si>
  <si>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</si>
  <si>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</si>
  <si>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</si>
  <si>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</si>
  <si>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</si>
  <si>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</si>
  <si>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</si>
  <si>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</si>
  <si>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</si>
  <si>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</si>
  <si>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</si>
  <si>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</si>
  <si>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</si>
  <si>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</si>
  <si>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</si>
  <si>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</si>
  <si>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</si>
  <si>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</si>
  <si>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</si>
  <si>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</si>
  <si>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</si>
  <si>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</si>
  <si>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</si>
  <si>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</si>
  <si>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</si>
  <si>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</si>
  <si>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</si>
  <si>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</si>
  <si>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</si>
  <si>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</si>
  <si>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</si>
  <si>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TicketRevMBKB</t>
  </si>
  <si>
    <t>TicketRevWBKB</t>
  </si>
  <si>
    <t>TicketRevOtherSports</t>
  </si>
  <si>
    <t>TicketRevNPS</t>
  </si>
  <si>
    <t>TicketRevTot</t>
  </si>
  <si>
    <t>StudentFeesFB</t>
  </si>
  <si>
    <t>StudentFeesMBKB</t>
  </si>
  <si>
    <t>StudentFeesWBKB</t>
  </si>
  <si>
    <t>StudentFeesOtherSports</t>
  </si>
  <si>
    <t>StudentFeesNPS</t>
  </si>
  <si>
    <t>StudentFeesTot</t>
  </si>
  <si>
    <t>GuarFB</t>
  </si>
  <si>
    <t>GuarMBKB</t>
  </si>
  <si>
    <t>GuarWBKB</t>
  </si>
  <si>
    <t>GuarOtherSports</t>
  </si>
  <si>
    <t>GuarNPS</t>
  </si>
  <si>
    <t>GuarTot</t>
  </si>
  <si>
    <t>ContribsFB</t>
  </si>
  <si>
    <t>ContribsMBKB</t>
  </si>
  <si>
    <t>ContribsWBKB</t>
  </si>
  <si>
    <t>ContribsOtherSports</t>
  </si>
  <si>
    <t>ContribsNPS</t>
  </si>
  <si>
    <t>ContribsTot</t>
  </si>
  <si>
    <t>C&amp;B3rdFB</t>
  </si>
  <si>
    <t>C&amp;B3rdMBKB</t>
  </si>
  <si>
    <t>C&amp;B3rdWBKB</t>
  </si>
  <si>
    <t>C&amp;B3rdOtherSports</t>
  </si>
  <si>
    <t>C&amp;B3rdNPS</t>
  </si>
  <si>
    <t>C&amp;B3rdTot</t>
  </si>
  <si>
    <t>DirStateFB</t>
  </si>
  <si>
    <t>DirStateMBKB</t>
  </si>
  <si>
    <t>DirStateWBKB</t>
  </si>
  <si>
    <t>DirStateOtherSports</t>
  </si>
  <si>
    <t>DirStateNPS</t>
  </si>
  <si>
    <t>DirStateTot</t>
  </si>
  <si>
    <t>DirInstFB</t>
  </si>
  <si>
    <t>DirInstMBKB</t>
  </si>
  <si>
    <t>DirInstWBKB</t>
  </si>
  <si>
    <t>DirInstOtherSports</t>
  </si>
  <si>
    <t>DirInstNPS</t>
  </si>
  <si>
    <t>DirInstTot</t>
  </si>
  <si>
    <t>IndirFB</t>
  </si>
  <si>
    <t>IndirMBKB</t>
  </si>
  <si>
    <t>IndirWBKB</t>
  </si>
  <si>
    <t>IndirOtherSports</t>
  </si>
  <si>
    <t>IndirNPS</t>
  </si>
  <si>
    <t>IndirTot</t>
  </si>
  <si>
    <t>DistribsFB</t>
  </si>
  <si>
    <t>DistribsMBKB</t>
  </si>
  <si>
    <t>DistribsWBKB</t>
  </si>
  <si>
    <t>DistribsOtherSports</t>
  </si>
  <si>
    <t>DistribsNPS</t>
  </si>
  <si>
    <t>DistribsTot</t>
  </si>
  <si>
    <t>MediaFB</t>
  </si>
  <si>
    <t>MediaMBKB</t>
  </si>
  <si>
    <t>MediaWBKB</t>
  </si>
  <si>
    <t>MediaOtherSports</t>
  </si>
  <si>
    <t>MediaNPS</t>
  </si>
  <si>
    <t>MediaTot</t>
  </si>
  <si>
    <t>ConcessFB</t>
  </si>
  <si>
    <t>ConcessMBKB</t>
  </si>
  <si>
    <t>ConcessWBKB</t>
  </si>
  <si>
    <t>ConcessOtherSports</t>
  </si>
  <si>
    <t>ConcessNPS</t>
  </si>
  <si>
    <t>ConcessTot</t>
  </si>
  <si>
    <t>SponsFB</t>
  </si>
  <si>
    <t>SponsMBKB</t>
  </si>
  <si>
    <t>SponsWBKB</t>
  </si>
  <si>
    <t>SponsOtherSports</t>
  </si>
  <si>
    <t>SponsNPS</t>
  </si>
  <si>
    <t>SponsTot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</si>
  <si>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</si>
  <si>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</si>
  <si>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</si>
  <si>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</si>
  <si>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</si>
  <si>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</si>
  <si>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</si>
  <si>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</si>
  <si>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</si>
  <si>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</si>
  <si>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</si>
  <si>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</si>
  <si>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</si>
  <si>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</si>
  <si>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</si>
  <si>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</si>
  <si>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</si>
  <si>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</si>
  <si>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</si>
  <si>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</si>
  <si>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</si>
  <si>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</si>
  <si>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</si>
  <si>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</si>
  <si>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</si>
  <si>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</si>
  <si>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</si>
  <si>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</si>
  <si>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</si>
  <si>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</si>
  <si>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</si>
  <si>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</si>
  <si>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</si>
  <si>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</si>
  <si>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</si>
  <si>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</si>
  <si>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</si>
  <si>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</si>
  <si>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</si>
  <si>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</si>
  <si>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</si>
  <si>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</si>
  <si>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</si>
  <si>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</si>
  <si>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</si>
  <si>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</si>
  <si>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</si>
  <si>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</si>
  <si>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</si>
  <si>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</si>
  <si>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</si>
  <si>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</si>
  <si>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</si>
  <si>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</si>
  <si>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</si>
  <si>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</si>
  <si>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</si>
  <si>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</si>
  <si>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</si>
  <si>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</si>
  <si>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</si>
  <si>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</si>
  <si>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</si>
  <si>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</si>
  <si>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</si>
  <si>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</si>
  <si>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</si>
  <si>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</si>
  <si>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</si>
  <si>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</si>
  <si>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</si>
  <si>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</si>
  <si>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</si>
  <si>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</si>
  <si>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</si>
  <si>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</si>
  <si>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</si>
  <si>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</si>
  <si>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</si>
  <si>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</si>
  <si>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</si>
  <si>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</si>
  <si>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</si>
  <si>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</si>
  <si>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</si>
  <si>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</si>
  <si>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</si>
  <si>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</si>
  <si>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</si>
  <si>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</si>
  <si>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</si>
  <si>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</si>
  <si>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</si>
  <si>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</si>
  <si>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</si>
  <si>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</si>
  <si>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</si>
  <si>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</si>
  <si>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</si>
  <si>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</si>
  <si>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</si>
  <si>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</si>
  <si>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</si>
  <si>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</si>
  <si>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</si>
  <si>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</si>
  <si>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</si>
  <si>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</si>
  <si>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</si>
  <si>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</si>
  <si>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</si>
  <si>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</si>
  <si>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</si>
  <si>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</si>
  <si>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</si>
  <si>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</si>
  <si>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</si>
  <si>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</si>
  <si>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</si>
  <si>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</si>
  <si>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</si>
  <si>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</si>
  <si>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</si>
  <si>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</si>
  <si>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</si>
  <si>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</si>
  <si>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</si>
  <si>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</si>
  <si>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</si>
  <si>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</si>
  <si>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</si>
  <si>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</si>
  <si>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</si>
  <si>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</si>
  <si>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</si>
  <si>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</si>
  <si>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</si>
  <si>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</si>
  <si>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</si>
  <si>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</si>
  <si>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</si>
  <si>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</si>
  <si>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</si>
  <si>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</si>
  <si>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</si>
  <si>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</si>
  <si>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</si>
  <si>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</si>
  <si>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</si>
  <si>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</si>
  <si>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</si>
  <si>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</si>
  <si>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</si>
  <si>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</si>
  <si>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</si>
  <si>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</si>
  <si>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</si>
  <si>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</si>
  <si>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</si>
  <si>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</si>
  <si>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134 ,936,213</t>
  </si>
  <si>
    <t xml:space="preserve"> 22 ,635,223</t>
  </si>
  <si>
    <t>1,3 1 2,688,678</t>
  </si>
  <si>
    <t>26 ,682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</si>
  <si>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</si>
  <si>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</si>
  <si>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</si>
  <si>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</si>
  <si>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</si>
  <si>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</si>
  <si>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</si>
  <si>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</si>
  <si>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</si>
  <si>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</si>
  <si>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</si>
  <si>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</si>
  <si>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-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</si>
  <si>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</si>
  <si>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</si>
  <si>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</si>
  <si>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</si>
  <si>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</si>
  <si>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</si>
  <si>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</si>
  <si>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</si>
  <si>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</si>
  <si>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$0: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</si>
  <si>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</si>
  <si>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</si>
  <si>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</si>
  <si>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</si>
  <si>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</si>
  <si>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</si>
  <si>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</si>
  <si>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State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</si>
  <si>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</si>
  <si>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</si>
  <si>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</si>
  <si>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</si>
  <si>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</si>
  <si>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</si>
  <si>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</si>
  <si>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</si>
  <si>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</si>
  <si>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</si>
  <si>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</si>
  <si>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</si>
  <si>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</si>
  <si>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</si>
  <si>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</si>
  <si>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</si>
  <si>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</si>
  <si>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</si>
  <si>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</si>
  <si>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</si>
  <si>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</si>
  <si>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</si>
  <si>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</si>
  <si>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</si>
  <si>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</si>
  <si>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</si>
  <si>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</si>
  <si>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</si>
  <si>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</si>
  <si>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</si>
  <si>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</si>
  <si>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</si>
  <si>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</si>
  <si>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</si>
  <si>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</si>
  <si>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</si>
  <si>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</si>
  <si>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</si>
  <si>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Purdue</t>
  </si>
  <si>
    <t>Rutgers</t>
  </si>
  <si>
    <t>San Jose State</t>
  </si>
  <si>
    <t>South Alabama</t>
  </si>
  <si>
    <t>South Carolina</t>
  </si>
  <si>
    <t>Southern Mississippi</t>
  </si>
  <si>
    <t>South Florida</t>
  </si>
  <si>
    <t>Texas</t>
  </si>
  <si>
    <t>Texas A&amp;M</t>
  </si>
  <si>
    <t>Texas State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</si>
  <si>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</si>
  <si>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</si>
  <si>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</si>
  <si>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</si>
  <si>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</si>
  <si>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</si>
  <si>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</si>
  <si>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</si>
  <si>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</si>
  <si>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</si>
  <si>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</si>
  <si>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</si>
  <si>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</si>
  <si>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</si>
  <si>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</si>
  <si>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</si>
  <si>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</si>
  <si>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</si>
  <si>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</si>
  <si>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</si>
  <si>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</si>
  <si>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</si>
  <si>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</si>
  <si>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</si>
  <si>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</si>
  <si>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</si>
  <si>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</si>
  <si>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</si>
  <si>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</si>
  <si>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</si>
  <si>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</si>
  <si>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</si>
  <si>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</si>
  <si>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</si>
  <si>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</si>
  <si>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</si>
  <si>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</si>
  <si>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</si>
  <si>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</si>
  <si>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</si>
  <si>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</si>
  <si>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</si>
  <si>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</si>
  <si>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</si>
  <si>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</si>
  <si>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­$2,345</t>
  </si>
  <si>
    <t>CUSA</t>
  </si>
  <si>
    <t>SEC</t>
  </si>
  <si>
    <t>MWC</t>
  </si>
  <si>
    <t>MAC</t>
  </si>
  <si>
    <t>$294,489,</t>
  </si>
  <si>
    <t>$129,114,</t>
  </si>
  <si>
    <t>Row Error Count</t>
  </si>
  <si>
    <t>Washington State</t>
  </si>
  <si>
    <t>*</t>
  </si>
  <si>
    <t>Coder</t>
  </si>
  <si>
    <t>MA</t>
  </si>
  <si>
    <t>PC</t>
  </si>
  <si>
    <t>SM</t>
  </si>
  <si>
    <t>JO</t>
  </si>
  <si>
    <t>JOh</t>
  </si>
  <si>
    <t>DR</t>
  </si>
  <si>
    <t>BR</t>
  </si>
  <si>
    <t>GS</t>
  </si>
  <si>
    <t>Revenues</t>
  </si>
  <si>
    <t>Category</t>
  </si>
  <si>
    <t>Expenses</t>
  </si>
  <si>
    <t>Football</t>
  </si>
  <si>
    <t>Volleyball</t>
  </si>
  <si>
    <t>Baseball</t>
  </si>
  <si>
    <t>Softball</t>
  </si>
  <si>
    <t>Men's BKB</t>
  </si>
  <si>
    <t>Women's BKB</t>
  </si>
  <si>
    <t>Men's Golf</t>
  </si>
  <si>
    <t>Women's Golf</t>
  </si>
  <si>
    <t>Men's Swimming</t>
  </si>
  <si>
    <t>Women's Swimming</t>
  </si>
  <si>
    <t>Men's Tennis</t>
  </si>
  <si>
    <t>Women's Tennis</t>
  </si>
  <si>
    <t>Rowing</t>
  </si>
  <si>
    <t>Soccer</t>
  </si>
  <si>
    <t>Men's Track</t>
  </si>
  <si>
    <t>Women's Track</t>
  </si>
  <si>
    <t>Total</t>
  </si>
  <si>
    <t>Non-Program Specific</t>
  </si>
  <si>
    <t>Excess</t>
  </si>
  <si>
    <t>Dept Outstanding Debt</t>
  </si>
  <si>
    <t>Dept Debt Service</t>
  </si>
  <si>
    <t>Other Sports</t>
  </si>
  <si>
    <t>I have quadruple eyeballed #10 for Illinois. The entries here are exactly the entries in the PDF.</t>
  </si>
  <si>
    <t>But the value from the PDF for the total for item #10 is less than the total of the elements, by exactly the amont of the negative entry under MediaNPS.</t>
  </si>
  <si>
    <t>I think this is simply a calculation mistake by the AthDept.</t>
  </si>
  <si>
    <t>Corrected: Just use the sum of the elements for the total in this case.</t>
  </si>
  <si>
    <t>Line from the PDF</t>
  </si>
  <si>
    <t>Revenue</t>
  </si>
  <si>
    <r>
      <rPr>
        <b/>
        <sz val="12"/>
        <color rgb="FF231F20"/>
        <rFont val="Calibri"/>
        <family val="2"/>
        <scheme val="minor"/>
      </rPr>
      <t>University of California, Berkeley</t>
    </r>
  </si>
  <si>
    <r>
      <rPr>
        <b/>
        <sz val="12"/>
        <color rgb="FF231F20"/>
        <rFont val="Calibri"/>
        <family val="2"/>
        <scheme val="minor"/>
      </rPr>
      <t>Intercollegiate Athletic Department</t>
    </r>
  </si>
  <si>
    <r>
      <rPr>
        <b/>
        <sz val="12"/>
        <color rgb="FF231F20"/>
        <rFont val="Calibri"/>
        <family val="2"/>
        <scheme val="minor"/>
      </rPr>
      <t>Statement of Revenues and Expenses (Unaudited) Year Ended June 30, 2014</t>
    </r>
  </si>
  <si>
    <r>
      <rPr>
        <b/>
        <sz val="12"/>
        <color rgb="FF231F20"/>
        <rFont val="Calibri"/>
        <family val="2"/>
        <scheme val="minor"/>
      </rPr>
      <t>Operating Revenues:</t>
    </r>
  </si>
  <si>
    <r>
      <rPr>
        <b/>
        <sz val="12"/>
        <color rgb="FF231F20"/>
        <rFont val="Calibri"/>
        <family val="2"/>
        <scheme val="minor"/>
      </rPr>
      <t>Football</t>
    </r>
  </si>
  <si>
    <r>
      <rPr>
        <b/>
        <sz val="12"/>
        <color rgb="FF231F20"/>
        <rFont val="Calibri"/>
        <family val="2"/>
        <scheme val="minor"/>
      </rPr>
      <t>Men's Basketball</t>
    </r>
  </si>
  <si>
    <r>
      <rPr>
        <b/>
        <sz val="12"/>
        <color rgb="FF231F20"/>
        <rFont val="Calibri"/>
        <family val="2"/>
        <scheme val="minor"/>
      </rPr>
      <t>Grand Total</t>
    </r>
  </si>
  <si>
    <r>
      <rPr>
        <sz val="12"/>
        <color rgb="FF231F20"/>
        <rFont val="Calibri"/>
        <family val="2"/>
        <scheme val="minor"/>
      </rPr>
      <t>Ticket Sales</t>
    </r>
  </si>
  <si>
    <r>
      <rPr>
        <sz val="12"/>
        <color rgb="FF231F20"/>
        <rFont val="Calibri"/>
        <family val="2"/>
        <scheme val="minor"/>
      </rPr>
      <t>Student Fees</t>
    </r>
  </si>
  <si>
    <r>
      <rPr>
        <sz val="12"/>
        <color rgb="FF231F20"/>
        <rFont val="Calibri"/>
        <family val="2"/>
        <scheme val="minor"/>
      </rPr>
      <t>-</t>
    </r>
  </si>
  <si>
    <r>
      <rPr>
        <sz val="12"/>
        <color rgb="FF231F20"/>
        <rFont val="Calibri"/>
        <family val="2"/>
        <scheme val="minor"/>
      </rPr>
      <t>Guarantees</t>
    </r>
  </si>
  <si>
    <r>
      <rPr>
        <sz val="12"/>
        <color rgb="FF231F20"/>
        <rFont val="Calibri"/>
        <family val="2"/>
        <scheme val="minor"/>
      </rPr>
      <t>Contributions</t>
    </r>
  </si>
  <si>
    <r>
      <rPr>
        <sz val="12"/>
        <color rgb="FF231F20"/>
        <rFont val="Calibri"/>
        <family val="2"/>
        <scheme val="minor"/>
      </rPr>
      <t>Direct Institutional Support</t>
    </r>
  </si>
  <si>
    <r>
      <rPr>
        <sz val="12"/>
        <color rgb="FF231F20"/>
        <rFont val="Calibri"/>
        <family val="2"/>
        <scheme val="minor"/>
      </rPr>
      <t>NCAA/Conference Distributions</t>
    </r>
  </si>
  <si>
    <r>
      <rPr>
        <sz val="12"/>
        <color rgb="FF231F20"/>
        <rFont val="Calibri"/>
        <family val="2"/>
        <scheme val="minor"/>
      </rPr>
      <t>Program/Novelty/Concessions/Parking</t>
    </r>
  </si>
  <si>
    <r>
      <rPr>
        <sz val="12"/>
        <color rgb="FF231F20"/>
        <rFont val="Calibri"/>
        <family val="2"/>
        <scheme val="minor"/>
      </rPr>
      <t>Royalties/Advertisements/Sponsorships</t>
    </r>
  </si>
  <si>
    <r>
      <rPr>
        <sz val="12"/>
        <color rgb="FF231F20"/>
        <rFont val="Calibri"/>
        <family val="2"/>
        <scheme val="minor"/>
      </rPr>
      <t>Sports Camps</t>
    </r>
  </si>
  <si>
    <r>
      <rPr>
        <sz val="12"/>
        <color rgb="FF231F20"/>
        <rFont val="Calibri"/>
        <family val="2"/>
        <scheme val="minor"/>
      </rPr>
      <t>Endowment and Investment Income</t>
    </r>
  </si>
  <si>
    <r>
      <rPr>
        <sz val="12"/>
        <color rgb="FF231F20"/>
        <rFont val="Calibri"/>
        <family val="2"/>
        <scheme val="minor"/>
      </rPr>
      <t>Other Revenue</t>
    </r>
  </si>
  <si>
    <r>
      <rPr>
        <sz val="12"/>
        <color rgb="FF231F20"/>
        <rFont val="Calibri"/>
        <family val="2"/>
        <scheme val="minor"/>
      </rPr>
      <t>Subtotal Operating Revenues</t>
    </r>
  </si>
  <si>
    <r>
      <rPr>
        <b/>
        <sz val="12"/>
        <color rgb="FF231F20"/>
        <rFont val="Calibri"/>
        <family val="2"/>
        <scheme val="minor"/>
      </rPr>
      <t>Operating Expenses:</t>
    </r>
  </si>
  <si>
    <r>
      <rPr>
        <sz val="12"/>
        <color rgb="FF231F20"/>
        <rFont val="Calibri"/>
        <family val="2"/>
        <scheme val="minor"/>
      </rPr>
      <t>Athletic Student Aid</t>
    </r>
  </si>
  <si>
    <r>
      <rPr>
        <sz val="12"/>
        <color rgb="FF231F20"/>
        <rFont val="Calibri"/>
        <family val="2"/>
        <scheme val="minor"/>
      </rPr>
      <t>Coaches Compensation and Benefits</t>
    </r>
  </si>
  <si>
    <r>
      <rPr>
        <sz val="12"/>
        <color rgb="FF231F20"/>
        <rFont val="Calibri"/>
        <family val="2"/>
        <scheme val="minor"/>
      </rPr>
      <t>Administration Compensation and Benefits</t>
    </r>
  </si>
  <si>
    <r>
      <rPr>
        <sz val="12"/>
        <color rgb="FF231F20"/>
        <rFont val="Calibri"/>
        <family val="2"/>
        <scheme val="minor"/>
      </rPr>
      <t>Severance Payments</t>
    </r>
  </si>
  <si>
    <r>
      <rPr>
        <sz val="12"/>
        <color rgb="FF231F20"/>
        <rFont val="Calibri"/>
        <family val="2"/>
        <scheme val="minor"/>
      </rPr>
      <t>Recruiting</t>
    </r>
  </si>
  <si>
    <r>
      <rPr>
        <sz val="12"/>
        <color rgb="FF231F20"/>
        <rFont val="Calibri"/>
        <family val="2"/>
        <scheme val="minor"/>
      </rPr>
      <t>Team Travel</t>
    </r>
  </si>
  <si>
    <r>
      <rPr>
        <sz val="12"/>
        <color rgb="FF231F20"/>
        <rFont val="Calibri"/>
        <family val="2"/>
        <scheme val="minor"/>
      </rPr>
      <t>Equipment/Uniforms/Supplies</t>
    </r>
  </si>
  <si>
    <r>
      <rPr>
        <sz val="12"/>
        <color rgb="FF231F20"/>
        <rFont val="Calibri"/>
        <family val="2"/>
        <scheme val="minor"/>
      </rPr>
      <t>Game Expenses</t>
    </r>
  </si>
  <si>
    <r>
      <rPr>
        <sz val="12"/>
        <color rgb="FF231F20"/>
        <rFont val="Calibri"/>
        <family val="2"/>
        <scheme val="minor"/>
      </rPr>
      <t>Fundraising/Marketing/Promotion</t>
    </r>
  </si>
  <si>
    <r>
      <rPr>
        <sz val="12"/>
        <color rgb="FF231F20"/>
        <rFont val="Calibri"/>
        <family val="2"/>
        <scheme val="minor"/>
      </rPr>
      <t>Direct Facilities Cost</t>
    </r>
  </si>
  <si>
    <r>
      <rPr>
        <sz val="12"/>
        <color rgb="FF231F20"/>
        <rFont val="Calibri"/>
        <family val="2"/>
        <scheme val="minor"/>
      </rPr>
      <t>Spirit Groups</t>
    </r>
  </si>
  <si>
    <r>
      <rPr>
        <sz val="12"/>
        <color rgb="FF231F20"/>
        <rFont val="Calibri"/>
        <family val="2"/>
        <scheme val="minor"/>
      </rPr>
      <t>Medical Expenses and Insurance</t>
    </r>
  </si>
  <si>
    <r>
      <rPr>
        <sz val="12"/>
        <color rgb="FF231F20"/>
        <rFont val="Calibri"/>
        <family val="2"/>
        <scheme val="minor"/>
      </rPr>
      <t>Memberships/Dues</t>
    </r>
  </si>
  <si>
    <r>
      <rPr>
        <sz val="12"/>
        <color rgb="FF231F20"/>
        <rFont val="Calibri"/>
        <family val="2"/>
        <scheme val="minor"/>
      </rPr>
      <t>Other Expenses</t>
    </r>
  </si>
  <si>
    <r>
      <rPr>
        <sz val="12"/>
        <color rgb="FF231F20"/>
        <rFont val="Calibri"/>
        <family val="2"/>
        <scheme val="minor"/>
      </rPr>
      <t>Transfers to Institution</t>
    </r>
  </si>
  <si>
    <r>
      <rPr>
        <sz val="12"/>
        <color rgb="FF231F20"/>
        <rFont val="Calibri"/>
        <family val="2"/>
        <scheme val="minor"/>
      </rPr>
      <t>Subtotal Operating Expenses</t>
    </r>
  </si>
  <si>
    <r>
      <rPr>
        <sz val="12"/>
        <color rgb="FF231F20"/>
        <rFont val="Calibri"/>
        <family val="2"/>
        <scheme val="minor"/>
      </rPr>
      <t>Loan Repayments</t>
    </r>
  </si>
  <si>
    <r>
      <rPr>
        <sz val="12"/>
        <color rgb="FF231F20"/>
        <rFont val="Calibri"/>
        <family val="2"/>
        <scheme val="minor"/>
      </rPr>
      <t>Debt Service - CMS/SAHPC</t>
    </r>
  </si>
  <si>
    <r>
      <rPr>
        <sz val="12"/>
        <color rgb="FF231F20"/>
        <rFont val="Calibri"/>
        <family val="2"/>
        <scheme val="minor"/>
      </rPr>
      <t>Capital Projects</t>
    </r>
  </si>
  <si>
    <r>
      <rPr>
        <sz val="12"/>
        <color rgb="FF231F20"/>
        <rFont val="Calibri"/>
        <family val="2"/>
        <scheme val="minor"/>
      </rPr>
      <t>Excess (Deficiency) of Revenues Over Expenses</t>
    </r>
  </si>
  <si>
    <r>
      <rPr>
        <sz val="12"/>
        <color rgb="FF231F20"/>
        <rFont val="Calibri"/>
        <family val="2"/>
        <scheme val="minor"/>
      </rPr>
      <t>Beginning Fund Balance, July 1, 2013</t>
    </r>
  </si>
  <si>
    <r>
      <rPr>
        <sz val="12"/>
        <color rgb="FF231F20"/>
        <rFont val="Calibri"/>
        <family val="2"/>
        <scheme val="minor"/>
      </rPr>
      <t>Note: Cal Athletics began FY14 with a carryforward balance in both unrestricted and restricted operating funds of $10.08M and ended with a balance of $6.75M.</t>
    </r>
  </si>
  <si>
    <t xml:space="preserve"> -</t>
  </si>
  <si>
    <t>Ending Fund Balance, June 30, 2014</t>
  </si>
  <si>
    <t>Women's Basketball</t>
  </si>
  <si>
    <t>Other Men's Sports</t>
  </si>
  <si>
    <t>Other Women's Sports</t>
  </si>
  <si>
    <t>Report Category</t>
  </si>
  <si>
    <t>Texas reports the data we need in a non-standard format. It was also impervious to Adobe PDF Services, or any form of copy/paste (full password file protected). Below is full transcription.</t>
  </si>
  <si>
    <t>NOTE: I moved columns compared to the original in order to facilitate calculation of "Other Sports" category consistent with reports by all other departments.</t>
  </si>
  <si>
    <t>Links to these data appear in the "Corrected" worksheet.</t>
  </si>
  <si>
    <t>ORIGINAL</t>
  </si>
  <si>
    <t>CORRECTED</t>
  </si>
  <si>
    <t>­$2,346</t>
  </si>
  <si>
    <t>California used a non-standard reporting form. It was easily exported as Excel and cleaned up appears below.</t>
  </si>
  <si>
    <t>Missing Categories:</t>
  </si>
  <si>
    <t>Expense</t>
  </si>
  <si>
    <t>Compensation and Benefits Provide by 3rd Party</t>
  </si>
  <si>
    <t>Direct State or Other Government Support</t>
  </si>
  <si>
    <t>Indirect Facilities and Administrative Support</t>
  </si>
  <si>
    <t>Broadcast, TV, Radio, and Internet Rights</t>
  </si>
  <si>
    <t>Coaching Other Compsation and Benefits Paid by 3rd Party</t>
  </si>
  <si>
    <t>Support Staff/Administrative Other Compensation and Benefits Paid by 3rd Party</t>
  </si>
  <si>
    <t>Total Operating Expenses</t>
  </si>
  <si>
    <t>*Excess (Deficiency) of Revenues Over Expenses is non-standard and includes Loan Repayments, Debt Service, and Capital projects.</t>
  </si>
  <si>
    <t>Excess (Deficiency)… CORRECTED</t>
  </si>
  <si>
    <t>Excess (Deficiency)… REPRODUCED</t>
  </si>
  <si>
    <t xml:space="preserve">And I'm making the following call: If a category is not listed, then it is highly likely that the entries would have ben blank across the board and </t>
  </si>
  <si>
    <t>Cal Athletics just decided not to report it. The danger here is that, instead, for example, they just combined some categories.</t>
  </si>
  <si>
    <t>This does NOT seem likely for #5, #6, or #8. But they could have just rolled #10 into #9. And they could have rolled #20 into</t>
  </si>
  <si>
    <t>#19; #22 into #21; or even #32 into #30. Oh well, so it goes.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</si>
  <si>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</si>
  <si>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</si>
  <si>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</si>
  <si>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</si>
  <si>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</si>
  <si>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</si>
  <si>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</si>
  <si>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</si>
  <si>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</si>
  <si>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</si>
  <si>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</si>
  <si>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</si>
  <si>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</si>
  <si>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</si>
  <si>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</si>
  <si>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</si>
  <si>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</si>
  <si>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</si>
  <si>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</si>
  <si>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</si>
  <si>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</si>
  <si>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</si>
  <si>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</si>
  <si>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</si>
  <si>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</si>
  <si>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</si>
  <si>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</si>
  <si>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</si>
  <si>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</si>
  <si>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Massachusetts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</si>
  <si>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</si>
  <si>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</si>
  <si>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</si>
  <si>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</si>
  <si>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</si>
  <si>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</si>
  <si>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</si>
  <si>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</si>
  <si>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</si>
  <si>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</si>
  <si>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</si>
  <si>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</si>
  <si>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</si>
  <si>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Texas San Antonio</t>
  </si>
  <si>
    <t>Tulane</t>
  </si>
  <si>
    <t>Tulsa</t>
  </si>
  <si>
    <t>USC</t>
  </si>
  <si>
    <t>Vanderbilt</t>
  </si>
  <si>
    <t>Wake Forest</t>
  </si>
  <si>
    <t>West Virginia</t>
  </si>
  <si>
    <t>Louisiana-Monroe</t>
  </si>
  <si>
    <t>Texas-San Antonio</t>
  </si>
  <si>
    <t>Don't expect any report on the private programs or the service academies. But there are a few that must have simply not submitted to FOIA:</t>
  </si>
  <si>
    <t>I added the missing rows and left them blank.</t>
  </si>
  <si>
    <t>So, I calculated the missing "Other Sports" column and row #36.</t>
  </si>
  <si>
    <t>NOTE: The adopted convention  is to enter zero in the RevExp columns if 1) the # row is there but an entry is - or 0 or blank or 2) enter zeroes if the #row is not even supplied (see the California worksheet notes).</t>
  </si>
  <si>
    <t>NOTE: The adopted convention  is to enter zero in the non-RevExp columns if a zero really was entered in the PDF, otherwise, it's a blank.</t>
  </si>
  <si>
    <t>TotRevTot</t>
  </si>
  <si>
    <t>2013-2014 Schools and Conferences</t>
  </si>
  <si>
    <t>2014 Data file reports for June 30, 2014. That means the file is for the 2013-14 School/Sports Year (e.g., 2013 regular FB season, 2014 FB Post-Season</t>
  </si>
  <si>
    <t>No Report =</t>
  </si>
  <si>
    <t>min</t>
  </si>
  <si>
    <t>max</t>
  </si>
  <si>
    <t>ave</t>
  </si>
  <si>
    <t>median</t>
  </si>
  <si>
    <t>mode</t>
  </si>
  <si>
    <t>sd</t>
  </si>
  <si>
    <t>How many = 0?</t>
  </si>
  <si>
    <t>Problems</t>
  </si>
  <si>
    <t>General</t>
  </si>
  <si>
    <t>Non-#</t>
  </si>
  <si>
    <t>Rev Exp #</t>
  </si>
  <si>
    <t>DNR "last year" amounts in General Information.</t>
  </si>
  <si>
    <t>x</t>
  </si>
  <si>
    <t>DNR General Information.</t>
  </si>
  <si>
    <t>DNR "last year" amounts in General Information. Differences +$1 or -$1 are rounding error.</t>
  </si>
  <si>
    <t>Report FTEs/Positions as "0". Cannot infer Ave Salaries.</t>
  </si>
  <si>
    <t>DNR General Information EXCEPT debt.</t>
  </si>
  <si>
    <t>Alabama Birmingham</t>
  </si>
  <si>
    <t>Appalachian State</t>
  </si>
  <si>
    <t>Central Florida</t>
  </si>
  <si>
    <t>Florida International</t>
  </si>
  <si>
    <t>Georgia Southern</t>
  </si>
  <si>
    <t>Miami (FL)</t>
  </si>
  <si>
    <t>Middle Tennessee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</si>
</sst>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&quot;$&quot;#,##0;[Red]\-&quot;$&quot;#,##0"/>
    <numFmt numFmtId="166" formatCode="#,##0;#,##0"/>
  </numFmts>
  <fonts count="3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rgb="FF231F20"/>
      <name val="Calibri"/>
      <family val="2"/>
      <scheme val="minor"/>
    </font>
    <font>
      <sz val="12"/>
      <color rgb="FF231F2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C4C4C4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231F20"/>
      </top>
      <bottom style="thin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6">
    <xf numFmtId="0" fontId="0" fillId="0" borderId="0" xfId="0"/>
    <xf numFmtId="164" fontId="0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165" fontId="0" fillId="0" borderId="0" xfId="0" applyNumberFormat="1"/>
    <xf numFmtId="164" fontId="2" fillId="0" borderId="0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Border="1" applyAlignment="1">
      <alignment horizontal="right" vertical="top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0" fillId="0" borderId="0" xfId="0" applyAlignment="1"/>
    <xf numFmtId="0" fontId="0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ont="1" applyAlignment="1"/>
    <xf numFmtId="0" fontId="7" fillId="0" borderId="0" xfId="0" applyFont="1" applyFill="1" applyBorder="1" applyAlignment="1">
      <alignment horizontal="left" vertical="center"/>
    </xf>
    <xf numFmtId="3" fontId="0" fillId="0" borderId="0" xfId="0" applyNumberFormat="1" applyFont="1" applyAlignment="1"/>
    <xf numFmtId="166" fontId="0" fillId="0" borderId="0" xfId="0" applyNumberFormat="1" applyFont="1" applyAlignment="1"/>
    <xf numFmtId="164" fontId="9" fillId="0" borderId="0" xfId="0" applyNumberFormat="1" applyFont="1" applyFill="1" applyBorder="1" applyAlignment="1">
      <alignment horizontal="right" vertical="top"/>
    </xf>
    <xf numFmtId="164" fontId="9" fillId="0" borderId="3" xfId="0" applyNumberFormat="1" applyFont="1" applyFill="1" applyBorder="1" applyAlignment="1">
      <alignment horizontal="right" vertical="top"/>
    </xf>
    <xf numFmtId="164" fontId="2" fillId="0" borderId="3" xfId="0" applyNumberFormat="1" applyFont="1" applyFill="1" applyBorder="1" applyAlignment="1">
      <alignment horizontal="right" vertical="top"/>
    </xf>
    <xf numFmtId="164" fontId="9" fillId="0" borderId="4" xfId="0" applyNumberFormat="1" applyFont="1" applyFill="1" applyBorder="1" applyAlignment="1">
      <alignment horizontal="right" vertical="top"/>
    </xf>
    <xf numFmtId="164" fontId="2" fillId="0" borderId="2" xfId="0" applyNumberFormat="1" applyFont="1" applyFill="1" applyBorder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164" fontId="9" fillId="0" borderId="5" xfId="0" applyNumberFormat="1" applyFont="1" applyFill="1" applyBorder="1" applyAlignment="1">
      <alignment horizontal="right" vertical="top"/>
    </xf>
    <xf numFmtId="164" fontId="0" fillId="0" borderId="1" xfId="0" applyNumberFormat="1" applyFont="1" applyFill="1" applyBorder="1" applyAlignment="1">
      <alignment horizontal="right" vertical="top"/>
    </xf>
    <xf numFmtId="0" fontId="7" fillId="0" borderId="5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3" fontId="3" fillId="6" borderId="0" xfId="0" applyNumberFormat="1" applyFont="1" applyFill="1"/>
    <xf numFmtId="164" fontId="0" fillId="6" borderId="0" xfId="0" applyNumberFormat="1" applyFill="1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 applyAlignment="1"/>
    <xf numFmtId="0" fontId="8" fillId="6" borderId="5" xfId="0" applyFont="1" applyFill="1" applyBorder="1" applyAlignment="1">
      <alignment horizontal="center" vertical="top"/>
    </xf>
    <xf numFmtId="164" fontId="2" fillId="6" borderId="0" xfId="0" applyNumberFormat="1" applyFont="1" applyFill="1" applyBorder="1" applyAlignment="1">
      <alignment horizontal="right" vertical="top"/>
    </xf>
    <xf numFmtId="164" fontId="9" fillId="6" borderId="5" xfId="0" applyNumberFormat="1" applyFont="1" applyFill="1" applyBorder="1" applyAlignment="1">
      <alignment horizontal="right" vertical="top"/>
    </xf>
    <xf numFmtId="164" fontId="0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9" fillId="6" borderId="6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 vertical="center"/>
    </xf>
    <xf numFmtId="164" fontId="9" fillId="6" borderId="4" xfId="0" applyNumberFormat="1" applyFont="1" applyFill="1" applyBorder="1" applyAlignment="1">
      <alignment horizontal="right" vertical="top"/>
    </xf>
    <xf numFmtId="164" fontId="0" fillId="6" borderId="0" xfId="0" applyNumberFormat="1" applyFont="1" applyFill="1" applyBorder="1" applyAlignment="1">
      <alignment horizontal="right" vertical="top"/>
    </xf>
    <xf numFmtId="164" fontId="0" fillId="6" borderId="1" xfId="0" applyNumberFormat="1" applyFont="1" applyFill="1" applyBorder="1" applyAlignment="1">
      <alignment horizontal="right" vertical="top"/>
    </xf>
    <xf numFmtId="0" fontId="0" fillId="6" borderId="0" xfId="0" applyFont="1" applyFill="1" applyAlignment="1"/>
    <xf numFmtId="166" fontId="0" fillId="6" borderId="0" xfId="0" applyNumberFormat="1" applyFont="1" applyFill="1" applyAlignment="1"/>
    <xf numFmtId="164" fontId="0" fillId="6" borderId="0" xfId="0" applyNumberFormat="1" applyFont="1" applyFill="1" applyAlignment="1"/>
    <xf numFmtId="164" fontId="0" fillId="6" borderId="0" xfId="0" applyNumberFormat="1" applyFont="1" applyFill="1" applyAlignment="1">
      <alignment horizontal="right"/>
    </xf>
    <xf numFmtId="0" fontId="7" fillId="6" borderId="5" xfId="0" applyFont="1" applyFill="1" applyBorder="1" applyAlignment="1">
      <alignment horizontal="left" vertical="top"/>
    </xf>
    <xf numFmtId="0" fontId="0" fillId="6" borderId="0" xfId="0" applyFont="1" applyFill="1" applyAlignment="1">
      <alignment horizontal="right"/>
    </xf>
    <xf numFmtId="0" fontId="1" fillId="6" borderId="0" xfId="0" applyFont="1" applyFill="1"/>
    <xf numFmtId="164" fontId="9" fillId="6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/>
    <xf numFmtId="49" fontId="0" fillId="0" borderId="0" xfId="0" applyNumberFormat="1" applyAlignment="1"/>
    <xf numFmtId="49" fontId="0" fillId="0" borderId="0" xfId="0" applyNumberFormat="1" applyFill="1" applyAlignment="1"/>
    <xf numFmtId="0" fontId="2" fillId="7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6" fontId="10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right"/>
    </xf>
    <xf numFmtId="0" fontId="0" fillId="0" borderId="0" xfId="0" applyFill="1"/>
    <xf numFmtId="1" fontId="10" fillId="0" borderId="0" xfId="0" applyNumberFormat="1" applyFont="1" applyFill="1" applyBorder="1" applyAlignment="1">
      <alignment horizontal="left"/>
    </xf>
    <xf numFmtId="3" fontId="24" fillId="0" borderId="0" xfId="0" applyNumberFormat="1" applyFont="1" applyAlignment="1">
      <alignment horizontal="right"/>
    </xf>
    <xf numFmtId="0" fontId="11" fillId="8" borderId="0" xfId="0" applyFont="1" applyFill="1" applyBorder="1" applyAlignment="1">
      <alignment horizontal="right"/>
    </xf>
    <xf numFmtId="3" fontId="11" fillId="8" borderId="0" xfId="0" applyNumberFormat="1" applyFont="1" applyFill="1" applyBorder="1" applyAlignment="1">
      <alignment horizontal="right"/>
    </xf>
    <xf numFmtId="164" fontId="11" fillId="8" borderId="0" xfId="0" applyNumberFormat="1" applyFont="1" applyFill="1" applyBorder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0" xfId="0" applyFont="1" applyFill="1" applyBorder="1"/>
    <xf numFmtId="3" fontId="10" fillId="8" borderId="0" xfId="0" applyNumberFormat="1" applyFont="1" applyFill="1" applyBorder="1" applyAlignment="1">
      <alignment horizontal="right"/>
    </xf>
    <xf numFmtId="164" fontId="10" fillId="8" borderId="0" xfId="0" applyNumberFormat="1" applyFont="1" applyFill="1" applyBorder="1" applyAlignment="1">
      <alignment horizontal="right"/>
    </xf>
    <xf numFmtId="164" fontId="12" fillId="8" borderId="0" xfId="0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horizontal="right"/>
    </xf>
    <xf numFmtId="3" fontId="12" fillId="8" borderId="0" xfId="0" applyNumberFormat="1" applyFont="1" applyFill="1" applyBorder="1" applyAlignment="1">
      <alignment horizontal="right"/>
    </xf>
    <xf numFmtId="3" fontId="10" fillId="8" borderId="0" xfId="0" applyNumberFormat="1" applyFont="1" applyFill="1" applyBorder="1" applyAlignment="1">
      <alignment horizontal="right" vertical="center"/>
    </xf>
    <xf numFmtId="164" fontId="10" fillId="8" borderId="0" xfId="0" applyNumberFormat="1" applyFont="1" applyFill="1" applyBorder="1" applyAlignment="1">
      <alignment horizontal="right" vertical="center"/>
    </xf>
    <xf numFmtId="164" fontId="10" fillId="8" borderId="0" xfId="0" applyNumberFormat="1" applyFont="1" applyFill="1" applyBorder="1" applyAlignment="1">
      <alignment vertical="center"/>
    </xf>
    <xf numFmtId="164" fontId="10" fillId="8" borderId="0" xfId="0" applyNumberFormat="1" applyFont="1" applyFill="1" applyBorder="1" applyAlignment="1">
      <alignment horizontal="right" vertical="center" indent="1"/>
    </xf>
    <xf numFmtId="3" fontId="14" fillId="8" borderId="0" xfId="0" applyNumberFormat="1" applyFont="1" applyFill="1" applyBorder="1" applyAlignment="1">
      <alignment horizontal="right"/>
    </xf>
    <xf numFmtId="164" fontId="25" fillId="8" borderId="0" xfId="0" applyNumberFormat="1" applyFont="1" applyFill="1" applyBorder="1" applyAlignment="1">
      <alignment horizontal="right"/>
    </xf>
    <xf numFmtId="164" fontId="25" fillId="8" borderId="0" xfId="0" applyNumberFormat="1" applyFont="1" applyFill="1" applyBorder="1" applyAlignment="1">
      <alignment horizontal="right" vertical="center"/>
    </xf>
    <xf numFmtId="164" fontId="26" fillId="8" borderId="0" xfId="0" applyNumberFormat="1" applyFont="1" applyFill="1" applyBorder="1" applyAlignment="1">
      <alignment horizontal="right"/>
    </xf>
    <xf numFmtId="164" fontId="27" fillId="8" borderId="0" xfId="0" applyNumberFormat="1" applyFont="1" applyFill="1" applyBorder="1" applyAlignment="1">
      <alignment horizontal="right"/>
    </xf>
    <xf numFmtId="164" fontId="27" fillId="8" borderId="0" xfId="0" applyNumberFormat="1" applyFont="1" applyFill="1" applyBorder="1" applyAlignment="1">
      <alignment horizontal="right" vertical="center"/>
    </xf>
    <xf numFmtId="164" fontId="26" fillId="8" borderId="0" xfId="0" applyNumberFormat="1" applyFont="1" applyFill="1" applyBorder="1" applyAlignment="1">
      <alignment horizontal="right" vertical="center"/>
    </xf>
    <xf numFmtId="164" fontId="27" fillId="8" borderId="0" xfId="0" applyNumberFormat="1" applyFont="1" applyFill="1" applyBorder="1" applyAlignment="1">
      <alignment vertical="center"/>
    </xf>
    <xf numFmtId="164" fontId="26" fillId="8" borderId="0" xfId="0" applyNumberFormat="1" applyFont="1" applyFill="1" applyBorder="1" applyAlignment="1">
      <alignment vertical="center"/>
    </xf>
    <xf numFmtId="0" fontId="24" fillId="8" borderId="0" xfId="0" applyFont="1" applyFill="1" applyBorder="1" applyAlignment="1">
      <alignment horizontal="right"/>
    </xf>
    <xf numFmtId="1" fontId="11" fillId="9" borderId="0" xfId="0" applyNumberFormat="1" applyFont="1" applyFill="1" applyBorder="1" applyAlignment="1">
      <alignment horizontal="right"/>
    </xf>
    <xf numFmtId="164" fontId="11" fillId="9" borderId="0" xfId="0" applyNumberFormat="1" applyFont="1" applyFill="1" applyBorder="1" applyAlignment="1">
      <alignment horizontal="right"/>
    </xf>
    <xf numFmtId="2" fontId="11" fillId="9" borderId="0" xfId="0" applyNumberFormat="1" applyFont="1" applyFill="1" applyBorder="1" applyAlignment="1">
      <alignment horizontal="right"/>
    </xf>
    <xf numFmtId="1" fontId="10" fillId="9" borderId="0" xfId="0" applyNumberFormat="1" applyFont="1" applyFill="1" applyBorder="1" applyAlignment="1">
      <alignment horizontal="right"/>
    </xf>
    <xf numFmtId="164" fontId="10" fillId="9" borderId="0" xfId="0" applyNumberFormat="1" applyFont="1" applyFill="1" applyBorder="1" applyAlignment="1">
      <alignment horizontal="right"/>
    </xf>
    <xf numFmtId="2" fontId="10" fillId="9" borderId="0" xfId="0" applyNumberFormat="1" applyFont="1" applyFill="1" applyBorder="1" applyAlignment="1">
      <alignment horizontal="right"/>
    </xf>
    <xf numFmtId="1" fontId="12" fillId="9" borderId="0" xfId="0" applyNumberFormat="1" applyFont="1" applyFill="1" applyBorder="1" applyAlignment="1">
      <alignment horizontal="right"/>
    </xf>
    <xf numFmtId="164" fontId="12" fillId="9" borderId="0" xfId="0" applyNumberFormat="1" applyFont="1" applyFill="1" applyBorder="1" applyAlignment="1">
      <alignment horizontal="right"/>
    </xf>
    <xf numFmtId="2" fontId="12" fillId="9" borderId="0" xfId="0" applyNumberFormat="1" applyFont="1" applyFill="1" applyBorder="1" applyAlignment="1">
      <alignment horizontal="right"/>
    </xf>
    <xf numFmtId="164" fontId="18" fillId="9" borderId="0" xfId="0" applyNumberFormat="1" applyFont="1" applyFill="1" applyBorder="1" applyAlignment="1">
      <alignment horizontal="right"/>
    </xf>
    <xf numFmtId="164" fontId="18" fillId="9" borderId="0" xfId="0" applyNumberFormat="1" applyFont="1" applyFill="1" applyBorder="1" applyAlignment="1">
      <alignment horizontal="right" vertical="center"/>
    </xf>
    <xf numFmtId="2" fontId="18" fillId="9" borderId="0" xfId="0" applyNumberFormat="1" applyFont="1" applyFill="1" applyBorder="1" applyAlignment="1">
      <alignment horizontal="right" vertical="center"/>
    </xf>
    <xf numFmtId="164" fontId="10" fillId="9" borderId="0" xfId="0" applyNumberFormat="1" applyFont="1" applyFill="1" applyBorder="1" applyAlignment="1">
      <alignment horizontal="right" vertical="center"/>
    </xf>
    <xf numFmtId="2" fontId="10" fillId="9" borderId="0" xfId="0" applyNumberFormat="1" applyFont="1" applyFill="1" applyBorder="1" applyAlignment="1">
      <alignment horizontal="right" vertical="center"/>
    </xf>
    <xf numFmtId="1" fontId="10" fillId="9" borderId="0" xfId="0" applyNumberFormat="1" applyFont="1" applyFill="1" applyBorder="1" applyAlignment="1">
      <alignment horizontal="right" vertical="center"/>
    </xf>
    <xf numFmtId="164" fontId="10" fillId="9" borderId="0" xfId="0" applyNumberFormat="1" applyFont="1" applyFill="1" applyBorder="1" applyAlignment="1">
      <alignment vertical="center"/>
    </xf>
    <xf numFmtId="2" fontId="10" fillId="9" borderId="0" xfId="0" applyNumberFormat="1" applyFont="1" applyFill="1" applyBorder="1" applyAlignment="1">
      <alignment vertical="center"/>
    </xf>
    <xf numFmtId="1" fontId="10" fillId="9" borderId="0" xfId="0" applyNumberFormat="1" applyFont="1" applyFill="1" applyBorder="1" applyAlignment="1">
      <alignment vertical="center"/>
    </xf>
    <xf numFmtId="164" fontId="12" fillId="9" borderId="0" xfId="0" applyNumberFormat="1" applyFont="1" applyFill="1" applyBorder="1" applyAlignment="1">
      <alignment horizontal="right" vertical="center"/>
    </xf>
    <xf numFmtId="164" fontId="28" fillId="9" borderId="0" xfId="0" applyNumberFormat="1" applyFont="1" applyFill="1" applyBorder="1" applyAlignment="1">
      <alignment vertical="center"/>
    </xf>
    <xf numFmtId="164" fontId="28" fillId="9" borderId="0" xfId="0" applyNumberFormat="1" applyFont="1" applyFill="1" applyBorder="1" applyAlignment="1">
      <alignment horizontal="right"/>
    </xf>
    <xf numFmtId="164" fontId="29" fillId="9" borderId="0" xfId="0" applyNumberFormat="1" applyFont="1" applyFill="1" applyBorder="1" applyAlignment="1">
      <alignment vertical="center"/>
    </xf>
    <xf numFmtId="164" fontId="29" fillId="9" borderId="0" xfId="0" applyNumberFormat="1" applyFont="1" applyFill="1" applyBorder="1" applyAlignment="1">
      <alignment horizontal="right"/>
    </xf>
    <xf numFmtId="164" fontId="29" fillId="9" borderId="0" xfId="0" applyNumberFormat="1" applyFont="1" applyFill="1" applyBorder="1" applyAlignment="1">
      <alignment horizontal="right" vertical="center"/>
    </xf>
    <xf numFmtId="164" fontId="28" fillId="9" borderId="0" xfId="0" applyNumberFormat="1" applyFont="1" applyFill="1" applyBorder="1" applyAlignment="1">
      <alignment horizontal="right" vertical="center"/>
    </xf>
    <xf numFmtId="2" fontId="29" fillId="9" borderId="0" xfId="0" applyNumberFormat="1" applyFont="1" applyFill="1" applyBorder="1" applyAlignment="1">
      <alignment horizontal="right" vertical="center"/>
    </xf>
    <xf numFmtId="2" fontId="28" fillId="9" borderId="0" xfId="0" applyNumberFormat="1" applyFont="1" applyFill="1" applyBorder="1" applyAlignment="1">
      <alignment horizontal="right" vertical="center"/>
    </xf>
    <xf numFmtId="164" fontId="11" fillId="10" borderId="0" xfId="0" applyNumberFormat="1" applyFont="1" applyFill="1" applyBorder="1" applyAlignment="1">
      <alignment horizontal="right"/>
    </xf>
    <xf numFmtId="164" fontId="10" fillId="10" borderId="0" xfId="0" applyNumberFormat="1" applyFont="1" applyFill="1" applyBorder="1" applyAlignment="1">
      <alignment horizontal="right"/>
    </xf>
    <xf numFmtId="164" fontId="12" fillId="10" borderId="0" xfId="0" applyNumberFormat="1" applyFont="1" applyFill="1" applyBorder="1" applyAlignment="1">
      <alignment horizontal="right"/>
    </xf>
    <xf numFmtId="164" fontId="13" fillId="10" borderId="0" xfId="0" applyNumberFormat="1" applyFont="1" applyFill="1" applyBorder="1" applyAlignment="1">
      <alignment horizontal="right" vertical="top"/>
    </xf>
    <xf numFmtId="164" fontId="12" fillId="10" borderId="0" xfId="0" applyNumberFormat="1" applyFont="1" applyFill="1" applyBorder="1" applyAlignment="1">
      <alignment horizontal="right" vertical="top"/>
    </xf>
    <xf numFmtId="164" fontId="14" fillId="10" borderId="0" xfId="0" applyNumberFormat="1" applyFont="1" applyFill="1" applyBorder="1" applyAlignment="1">
      <alignment horizontal="right" vertical="top"/>
    </xf>
    <xf numFmtId="164" fontId="15" fillId="10" borderId="0" xfId="0" applyNumberFormat="1" applyFont="1" applyFill="1" applyBorder="1" applyAlignment="1">
      <alignment horizontal="right" vertical="top"/>
    </xf>
    <xf numFmtId="164" fontId="14" fillId="10" borderId="0" xfId="0" applyNumberFormat="1" applyFont="1" applyFill="1" applyBorder="1" applyAlignment="1">
      <alignment horizontal="right"/>
    </xf>
    <xf numFmtId="164" fontId="16" fillId="10" borderId="0" xfId="0" applyNumberFormat="1" applyFont="1" applyFill="1" applyBorder="1" applyAlignment="1">
      <alignment horizontal="right" vertical="top"/>
    </xf>
    <xf numFmtId="164" fontId="17" fillId="10" borderId="0" xfId="0" applyNumberFormat="1" applyFont="1" applyFill="1" applyBorder="1" applyAlignment="1">
      <alignment horizontal="right" vertical="top"/>
    </xf>
    <xf numFmtId="164" fontId="17" fillId="10" borderId="0" xfId="0" applyNumberFormat="1" applyFont="1" applyFill="1" applyBorder="1" applyAlignment="1">
      <alignment vertical="top"/>
    </xf>
    <xf numFmtId="164" fontId="10" fillId="10" borderId="0" xfId="0" applyNumberFormat="1" applyFont="1" applyFill="1" applyBorder="1" applyAlignment="1"/>
    <xf numFmtId="164" fontId="10" fillId="10" borderId="0" xfId="0" applyNumberFormat="1" applyFont="1" applyFill="1" applyBorder="1" applyAlignment="1">
      <alignment horizontal="right" vertical="top"/>
    </xf>
    <xf numFmtId="164" fontId="10" fillId="10" borderId="0" xfId="0" applyNumberFormat="1" applyFont="1" applyFill="1" applyBorder="1"/>
    <xf numFmtId="164" fontId="12" fillId="10" borderId="0" xfId="0" applyNumberFormat="1" applyFont="1" applyFill="1" applyBorder="1" applyAlignment="1">
      <alignment horizontal="right" vertical="center"/>
    </xf>
    <xf numFmtId="164" fontId="19" fillId="10" borderId="0" xfId="0" applyNumberFormat="1" applyFont="1" applyFill="1" applyBorder="1" applyAlignment="1">
      <alignment horizontal="right" vertical="center"/>
    </xf>
    <xf numFmtId="164" fontId="20" fillId="10" borderId="0" xfId="0" applyNumberFormat="1" applyFont="1" applyFill="1" applyBorder="1" applyAlignment="1">
      <alignment horizontal="right" vertical="center"/>
    </xf>
    <xf numFmtId="164" fontId="21" fillId="10" borderId="0" xfId="0" applyNumberFormat="1" applyFont="1" applyFill="1" applyBorder="1" applyAlignment="1">
      <alignment horizontal="right" vertical="center"/>
    </xf>
    <xf numFmtId="164" fontId="19" fillId="10" borderId="0" xfId="0" applyNumberFormat="1" applyFont="1" applyFill="1" applyBorder="1" applyAlignment="1">
      <alignment vertical="center"/>
    </xf>
    <xf numFmtId="164" fontId="19" fillId="10" borderId="0" xfId="0" applyNumberFormat="1" applyFont="1" applyFill="1" applyBorder="1" applyAlignment="1">
      <alignment horizontal="right"/>
    </xf>
    <xf numFmtId="164" fontId="22" fillId="10" borderId="0" xfId="0" applyNumberFormat="1" applyFont="1" applyFill="1" applyBorder="1" applyAlignment="1">
      <alignment horizontal="right" vertical="center"/>
    </xf>
    <xf numFmtId="164" fontId="23" fillId="10" borderId="0" xfId="0" applyNumberFormat="1" applyFont="1" applyFill="1" applyBorder="1" applyAlignment="1">
      <alignment horizontal="right" vertical="center"/>
    </xf>
    <xf numFmtId="164" fontId="22" fillId="10" borderId="0" xfId="0" applyNumberFormat="1" applyFont="1" applyFill="1" applyBorder="1" applyAlignment="1">
      <alignment horizontal="right" vertical="center" indent="1"/>
    </xf>
    <xf numFmtId="164" fontId="23" fillId="10" borderId="0" xfId="0" applyNumberFormat="1" applyFont="1" applyFill="1" applyBorder="1" applyAlignment="1">
      <alignment vertical="center"/>
    </xf>
    <xf numFmtId="164" fontId="23" fillId="10" borderId="0" xfId="0" applyNumberFormat="1" applyFont="1" applyFill="1" applyBorder="1" applyAlignment="1">
      <alignment horizontal="right" vertical="center" indent="1"/>
    </xf>
    <xf numFmtId="164" fontId="12" fillId="10" borderId="0" xfId="0" applyNumberFormat="1" applyFont="1" applyFill="1" applyBorder="1"/>
    <xf numFmtId="164" fontId="10" fillId="10" borderId="0" xfId="0" applyNumberFormat="1" applyFont="1" applyFill="1" applyBorder="1" applyAlignment="1">
      <alignment horizontal="right" vertical="center"/>
    </xf>
    <xf numFmtId="164" fontId="24" fillId="10" borderId="0" xfId="0" applyNumberFormat="1" applyFont="1" applyFill="1" applyBorder="1" applyAlignment="1">
      <alignment horizontal="right" vertical="center"/>
    </xf>
    <xf numFmtId="164" fontId="10" fillId="10" borderId="0" xfId="0" applyNumberFormat="1" applyFont="1" applyFill="1" applyBorder="1" applyAlignment="1">
      <alignment vertical="center"/>
    </xf>
    <xf numFmtId="164" fontId="10" fillId="10" borderId="0" xfId="0" applyNumberFormat="1" applyFont="1" applyFill="1" applyBorder="1" applyAlignment="1">
      <alignment horizontal="right" vertical="center" indent="1"/>
    </xf>
    <xf numFmtId="164" fontId="30" fillId="10" borderId="0" xfId="0" applyNumberFormat="1" applyFont="1" applyFill="1" applyBorder="1" applyAlignment="1">
      <alignment horizontal="right" vertical="center"/>
    </xf>
    <xf numFmtId="164" fontId="16" fillId="10" borderId="0" xfId="0" applyNumberFormat="1" applyFont="1" applyFill="1" applyBorder="1" applyAlignment="1">
      <alignment horizontal="right" vertical="center"/>
    </xf>
    <xf numFmtId="164" fontId="16" fillId="10" borderId="0" xfId="0" applyNumberFormat="1" applyFont="1" applyFill="1" applyBorder="1" applyAlignment="1">
      <alignment vertical="center"/>
    </xf>
    <xf numFmtId="164" fontId="10" fillId="10" borderId="0" xfId="0" applyNumberFormat="1" applyFont="1" applyFill="1" applyBorder="1" applyAlignment="1">
      <alignment horizontal="right" vertical="center" wrapText="1"/>
    </xf>
    <xf numFmtId="164" fontId="24" fillId="10" borderId="0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Alignment="1"/>
    <xf numFmtId="49" fontId="1" fillId="0" borderId="0" xfId="0" applyNumberFormat="1" applyFont="1"/>
    <xf numFmtId="49" fontId="31" fillId="0" borderId="0" xfId="0" applyNumberFormat="1" applyFont="1"/>
    <xf numFmtId="0" fontId="31" fillId="0" borderId="0" xfId="0" applyFont="1"/>
    <xf numFmtId="49" fontId="1" fillId="11" borderId="0" xfId="0" applyNumberFormat="1" applyFont="1" applyFill="1"/>
    <xf numFmtId="0" fontId="1" fillId="11" borderId="0" xfId="0" applyFont="1" applyFill="1"/>
    <xf numFmtId="49" fontId="31" fillId="11" borderId="0" xfId="0" applyNumberFormat="1" applyFont="1" applyFill="1"/>
    <xf numFmtId="49" fontId="12" fillId="0" borderId="0" xfId="0" applyNumberFormat="1" applyFont="1" applyFill="1" applyBorder="1" applyAlignment="1">
      <alignment horizontal="left"/>
    </xf>
    <xf numFmtId="49" fontId="12" fillId="7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7" borderId="0" xfId="0" applyNumberFormat="1" applyFont="1" applyFill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3"/>
  <sheetViews>
    <sheetView workbookViewId="0">
      <selection activeCell="E80" sqref="E80"/>
    </sheetView>
  </sheetViews>
  <sheetFormatPr baseColWidth="10" defaultRowHeight="16" x14ac:dyDescent="0.2"/>
  <cols>
    <col min="1" max="1" width="19.1640625" customWidth="1"/>
    <col min="3" max="3" width="24.33203125" customWidth="1"/>
    <col min="5" max="5" width="20.5" customWidth="1"/>
    <col min="6" max="6" width="9.33203125" customWidth="1"/>
    <col min="7" max="7" width="6.33203125" customWidth="1"/>
    <col min="8" max="8" width="7.6640625" customWidth="1"/>
    <col min="9" max="9" width="9" customWidth="1"/>
    <col min="10" max="10" width="9.1640625" customWidth="1"/>
    <col min="11" max="11" width="9.33203125" customWidth="1"/>
  </cols>
  <sheetData>
    <row r="1" spans="1:11" x14ac:dyDescent="0.2">
      <c r="A1" t="s">
        <v>591</v>
      </c>
    </row>
    <row r="2" spans="1:11" x14ac:dyDescent="0.2">
      <c r="A2" t="s">
        <v>420</v>
      </c>
      <c r="B2" t="s">
        <v>532</v>
      </c>
      <c r="F2" t="s">
        <v>587</v>
      </c>
    </row>
    <row r="3" spans="1:11" x14ac:dyDescent="0.2">
      <c r="A3" t="s">
        <v>1</v>
      </c>
      <c r="B3" t="s">
        <v>533</v>
      </c>
      <c r="F3" t="s">
        <v>588</v>
      </c>
    </row>
    <row r="4" spans="1:11" x14ac:dyDescent="0.2">
      <c r="A4" t="s">
        <v>2</v>
      </c>
      <c r="B4" t="s">
        <v>534</v>
      </c>
    </row>
    <row r="5" spans="1:11" x14ac:dyDescent="0.2">
      <c r="A5" t="s">
        <v>3</v>
      </c>
      <c r="B5" t="s">
        <v>535</v>
      </c>
    </row>
    <row r="6" spans="1:11" x14ac:dyDescent="0.2">
      <c r="A6" t="s">
        <v>4</v>
      </c>
      <c r="B6">
        <v>1</v>
      </c>
      <c r="C6" t="s">
        <v>304</v>
      </c>
    </row>
    <row r="7" spans="1:11" x14ac:dyDescent="0.2">
      <c r="B7">
        <v>2</v>
      </c>
      <c r="C7" t="s">
        <v>536</v>
      </c>
    </row>
    <row r="8" spans="1:11" x14ac:dyDescent="0.2">
      <c r="B8">
        <v>3</v>
      </c>
      <c r="C8" t="s">
        <v>313</v>
      </c>
    </row>
    <row r="9" spans="1:11" x14ac:dyDescent="0.2">
      <c r="B9">
        <v>4</v>
      </c>
      <c r="C9" t="s">
        <v>307</v>
      </c>
    </row>
    <row r="10" spans="1:11" x14ac:dyDescent="0.2">
      <c r="B10">
        <v>5</v>
      </c>
      <c r="C10" t="s">
        <v>412</v>
      </c>
    </row>
    <row r="11" spans="1:11" x14ac:dyDescent="0.2">
      <c r="B11">
        <v>6</v>
      </c>
      <c r="C11" t="s">
        <v>550</v>
      </c>
    </row>
    <row r="12" spans="1:11" x14ac:dyDescent="0.2">
      <c r="B12">
        <v>7</v>
      </c>
      <c r="C12" t="s">
        <v>537</v>
      </c>
    </row>
    <row r="13" spans="1:11" x14ac:dyDescent="0.2">
      <c r="B13">
        <v>8</v>
      </c>
      <c r="C13" t="s">
        <v>411</v>
      </c>
    </row>
    <row r="14" spans="1:11" x14ac:dyDescent="0.2">
      <c r="B14">
        <v>9</v>
      </c>
      <c r="C14" t="s">
        <v>414</v>
      </c>
      <c r="K14" t="s">
        <v>612</v>
      </c>
    </row>
    <row r="15" spans="1:11" x14ac:dyDescent="0.2">
      <c r="B15">
        <v>10</v>
      </c>
      <c r="C15" t="s">
        <v>413</v>
      </c>
      <c r="K15" t="s">
        <v>557</v>
      </c>
    </row>
    <row r="16" spans="1:11" x14ac:dyDescent="0.2">
      <c r="B16">
        <v>11</v>
      </c>
      <c r="C16" t="s">
        <v>310</v>
      </c>
      <c r="K16" t="s">
        <v>582</v>
      </c>
    </row>
    <row r="17" spans="1:11" x14ac:dyDescent="0.2">
      <c r="K17" t="s">
        <v>565</v>
      </c>
    </row>
    <row r="18" spans="1:11" x14ac:dyDescent="0.2">
      <c r="A18" t="s">
        <v>538</v>
      </c>
      <c r="K18" t="s">
        <v>568</v>
      </c>
    </row>
    <row r="19" spans="1:11" x14ac:dyDescent="0.2">
      <c r="K19" t="s">
        <v>574</v>
      </c>
    </row>
    <row r="20" spans="1:11" x14ac:dyDescent="0.2">
      <c r="A20" t="s">
        <v>590</v>
      </c>
      <c r="C20" s="84"/>
      <c r="K20" t="s">
        <v>583</v>
      </c>
    </row>
    <row r="21" spans="1:11" x14ac:dyDescent="0.2">
      <c r="A21" t="s">
        <v>592</v>
      </c>
      <c r="B21" s="4"/>
      <c r="C21" t="s">
        <v>584</v>
      </c>
      <c r="K21" t="s">
        <v>581</v>
      </c>
    </row>
    <row r="23" spans="1:11" x14ac:dyDescent="0.2">
      <c r="H23" s="173"/>
      <c r="I23" s="173" t="s">
        <v>600</v>
      </c>
      <c r="J23" s="173"/>
    </row>
    <row r="24" spans="1:11" x14ac:dyDescent="0.2">
      <c r="A24" s="64"/>
      <c r="B24" s="64"/>
      <c r="H24" s="173" t="s">
        <v>601</v>
      </c>
      <c r="I24" s="173" t="s">
        <v>602</v>
      </c>
      <c r="J24" s="173" t="s">
        <v>603</v>
      </c>
    </row>
    <row r="25" spans="1:11" x14ac:dyDescent="0.2">
      <c r="A25" s="179" t="s">
        <v>539</v>
      </c>
      <c r="B25" s="179" t="s">
        <v>413</v>
      </c>
      <c r="C25" s="176" t="s">
        <v>288</v>
      </c>
      <c r="D25" s="176" t="s">
        <v>414</v>
      </c>
      <c r="E25" s="184" t="s">
        <v>288</v>
      </c>
      <c r="F25" s="64" t="s">
        <v>414</v>
      </c>
      <c r="G25">
        <v>9</v>
      </c>
      <c r="H25" s="174"/>
      <c r="I25" s="174"/>
      <c r="J25" s="174"/>
    </row>
    <row r="26" spans="1:11" x14ac:dyDescent="0.2">
      <c r="A26" s="176" t="s">
        <v>288</v>
      </c>
      <c r="B26" s="176" t="s">
        <v>414</v>
      </c>
      <c r="C26" s="176" t="s">
        <v>540</v>
      </c>
      <c r="D26" s="176" t="s">
        <v>412</v>
      </c>
      <c r="E26" s="184" t="s">
        <v>540</v>
      </c>
      <c r="F26" s="64" t="s">
        <v>412</v>
      </c>
      <c r="G26">
        <v>5</v>
      </c>
      <c r="H26" s="174"/>
      <c r="I26" s="174"/>
      <c r="J26" s="174"/>
    </row>
    <row r="27" spans="1:11" x14ac:dyDescent="0.2">
      <c r="A27" s="176" t="s">
        <v>540</v>
      </c>
      <c r="B27" s="176" t="s">
        <v>412</v>
      </c>
      <c r="C27" s="176" t="s">
        <v>610</v>
      </c>
      <c r="D27" s="176" t="s">
        <v>411</v>
      </c>
      <c r="E27" s="184" t="s">
        <v>610</v>
      </c>
      <c r="F27" s="64" t="s">
        <v>411</v>
      </c>
      <c r="G27">
        <v>8</v>
      </c>
      <c r="H27" s="174"/>
      <c r="I27" s="174"/>
      <c r="J27" s="174"/>
    </row>
    <row r="28" spans="1:11" x14ac:dyDescent="0.2">
      <c r="A28" s="176" t="s">
        <v>610</v>
      </c>
      <c r="B28" s="176" t="s">
        <v>411</v>
      </c>
      <c r="C28" s="176" t="s">
        <v>289</v>
      </c>
      <c r="D28" s="176" t="s">
        <v>542</v>
      </c>
      <c r="E28" s="184" t="s">
        <v>289</v>
      </c>
      <c r="F28" s="64" t="s">
        <v>542</v>
      </c>
      <c r="G28">
        <v>4</v>
      </c>
      <c r="H28" s="174"/>
      <c r="I28" s="174"/>
      <c r="J28" s="174"/>
    </row>
    <row r="29" spans="1:11" x14ac:dyDescent="0.2">
      <c r="A29" s="176" t="s">
        <v>611</v>
      </c>
      <c r="B29" s="176" t="s">
        <v>541</v>
      </c>
      <c r="C29" s="176" t="s">
        <v>290</v>
      </c>
      <c r="D29" s="176" t="s">
        <v>542</v>
      </c>
      <c r="E29" s="184" t="s">
        <v>290</v>
      </c>
      <c r="F29" s="64" t="s">
        <v>542</v>
      </c>
      <c r="G29">
        <v>4</v>
      </c>
      <c r="H29" s="174"/>
      <c r="I29" s="174"/>
      <c r="J29" s="174"/>
    </row>
    <row r="30" spans="1:11" x14ac:dyDescent="0.2">
      <c r="A30" s="176" t="s">
        <v>289</v>
      </c>
      <c r="B30" s="176" t="s">
        <v>542</v>
      </c>
      <c r="C30" s="176" t="s">
        <v>291</v>
      </c>
      <c r="D30" s="176" t="s">
        <v>412</v>
      </c>
      <c r="E30" s="184" t="s">
        <v>291</v>
      </c>
      <c r="F30" s="64" t="s">
        <v>412</v>
      </c>
      <c r="G30">
        <v>5</v>
      </c>
      <c r="H30" s="174"/>
      <c r="I30" s="174"/>
      <c r="J30" s="174"/>
    </row>
    <row r="31" spans="1:11" x14ac:dyDescent="0.2">
      <c r="A31" s="176" t="s">
        <v>290</v>
      </c>
      <c r="B31" s="176" t="s">
        <v>542</v>
      </c>
      <c r="C31" s="176" t="s">
        <v>292</v>
      </c>
      <c r="D31" s="176" t="s">
        <v>541</v>
      </c>
      <c r="E31" s="185" t="s">
        <v>292</v>
      </c>
      <c r="F31" s="64" t="s">
        <v>541</v>
      </c>
      <c r="G31">
        <v>11</v>
      </c>
      <c r="H31" s="174" t="s">
        <v>605</v>
      </c>
      <c r="I31" s="174"/>
      <c r="J31" s="174"/>
      <c r="K31" t="s">
        <v>604</v>
      </c>
    </row>
    <row r="32" spans="1:11" x14ac:dyDescent="0.2">
      <c r="A32" s="176" t="s">
        <v>291</v>
      </c>
      <c r="B32" s="176" t="s">
        <v>412</v>
      </c>
      <c r="C32" s="176" t="s">
        <v>293</v>
      </c>
      <c r="D32" s="176" t="s">
        <v>412</v>
      </c>
      <c r="E32" s="184" t="s">
        <v>293</v>
      </c>
      <c r="F32" s="64" t="s">
        <v>412</v>
      </c>
      <c r="G32">
        <v>5</v>
      </c>
      <c r="H32" s="174"/>
      <c r="I32" s="174"/>
      <c r="J32" s="174"/>
    </row>
    <row r="33" spans="1:11" x14ac:dyDescent="0.2">
      <c r="A33" s="176" t="s">
        <v>292</v>
      </c>
      <c r="B33" s="176" t="s">
        <v>541</v>
      </c>
      <c r="C33" s="176" t="s">
        <v>294</v>
      </c>
      <c r="D33" s="176" t="s">
        <v>414</v>
      </c>
      <c r="E33" s="184" t="s">
        <v>294</v>
      </c>
      <c r="F33" s="64" t="s">
        <v>414</v>
      </c>
      <c r="G33">
        <v>9</v>
      </c>
      <c r="H33" s="174"/>
      <c r="I33" s="174"/>
      <c r="J33" s="174"/>
    </row>
    <row r="34" spans="1:11" x14ac:dyDescent="0.2">
      <c r="A34" s="179" t="s">
        <v>543</v>
      </c>
      <c r="B34" s="179" t="s">
        <v>544</v>
      </c>
      <c r="C34" s="176" t="s">
        <v>295</v>
      </c>
      <c r="D34" s="176" t="s">
        <v>413</v>
      </c>
      <c r="E34" s="184" t="s">
        <v>295</v>
      </c>
      <c r="F34" s="64" t="s">
        <v>413</v>
      </c>
      <c r="G34">
        <v>10</v>
      </c>
      <c r="H34" s="174"/>
      <c r="I34" s="174"/>
      <c r="J34" s="174"/>
    </row>
    <row r="35" spans="1:11" x14ac:dyDescent="0.2">
      <c r="A35" s="176" t="s">
        <v>293</v>
      </c>
      <c r="B35" s="176" t="s">
        <v>412</v>
      </c>
      <c r="C35" s="176" t="s">
        <v>296</v>
      </c>
      <c r="D35" s="176" t="s">
        <v>414</v>
      </c>
      <c r="E35" s="184" t="s">
        <v>296</v>
      </c>
      <c r="F35" s="64" t="s">
        <v>414</v>
      </c>
      <c r="G35">
        <v>9</v>
      </c>
      <c r="H35" s="174"/>
      <c r="I35" s="174"/>
      <c r="J35" s="174"/>
    </row>
    <row r="36" spans="1:11" x14ac:dyDescent="0.2">
      <c r="A36" s="176" t="s">
        <v>294</v>
      </c>
      <c r="B36" s="176" t="s">
        <v>414</v>
      </c>
      <c r="C36" s="176" t="s">
        <v>297</v>
      </c>
      <c r="D36" s="176" t="s">
        <v>414</v>
      </c>
      <c r="E36" s="185" t="s">
        <v>297</v>
      </c>
      <c r="F36" s="64" t="s">
        <v>414</v>
      </c>
      <c r="G36">
        <v>9</v>
      </c>
      <c r="H36" s="174" t="s">
        <v>605</v>
      </c>
      <c r="I36" s="174"/>
      <c r="J36" s="174"/>
      <c r="K36" t="s">
        <v>606</v>
      </c>
    </row>
    <row r="37" spans="1:11" x14ac:dyDescent="0.2">
      <c r="A37" s="180" t="s">
        <v>545</v>
      </c>
      <c r="B37" s="179" t="s">
        <v>546</v>
      </c>
      <c r="C37" s="176" t="s">
        <v>299</v>
      </c>
      <c r="D37" s="176" t="s">
        <v>542</v>
      </c>
      <c r="E37" s="185" t="s">
        <v>299</v>
      </c>
      <c r="F37" s="64" t="s">
        <v>542</v>
      </c>
      <c r="G37">
        <v>4</v>
      </c>
      <c r="H37" s="174" t="s">
        <v>605</v>
      </c>
      <c r="I37" s="174"/>
      <c r="J37" s="174"/>
      <c r="K37" t="s">
        <v>606</v>
      </c>
    </row>
    <row r="38" spans="1:11" x14ac:dyDescent="0.2">
      <c r="A38" s="176" t="s">
        <v>295</v>
      </c>
      <c r="B38" s="176" t="s">
        <v>413</v>
      </c>
      <c r="C38" s="176" t="s">
        <v>277</v>
      </c>
      <c r="D38" s="176" t="s">
        <v>414</v>
      </c>
      <c r="E38" s="184" t="s">
        <v>277</v>
      </c>
      <c r="F38" s="64" t="s">
        <v>414</v>
      </c>
      <c r="G38">
        <v>9</v>
      </c>
      <c r="H38" s="174"/>
      <c r="I38" s="174"/>
      <c r="J38" s="174"/>
    </row>
    <row r="39" spans="1:11" x14ac:dyDescent="0.2">
      <c r="A39" s="179" t="s">
        <v>547</v>
      </c>
      <c r="B39" s="179" t="s">
        <v>304</v>
      </c>
      <c r="C39" s="176" t="s">
        <v>278</v>
      </c>
      <c r="D39" s="176" t="s">
        <v>304</v>
      </c>
      <c r="E39" s="184" t="s">
        <v>278</v>
      </c>
      <c r="F39" s="64" t="s">
        <v>304</v>
      </c>
      <c r="G39">
        <v>1</v>
      </c>
      <c r="H39" s="174"/>
      <c r="I39" s="174"/>
      <c r="J39" s="174"/>
    </row>
    <row r="40" spans="1:11" x14ac:dyDescent="0.2">
      <c r="A40" s="176" t="s">
        <v>296</v>
      </c>
      <c r="B40" s="176" t="s">
        <v>414</v>
      </c>
      <c r="C40" s="42" t="s">
        <v>279</v>
      </c>
      <c r="D40" s="176" t="s">
        <v>542</v>
      </c>
      <c r="E40" s="2" t="s">
        <v>279</v>
      </c>
      <c r="F40" s="64" t="s">
        <v>542</v>
      </c>
      <c r="G40">
        <v>4</v>
      </c>
      <c r="H40" s="174"/>
      <c r="I40" s="174"/>
      <c r="J40" s="174"/>
    </row>
    <row r="41" spans="1:11" x14ac:dyDescent="0.2">
      <c r="A41" s="176" t="s">
        <v>297</v>
      </c>
      <c r="B41" s="176" t="s">
        <v>414</v>
      </c>
      <c r="C41" s="176" t="s">
        <v>280</v>
      </c>
      <c r="D41" s="176" t="s">
        <v>413</v>
      </c>
      <c r="E41" s="184" t="s">
        <v>280</v>
      </c>
      <c r="F41" s="64" t="s">
        <v>413</v>
      </c>
      <c r="G41">
        <v>10</v>
      </c>
      <c r="H41" s="174"/>
      <c r="I41" s="174"/>
      <c r="J41" s="174"/>
    </row>
    <row r="42" spans="1:11" x14ac:dyDescent="0.2">
      <c r="A42" s="179" t="s">
        <v>548</v>
      </c>
      <c r="B42" s="179" t="s">
        <v>544</v>
      </c>
      <c r="C42" s="176" t="s">
        <v>281</v>
      </c>
      <c r="D42" s="176" t="s">
        <v>550</v>
      </c>
      <c r="E42" s="184" t="s">
        <v>281</v>
      </c>
      <c r="F42" s="64" t="s">
        <v>550</v>
      </c>
      <c r="G42">
        <v>6</v>
      </c>
      <c r="H42" s="174"/>
      <c r="I42" s="174"/>
      <c r="J42" s="174"/>
    </row>
    <row r="43" spans="1:11" x14ac:dyDescent="0.2">
      <c r="A43" s="176" t="s">
        <v>299</v>
      </c>
      <c r="B43" s="176" t="s">
        <v>542</v>
      </c>
      <c r="C43" s="176" t="s">
        <v>552</v>
      </c>
      <c r="D43" s="176" t="s">
        <v>550</v>
      </c>
      <c r="E43" s="184" t="s">
        <v>552</v>
      </c>
      <c r="F43" s="64" t="s">
        <v>550</v>
      </c>
      <c r="G43">
        <v>6</v>
      </c>
      <c r="H43" s="174"/>
      <c r="I43" s="174"/>
      <c r="J43" s="174"/>
    </row>
    <row r="44" spans="1:11" x14ac:dyDescent="0.2">
      <c r="A44" s="179" t="s">
        <v>612</v>
      </c>
      <c r="B44" s="179" t="s">
        <v>550</v>
      </c>
      <c r="C44" s="176" t="s">
        <v>553</v>
      </c>
      <c r="D44" s="176" t="s">
        <v>414</v>
      </c>
      <c r="E44" s="184" t="s">
        <v>553</v>
      </c>
      <c r="F44" s="64" t="s">
        <v>414</v>
      </c>
      <c r="G44">
        <v>9</v>
      </c>
      <c r="H44" s="174"/>
      <c r="I44" s="174"/>
      <c r="J44" s="174"/>
    </row>
    <row r="45" spans="1:11" x14ac:dyDescent="0.2">
      <c r="A45" s="176" t="s">
        <v>277</v>
      </c>
      <c r="B45" s="176" t="s">
        <v>414</v>
      </c>
      <c r="C45" s="176" t="s">
        <v>554</v>
      </c>
      <c r="D45" s="176" t="s">
        <v>412</v>
      </c>
      <c r="E45" s="184" t="s">
        <v>554</v>
      </c>
      <c r="F45" s="64" t="s">
        <v>412</v>
      </c>
      <c r="G45">
        <v>5</v>
      </c>
      <c r="H45" s="174"/>
      <c r="I45" s="174"/>
      <c r="J45" s="174"/>
    </row>
    <row r="46" spans="1:11" x14ac:dyDescent="0.2">
      <c r="A46" s="179" t="s">
        <v>549</v>
      </c>
      <c r="B46" s="179" t="s">
        <v>550</v>
      </c>
      <c r="C46" s="176" t="s">
        <v>555</v>
      </c>
      <c r="D46" s="176" t="s">
        <v>411</v>
      </c>
      <c r="E46" s="184" t="s">
        <v>555</v>
      </c>
      <c r="F46" s="64" t="s">
        <v>411</v>
      </c>
      <c r="G46">
        <v>8</v>
      </c>
      <c r="H46" s="174"/>
      <c r="I46" s="174"/>
      <c r="J46" s="174"/>
    </row>
    <row r="47" spans="1:11" x14ac:dyDescent="0.2">
      <c r="A47" s="176" t="s">
        <v>278</v>
      </c>
      <c r="B47" s="176" t="s">
        <v>304</v>
      </c>
      <c r="C47" s="176" t="s">
        <v>613</v>
      </c>
      <c r="D47" s="176" t="s">
        <v>411</v>
      </c>
      <c r="E47" s="184" t="s">
        <v>613</v>
      </c>
      <c r="F47" s="64" t="s">
        <v>411</v>
      </c>
      <c r="G47">
        <v>8</v>
      </c>
      <c r="H47" s="174"/>
      <c r="I47" s="174"/>
      <c r="J47" s="174"/>
    </row>
    <row r="48" spans="1:11" x14ac:dyDescent="0.2">
      <c r="A48" s="42" t="s">
        <v>279</v>
      </c>
      <c r="B48" s="176" t="s">
        <v>542</v>
      </c>
      <c r="C48" s="176" t="s">
        <v>286</v>
      </c>
      <c r="D48" s="176" t="s">
        <v>304</v>
      </c>
      <c r="E48" s="184" t="s">
        <v>286</v>
      </c>
      <c r="F48" s="64" t="s">
        <v>304</v>
      </c>
      <c r="G48">
        <v>1</v>
      </c>
      <c r="H48" s="174"/>
      <c r="I48" s="174"/>
      <c r="J48" s="174"/>
    </row>
    <row r="49" spans="1:11" x14ac:dyDescent="0.2">
      <c r="A49" s="176" t="s">
        <v>280</v>
      </c>
      <c r="B49" s="176" t="s">
        <v>413</v>
      </c>
      <c r="C49" s="176" t="s">
        <v>287</v>
      </c>
      <c r="D49" s="176" t="s">
        <v>413</v>
      </c>
      <c r="E49" s="184" t="s">
        <v>287</v>
      </c>
      <c r="F49" s="64" t="s">
        <v>413</v>
      </c>
      <c r="G49">
        <v>10</v>
      </c>
      <c r="H49" s="174"/>
      <c r="I49" s="174"/>
      <c r="J49" s="174"/>
    </row>
    <row r="50" spans="1:11" x14ac:dyDescent="0.2">
      <c r="A50" s="176" t="s">
        <v>281</v>
      </c>
      <c r="B50" s="176" t="s">
        <v>550</v>
      </c>
      <c r="C50" s="176" t="s">
        <v>315</v>
      </c>
      <c r="D50" s="176" t="s">
        <v>412</v>
      </c>
      <c r="E50" s="184" t="s">
        <v>315</v>
      </c>
      <c r="F50" s="64" t="s">
        <v>412</v>
      </c>
      <c r="G50">
        <v>5</v>
      </c>
      <c r="H50" s="174"/>
      <c r="I50" s="174"/>
      <c r="J50" s="174"/>
    </row>
    <row r="51" spans="1:11" x14ac:dyDescent="0.2">
      <c r="A51" s="179" t="s">
        <v>551</v>
      </c>
      <c r="B51" s="179" t="s">
        <v>304</v>
      </c>
      <c r="C51" s="176" t="s">
        <v>316</v>
      </c>
      <c r="D51" s="176" t="s">
        <v>541</v>
      </c>
      <c r="E51" s="184" t="s">
        <v>316</v>
      </c>
      <c r="F51" s="64" t="s">
        <v>541</v>
      </c>
      <c r="G51">
        <v>11</v>
      </c>
      <c r="H51" s="174"/>
      <c r="I51" s="174"/>
      <c r="J51" s="174"/>
    </row>
    <row r="52" spans="1:11" x14ac:dyDescent="0.2">
      <c r="A52" s="176" t="s">
        <v>552</v>
      </c>
      <c r="B52" s="176" t="s">
        <v>550</v>
      </c>
      <c r="C52" s="176" t="s">
        <v>317</v>
      </c>
      <c r="D52" s="176" t="s">
        <v>304</v>
      </c>
      <c r="E52" s="184" t="s">
        <v>317</v>
      </c>
      <c r="F52" s="64" t="s">
        <v>304</v>
      </c>
      <c r="G52">
        <v>1</v>
      </c>
      <c r="H52" s="174"/>
      <c r="I52" s="174"/>
      <c r="J52" s="174"/>
    </row>
    <row r="53" spans="1:11" x14ac:dyDescent="0.2">
      <c r="A53" s="176" t="s">
        <v>553</v>
      </c>
      <c r="B53" s="176" t="s">
        <v>414</v>
      </c>
      <c r="C53" s="176" t="s">
        <v>318</v>
      </c>
      <c r="D53" s="176" t="s">
        <v>413</v>
      </c>
      <c r="E53" s="184" t="s">
        <v>318</v>
      </c>
      <c r="F53" s="64" t="s">
        <v>413</v>
      </c>
      <c r="G53">
        <v>10</v>
      </c>
      <c r="H53" s="174"/>
      <c r="I53" s="174"/>
      <c r="J53" s="174"/>
    </row>
    <row r="54" spans="1:11" x14ac:dyDescent="0.2">
      <c r="A54" s="176" t="s">
        <v>554</v>
      </c>
      <c r="B54" s="176" t="s">
        <v>412</v>
      </c>
      <c r="C54" s="176" t="s">
        <v>319</v>
      </c>
      <c r="D54" s="176" t="s">
        <v>550</v>
      </c>
      <c r="E54" s="184" t="s">
        <v>319</v>
      </c>
      <c r="F54" s="64" t="s">
        <v>550</v>
      </c>
      <c r="G54">
        <v>6</v>
      </c>
      <c r="H54" s="174"/>
      <c r="I54" s="174"/>
      <c r="J54" s="174"/>
    </row>
    <row r="55" spans="1:11" x14ac:dyDescent="0.2">
      <c r="A55" s="176" t="s">
        <v>555</v>
      </c>
      <c r="B55" s="176" t="s">
        <v>411</v>
      </c>
      <c r="C55" s="176" t="s">
        <v>320</v>
      </c>
      <c r="D55" s="176" t="s">
        <v>541</v>
      </c>
      <c r="E55" s="185" t="s">
        <v>320</v>
      </c>
      <c r="F55" s="64" t="s">
        <v>541</v>
      </c>
      <c r="G55">
        <v>11</v>
      </c>
      <c r="H55" s="174" t="s">
        <v>605</v>
      </c>
      <c r="I55" s="174"/>
      <c r="J55" s="174"/>
      <c r="K55" t="s">
        <v>606</v>
      </c>
    </row>
    <row r="56" spans="1:11" x14ac:dyDescent="0.2">
      <c r="A56" s="176" t="s">
        <v>613</v>
      </c>
      <c r="B56" s="176" t="s">
        <v>411</v>
      </c>
      <c r="C56" s="177" t="s">
        <v>321</v>
      </c>
      <c r="D56" s="176" t="s">
        <v>556</v>
      </c>
      <c r="E56" s="184" t="s">
        <v>321</v>
      </c>
      <c r="F56" s="64" t="s">
        <v>556</v>
      </c>
      <c r="G56">
        <v>3</v>
      </c>
      <c r="H56" s="174"/>
      <c r="I56" s="174"/>
      <c r="J56" s="174"/>
    </row>
    <row r="57" spans="1:11" x14ac:dyDescent="0.2">
      <c r="A57" s="176" t="s">
        <v>286</v>
      </c>
      <c r="B57" s="176" t="s">
        <v>304</v>
      </c>
      <c r="C57" s="177" t="s">
        <v>322</v>
      </c>
      <c r="D57" s="176" t="s">
        <v>556</v>
      </c>
      <c r="E57" s="184" t="s">
        <v>322</v>
      </c>
      <c r="F57" s="64" t="s">
        <v>556</v>
      </c>
      <c r="G57">
        <v>3</v>
      </c>
      <c r="H57" s="174"/>
      <c r="I57" s="174"/>
      <c r="J57" s="174"/>
    </row>
    <row r="58" spans="1:11" x14ac:dyDescent="0.2">
      <c r="A58" s="176" t="s">
        <v>287</v>
      </c>
      <c r="B58" s="176" t="s">
        <v>413</v>
      </c>
      <c r="C58" s="177" t="s">
        <v>323</v>
      </c>
      <c r="D58" s="176" t="s">
        <v>556</v>
      </c>
      <c r="E58" s="184" t="s">
        <v>323</v>
      </c>
      <c r="F58" s="64" t="s">
        <v>556</v>
      </c>
      <c r="G58">
        <v>3</v>
      </c>
      <c r="H58" s="174"/>
      <c r="I58" s="174"/>
      <c r="J58" s="174"/>
    </row>
    <row r="59" spans="1:11" x14ac:dyDescent="0.2">
      <c r="A59" s="176" t="s">
        <v>315</v>
      </c>
      <c r="B59" s="176" t="s">
        <v>412</v>
      </c>
      <c r="C59" s="42" t="s">
        <v>324</v>
      </c>
      <c r="D59" s="176" t="s">
        <v>546</v>
      </c>
      <c r="E59" s="2" t="s">
        <v>324</v>
      </c>
      <c r="F59" s="64" t="s">
        <v>546</v>
      </c>
      <c r="G59">
        <v>2</v>
      </c>
      <c r="H59" s="174"/>
      <c r="I59" s="174"/>
      <c r="J59" s="174"/>
    </row>
    <row r="60" spans="1:11" x14ac:dyDescent="0.2">
      <c r="A60" s="176" t="s">
        <v>614</v>
      </c>
      <c r="B60" s="176" t="s">
        <v>541</v>
      </c>
      <c r="C60" s="42" t="s">
        <v>325</v>
      </c>
      <c r="D60" s="176" t="s">
        <v>546</v>
      </c>
      <c r="E60" s="2" t="s">
        <v>325</v>
      </c>
      <c r="F60" s="64" t="s">
        <v>546</v>
      </c>
      <c r="G60">
        <v>2</v>
      </c>
      <c r="H60" s="174"/>
      <c r="I60" s="174"/>
      <c r="J60" s="174"/>
    </row>
    <row r="61" spans="1:11" x14ac:dyDescent="0.2">
      <c r="A61" s="176" t="s">
        <v>316</v>
      </c>
      <c r="B61" s="176" t="s">
        <v>541</v>
      </c>
      <c r="C61" s="42" t="s">
        <v>326</v>
      </c>
      <c r="D61" s="176" t="s">
        <v>414</v>
      </c>
      <c r="E61" s="2" t="s">
        <v>326</v>
      </c>
      <c r="F61" s="64" t="s">
        <v>414</v>
      </c>
      <c r="G61">
        <v>9</v>
      </c>
      <c r="H61" s="174"/>
      <c r="I61" s="174"/>
      <c r="J61" s="174"/>
    </row>
    <row r="62" spans="1:11" x14ac:dyDescent="0.2">
      <c r="A62" s="176" t="s">
        <v>317</v>
      </c>
      <c r="B62" s="176" t="s">
        <v>304</v>
      </c>
      <c r="C62" s="176" t="s">
        <v>338</v>
      </c>
      <c r="D62" s="176" t="s">
        <v>412</v>
      </c>
      <c r="E62" s="184" t="s">
        <v>338</v>
      </c>
      <c r="F62" s="64" t="s">
        <v>412</v>
      </c>
      <c r="G62">
        <v>5</v>
      </c>
      <c r="H62" s="174"/>
      <c r="I62" s="174"/>
      <c r="J62" s="174"/>
    </row>
    <row r="63" spans="1:11" x14ac:dyDescent="0.2">
      <c r="A63" s="176" t="s">
        <v>318</v>
      </c>
      <c r="B63" s="176" t="s">
        <v>413</v>
      </c>
      <c r="C63" s="176" t="s">
        <v>558</v>
      </c>
      <c r="D63" s="176" t="s">
        <v>541</v>
      </c>
      <c r="E63" s="184" t="s">
        <v>558</v>
      </c>
      <c r="F63" s="64" t="s">
        <v>541</v>
      </c>
      <c r="G63">
        <v>11</v>
      </c>
      <c r="H63" s="174"/>
      <c r="I63" s="174"/>
      <c r="J63" s="174"/>
    </row>
    <row r="64" spans="1:11" x14ac:dyDescent="0.2">
      <c r="A64" s="176" t="s">
        <v>319</v>
      </c>
      <c r="B64" s="176" t="s">
        <v>550</v>
      </c>
      <c r="C64" s="176" t="s">
        <v>339</v>
      </c>
      <c r="D64" s="176" t="s">
        <v>411</v>
      </c>
      <c r="E64" s="184" t="s">
        <v>339</v>
      </c>
      <c r="F64" s="64" t="s">
        <v>411</v>
      </c>
      <c r="G64">
        <v>8</v>
      </c>
      <c r="H64" s="174"/>
      <c r="I64" s="174"/>
      <c r="J64" s="174"/>
    </row>
    <row r="65" spans="1:17" x14ac:dyDescent="0.2">
      <c r="A65" s="176" t="s">
        <v>320</v>
      </c>
      <c r="B65" s="176" t="s">
        <v>541</v>
      </c>
      <c r="C65" s="176" t="s">
        <v>340</v>
      </c>
      <c r="D65" s="176" t="s">
        <v>304</v>
      </c>
      <c r="E65" s="184" t="s">
        <v>340</v>
      </c>
      <c r="F65" s="64" t="s">
        <v>304</v>
      </c>
      <c r="G65">
        <v>1</v>
      </c>
      <c r="H65" s="174"/>
      <c r="I65" s="174"/>
      <c r="J65" s="174"/>
    </row>
    <row r="66" spans="1:17" x14ac:dyDescent="0.2">
      <c r="A66" s="177" t="s">
        <v>321</v>
      </c>
      <c r="B66" s="176" t="s">
        <v>556</v>
      </c>
      <c r="C66" s="176" t="s">
        <v>560</v>
      </c>
      <c r="D66" s="176" t="s">
        <v>412</v>
      </c>
      <c r="E66" s="184" t="s">
        <v>560</v>
      </c>
      <c r="F66" s="64" t="s">
        <v>412</v>
      </c>
      <c r="G66">
        <v>5</v>
      </c>
      <c r="H66" s="174"/>
      <c r="I66" s="174"/>
      <c r="J66" s="174"/>
    </row>
    <row r="67" spans="1:17" x14ac:dyDescent="0.2">
      <c r="A67" s="177" t="s">
        <v>322</v>
      </c>
      <c r="B67" s="176" t="s">
        <v>556</v>
      </c>
      <c r="C67" s="176" t="s">
        <v>341</v>
      </c>
      <c r="D67" s="176" t="s">
        <v>411</v>
      </c>
      <c r="E67" s="184" t="s">
        <v>341</v>
      </c>
      <c r="F67" s="64" t="s">
        <v>411</v>
      </c>
      <c r="G67">
        <v>8</v>
      </c>
      <c r="H67" s="174"/>
      <c r="I67" s="174"/>
      <c r="J67" s="174"/>
    </row>
    <row r="68" spans="1:17" x14ac:dyDescent="0.2">
      <c r="A68" s="177" t="s">
        <v>323</v>
      </c>
      <c r="B68" s="176" t="s">
        <v>556</v>
      </c>
      <c r="C68" s="176" t="s">
        <v>342</v>
      </c>
      <c r="D68" s="176" t="s">
        <v>556</v>
      </c>
      <c r="E68" s="184" t="s">
        <v>342</v>
      </c>
      <c r="F68" s="64" t="s">
        <v>556</v>
      </c>
      <c r="G68">
        <v>3</v>
      </c>
      <c r="H68" s="174"/>
      <c r="I68" s="174"/>
      <c r="J68" s="174"/>
    </row>
    <row r="69" spans="1:17" x14ac:dyDescent="0.2">
      <c r="A69" s="42" t="s">
        <v>324</v>
      </c>
      <c r="B69" s="176" t="s">
        <v>546</v>
      </c>
      <c r="C69" s="176" t="s">
        <v>561</v>
      </c>
      <c r="D69" s="176" t="s">
        <v>414</v>
      </c>
      <c r="E69" s="184" t="s">
        <v>561</v>
      </c>
      <c r="F69" s="64" t="s">
        <v>414</v>
      </c>
      <c r="G69">
        <v>9</v>
      </c>
      <c r="H69" s="174"/>
      <c r="I69" s="174"/>
      <c r="J69" s="174"/>
    </row>
    <row r="70" spans="1:17" x14ac:dyDescent="0.2">
      <c r="A70" s="42" t="s">
        <v>325</v>
      </c>
      <c r="B70" s="176" t="s">
        <v>546</v>
      </c>
      <c r="C70" s="176" t="s">
        <v>343</v>
      </c>
      <c r="D70" s="176" t="s">
        <v>550</v>
      </c>
      <c r="E70" s="184" t="s">
        <v>343</v>
      </c>
      <c r="F70" s="64" t="s">
        <v>550</v>
      </c>
      <c r="G70">
        <v>6</v>
      </c>
      <c r="H70" s="174"/>
      <c r="I70" s="174"/>
      <c r="J70" s="174"/>
    </row>
    <row r="71" spans="1:17" x14ac:dyDescent="0.2">
      <c r="A71" s="180" t="s">
        <v>557</v>
      </c>
      <c r="B71" s="179" t="s">
        <v>546</v>
      </c>
      <c r="C71" s="176" t="s">
        <v>344</v>
      </c>
      <c r="D71" s="176" t="s">
        <v>414</v>
      </c>
      <c r="E71" s="184" t="s">
        <v>344</v>
      </c>
      <c r="F71" s="64" t="s">
        <v>414</v>
      </c>
      <c r="G71">
        <v>9</v>
      </c>
      <c r="H71" s="174"/>
      <c r="I71" s="174"/>
      <c r="J71" s="174"/>
    </row>
    <row r="72" spans="1:17" x14ac:dyDescent="0.2">
      <c r="A72" s="42" t="s">
        <v>326</v>
      </c>
      <c r="B72" s="176" t="s">
        <v>414</v>
      </c>
      <c r="C72" s="177" t="s">
        <v>345</v>
      </c>
      <c r="D72" s="176" t="s">
        <v>556</v>
      </c>
      <c r="E72" s="185" t="s">
        <v>345</v>
      </c>
      <c r="F72" s="64" t="s">
        <v>556</v>
      </c>
      <c r="G72">
        <v>3</v>
      </c>
      <c r="H72" s="174" t="s">
        <v>605</v>
      </c>
      <c r="I72" s="174"/>
      <c r="J72" s="174"/>
      <c r="K72" s="42" t="s">
        <v>606</v>
      </c>
    </row>
    <row r="73" spans="1:17" x14ac:dyDescent="0.2">
      <c r="A73" s="176" t="s">
        <v>338</v>
      </c>
      <c r="B73" s="176" t="s">
        <v>412</v>
      </c>
      <c r="C73" s="177" t="s">
        <v>346</v>
      </c>
      <c r="D73" s="176" t="s">
        <v>556</v>
      </c>
      <c r="E73" s="184" t="s">
        <v>346</v>
      </c>
      <c r="F73" s="64" t="s">
        <v>556</v>
      </c>
      <c r="G73">
        <v>3</v>
      </c>
      <c r="H73" s="174"/>
      <c r="I73" s="174"/>
      <c r="J73" s="174"/>
      <c r="P73" s="176" t="s">
        <v>611</v>
      </c>
      <c r="Q73" s="176" t="s">
        <v>541</v>
      </c>
    </row>
    <row r="74" spans="1:17" x14ac:dyDescent="0.2">
      <c r="A74" s="176" t="s">
        <v>558</v>
      </c>
      <c r="B74" s="176" t="s">
        <v>541</v>
      </c>
      <c r="C74" s="176" t="s">
        <v>616</v>
      </c>
      <c r="D74" s="176" t="s">
        <v>411</v>
      </c>
      <c r="E74" s="184" t="s">
        <v>616</v>
      </c>
      <c r="F74" s="64" t="s">
        <v>411</v>
      </c>
      <c r="G74">
        <v>8</v>
      </c>
      <c r="H74" s="174"/>
      <c r="I74" s="174"/>
      <c r="J74" s="174"/>
      <c r="P74" s="176" t="s">
        <v>614</v>
      </c>
      <c r="Q74" s="176" t="s">
        <v>541</v>
      </c>
    </row>
    <row r="75" spans="1:17" x14ac:dyDescent="0.2">
      <c r="A75" s="179" t="s">
        <v>559</v>
      </c>
      <c r="B75" s="179" t="s">
        <v>541</v>
      </c>
      <c r="C75" s="177" t="s">
        <v>327</v>
      </c>
      <c r="D75" s="176" t="s">
        <v>556</v>
      </c>
      <c r="E75" s="184" t="s">
        <v>327</v>
      </c>
      <c r="F75" s="64" t="s">
        <v>556</v>
      </c>
      <c r="G75">
        <v>3</v>
      </c>
      <c r="H75" s="174"/>
      <c r="I75" s="174"/>
      <c r="J75" s="174"/>
    </row>
    <row r="76" spans="1:17" x14ac:dyDescent="0.2">
      <c r="A76" s="176" t="s">
        <v>339</v>
      </c>
      <c r="B76" s="176" t="s">
        <v>411</v>
      </c>
      <c r="C76" s="176" t="s">
        <v>328</v>
      </c>
      <c r="D76" s="176" t="s">
        <v>412</v>
      </c>
      <c r="E76" s="184" t="s">
        <v>328</v>
      </c>
      <c r="F76" s="64" t="s">
        <v>412</v>
      </c>
      <c r="G76">
        <v>5</v>
      </c>
      <c r="H76" s="174"/>
      <c r="I76" s="174"/>
      <c r="J76" s="174"/>
    </row>
    <row r="77" spans="1:17" x14ac:dyDescent="0.2">
      <c r="A77" s="176" t="s">
        <v>340</v>
      </c>
      <c r="B77" s="176" t="s">
        <v>304</v>
      </c>
      <c r="C77" s="176" t="s">
        <v>329</v>
      </c>
      <c r="D77" s="176" t="s">
        <v>412</v>
      </c>
      <c r="E77" s="184" t="s">
        <v>329</v>
      </c>
      <c r="F77" s="64" t="s">
        <v>412</v>
      </c>
      <c r="G77">
        <v>5</v>
      </c>
      <c r="H77" s="174"/>
      <c r="I77" s="174"/>
      <c r="J77" s="174"/>
    </row>
    <row r="78" spans="1:17" x14ac:dyDescent="0.2">
      <c r="A78" s="176" t="s">
        <v>560</v>
      </c>
      <c r="B78" s="176" t="s">
        <v>412</v>
      </c>
      <c r="C78" s="42" t="s">
        <v>330</v>
      </c>
      <c r="D78" s="176" t="s">
        <v>412</v>
      </c>
      <c r="E78" s="2" t="s">
        <v>330</v>
      </c>
      <c r="F78" s="64" t="s">
        <v>412</v>
      </c>
      <c r="G78">
        <v>5</v>
      </c>
      <c r="H78" s="174"/>
      <c r="I78" s="174"/>
      <c r="J78" s="174"/>
    </row>
    <row r="79" spans="1:17" x14ac:dyDescent="0.2">
      <c r="A79" s="176" t="s">
        <v>341</v>
      </c>
      <c r="B79" s="176" t="s">
        <v>411</v>
      </c>
      <c r="C79" s="42" t="s">
        <v>331</v>
      </c>
      <c r="D79" s="176" t="s">
        <v>556</v>
      </c>
      <c r="E79" s="2" t="s">
        <v>331</v>
      </c>
      <c r="F79" s="64" t="s">
        <v>556</v>
      </c>
      <c r="G79">
        <v>3</v>
      </c>
      <c r="H79" s="174"/>
      <c r="I79" s="174"/>
      <c r="J79" s="174"/>
    </row>
    <row r="80" spans="1:17" x14ac:dyDescent="0.2">
      <c r="A80" s="176" t="s">
        <v>342</v>
      </c>
      <c r="B80" s="176" t="s">
        <v>556</v>
      </c>
      <c r="C80" s="176" t="s">
        <v>332</v>
      </c>
      <c r="D80" s="176" t="s">
        <v>413</v>
      </c>
      <c r="E80" s="184" t="s">
        <v>332</v>
      </c>
      <c r="F80" s="64" t="s">
        <v>413</v>
      </c>
      <c r="G80">
        <v>10</v>
      </c>
      <c r="H80" s="174"/>
      <c r="I80" s="174"/>
      <c r="J80" s="174"/>
    </row>
    <row r="81" spans="1:11" x14ac:dyDescent="0.2">
      <c r="A81" s="176" t="s">
        <v>561</v>
      </c>
      <c r="B81" s="176" t="s">
        <v>414</v>
      </c>
      <c r="C81" s="176" t="s">
        <v>333</v>
      </c>
      <c r="D81" s="176" t="s">
        <v>413</v>
      </c>
      <c r="E81" s="184" t="s">
        <v>333</v>
      </c>
      <c r="F81" s="64" t="s">
        <v>413</v>
      </c>
      <c r="G81">
        <v>10</v>
      </c>
      <c r="H81" s="174"/>
      <c r="I81" s="174"/>
      <c r="J81" s="174"/>
    </row>
    <row r="82" spans="1:11" x14ac:dyDescent="0.2">
      <c r="A82" s="176" t="s">
        <v>343</v>
      </c>
      <c r="B82" s="176" t="s">
        <v>550</v>
      </c>
      <c r="C82" s="176" t="s">
        <v>334</v>
      </c>
      <c r="D82" s="176" t="s">
        <v>541</v>
      </c>
      <c r="E82" s="184" t="s">
        <v>334</v>
      </c>
      <c r="F82" s="64" t="s">
        <v>541</v>
      </c>
      <c r="G82">
        <v>11</v>
      </c>
      <c r="H82" s="174"/>
      <c r="I82" s="174"/>
      <c r="J82" s="174"/>
    </row>
    <row r="83" spans="1:11" x14ac:dyDescent="0.2">
      <c r="A83" s="179" t="s">
        <v>615</v>
      </c>
      <c r="B83" s="179" t="s">
        <v>304</v>
      </c>
      <c r="C83" s="176" t="s">
        <v>335</v>
      </c>
      <c r="D83" s="176" t="s">
        <v>304</v>
      </c>
      <c r="E83" s="184" t="s">
        <v>335</v>
      </c>
      <c r="F83" s="64" t="s">
        <v>304</v>
      </c>
      <c r="G83">
        <v>1</v>
      </c>
      <c r="H83" s="174"/>
      <c r="I83" s="174"/>
      <c r="J83" s="174"/>
    </row>
    <row r="84" spans="1:11" x14ac:dyDescent="0.2">
      <c r="A84" s="176" t="s">
        <v>344</v>
      </c>
      <c r="B84" s="176" t="s">
        <v>414</v>
      </c>
      <c r="C84" s="176" t="s">
        <v>336</v>
      </c>
      <c r="D84" s="176" t="s">
        <v>304</v>
      </c>
      <c r="E84" s="184" t="s">
        <v>336</v>
      </c>
      <c r="F84" s="64" t="s">
        <v>304</v>
      </c>
      <c r="G84">
        <v>1</v>
      </c>
      <c r="H84" s="174"/>
      <c r="I84" s="174"/>
      <c r="J84" s="174"/>
    </row>
    <row r="85" spans="1:11" x14ac:dyDescent="0.2">
      <c r="A85" s="177" t="s">
        <v>345</v>
      </c>
      <c r="B85" s="176" t="s">
        <v>556</v>
      </c>
      <c r="C85" s="176" t="s">
        <v>347</v>
      </c>
      <c r="D85" s="176" t="s">
        <v>411</v>
      </c>
      <c r="E85" s="184" t="s">
        <v>347</v>
      </c>
      <c r="F85" s="64" t="s">
        <v>411</v>
      </c>
      <c r="G85">
        <v>8</v>
      </c>
      <c r="H85" s="174"/>
      <c r="I85" s="174"/>
      <c r="J85" s="174"/>
    </row>
    <row r="86" spans="1:11" x14ac:dyDescent="0.2">
      <c r="A86" s="177" t="s">
        <v>346</v>
      </c>
      <c r="B86" s="176" t="s">
        <v>556</v>
      </c>
      <c r="C86" s="176" t="s">
        <v>337</v>
      </c>
      <c r="D86" s="176" t="s">
        <v>414</v>
      </c>
      <c r="E86" s="185" t="s">
        <v>337</v>
      </c>
      <c r="F86" s="64" t="s">
        <v>414</v>
      </c>
      <c r="G86">
        <v>9</v>
      </c>
      <c r="H86" s="174" t="s">
        <v>605</v>
      </c>
      <c r="I86" s="174"/>
      <c r="J86" s="174"/>
      <c r="K86" t="s">
        <v>607</v>
      </c>
    </row>
    <row r="87" spans="1:11" x14ac:dyDescent="0.2">
      <c r="A87" s="176" t="s">
        <v>616</v>
      </c>
      <c r="B87" s="176" t="s">
        <v>411</v>
      </c>
      <c r="C87" s="176" t="s">
        <v>348</v>
      </c>
      <c r="D87" s="176" t="s">
        <v>414</v>
      </c>
      <c r="E87" s="184" t="s">
        <v>348</v>
      </c>
      <c r="F87" s="64" t="s">
        <v>414</v>
      </c>
      <c r="G87">
        <v>9</v>
      </c>
      <c r="H87" s="174"/>
      <c r="I87" s="174"/>
      <c r="J87" s="174"/>
    </row>
    <row r="88" spans="1:11" x14ac:dyDescent="0.2">
      <c r="A88" s="177" t="s">
        <v>327</v>
      </c>
      <c r="B88" s="176" t="s">
        <v>556</v>
      </c>
      <c r="C88" s="177" t="s">
        <v>349</v>
      </c>
      <c r="D88" s="176" t="s">
        <v>556</v>
      </c>
      <c r="E88" s="184" t="s">
        <v>349</v>
      </c>
      <c r="F88" s="64" t="s">
        <v>556</v>
      </c>
      <c r="G88">
        <v>3</v>
      </c>
      <c r="H88" s="174"/>
      <c r="I88" s="174"/>
      <c r="J88" s="174"/>
    </row>
    <row r="89" spans="1:11" x14ac:dyDescent="0.2">
      <c r="A89" s="176" t="s">
        <v>328</v>
      </c>
      <c r="B89" s="176" t="s">
        <v>412</v>
      </c>
      <c r="C89" s="42" t="s">
        <v>350</v>
      </c>
      <c r="D89" s="176" t="s">
        <v>546</v>
      </c>
      <c r="E89" s="2" t="s">
        <v>350</v>
      </c>
      <c r="F89" s="64" t="s">
        <v>546</v>
      </c>
      <c r="G89">
        <v>2</v>
      </c>
      <c r="H89" s="174"/>
      <c r="I89" s="174"/>
      <c r="J89" s="174"/>
    </row>
    <row r="90" spans="1:11" x14ac:dyDescent="0.2">
      <c r="A90" s="176" t="s">
        <v>329</v>
      </c>
      <c r="B90" s="176" t="s">
        <v>412</v>
      </c>
      <c r="C90" s="176" t="s">
        <v>351</v>
      </c>
      <c r="D90" s="176" t="s">
        <v>546</v>
      </c>
      <c r="E90" s="184" t="s">
        <v>351</v>
      </c>
      <c r="F90" s="64" t="s">
        <v>546</v>
      </c>
      <c r="G90">
        <v>2</v>
      </c>
      <c r="H90" s="174"/>
      <c r="I90" s="174"/>
      <c r="J90" s="174"/>
    </row>
    <row r="91" spans="1:11" x14ac:dyDescent="0.2">
      <c r="A91" s="42" t="s">
        <v>330</v>
      </c>
      <c r="B91" s="176" t="s">
        <v>412</v>
      </c>
      <c r="C91" s="176" t="s">
        <v>352</v>
      </c>
      <c r="D91" s="176" t="s">
        <v>411</v>
      </c>
      <c r="E91" s="184" t="s">
        <v>352</v>
      </c>
      <c r="F91" s="64" t="s">
        <v>411</v>
      </c>
      <c r="G91">
        <v>8</v>
      </c>
      <c r="H91" s="174"/>
      <c r="I91" s="174"/>
      <c r="J91" s="174"/>
    </row>
    <row r="92" spans="1:11" x14ac:dyDescent="0.2">
      <c r="A92" s="179" t="s">
        <v>562</v>
      </c>
      <c r="B92" s="179" t="s">
        <v>544</v>
      </c>
      <c r="C92" s="176" t="s">
        <v>353</v>
      </c>
      <c r="D92" s="176" t="s">
        <v>542</v>
      </c>
      <c r="E92" s="184" t="s">
        <v>353</v>
      </c>
      <c r="F92" s="64" t="s">
        <v>542</v>
      </c>
      <c r="G92">
        <v>4</v>
      </c>
      <c r="H92" s="174"/>
      <c r="I92" s="174"/>
      <c r="J92" s="174"/>
    </row>
    <row r="93" spans="1:11" x14ac:dyDescent="0.2">
      <c r="A93" s="42" t="s">
        <v>331</v>
      </c>
      <c r="B93" s="176" t="s">
        <v>556</v>
      </c>
      <c r="C93" s="176" t="s">
        <v>354</v>
      </c>
      <c r="D93" s="176" t="s">
        <v>542</v>
      </c>
      <c r="E93" s="184" t="s">
        <v>354</v>
      </c>
      <c r="F93" s="64" t="s">
        <v>542</v>
      </c>
      <c r="G93">
        <v>4</v>
      </c>
      <c r="H93" s="174"/>
      <c r="I93" s="174"/>
      <c r="J93" s="174"/>
    </row>
    <row r="94" spans="1:11" x14ac:dyDescent="0.2">
      <c r="A94" s="176" t="s">
        <v>332</v>
      </c>
      <c r="B94" s="176" t="s">
        <v>413</v>
      </c>
      <c r="C94" s="177" t="s">
        <v>355</v>
      </c>
      <c r="D94" s="176" t="s">
        <v>556</v>
      </c>
      <c r="E94" s="184" t="s">
        <v>355</v>
      </c>
      <c r="F94" s="64" t="s">
        <v>556</v>
      </c>
      <c r="G94">
        <v>3</v>
      </c>
      <c r="H94" s="174"/>
      <c r="I94" s="174"/>
      <c r="J94" s="174"/>
    </row>
    <row r="95" spans="1:11" x14ac:dyDescent="0.2">
      <c r="A95" s="176" t="s">
        <v>333</v>
      </c>
      <c r="B95" s="176" t="s">
        <v>413</v>
      </c>
      <c r="C95" s="176" t="s">
        <v>356</v>
      </c>
      <c r="D95" s="176" t="s">
        <v>556</v>
      </c>
      <c r="E95" s="185" t="s">
        <v>356</v>
      </c>
      <c r="F95" s="64" t="s">
        <v>556</v>
      </c>
      <c r="G95">
        <v>3</v>
      </c>
      <c r="H95" s="174"/>
      <c r="I95" s="174" t="s">
        <v>605</v>
      </c>
      <c r="J95" s="174"/>
      <c r="K95" t="s">
        <v>608</v>
      </c>
    </row>
    <row r="96" spans="1:11" x14ac:dyDescent="0.2">
      <c r="A96" s="176" t="s">
        <v>334</v>
      </c>
      <c r="B96" s="176" t="s">
        <v>541</v>
      </c>
      <c r="C96" s="176" t="s">
        <v>357</v>
      </c>
      <c r="D96" s="176" t="s">
        <v>413</v>
      </c>
      <c r="E96" s="184" t="s">
        <v>357</v>
      </c>
      <c r="F96" s="64" t="s">
        <v>413</v>
      </c>
      <c r="G96">
        <v>10</v>
      </c>
      <c r="H96" s="174"/>
      <c r="I96" s="174"/>
      <c r="J96" s="174"/>
    </row>
    <row r="97" spans="1:11" x14ac:dyDescent="0.2">
      <c r="A97" s="176" t="s">
        <v>335</v>
      </c>
      <c r="B97" s="176" t="s">
        <v>304</v>
      </c>
      <c r="C97" s="176" t="s">
        <v>358</v>
      </c>
      <c r="D97" s="176" t="s">
        <v>541</v>
      </c>
      <c r="E97" s="184" t="s">
        <v>358</v>
      </c>
      <c r="F97" s="64" t="s">
        <v>541</v>
      </c>
      <c r="G97">
        <v>11</v>
      </c>
      <c r="H97" s="174"/>
      <c r="I97" s="174"/>
      <c r="J97" s="174"/>
    </row>
    <row r="98" spans="1:11" x14ac:dyDescent="0.2">
      <c r="A98" s="176" t="s">
        <v>336</v>
      </c>
      <c r="B98" s="176" t="s">
        <v>304</v>
      </c>
      <c r="C98" s="42" t="s">
        <v>359</v>
      </c>
      <c r="D98" s="176" t="s">
        <v>412</v>
      </c>
      <c r="E98" s="63" t="s">
        <v>359</v>
      </c>
      <c r="F98" s="64" t="s">
        <v>412</v>
      </c>
      <c r="G98">
        <v>5</v>
      </c>
      <c r="H98" s="174"/>
      <c r="I98" s="174"/>
      <c r="J98" s="174"/>
    </row>
    <row r="99" spans="1:11" x14ac:dyDescent="0.2">
      <c r="A99" s="176" t="s">
        <v>347</v>
      </c>
      <c r="B99" s="176" t="s">
        <v>411</v>
      </c>
      <c r="C99" s="176" t="s">
        <v>361</v>
      </c>
      <c r="D99" s="176" t="s">
        <v>550</v>
      </c>
      <c r="E99" s="184" t="s">
        <v>361</v>
      </c>
      <c r="F99" s="64" t="s">
        <v>550</v>
      </c>
      <c r="G99">
        <v>6</v>
      </c>
      <c r="H99" s="174"/>
      <c r="I99" s="174"/>
      <c r="J99" s="174"/>
    </row>
    <row r="100" spans="1:11" x14ac:dyDescent="0.2">
      <c r="A100" s="176" t="s">
        <v>337</v>
      </c>
      <c r="B100" s="176" t="s">
        <v>414</v>
      </c>
      <c r="C100" s="176" t="s">
        <v>360</v>
      </c>
      <c r="D100" s="176" t="s">
        <v>411</v>
      </c>
      <c r="E100" s="184" t="s">
        <v>360</v>
      </c>
      <c r="F100" s="64" t="s">
        <v>411</v>
      </c>
      <c r="G100">
        <v>8</v>
      </c>
      <c r="H100" s="174"/>
      <c r="I100" s="174"/>
      <c r="J100" s="174"/>
    </row>
    <row r="101" spans="1:11" x14ac:dyDescent="0.2">
      <c r="A101" s="181" t="s">
        <v>563</v>
      </c>
      <c r="B101" s="179" t="s">
        <v>556</v>
      </c>
      <c r="C101" s="42" t="s">
        <v>362</v>
      </c>
      <c r="D101" s="176" t="s">
        <v>546</v>
      </c>
      <c r="E101" s="66" t="s">
        <v>362</v>
      </c>
      <c r="F101" s="64" t="s">
        <v>546</v>
      </c>
      <c r="G101">
        <v>2</v>
      </c>
      <c r="H101" s="174" t="s">
        <v>605</v>
      </c>
      <c r="I101" s="174"/>
      <c r="J101" s="174"/>
      <c r="K101" t="s">
        <v>609</v>
      </c>
    </row>
    <row r="102" spans="1:11" x14ac:dyDescent="0.2">
      <c r="A102" s="179" t="s">
        <v>564</v>
      </c>
      <c r="B102" s="179" t="s">
        <v>544</v>
      </c>
      <c r="C102" s="42" t="s">
        <v>363</v>
      </c>
      <c r="D102" s="176" t="s">
        <v>412</v>
      </c>
      <c r="E102" s="66" t="s">
        <v>363</v>
      </c>
      <c r="F102" s="64" t="s">
        <v>412</v>
      </c>
      <c r="G102">
        <v>5</v>
      </c>
      <c r="H102" s="174" t="s">
        <v>605</v>
      </c>
      <c r="I102" s="174"/>
      <c r="J102" s="174"/>
      <c r="K102" t="s">
        <v>604</v>
      </c>
    </row>
    <row r="103" spans="1:11" x14ac:dyDescent="0.2">
      <c r="A103" s="176" t="s">
        <v>348</v>
      </c>
      <c r="B103" s="176" t="s">
        <v>414</v>
      </c>
      <c r="C103" s="176" t="s">
        <v>364</v>
      </c>
      <c r="D103" s="176" t="s">
        <v>541</v>
      </c>
      <c r="E103" s="184" t="s">
        <v>364</v>
      </c>
      <c r="F103" s="64" t="s">
        <v>541</v>
      </c>
      <c r="G103">
        <v>11</v>
      </c>
      <c r="H103" s="174"/>
      <c r="I103" s="174"/>
      <c r="J103" s="174"/>
    </row>
    <row r="104" spans="1:11" x14ac:dyDescent="0.2">
      <c r="A104" s="177" t="s">
        <v>349</v>
      </c>
      <c r="B104" s="176" t="s">
        <v>556</v>
      </c>
      <c r="C104" s="42" t="s">
        <v>365</v>
      </c>
      <c r="D104" s="176" t="s">
        <v>546</v>
      </c>
      <c r="E104" s="2" t="s">
        <v>365</v>
      </c>
      <c r="F104" s="64" t="s">
        <v>546</v>
      </c>
      <c r="G104">
        <v>2</v>
      </c>
      <c r="H104" s="174"/>
      <c r="I104" s="174"/>
      <c r="J104" s="174"/>
    </row>
    <row r="105" spans="1:11" x14ac:dyDescent="0.2">
      <c r="A105" s="42" t="s">
        <v>350</v>
      </c>
      <c r="B105" s="176" t="s">
        <v>546</v>
      </c>
      <c r="C105" s="176" t="s">
        <v>366</v>
      </c>
      <c r="D105" s="176" t="s">
        <v>414</v>
      </c>
      <c r="E105" s="184" t="s">
        <v>366</v>
      </c>
      <c r="F105" s="64" t="s">
        <v>414</v>
      </c>
      <c r="G105">
        <v>9</v>
      </c>
      <c r="H105" s="174"/>
      <c r="I105" s="174"/>
      <c r="J105" s="174"/>
    </row>
    <row r="106" spans="1:11" x14ac:dyDescent="0.2">
      <c r="A106" s="176" t="s">
        <v>351</v>
      </c>
      <c r="B106" s="176" t="s">
        <v>546</v>
      </c>
      <c r="C106" s="176" t="s">
        <v>367</v>
      </c>
      <c r="D106" s="176" t="s">
        <v>541</v>
      </c>
      <c r="E106" s="184" t="s">
        <v>367</v>
      </c>
      <c r="F106" s="64" t="s">
        <v>541</v>
      </c>
      <c r="G106">
        <v>11</v>
      </c>
      <c r="H106" s="174"/>
      <c r="I106" s="174"/>
      <c r="J106" s="174"/>
    </row>
    <row r="107" spans="1:11" x14ac:dyDescent="0.2">
      <c r="A107" s="176" t="s">
        <v>352</v>
      </c>
      <c r="B107" s="176" t="s">
        <v>411</v>
      </c>
      <c r="C107" s="176" t="s">
        <v>368</v>
      </c>
      <c r="D107" s="176" t="s">
        <v>542</v>
      </c>
      <c r="E107" s="184" t="s">
        <v>368</v>
      </c>
      <c r="F107" s="64" t="s">
        <v>542</v>
      </c>
      <c r="G107">
        <v>4</v>
      </c>
      <c r="H107" s="174"/>
      <c r="I107" s="174"/>
      <c r="J107" s="174"/>
    </row>
    <row r="108" spans="1:11" x14ac:dyDescent="0.2">
      <c r="A108" s="176" t="s">
        <v>353</v>
      </c>
      <c r="B108" s="176" t="s">
        <v>542</v>
      </c>
      <c r="C108" s="176" t="s">
        <v>369</v>
      </c>
      <c r="D108" s="176" t="s">
        <v>413</v>
      </c>
      <c r="E108" s="184" t="s">
        <v>369</v>
      </c>
      <c r="F108" s="64" t="s">
        <v>413</v>
      </c>
      <c r="G108">
        <v>10</v>
      </c>
      <c r="H108" s="174"/>
      <c r="I108" s="174"/>
      <c r="J108" s="174"/>
    </row>
    <row r="109" spans="1:11" x14ac:dyDescent="0.2">
      <c r="A109" s="176" t="s">
        <v>354</v>
      </c>
      <c r="B109" s="176" t="s">
        <v>542</v>
      </c>
      <c r="C109" s="176" t="s">
        <v>300</v>
      </c>
      <c r="D109" s="176" t="s">
        <v>542</v>
      </c>
      <c r="E109" s="184" t="s">
        <v>300</v>
      </c>
      <c r="F109" s="64" t="s">
        <v>542</v>
      </c>
      <c r="G109">
        <v>4</v>
      </c>
      <c r="H109" s="174"/>
      <c r="I109" s="174"/>
      <c r="J109" s="174"/>
    </row>
    <row r="110" spans="1:11" x14ac:dyDescent="0.2">
      <c r="A110" s="181" t="s">
        <v>565</v>
      </c>
      <c r="B110" s="179" t="s">
        <v>556</v>
      </c>
      <c r="C110" s="176" t="s">
        <v>301</v>
      </c>
      <c r="D110" s="176" t="s">
        <v>413</v>
      </c>
      <c r="E110" s="184" t="s">
        <v>301</v>
      </c>
      <c r="F110" s="64" t="s">
        <v>413</v>
      </c>
      <c r="G110">
        <v>10</v>
      </c>
      <c r="H110" s="174"/>
      <c r="I110" s="174"/>
      <c r="J110" s="174"/>
    </row>
    <row r="111" spans="1:11" x14ac:dyDescent="0.2">
      <c r="A111" s="179" t="s">
        <v>566</v>
      </c>
      <c r="B111" s="179" t="s">
        <v>304</v>
      </c>
      <c r="C111" s="176" t="s">
        <v>302</v>
      </c>
      <c r="D111" s="176" t="s">
        <v>411</v>
      </c>
      <c r="E111" s="184" t="s">
        <v>302</v>
      </c>
      <c r="F111" s="64" t="s">
        <v>411</v>
      </c>
      <c r="G111">
        <v>8</v>
      </c>
      <c r="H111" s="174"/>
      <c r="I111" s="174"/>
      <c r="J111" s="174"/>
    </row>
    <row r="112" spans="1:11" x14ac:dyDescent="0.2">
      <c r="A112" s="177" t="s">
        <v>355</v>
      </c>
      <c r="B112" s="176" t="s">
        <v>556</v>
      </c>
      <c r="C112" s="176" t="s">
        <v>303</v>
      </c>
      <c r="D112" s="176" t="s">
        <v>304</v>
      </c>
      <c r="E112" s="184" t="s">
        <v>303</v>
      </c>
      <c r="F112" s="64" t="s">
        <v>304</v>
      </c>
      <c r="G112">
        <v>1</v>
      </c>
      <c r="H112" s="174"/>
      <c r="I112" s="174"/>
      <c r="J112" s="174"/>
    </row>
    <row r="113" spans="1:10" x14ac:dyDescent="0.2">
      <c r="A113" s="179" t="s">
        <v>567</v>
      </c>
      <c r="B113" s="179" t="s">
        <v>411</v>
      </c>
      <c r="C113" s="176" t="s">
        <v>305</v>
      </c>
      <c r="D113" s="176" t="s">
        <v>304</v>
      </c>
      <c r="E113" s="184" t="s">
        <v>305</v>
      </c>
      <c r="F113" s="64" t="s">
        <v>304</v>
      </c>
      <c r="G113">
        <v>1</v>
      </c>
      <c r="H113" s="174"/>
      <c r="I113" s="174"/>
      <c r="J113" s="174"/>
    </row>
    <row r="114" spans="1:10" x14ac:dyDescent="0.2">
      <c r="A114" s="176" t="s">
        <v>356</v>
      </c>
      <c r="B114" s="176" t="s">
        <v>556</v>
      </c>
      <c r="C114" s="176" t="s">
        <v>306</v>
      </c>
      <c r="D114" s="176" t="s">
        <v>542</v>
      </c>
      <c r="E114" s="184" t="s">
        <v>306</v>
      </c>
      <c r="F114" s="64" t="s">
        <v>542</v>
      </c>
      <c r="G114">
        <v>4</v>
      </c>
      <c r="H114" s="174"/>
      <c r="I114" s="174"/>
      <c r="J114" s="174"/>
    </row>
    <row r="115" spans="1:10" x14ac:dyDescent="0.2">
      <c r="A115" s="179" t="s">
        <v>568</v>
      </c>
      <c r="B115" s="179" t="s">
        <v>413</v>
      </c>
      <c r="C115" s="176" t="s">
        <v>418</v>
      </c>
      <c r="D115" s="176" t="s">
        <v>542</v>
      </c>
      <c r="E115" s="184" t="s">
        <v>418</v>
      </c>
      <c r="F115" s="64" t="s">
        <v>542</v>
      </c>
      <c r="G115">
        <v>4</v>
      </c>
      <c r="H115" s="174"/>
      <c r="I115" s="174"/>
      <c r="J115" s="174"/>
    </row>
    <row r="116" spans="1:10" x14ac:dyDescent="0.2">
      <c r="A116" s="176" t="s">
        <v>357</v>
      </c>
      <c r="B116" s="176" t="s">
        <v>413</v>
      </c>
      <c r="C116" s="176" t="s">
        <v>309</v>
      </c>
      <c r="D116" s="176" t="s">
        <v>411</v>
      </c>
      <c r="E116" s="184" t="s">
        <v>309</v>
      </c>
      <c r="F116" s="64" t="s">
        <v>411</v>
      </c>
      <c r="G116">
        <v>8</v>
      </c>
      <c r="H116" s="174"/>
      <c r="I116" s="174"/>
      <c r="J116" s="174"/>
    </row>
    <row r="117" spans="1:10" x14ac:dyDescent="0.2">
      <c r="A117" s="179" t="s">
        <v>569</v>
      </c>
      <c r="B117" s="179" t="s">
        <v>550</v>
      </c>
      <c r="C117" s="176" t="s">
        <v>311</v>
      </c>
      <c r="D117" s="176" t="s">
        <v>414</v>
      </c>
      <c r="E117" s="184" t="s">
        <v>311</v>
      </c>
      <c r="F117" s="64" t="s">
        <v>414</v>
      </c>
      <c r="G117">
        <v>9</v>
      </c>
      <c r="H117" s="174"/>
      <c r="I117" s="174"/>
      <c r="J117" s="174"/>
    </row>
    <row r="118" spans="1:10" x14ac:dyDescent="0.2">
      <c r="A118" s="176" t="s">
        <v>358</v>
      </c>
      <c r="B118" s="176" t="s">
        <v>541</v>
      </c>
      <c r="C118" s="178" t="s">
        <v>312</v>
      </c>
      <c r="D118" s="176" t="s">
        <v>556</v>
      </c>
      <c r="E118" s="2" t="s">
        <v>312</v>
      </c>
      <c r="F118" s="64" t="s">
        <v>556</v>
      </c>
      <c r="G118">
        <v>3</v>
      </c>
      <c r="H118" s="174"/>
      <c r="I118" s="174"/>
      <c r="J118" s="174"/>
    </row>
    <row r="119" spans="1:10" x14ac:dyDescent="0.2">
      <c r="A119" s="42" t="s">
        <v>359</v>
      </c>
      <c r="B119" s="176" t="s">
        <v>412</v>
      </c>
      <c r="C119" s="176" t="s">
        <v>314</v>
      </c>
      <c r="D119" s="176" t="s">
        <v>413</v>
      </c>
      <c r="E119" s="184" t="s">
        <v>314</v>
      </c>
      <c r="F119" s="64" t="s">
        <v>413</v>
      </c>
      <c r="G119">
        <v>10</v>
      </c>
      <c r="H119" s="174"/>
      <c r="I119" s="174"/>
      <c r="J119" s="174"/>
    </row>
    <row r="120" spans="1:10" x14ac:dyDescent="0.2">
      <c r="A120" s="176" t="s">
        <v>361</v>
      </c>
      <c r="B120" s="176" t="s">
        <v>550</v>
      </c>
      <c r="C120" s="179"/>
      <c r="D120" s="179"/>
      <c r="E120" s="2">
        <f>COUNTA(E25:E119)</f>
        <v>95</v>
      </c>
      <c r="F120" s="65"/>
      <c r="H120" s="175">
        <f>$E$120-COUNTA(H25:H119)</f>
        <v>87</v>
      </c>
      <c r="I120" s="175">
        <f t="shared" ref="I120" si="0">$E$120-COUNTA(I25:I119)</f>
        <v>94</v>
      </c>
      <c r="J120" s="175">
        <f>$E$120-COUNTA(J25:J119)</f>
        <v>95</v>
      </c>
    </row>
    <row r="121" spans="1:10" x14ac:dyDescent="0.2">
      <c r="A121" s="176" t="s">
        <v>360</v>
      </c>
      <c r="B121" s="176" t="s">
        <v>411</v>
      </c>
      <c r="C121" s="179"/>
      <c r="D121" s="179"/>
      <c r="F121" s="64"/>
    </row>
    <row r="122" spans="1:10" x14ac:dyDescent="0.2">
      <c r="A122" s="179" t="s">
        <v>570</v>
      </c>
      <c r="B122" s="179" t="s">
        <v>542</v>
      </c>
      <c r="C122" s="180"/>
      <c r="D122" s="179"/>
      <c r="E122" s="2"/>
      <c r="F122" s="64"/>
    </row>
    <row r="123" spans="1:10" x14ac:dyDescent="0.2">
      <c r="A123" s="179" t="s">
        <v>571</v>
      </c>
      <c r="B123" s="179" t="s">
        <v>304</v>
      </c>
      <c r="C123" s="179"/>
      <c r="D123" s="179"/>
      <c r="E123" s="2"/>
      <c r="F123" s="64"/>
    </row>
    <row r="124" spans="1:10" x14ac:dyDescent="0.2">
      <c r="A124" s="179" t="s">
        <v>572</v>
      </c>
      <c r="B124" s="179" t="s">
        <v>546</v>
      </c>
      <c r="C124" s="179"/>
      <c r="D124" s="179"/>
      <c r="E124" s="2"/>
      <c r="F124" s="64"/>
    </row>
    <row r="125" spans="1:10" x14ac:dyDescent="0.2">
      <c r="A125" s="179" t="s">
        <v>573</v>
      </c>
      <c r="B125" s="179" t="s">
        <v>550</v>
      </c>
      <c r="C125" s="179"/>
      <c r="D125" s="179"/>
      <c r="E125" s="2"/>
      <c r="F125" s="64"/>
    </row>
    <row r="126" spans="1:10" x14ac:dyDescent="0.2">
      <c r="A126" s="179" t="s">
        <v>574</v>
      </c>
      <c r="B126" s="179" t="s">
        <v>412</v>
      </c>
      <c r="C126" s="179"/>
      <c r="D126" s="179"/>
      <c r="E126" s="2"/>
      <c r="F126" s="64"/>
    </row>
    <row r="127" spans="1:10" x14ac:dyDescent="0.2">
      <c r="A127" s="42" t="s">
        <v>362</v>
      </c>
      <c r="B127" s="176" t="s">
        <v>546</v>
      </c>
      <c r="C127" s="180"/>
      <c r="D127" s="179"/>
      <c r="E127" s="2"/>
      <c r="F127" s="64"/>
    </row>
    <row r="128" spans="1:10" x14ac:dyDescent="0.2">
      <c r="A128" s="42" t="s">
        <v>363</v>
      </c>
      <c r="B128" s="176" t="s">
        <v>412</v>
      </c>
      <c r="C128" s="179"/>
      <c r="D128" s="179"/>
      <c r="E128" s="2"/>
      <c r="F128" s="64"/>
    </row>
    <row r="129" spans="1:6" x14ac:dyDescent="0.2">
      <c r="A129" s="179" t="s">
        <v>575</v>
      </c>
      <c r="B129" s="179" t="s">
        <v>411</v>
      </c>
      <c r="C129" s="179"/>
      <c r="D129" s="179"/>
      <c r="E129" s="2"/>
      <c r="F129" s="64"/>
    </row>
    <row r="130" spans="1:6" x14ac:dyDescent="0.2">
      <c r="A130" s="176" t="s">
        <v>364</v>
      </c>
      <c r="B130" s="176" t="s">
        <v>541</v>
      </c>
      <c r="C130" s="179"/>
      <c r="D130" s="179"/>
      <c r="E130" s="2"/>
      <c r="F130" s="64"/>
    </row>
    <row r="131" spans="1:6" x14ac:dyDescent="0.2">
      <c r="A131" s="42" t="s">
        <v>365</v>
      </c>
      <c r="B131" s="176" t="s">
        <v>546</v>
      </c>
      <c r="C131" s="181"/>
      <c r="D131" s="179"/>
      <c r="E131" s="2"/>
      <c r="F131" s="64"/>
    </row>
    <row r="132" spans="1:6" x14ac:dyDescent="0.2">
      <c r="A132" s="176" t="s">
        <v>366</v>
      </c>
      <c r="B132" s="176" t="s">
        <v>414</v>
      </c>
      <c r="C132" s="179"/>
      <c r="D132" s="179"/>
      <c r="E132" s="2"/>
      <c r="F132" s="64"/>
    </row>
    <row r="133" spans="1:6" x14ac:dyDescent="0.2">
      <c r="A133" s="176" t="s">
        <v>367</v>
      </c>
      <c r="B133" s="176" t="s">
        <v>541</v>
      </c>
      <c r="C133" s="181"/>
      <c r="D133" s="179"/>
      <c r="F133" s="64"/>
    </row>
    <row r="134" spans="1:6" x14ac:dyDescent="0.2">
      <c r="A134" s="179" t="s">
        <v>576</v>
      </c>
      <c r="B134" s="179" t="s">
        <v>550</v>
      </c>
      <c r="C134" s="179"/>
      <c r="D134" s="179"/>
      <c r="F134" s="64"/>
    </row>
    <row r="135" spans="1:6" x14ac:dyDescent="0.2">
      <c r="A135" s="179" t="s">
        <v>577</v>
      </c>
      <c r="B135" s="179" t="s">
        <v>550</v>
      </c>
      <c r="C135" s="179"/>
      <c r="D135" s="179"/>
      <c r="F135" s="64"/>
    </row>
    <row r="136" spans="1:6" x14ac:dyDescent="0.2">
      <c r="A136" s="176" t="s">
        <v>368</v>
      </c>
      <c r="B136" s="176" t="s">
        <v>542</v>
      </c>
      <c r="C136" s="179"/>
      <c r="D136" s="179"/>
      <c r="E136" s="2"/>
      <c r="F136" s="64"/>
    </row>
    <row r="137" spans="1:6" x14ac:dyDescent="0.2">
      <c r="A137" s="176" t="s">
        <v>369</v>
      </c>
      <c r="B137" s="176" t="s">
        <v>413</v>
      </c>
      <c r="C137" s="179"/>
      <c r="D137" s="179"/>
      <c r="E137" s="2"/>
      <c r="F137" s="64"/>
    </row>
    <row r="138" spans="1:6" x14ac:dyDescent="0.2">
      <c r="A138" s="179" t="s">
        <v>578</v>
      </c>
      <c r="B138" s="179" t="s">
        <v>542</v>
      </c>
      <c r="C138" s="179"/>
      <c r="D138" s="179"/>
      <c r="E138" s="2"/>
      <c r="F138" s="64"/>
    </row>
    <row r="139" spans="1:6" x14ac:dyDescent="0.2">
      <c r="A139" s="176" t="s">
        <v>300</v>
      </c>
      <c r="B139" s="176" t="s">
        <v>542</v>
      </c>
      <c r="C139" s="179"/>
      <c r="D139" s="179"/>
      <c r="E139" s="2"/>
      <c r="F139" s="64"/>
    </row>
    <row r="140" spans="1:6" x14ac:dyDescent="0.2">
      <c r="A140" s="176" t="s">
        <v>301</v>
      </c>
      <c r="B140" s="176" t="s">
        <v>413</v>
      </c>
      <c r="C140" s="179"/>
      <c r="D140" s="179"/>
      <c r="E140" s="2"/>
      <c r="F140" s="64"/>
    </row>
    <row r="141" spans="1:6" x14ac:dyDescent="0.2">
      <c r="A141" s="176" t="s">
        <v>302</v>
      </c>
      <c r="B141" s="176" t="s">
        <v>411</v>
      </c>
      <c r="C141" s="179"/>
      <c r="D141" s="179"/>
      <c r="E141" s="2"/>
      <c r="F141" s="64"/>
    </row>
    <row r="142" spans="1:6" x14ac:dyDescent="0.2">
      <c r="A142" s="179" t="s">
        <v>579</v>
      </c>
      <c r="B142" s="179" t="s">
        <v>412</v>
      </c>
      <c r="C142" s="179"/>
      <c r="D142" s="179"/>
      <c r="E142" s="2"/>
      <c r="F142" s="64"/>
    </row>
    <row r="143" spans="1:6" x14ac:dyDescent="0.2">
      <c r="A143" s="176" t="s">
        <v>303</v>
      </c>
      <c r="B143" s="176" t="s">
        <v>304</v>
      </c>
      <c r="C143" s="179"/>
      <c r="D143" s="179"/>
      <c r="E143" s="2"/>
      <c r="F143" s="64"/>
    </row>
    <row r="144" spans="1:6" x14ac:dyDescent="0.2">
      <c r="A144" s="176" t="s">
        <v>305</v>
      </c>
      <c r="B144" s="176" t="s">
        <v>304</v>
      </c>
      <c r="C144" s="179"/>
      <c r="D144" s="179"/>
      <c r="E144" s="2"/>
      <c r="F144" s="64"/>
    </row>
    <row r="145" spans="1:6" x14ac:dyDescent="0.2">
      <c r="A145" s="179" t="s">
        <v>580</v>
      </c>
      <c r="B145" s="179" t="s">
        <v>304</v>
      </c>
      <c r="C145" s="179"/>
      <c r="D145" s="179"/>
      <c r="E145" s="2"/>
      <c r="F145" s="64"/>
    </row>
    <row r="146" spans="1:6" x14ac:dyDescent="0.2">
      <c r="A146" s="176" t="s">
        <v>306</v>
      </c>
      <c r="B146" s="176" t="s">
        <v>542</v>
      </c>
      <c r="C146" s="179"/>
      <c r="D146" s="179"/>
      <c r="E146" s="2"/>
      <c r="F146" s="64"/>
    </row>
    <row r="147" spans="1:6" x14ac:dyDescent="0.2">
      <c r="A147" s="176" t="s">
        <v>418</v>
      </c>
      <c r="B147" s="176" t="s">
        <v>542</v>
      </c>
      <c r="C147" s="179"/>
      <c r="D147" s="179"/>
      <c r="E147" s="2"/>
      <c r="F147" s="64"/>
    </row>
    <row r="148" spans="1:6" x14ac:dyDescent="0.2">
      <c r="A148" s="179" t="s">
        <v>581</v>
      </c>
      <c r="B148" s="179" t="s">
        <v>546</v>
      </c>
      <c r="C148" s="179"/>
      <c r="D148" s="179"/>
      <c r="E148" s="2"/>
      <c r="F148" s="64"/>
    </row>
    <row r="149" spans="1:6" x14ac:dyDescent="0.2">
      <c r="A149" s="176" t="s">
        <v>309</v>
      </c>
      <c r="B149" s="176" t="s">
        <v>411</v>
      </c>
      <c r="C149" s="179"/>
      <c r="D149" s="179"/>
    </row>
    <row r="150" spans="1:6" x14ac:dyDescent="0.2">
      <c r="A150" s="176" t="s">
        <v>311</v>
      </c>
      <c r="B150" s="176" t="s">
        <v>414</v>
      </c>
    </row>
    <row r="151" spans="1:6" x14ac:dyDescent="0.2">
      <c r="A151" s="178" t="s">
        <v>312</v>
      </c>
      <c r="B151" s="176" t="s">
        <v>556</v>
      </c>
    </row>
    <row r="152" spans="1:6" x14ac:dyDescent="0.2">
      <c r="A152" s="176" t="s">
        <v>314</v>
      </c>
      <c r="B152" s="176" t="s">
        <v>413</v>
      </c>
    </row>
    <row r="153" spans="1:6" x14ac:dyDescent="0.2">
      <c r="A153">
        <f>COUNTA(A25:A152)</f>
        <v>128</v>
      </c>
    </row>
  </sheetData>
  <sortState ref="C25:K119">
    <sortCondition ref="C25:C1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"/>
  <sheetViews>
    <sheetView topLeftCell="A10" workbookViewId="0">
      <selection activeCell="A15" sqref="A15"/>
    </sheetView>
  </sheetViews>
  <sheetFormatPr baseColWidth="10" defaultRowHeight="16" x14ac:dyDescent="0.2"/>
  <cols>
    <col min="1" max="1" width="14.6640625" style="20" customWidth="1"/>
    <col min="2" max="2" width="67" style="20" customWidth="1"/>
    <col min="3" max="3" width="16" style="20" customWidth="1"/>
    <col min="4" max="4" width="17.83203125" style="20" customWidth="1"/>
    <col min="5" max="5" width="18.5" style="20" customWidth="1"/>
    <col min="6" max="6" width="19" style="20" customWidth="1"/>
    <col min="7" max="8" width="20" style="20" customWidth="1"/>
    <col min="9" max="9" width="21.33203125" style="20" customWidth="1"/>
    <col min="10" max="10" width="12.83203125" style="20" customWidth="1"/>
    <col min="11" max="12" width="11.1640625" style="20" bestFit="1" customWidth="1"/>
    <col min="13" max="13" width="10.83203125" style="20"/>
    <col min="14" max="14" width="11.33203125" style="20" bestFit="1" customWidth="1"/>
    <col min="15" max="16384" width="10.83203125" style="20"/>
  </cols>
  <sheetData>
    <row r="1" spans="1:8" x14ac:dyDescent="0.2">
      <c r="A1" s="20" t="s">
        <v>515</v>
      </c>
      <c r="G1" s="42" t="s">
        <v>510</v>
      </c>
      <c r="H1" s="42"/>
    </row>
    <row r="2" spans="1:8" x14ac:dyDescent="0.2">
      <c r="A2" t="s">
        <v>516</v>
      </c>
      <c r="B2" s="20" t="s">
        <v>459</v>
      </c>
      <c r="C2" s="20" t="s">
        <v>517</v>
      </c>
      <c r="G2" s="42" t="s">
        <v>511</v>
      </c>
      <c r="H2" s="42"/>
    </row>
    <row r="3" spans="1:8" x14ac:dyDescent="0.2">
      <c r="A3">
        <v>5</v>
      </c>
      <c r="B3" s="20" t="s">
        <v>518</v>
      </c>
    </row>
    <row r="4" spans="1:8" x14ac:dyDescent="0.2">
      <c r="A4">
        <v>6</v>
      </c>
      <c r="B4" s="20" t="s">
        <v>519</v>
      </c>
    </row>
    <row r="5" spans="1:8" x14ac:dyDescent="0.2">
      <c r="A5">
        <v>8</v>
      </c>
      <c r="B5" s="20" t="s">
        <v>520</v>
      </c>
    </row>
    <row r="6" spans="1:8" x14ac:dyDescent="0.2">
      <c r="A6">
        <v>10</v>
      </c>
      <c r="B6" s="20" t="s">
        <v>521</v>
      </c>
    </row>
    <row r="7" spans="1:8" x14ac:dyDescent="0.2">
      <c r="A7">
        <v>20</v>
      </c>
      <c r="C7" s="20" t="s">
        <v>522</v>
      </c>
    </row>
    <row r="8" spans="1:8" x14ac:dyDescent="0.2">
      <c r="A8">
        <v>22</v>
      </c>
      <c r="C8" s="20" t="s">
        <v>523</v>
      </c>
    </row>
    <row r="9" spans="1:8" x14ac:dyDescent="0.2">
      <c r="A9">
        <v>32</v>
      </c>
      <c r="C9" s="20" t="s">
        <v>520</v>
      </c>
    </row>
    <row r="10" spans="1:8" x14ac:dyDescent="0.2">
      <c r="A10">
        <v>36</v>
      </c>
      <c r="C10" s="20" t="s">
        <v>524</v>
      </c>
    </row>
    <row r="12" spans="1:8" x14ac:dyDescent="0.2">
      <c r="A12" s="43" t="s">
        <v>525</v>
      </c>
    </row>
    <row r="13" spans="1:8" x14ac:dyDescent="0.2">
      <c r="A13"/>
    </row>
    <row r="14" spans="1:8" x14ac:dyDescent="0.2">
      <c r="A14" t="s">
        <v>586</v>
      </c>
    </row>
    <row r="15" spans="1:8" x14ac:dyDescent="0.2">
      <c r="A15" t="s">
        <v>528</v>
      </c>
    </row>
    <row r="16" spans="1:8" x14ac:dyDescent="0.2">
      <c r="A16"/>
      <c r="B16" s="20" t="s">
        <v>529</v>
      </c>
    </row>
    <row r="17" spans="1:14" x14ac:dyDescent="0.2">
      <c r="A17"/>
      <c r="B17" s="20" t="s">
        <v>530</v>
      </c>
    </row>
    <row r="18" spans="1:14" x14ac:dyDescent="0.2">
      <c r="A18"/>
      <c r="B18" s="20" t="s">
        <v>531</v>
      </c>
    </row>
    <row r="19" spans="1:14" x14ac:dyDescent="0.2">
      <c r="A19" t="s">
        <v>585</v>
      </c>
    </row>
    <row r="20" spans="1:14" x14ac:dyDescent="0.2">
      <c r="A20"/>
    </row>
    <row r="21" spans="1:14" x14ac:dyDescent="0.2">
      <c r="A21" s="18" t="s">
        <v>460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">
      <c r="A22" s="18" t="s">
        <v>461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18" t="s">
        <v>462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">
      <c r="A25" s="59" t="s">
        <v>508</v>
      </c>
      <c r="B25" s="35" t="s">
        <v>463</v>
      </c>
      <c r="C25" s="37" t="s">
        <v>464</v>
      </c>
      <c r="D25" s="37" t="s">
        <v>465</v>
      </c>
      <c r="E25" s="38" t="s">
        <v>505</v>
      </c>
      <c r="F25" s="38" t="s">
        <v>506</v>
      </c>
      <c r="G25" s="38" t="s">
        <v>507</v>
      </c>
      <c r="H25" s="45" t="s">
        <v>453</v>
      </c>
      <c r="I25" s="38" t="s">
        <v>449</v>
      </c>
      <c r="J25" s="37" t="s">
        <v>466</v>
      </c>
    </row>
    <row r="26" spans="1:14" x14ac:dyDescent="0.2">
      <c r="A26" s="55">
        <v>1</v>
      </c>
      <c r="B26" s="19" t="s">
        <v>467</v>
      </c>
      <c r="C26" s="24">
        <v>10340902</v>
      </c>
      <c r="D26" s="10">
        <v>2507220</v>
      </c>
      <c r="E26" s="24">
        <v>164965</v>
      </c>
      <c r="F26" s="24">
        <v>180186</v>
      </c>
      <c r="G26" s="10">
        <v>115576</v>
      </c>
      <c r="H26" s="46">
        <f>F26+G26</f>
        <v>295762</v>
      </c>
      <c r="I26" s="24">
        <v>910875</v>
      </c>
      <c r="J26" s="24">
        <v>14219724</v>
      </c>
      <c r="K26" s="44"/>
      <c r="L26" s="44"/>
    </row>
    <row r="27" spans="1:14" x14ac:dyDescent="0.2">
      <c r="A27" s="55">
        <v>2</v>
      </c>
      <c r="B27" s="19" t="s">
        <v>468</v>
      </c>
      <c r="C27" s="10" t="s">
        <v>469</v>
      </c>
      <c r="D27" s="24" t="s">
        <v>503</v>
      </c>
      <c r="E27" s="10" t="s">
        <v>469</v>
      </c>
      <c r="F27" s="10" t="s">
        <v>469</v>
      </c>
      <c r="G27" s="24" t="s">
        <v>298</v>
      </c>
      <c r="H27" s="46"/>
      <c r="I27" s="24">
        <v>1444374</v>
      </c>
      <c r="J27" s="24">
        <v>1444374</v>
      </c>
      <c r="K27" s="44"/>
      <c r="L27" s="44"/>
    </row>
    <row r="28" spans="1:14" x14ac:dyDescent="0.2">
      <c r="A28" s="55">
        <v>3</v>
      </c>
      <c r="B28" s="19" t="s">
        <v>470</v>
      </c>
      <c r="C28" s="10" t="s">
        <v>469</v>
      </c>
      <c r="D28" s="24" t="s">
        <v>298</v>
      </c>
      <c r="E28" s="10" t="s">
        <v>469</v>
      </c>
      <c r="F28" s="24">
        <v>34883</v>
      </c>
      <c r="G28" s="10">
        <v>8917</v>
      </c>
      <c r="H28" s="46">
        <f t="shared" ref="H28:H40" si="0">F28+G28</f>
        <v>43800</v>
      </c>
      <c r="I28" s="10" t="s">
        <v>469</v>
      </c>
      <c r="J28" s="24">
        <v>43800</v>
      </c>
      <c r="K28" s="44"/>
      <c r="L28" s="44"/>
    </row>
    <row r="29" spans="1:14" x14ac:dyDescent="0.2">
      <c r="A29" s="55">
        <v>4</v>
      </c>
      <c r="B29" s="19" t="s">
        <v>471</v>
      </c>
      <c r="C29" s="24">
        <v>1353325</v>
      </c>
      <c r="D29" s="10">
        <v>594087</v>
      </c>
      <c r="E29" s="24">
        <v>133064</v>
      </c>
      <c r="F29" s="24">
        <v>2619192</v>
      </c>
      <c r="G29" s="10">
        <v>949330</v>
      </c>
      <c r="H29" s="46">
        <f t="shared" si="0"/>
        <v>3568522</v>
      </c>
      <c r="I29" s="24">
        <v>17044207</v>
      </c>
      <c r="J29" s="24">
        <v>22693205</v>
      </c>
      <c r="K29" s="44"/>
      <c r="L29" s="44"/>
    </row>
    <row r="30" spans="1:14" x14ac:dyDescent="0.2">
      <c r="A30" s="55">
        <v>5</v>
      </c>
      <c r="B30" s="55" t="s">
        <v>518</v>
      </c>
      <c r="C30" s="55"/>
      <c r="D30" s="55"/>
      <c r="E30" s="55"/>
      <c r="F30" s="55"/>
      <c r="G30" s="55"/>
      <c r="H30" s="55"/>
      <c r="I30" s="55"/>
      <c r="J30" s="55"/>
      <c r="K30" s="44"/>
      <c r="L30" s="44"/>
    </row>
    <row r="31" spans="1:14" x14ac:dyDescent="0.2">
      <c r="A31" s="55">
        <v>6</v>
      </c>
      <c r="B31" s="55" t="s">
        <v>519</v>
      </c>
      <c r="C31" s="55"/>
      <c r="D31" s="55"/>
      <c r="E31" s="55"/>
      <c r="F31" s="55"/>
      <c r="G31" s="55"/>
      <c r="H31" s="55"/>
      <c r="I31" s="55"/>
      <c r="J31" s="55"/>
      <c r="K31" s="44"/>
      <c r="L31" s="44"/>
    </row>
    <row r="32" spans="1:14" x14ac:dyDescent="0.2">
      <c r="A32" s="55">
        <v>7</v>
      </c>
      <c r="B32" s="19" t="s">
        <v>472</v>
      </c>
      <c r="C32" s="24">
        <v>1007</v>
      </c>
      <c r="D32" s="24" t="s">
        <v>298</v>
      </c>
      <c r="E32" s="10" t="s">
        <v>469</v>
      </c>
      <c r="F32" s="10" t="s">
        <v>469</v>
      </c>
      <c r="G32" s="24" t="s">
        <v>298</v>
      </c>
      <c r="H32" s="46"/>
      <c r="I32" s="24">
        <v>3536792</v>
      </c>
      <c r="J32" s="24">
        <v>3537799</v>
      </c>
      <c r="K32" s="44"/>
      <c r="L32" s="44"/>
    </row>
    <row r="33" spans="1:15" x14ac:dyDescent="0.2">
      <c r="A33" s="55">
        <v>8</v>
      </c>
      <c r="B33" s="55" t="s">
        <v>520</v>
      </c>
      <c r="C33" s="55">
        <v>8</v>
      </c>
      <c r="D33" s="55">
        <v>8</v>
      </c>
      <c r="E33" s="55">
        <v>8</v>
      </c>
      <c r="F33" s="55">
        <v>8</v>
      </c>
      <c r="G33" s="55">
        <v>8</v>
      </c>
      <c r="H33" s="55">
        <v>8</v>
      </c>
      <c r="I33" s="55">
        <v>8</v>
      </c>
      <c r="J33" s="55">
        <v>8</v>
      </c>
      <c r="K33" s="44"/>
      <c r="L33" s="44"/>
    </row>
    <row r="34" spans="1:15" x14ac:dyDescent="0.2">
      <c r="A34" s="55">
        <v>9</v>
      </c>
      <c r="B34" s="19" t="s">
        <v>473</v>
      </c>
      <c r="C34" s="24">
        <v>14928246</v>
      </c>
      <c r="D34" s="10">
        <v>4487475</v>
      </c>
      <c r="E34" s="24">
        <v>61605</v>
      </c>
      <c r="F34" s="24">
        <v>53132</v>
      </c>
      <c r="G34" s="10">
        <v>95959</v>
      </c>
      <c r="H34" s="46">
        <f t="shared" si="0"/>
        <v>149091</v>
      </c>
      <c r="I34" s="24">
        <v>2967085</v>
      </c>
      <c r="J34" s="24">
        <v>22593502</v>
      </c>
      <c r="K34" s="44"/>
      <c r="L34" s="44"/>
      <c r="M34" s="22"/>
    </row>
    <row r="35" spans="1:15" x14ac:dyDescent="0.2">
      <c r="A35" s="55">
        <v>10</v>
      </c>
      <c r="B35" s="61" t="s">
        <v>521</v>
      </c>
      <c r="C35" s="55"/>
      <c r="D35" s="55"/>
      <c r="E35" s="55"/>
      <c r="F35" s="55"/>
      <c r="G35" s="55"/>
      <c r="H35" s="55"/>
      <c r="I35" s="55"/>
      <c r="J35" s="55"/>
      <c r="K35" s="44"/>
      <c r="L35" s="44"/>
      <c r="M35" s="22"/>
    </row>
    <row r="36" spans="1:15" x14ac:dyDescent="0.2">
      <c r="A36" s="55">
        <v>11</v>
      </c>
      <c r="B36" s="19" t="s">
        <v>474</v>
      </c>
      <c r="C36" s="24">
        <v>1217936</v>
      </c>
      <c r="D36" s="10">
        <v>62088</v>
      </c>
      <c r="E36" s="24">
        <v>28838</v>
      </c>
      <c r="F36" s="24">
        <v>2736</v>
      </c>
      <c r="G36" s="10">
        <v>13726</v>
      </c>
      <c r="H36" s="46">
        <f t="shared" si="0"/>
        <v>16462</v>
      </c>
      <c r="I36" s="10" t="s">
        <v>469</v>
      </c>
      <c r="J36" s="24">
        <v>1325324</v>
      </c>
      <c r="K36" s="44"/>
      <c r="L36" s="44"/>
    </row>
    <row r="37" spans="1:15" x14ac:dyDescent="0.2">
      <c r="A37" s="55">
        <v>12</v>
      </c>
      <c r="B37" s="19" t="s">
        <v>475</v>
      </c>
      <c r="C37" s="24">
        <v>4964488</v>
      </c>
      <c r="D37" s="10">
        <v>1833964</v>
      </c>
      <c r="E37" s="24">
        <v>757772</v>
      </c>
      <c r="F37" s="24">
        <v>820154</v>
      </c>
      <c r="G37" s="10">
        <v>883473</v>
      </c>
      <c r="H37" s="46">
        <f t="shared" si="0"/>
        <v>1703627</v>
      </c>
      <c r="I37" s="24">
        <v>208713</v>
      </c>
      <c r="J37" s="24">
        <v>9468564</v>
      </c>
      <c r="K37" s="44"/>
      <c r="L37" s="44"/>
    </row>
    <row r="38" spans="1:15" x14ac:dyDescent="0.2">
      <c r="A38" s="55">
        <v>13</v>
      </c>
      <c r="B38" s="19" t="s">
        <v>476</v>
      </c>
      <c r="C38" s="10" t="s">
        <v>469</v>
      </c>
      <c r="D38" s="10">
        <v>15233</v>
      </c>
      <c r="E38" s="24">
        <v>4419</v>
      </c>
      <c r="F38" s="24">
        <v>107601</v>
      </c>
      <c r="G38" s="10">
        <v>507645</v>
      </c>
      <c r="H38" s="46">
        <f t="shared" si="0"/>
        <v>615246</v>
      </c>
      <c r="I38" s="24">
        <v>3380</v>
      </c>
      <c r="J38" s="24">
        <v>638278</v>
      </c>
      <c r="K38" s="44"/>
      <c r="L38" s="44"/>
    </row>
    <row r="39" spans="1:15" x14ac:dyDescent="0.2">
      <c r="A39" s="55">
        <v>14</v>
      </c>
      <c r="B39" s="19" t="s">
        <v>477</v>
      </c>
      <c r="C39" s="24">
        <v>360519</v>
      </c>
      <c r="D39" s="10">
        <v>150463</v>
      </c>
      <c r="E39" s="24">
        <v>46629</v>
      </c>
      <c r="F39" s="24">
        <v>2712081</v>
      </c>
      <c r="G39" s="10">
        <v>644741</v>
      </c>
      <c r="H39" s="46">
        <f t="shared" si="0"/>
        <v>3356822</v>
      </c>
      <c r="I39" s="24">
        <v>9444366</v>
      </c>
      <c r="J39" s="24">
        <v>13358799</v>
      </c>
      <c r="K39" s="44"/>
      <c r="L39" s="44"/>
    </row>
    <row r="40" spans="1:15" x14ac:dyDescent="0.2">
      <c r="A40" s="55">
        <v>15</v>
      </c>
      <c r="B40" s="19" t="s">
        <v>478</v>
      </c>
      <c r="C40" s="24">
        <v>98881</v>
      </c>
      <c r="D40" s="10">
        <v>7834</v>
      </c>
      <c r="E40" s="24">
        <v>17208</v>
      </c>
      <c r="F40" s="24">
        <v>112453</v>
      </c>
      <c r="G40" s="10">
        <v>28602</v>
      </c>
      <c r="H40" s="46">
        <f t="shared" si="0"/>
        <v>141055</v>
      </c>
      <c r="I40" s="24">
        <v>673795</v>
      </c>
      <c r="J40" s="24">
        <v>938773</v>
      </c>
      <c r="K40" s="44"/>
      <c r="L40" s="44"/>
    </row>
    <row r="41" spans="1:15" x14ac:dyDescent="0.2">
      <c r="A41" s="55">
        <v>16</v>
      </c>
      <c r="B41" s="32" t="s">
        <v>479</v>
      </c>
      <c r="C41" s="33">
        <v>33265304</v>
      </c>
      <c r="D41" s="33">
        <v>9658364</v>
      </c>
      <c r="E41" s="33">
        <v>1214500</v>
      </c>
      <c r="F41" s="33">
        <v>6642418</v>
      </c>
      <c r="G41" s="33">
        <v>3247969</v>
      </c>
      <c r="H41" s="47">
        <f>SUM(H26:H40)</f>
        <v>9890395</v>
      </c>
      <c r="I41" s="33">
        <v>36233587</v>
      </c>
      <c r="J41" s="33">
        <v>90262142</v>
      </c>
      <c r="K41" s="44"/>
      <c r="L41" s="44"/>
    </row>
    <row r="42" spans="1:15" x14ac:dyDescent="0.2">
      <c r="A42" s="55"/>
      <c r="B42" s="21" t="s">
        <v>480</v>
      </c>
      <c r="C42" s="1"/>
      <c r="D42" s="1"/>
      <c r="E42" s="1"/>
      <c r="F42" s="1"/>
      <c r="G42" s="1"/>
      <c r="H42" s="48"/>
      <c r="I42" s="1"/>
      <c r="J42" s="1"/>
      <c r="L42" s="22"/>
    </row>
    <row r="43" spans="1:15" x14ac:dyDescent="0.2">
      <c r="A43" s="55">
        <v>17</v>
      </c>
      <c r="B43" s="19" t="s">
        <v>481</v>
      </c>
      <c r="C43" s="30">
        <v>2935010</v>
      </c>
      <c r="D43" s="30">
        <v>471582</v>
      </c>
      <c r="E43" s="30">
        <v>429391</v>
      </c>
      <c r="F43" s="30">
        <v>1992941</v>
      </c>
      <c r="G43" s="30">
        <v>3988940</v>
      </c>
      <c r="H43" s="49">
        <f>F43+G43</f>
        <v>5981881</v>
      </c>
      <c r="I43" s="30">
        <v>47009</v>
      </c>
      <c r="J43" s="30">
        <v>9864873</v>
      </c>
      <c r="L43" s="22"/>
    </row>
    <row r="44" spans="1:15" x14ac:dyDescent="0.2">
      <c r="A44" s="55">
        <v>18</v>
      </c>
      <c r="B44" s="19" t="s">
        <v>470</v>
      </c>
      <c r="C44" s="24">
        <v>925000</v>
      </c>
      <c r="D44" s="24">
        <v>491500</v>
      </c>
      <c r="E44" s="24">
        <v>25000</v>
      </c>
      <c r="F44" s="24">
        <v>32633</v>
      </c>
      <c r="G44" s="24">
        <v>43022</v>
      </c>
      <c r="H44" s="49">
        <f t="shared" ref="H44:H61" si="1">F44+G44</f>
        <v>75655</v>
      </c>
      <c r="I44" s="10" t="s">
        <v>469</v>
      </c>
      <c r="J44" s="24">
        <v>1517155</v>
      </c>
      <c r="K44" s="22"/>
      <c r="M44" s="22"/>
      <c r="O44" s="22"/>
    </row>
    <row r="45" spans="1:15" x14ac:dyDescent="0.2">
      <c r="A45" s="55">
        <v>19</v>
      </c>
      <c r="B45" s="19" t="s">
        <v>482</v>
      </c>
      <c r="C45" s="24">
        <v>4510260</v>
      </c>
      <c r="D45" s="24">
        <v>2365656</v>
      </c>
      <c r="E45" s="24">
        <v>1102183</v>
      </c>
      <c r="F45" s="24">
        <v>3188964</v>
      </c>
      <c r="G45" s="24">
        <v>3482327</v>
      </c>
      <c r="H45" s="49">
        <f t="shared" si="1"/>
        <v>6671291</v>
      </c>
      <c r="I45" s="24">
        <v>19664</v>
      </c>
      <c r="J45" s="24">
        <v>14669054</v>
      </c>
      <c r="L45" s="22"/>
    </row>
    <row r="46" spans="1:15" x14ac:dyDescent="0.2">
      <c r="A46" s="55">
        <v>20</v>
      </c>
      <c r="B46" s="55" t="s">
        <v>522</v>
      </c>
      <c r="C46" s="55"/>
      <c r="D46" s="55"/>
      <c r="E46" s="55"/>
      <c r="F46" s="55"/>
      <c r="G46" s="55"/>
      <c r="H46" s="55"/>
      <c r="I46" s="55"/>
      <c r="J46" s="55"/>
      <c r="L46" s="22"/>
    </row>
    <row r="47" spans="1:15" x14ac:dyDescent="0.2">
      <c r="A47" s="55">
        <v>21</v>
      </c>
      <c r="B47" s="19" t="s">
        <v>483</v>
      </c>
      <c r="C47" s="24">
        <v>1540947</v>
      </c>
      <c r="D47" s="24">
        <v>396006</v>
      </c>
      <c r="E47" s="24">
        <v>272190</v>
      </c>
      <c r="F47" s="24">
        <v>409187</v>
      </c>
      <c r="G47" s="24">
        <v>145293</v>
      </c>
      <c r="H47" s="49">
        <f t="shared" si="1"/>
        <v>554480</v>
      </c>
      <c r="I47" s="24">
        <v>14486575</v>
      </c>
      <c r="J47" s="24">
        <v>17250198</v>
      </c>
      <c r="L47" s="22"/>
      <c r="N47" s="22"/>
    </row>
    <row r="48" spans="1:15" x14ac:dyDescent="0.2">
      <c r="A48" s="55">
        <v>22</v>
      </c>
      <c r="B48" s="55" t="s">
        <v>523</v>
      </c>
      <c r="C48" s="55"/>
      <c r="D48" s="55"/>
      <c r="E48" s="55"/>
      <c r="F48" s="55"/>
      <c r="G48" s="55"/>
      <c r="H48" s="55"/>
      <c r="I48" s="55"/>
      <c r="J48" s="55"/>
      <c r="L48" s="22"/>
      <c r="N48" s="22"/>
    </row>
    <row r="49" spans="1:15" x14ac:dyDescent="0.2">
      <c r="A49" s="55">
        <v>23</v>
      </c>
      <c r="B49" s="19" t="s">
        <v>484</v>
      </c>
      <c r="C49" s="24">
        <v>2131995</v>
      </c>
      <c r="D49" s="24">
        <v>41243</v>
      </c>
      <c r="E49" s="10" t="s">
        <v>469</v>
      </c>
      <c r="F49" s="10" t="s">
        <v>469</v>
      </c>
      <c r="G49" s="10" t="s">
        <v>469</v>
      </c>
      <c r="H49" s="49"/>
      <c r="I49" s="24">
        <v>230042</v>
      </c>
      <c r="J49" s="24">
        <v>2403280</v>
      </c>
    </row>
    <row r="50" spans="1:15" x14ac:dyDescent="0.2">
      <c r="A50" s="55">
        <v>24</v>
      </c>
      <c r="B50" s="19" t="s">
        <v>485</v>
      </c>
      <c r="C50" s="24">
        <v>447999</v>
      </c>
      <c r="D50" s="24">
        <v>116868</v>
      </c>
      <c r="E50" s="24">
        <v>101962</v>
      </c>
      <c r="F50" s="24">
        <v>164505</v>
      </c>
      <c r="G50" s="24">
        <v>223337</v>
      </c>
      <c r="H50" s="49">
        <f t="shared" si="1"/>
        <v>387842</v>
      </c>
      <c r="I50" s="24">
        <v>87912</v>
      </c>
      <c r="J50" s="24">
        <v>1142583</v>
      </c>
      <c r="L50" s="22"/>
      <c r="N50" s="22"/>
    </row>
    <row r="51" spans="1:15" x14ac:dyDescent="0.2">
      <c r="A51" s="55">
        <v>25</v>
      </c>
      <c r="B51" s="19" t="s">
        <v>486</v>
      </c>
      <c r="C51" s="24">
        <v>1493533</v>
      </c>
      <c r="D51" s="24">
        <v>543626</v>
      </c>
      <c r="E51" s="24">
        <v>412756</v>
      </c>
      <c r="F51" s="24">
        <v>1588112</v>
      </c>
      <c r="G51" s="24">
        <v>1888242</v>
      </c>
      <c r="H51" s="49">
        <f t="shared" si="1"/>
        <v>3476354</v>
      </c>
      <c r="I51" s="24">
        <v>190668</v>
      </c>
      <c r="J51" s="24">
        <v>6116937</v>
      </c>
    </row>
    <row r="52" spans="1:15" x14ac:dyDescent="0.2">
      <c r="A52" s="55">
        <v>26</v>
      </c>
      <c r="B52" s="19" t="s">
        <v>487</v>
      </c>
      <c r="C52" s="24">
        <v>1213223</v>
      </c>
      <c r="D52" s="24">
        <v>141153</v>
      </c>
      <c r="E52" s="24">
        <v>101935</v>
      </c>
      <c r="F52" s="24">
        <v>847215</v>
      </c>
      <c r="G52" s="24">
        <v>833482</v>
      </c>
      <c r="H52" s="49">
        <f t="shared" si="1"/>
        <v>1680697</v>
      </c>
      <c r="I52" s="24">
        <v>66079</v>
      </c>
      <c r="J52" s="24">
        <v>3203087</v>
      </c>
      <c r="M52" s="22"/>
      <c r="O52" s="22"/>
    </row>
    <row r="53" spans="1:15" x14ac:dyDescent="0.2">
      <c r="A53" s="55">
        <v>27</v>
      </c>
      <c r="B53" s="19" t="s">
        <v>488</v>
      </c>
      <c r="C53" s="24">
        <v>2548475</v>
      </c>
      <c r="D53" s="24">
        <v>330899</v>
      </c>
      <c r="E53" s="24">
        <v>179561</v>
      </c>
      <c r="F53" s="24">
        <v>231133</v>
      </c>
      <c r="G53" s="24">
        <v>306771</v>
      </c>
      <c r="H53" s="49">
        <f t="shared" si="1"/>
        <v>537904</v>
      </c>
      <c r="I53" s="24">
        <v>5996</v>
      </c>
      <c r="J53" s="24">
        <v>3602835</v>
      </c>
      <c r="K53" s="22"/>
      <c r="M53" s="22"/>
      <c r="O53" s="22"/>
    </row>
    <row r="54" spans="1:15" x14ac:dyDescent="0.2">
      <c r="A54" s="55">
        <v>28</v>
      </c>
      <c r="B54" s="19" t="s">
        <v>489</v>
      </c>
      <c r="C54" s="24">
        <v>1278732</v>
      </c>
      <c r="D54" s="24">
        <v>517845</v>
      </c>
      <c r="E54" s="24">
        <v>137303</v>
      </c>
      <c r="F54" s="24">
        <v>189304</v>
      </c>
      <c r="G54" s="24">
        <v>106839</v>
      </c>
      <c r="H54" s="49">
        <f t="shared" si="1"/>
        <v>296143</v>
      </c>
      <c r="I54" s="24">
        <v>1941592</v>
      </c>
      <c r="J54" s="24">
        <v>4171615</v>
      </c>
    </row>
    <row r="55" spans="1:15" x14ac:dyDescent="0.2">
      <c r="A55" s="55">
        <v>29</v>
      </c>
      <c r="B55" s="19" t="s">
        <v>476</v>
      </c>
      <c r="C55" s="10" t="s">
        <v>469</v>
      </c>
      <c r="D55" s="10" t="s">
        <v>469</v>
      </c>
      <c r="E55" s="10" t="s">
        <v>469</v>
      </c>
      <c r="F55" s="24">
        <v>76849</v>
      </c>
      <c r="G55" s="24">
        <v>254490</v>
      </c>
      <c r="H55" s="49">
        <f t="shared" si="1"/>
        <v>331339</v>
      </c>
      <c r="I55" s="24">
        <v>18537</v>
      </c>
      <c r="J55" s="24">
        <v>349876</v>
      </c>
      <c r="L55" s="22"/>
    </row>
    <row r="56" spans="1:15" x14ac:dyDescent="0.2">
      <c r="A56" s="55">
        <v>30</v>
      </c>
      <c r="B56" s="19" t="s">
        <v>490</v>
      </c>
      <c r="C56" s="24">
        <v>108972</v>
      </c>
      <c r="D56" s="24">
        <v>49235</v>
      </c>
      <c r="E56" s="24">
        <v>8760</v>
      </c>
      <c r="F56" s="24">
        <v>328129</v>
      </c>
      <c r="G56" s="24">
        <v>202707</v>
      </c>
      <c r="H56" s="49">
        <f t="shared" si="1"/>
        <v>530836</v>
      </c>
      <c r="I56" s="24">
        <v>3748337</v>
      </c>
      <c r="J56" s="24">
        <v>4446140</v>
      </c>
      <c r="K56" s="22"/>
      <c r="M56" s="22"/>
    </row>
    <row r="57" spans="1:15" x14ac:dyDescent="0.2">
      <c r="A57" s="55">
        <v>31</v>
      </c>
      <c r="B57" s="19" t="s">
        <v>491</v>
      </c>
      <c r="C57" s="24">
        <v>14497</v>
      </c>
      <c r="D57" s="24">
        <v>1044</v>
      </c>
      <c r="E57" s="24">
        <v>14803</v>
      </c>
      <c r="F57" s="10" t="s">
        <v>469</v>
      </c>
      <c r="G57" s="10" t="s">
        <v>469</v>
      </c>
      <c r="H57" s="49"/>
      <c r="I57" s="24">
        <v>118868</v>
      </c>
      <c r="J57" s="24">
        <v>149212</v>
      </c>
      <c r="L57" s="22"/>
    </row>
    <row r="58" spans="1:15" x14ac:dyDescent="0.2">
      <c r="A58" s="55">
        <v>32</v>
      </c>
      <c r="B58" s="55" t="s">
        <v>520</v>
      </c>
      <c r="C58" s="62"/>
      <c r="D58" s="62"/>
      <c r="E58" s="62"/>
      <c r="F58" s="46"/>
      <c r="G58" s="46"/>
      <c r="H58" s="49"/>
      <c r="I58" s="62"/>
      <c r="J58" s="62"/>
      <c r="L58" s="22"/>
    </row>
    <row r="59" spans="1:15" x14ac:dyDescent="0.2">
      <c r="A59" s="55">
        <v>33</v>
      </c>
      <c r="B59" s="19" t="s">
        <v>492</v>
      </c>
      <c r="C59" s="24">
        <v>223655</v>
      </c>
      <c r="D59" s="24">
        <v>12529</v>
      </c>
      <c r="E59" s="24">
        <v>19140</v>
      </c>
      <c r="F59" s="24">
        <v>265003</v>
      </c>
      <c r="G59" s="24">
        <v>294428</v>
      </c>
      <c r="H59" s="49">
        <f t="shared" si="1"/>
        <v>559431</v>
      </c>
      <c r="I59" s="24">
        <v>614761</v>
      </c>
      <c r="J59" s="24">
        <v>1429516</v>
      </c>
      <c r="K59" s="22"/>
      <c r="M59" s="22"/>
    </row>
    <row r="60" spans="1:15" x14ac:dyDescent="0.2">
      <c r="A60" s="55">
        <v>34</v>
      </c>
      <c r="B60" s="19" t="s">
        <v>493</v>
      </c>
      <c r="C60" s="24">
        <v>920</v>
      </c>
      <c r="D60" s="24">
        <v>250</v>
      </c>
      <c r="E60" s="24">
        <v>787</v>
      </c>
      <c r="F60" s="24">
        <v>13625</v>
      </c>
      <c r="G60" s="24">
        <v>18115</v>
      </c>
      <c r="H60" s="49">
        <f t="shared" si="1"/>
        <v>31740</v>
      </c>
      <c r="I60" s="24">
        <v>15398</v>
      </c>
      <c r="J60" s="24">
        <v>49095</v>
      </c>
      <c r="L60" s="22"/>
    </row>
    <row r="61" spans="1:15" x14ac:dyDescent="0.2">
      <c r="A61" s="55">
        <v>35</v>
      </c>
      <c r="B61" s="19" t="s">
        <v>494</v>
      </c>
      <c r="C61" s="24">
        <v>823693</v>
      </c>
      <c r="D61" s="24">
        <v>225423</v>
      </c>
      <c r="E61" s="24">
        <v>143470</v>
      </c>
      <c r="F61" s="24">
        <v>112470</v>
      </c>
      <c r="G61" s="24">
        <v>169386</v>
      </c>
      <c r="H61" s="49">
        <f t="shared" si="1"/>
        <v>281856</v>
      </c>
      <c r="I61" s="24">
        <v>1122886</v>
      </c>
      <c r="J61" s="24">
        <v>2597328</v>
      </c>
    </row>
    <row r="62" spans="1:15" x14ac:dyDescent="0.2">
      <c r="A62" s="55">
        <v>36</v>
      </c>
      <c r="B62" s="55" t="s">
        <v>524</v>
      </c>
      <c r="C62" s="57">
        <f t="shared" ref="C62:J62" si="2">SUM(C43:C61)</f>
        <v>20196911</v>
      </c>
      <c r="D62" s="57">
        <f t="shared" si="2"/>
        <v>5704859</v>
      </c>
      <c r="E62" s="57">
        <f t="shared" si="2"/>
        <v>2949241</v>
      </c>
      <c r="F62" s="57">
        <f t="shared" si="2"/>
        <v>9440070</v>
      </c>
      <c r="G62" s="57">
        <f t="shared" si="2"/>
        <v>11957379</v>
      </c>
      <c r="H62" s="57">
        <f t="shared" si="2"/>
        <v>21397449</v>
      </c>
      <c r="I62" s="57">
        <f t="shared" si="2"/>
        <v>22714324</v>
      </c>
      <c r="J62" s="57">
        <f t="shared" si="2"/>
        <v>72962784</v>
      </c>
    </row>
    <row r="63" spans="1:15" x14ac:dyDescent="0.2">
      <c r="A63" s="55">
        <v>37</v>
      </c>
      <c r="B63" s="19" t="s">
        <v>495</v>
      </c>
      <c r="C63" s="25">
        <v>1980005</v>
      </c>
      <c r="D63" s="25">
        <v>582501</v>
      </c>
      <c r="E63" s="25">
        <v>50450</v>
      </c>
      <c r="F63" s="25">
        <v>46621</v>
      </c>
      <c r="G63" s="25">
        <v>76594</v>
      </c>
      <c r="H63" s="49">
        <f>F63+G63</f>
        <v>123215</v>
      </c>
      <c r="I63" s="25">
        <v>747316</v>
      </c>
      <c r="J63" s="24">
        <v>3483487</v>
      </c>
      <c r="L63" s="22"/>
      <c r="N63" s="22"/>
    </row>
    <row r="64" spans="1:15" x14ac:dyDescent="0.2">
      <c r="A64" s="55">
        <v>38</v>
      </c>
      <c r="B64" s="32" t="s">
        <v>496</v>
      </c>
      <c r="C64" s="27">
        <v>22176916</v>
      </c>
      <c r="D64" s="27">
        <v>6287360</v>
      </c>
      <c r="E64" s="27">
        <v>2999691</v>
      </c>
      <c r="F64" s="27">
        <v>9486691</v>
      </c>
      <c r="G64" s="27">
        <v>12033973</v>
      </c>
      <c r="H64" s="50">
        <f>SUM(H62:H63)</f>
        <v>21520664</v>
      </c>
      <c r="I64" s="27">
        <v>23461640</v>
      </c>
      <c r="J64" s="33">
        <v>76446271</v>
      </c>
      <c r="K64" s="44"/>
      <c r="L64" s="44"/>
    </row>
    <row r="65" spans="1:15" x14ac:dyDescent="0.2">
      <c r="A65" s="55"/>
      <c r="B65" s="39" t="s">
        <v>497</v>
      </c>
      <c r="C65" s="28" t="s">
        <v>469</v>
      </c>
      <c r="D65" s="28" t="s">
        <v>469</v>
      </c>
      <c r="E65" s="28" t="s">
        <v>469</v>
      </c>
      <c r="F65" s="29">
        <v>-105151</v>
      </c>
      <c r="G65" s="29">
        <v>-44173</v>
      </c>
      <c r="H65" s="51">
        <f>F65+G65</f>
        <v>-149324</v>
      </c>
      <c r="I65" s="29">
        <v>-556774</v>
      </c>
      <c r="J65" s="36">
        <v>-706098</v>
      </c>
      <c r="L65" s="22"/>
      <c r="N65" s="22"/>
    </row>
    <row r="66" spans="1:15" x14ac:dyDescent="0.2">
      <c r="A66" s="55"/>
      <c r="B66" s="19" t="s">
        <v>498</v>
      </c>
      <c r="C66" s="24">
        <v>-10943653</v>
      </c>
      <c r="D66" s="10" t="s">
        <v>469</v>
      </c>
      <c r="E66" s="10" t="s">
        <v>469</v>
      </c>
      <c r="F66" s="10" t="s">
        <v>469</v>
      </c>
      <c r="G66" s="10" t="s">
        <v>469</v>
      </c>
      <c r="H66" s="51"/>
      <c r="I66" s="24">
        <v>-5219532</v>
      </c>
      <c r="J66" s="24">
        <v>-16163185</v>
      </c>
    </row>
    <row r="67" spans="1:15" x14ac:dyDescent="0.2">
      <c r="A67" s="55"/>
      <c r="B67" s="19" t="s">
        <v>499</v>
      </c>
      <c r="C67" s="26" t="s">
        <v>469</v>
      </c>
      <c r="D67" s="25">
        <v>-144840</v>
      </c>
      <c r="E67" s="26" t="s">
        <v>469</v>
      </c>
      <c r="F67" s="25">
        <v>10201</v>
      </c>
      <c r="G67" s="26" t="s">
        <v>469</v>
      </c>
      <c r="H67" s="51"/>
      <c r="I67" s="25">
        <v>-141317</v>
      </c>
      <c r="J67" s="24">
        <v>-275956</v>
      </c>
      <c r="K67" s="22"/>
      <c r="M67" s="22"/>
    </row>
    <row r="68" spans="1:15" x14ac:dyDescent="0.2">
      <c r="A68" s="60" t="s">
        <v>419</v>
      </c>
      <c r="B68" s="32" t="s">
        <v>500</v>
      </c>
      <c r="C68" s="27">
        <v>144735</v>
      </c>
      <c r="D68" s="27">
        <v>3226164</v>
      </c>
      <c r="E68" s="27">
        <v>-1785191</v>
      </c>
      <c r="F68" s="27">
        <v>-2939223</v>
      </c>
      <c r="G68" s="27">
        <v>-8830177</v>
      </c>
      <c r="H68" s="52">
        <f>H41-H64+H65</f>
        <v>-11779593</v>
      </c>
      <c r="I68" s="27">
        <v>6854324</v>
      </c>
      <c r="J68" s="33">
        <v>-3329368</v>
      </c>
      <c r="L68" s="22"/>
    </row>
    <row r="69" spans="1:15" x14ac:dyDescent="0.2">
      <c r="A69" s="55"/>
      <c r="B69" s="19" t="s">
        <v>501</v>
      </c>
      <c r="C69" s="11"/>
      <c r="D69" s="11"/>
      <c r="E69" s="11"/>
      <c r="F69" s="11"/>
      <c r="G69" s="11"/>
      <c r="H69" s="53"/>
      <c r="I69" s="11"/>
      <c r="J69" s="11">
        <v>10083633</v>
      </c>
      <c r="L69" s="22"/>
      <c r="N69" s="22"/>
    </row>
    <row r="70" spans="1:15" x14ac:dyDescent="0.2">
      <c r="A70" s="55"/>
      <c r="B70" s="31" t="s">
        <v>504</v>
      </c>
      <c r="C70" s="34"/>
      <c r="D70" s="34"/>
      <c r="E70" s="34"/>
      <c r="F70" s="34"/>
      <c r="G70" s="34"/>
      <c r="H70" s="54"/>
      <c r="I70" s="34"/>
      <c r="J70" s="34">
        <v>6754265</v>
      </c>
      <c r="K70" s="22"/>
    </row>
    <row r="71" spans="1:15" x14ac:dyDescent="0.2">
      <c r="E71" s="22"/>
      <c r="H71" s="55"/>
      <c r="I71" s="22"/>
      <c r="J71" s="22"/>
    </row>
    <row r="72" spans="1:15" x14ac:dyDescent="0.2">
      <c r="A72" s="19" t="s">
        <v>502</v>
      </c>
      <c r="H72" s="55"/>
      <c r="K72" s="22"/>
      <c r="M72" s="22"/>
      <c r="O72" s="22"/>
    </row>
    <row r="73" spans="1:15" x14ac:dyDescent="0.2">
      <c r="B73" s="23"/>
      <c r="C73" s="23"/>
      <c r="D73" s="23"/>
      <c r="E73" s="23"/>
      <c r="F73" s="23"/>
      <c r="G73" s="23"/>
      <c r="H73" s="56"/>
      <c r="I73" s="23"/>
    </row>
    <row r="74" spans="1:15" x14ac:dyDescent="0.2">
      <c r="A74" s="13" t="s">
        <v>419</v>
      </c>
      <c r="B74" s="23" t="s">
        <v>527</v>
      </c>
      <c r="C74" s="44">
        <f>C41-C64+C66</f>
        <v>144735</v>
      </c>
      <c r="D74" s="44">
        <f>D41-D64+D67</f>
        <v>3226164</v>
      </c>
      <c r="E74" s="44">
        <f>E41-E64</f>
        <v>-1785191</v>
      </c>
      <c r="F74" s="44">
        <f>F41-F64+F65+F67</f>
        <v>-2939223</v>
      </c>
      <c r="G74" s="44">
        <f>G41-G64+G65</f>
        <v>-8830177</v>
      </c>
      <c r="H74" s="58">
        <f>H68</f>
        <v>-11779593</v>
      </c>
      <c r="I74" s="44">
        <f>I41-I64+I65+I66+I67</f>
        <v>6854324</v>
      </c>
      <c r="J74" s="44">
        <f>J41-J64+J65+J66+J67</f>
        <v>-3329368</v>
      </c>
    </row>
    <row r="75" spans="1:15" x14ac:dyDescent="0.2">
      <c r="A75" s="60" t="s">
        <v>419</v>
      </c>
      <c r="B75" s="56" t="s">
        <v>526</v>
      </c>
      <c r="C75" s="57">
        <f t="shared" ref="C75:J75" si="3">C41-C64</f>
        <v>11088388</v>
      </c>
      <c r="D75" s="57">
        <f t="shared" si="3"/>
        <v>3371004</v>
      </c>
      <c r="E75" s="57">
        <f t="shared" si="3"/>
        <v>-1785191</v>
      </c>
      <c r="F75" s="57">
        <f t="shared" si="3"/>
        <v>-2844273</v>
      </c>
      <c r="G75" s="57">
        <f t="shared" si="3"/>
        <v>-8786004</v>
      </c>
      <c r="H75" s="57">
        <f t="shared" si="3"/>
        <v>-11630269</v>
      </c>
      <c r="I75" s="57">
        <f t="shared" si="3"/>
        <v>12771947</v>
      </c>
      <c r="J75" s="57">
        <f t="shared" si="3"/>
        <v>13815871</v>
      </c>
    </row>
    <row r="76" spans="1:15" x14ac:dyDescent="0.2">
      <c r="C76" s="44"/>
      <c r="D76" s="44"/>
      <c r="E76" s="44"/>
      <c r="F76" s="44"/>
      <c r="G76" s="44"/>
      <c r="H76" s="44"/>
      <c r="I76" s="44"/>
      <c r="J76" s="44"/>
    </row>
    <row r="77" spans="1:15" x14ac:dyDescent="0.2">
      <c r="C77" s="44">
        <f>C62+C63</f>
        <v>22176916</v>
      </c>
      <c r="D77" s="44">
        <f t="shared" ref="D77:J77" si="4">D62+D63</f>
        <v>6287360</v>
      </c>
      <c r="E77" s="44">
        <f t="shared" si="4"/>
        <v>2999691</v>
      </c>
      <c r="F77" s="44">
        <f t="shared" si="4"/>
        <v>9486691</v>
      </c>
      <c r="G77" s="44">
        <f t="shared" si="4"/>
        <v>12033973</v>
      </c>
      <c r="H77" s="44">
        <f t="shared" si="4"/>
        <v>21520664</v>
      </c>
      <c r="I77" s="44">
        <f t="shared" si="4"/>
        <v>23461640</v>
      </c>
      <c r="J77" s="44">
        <f t="shared" si="4"/>
        <v>76446271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M20" sqref="M20"/>
    </sheetView>
  </sheetViews>
  <sheetFormatPr baseColWidth="10" defaultRowHeight="16" x14ac:dyDescent="0.2"/>
  <sheetData>
    <row r="1" spans="1:12" x14ac:dyDescent="0.2">
      <c r="A1" t="s">
        <v>454</v>
      </c>
    </row>
    <row r="2" spans="1:12" x14ac:dyDescent="0.2">
      <c r="A2" t="s">
        <v>455</v>
      </c>
    </row>
    <row r="3" spans="1:12" x14ac:dyDescent="0.2">
      <c r="A3" t="s">
        <v>456</v>
      </c>
    </row>
    <row r="4" spans="1:12" x14ac:dyDescent="0.2">
      <c r="A4" t="s">
        <v>457</v>
      </c>
    </row>
    <row r="6" spans="1:12" x14ac:dyDescent="0.2">
      <c r="A6" t="s">
        <v>458</v>
      </c>
    </row>
    <row r="7" spans="1:12" x14ac:dyDescent="0.2"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</row>
    <row r="8" spans="1:12" x14ac:dyDescent="0.2">
      <c r="F8" t="s">
        <v>104</v>
      </c>
      <c r="G8" t="s">
        <v>105</v>
      </c>
      <c r="H8" t="s">
        <v>106</v>
      </c>
      <c r="I8" t="s">
        <v>107</v>
      </c>
      <c r="J8" t="s">
        <v>108</v>
      </c>
      <c r="K8" t="s">
        <v>109</v>
      </c>
    </row>
    <row r="9" spans="1:12" x14ac:dyDescent="0.2">
      <c r="A9" t="s">
        <v>321</v>
      </c>
      <c r="B9" s="16">
        <v>145637</v>
      </c>
      <c r="C9">
        <v>2014</v>
      </c>
      <c r="D9">
        <v>1</v>
      </c>
      <c r="E9" t="s">
        <v>313</v>
      </c>
      <c r="F9" s="9">
        <v>684153</v>
      </c>
      <c r="G9" s="9">
        <v>925431</v>
      </c>
      <c r="H9" s="9">
        <v>34738</v>
      </c>
      <c r="I9" s="9">
        <v>34738</v>
      </c>
      <c r="J9" t="s">
        <v>410</v>
      </c>
      <c r="K9" s="9">
        <v>1676715</v>
      </c>
      <c r="L9" t="s">
        <v>512</v>
      </c>
    </row>
    <row r="10" spans="1:12" x14ac:dyDescent="0.2">
      <c r="A10" t="s">
        <v>321</v>
      </c>
      <c r="B10" s="16">
        <v>145637</v>
      </c>
      <c r="C10">
        <v>2014</v>
      </c>
      <c r="D10">
        <v>1</v>
      </c>
      <c r="E10" t="s">
        <v>313</v>
      </c>
      <c r="F10" s="9">
        <v>684153</v>
      </c>
      <c r="G10" s="9">
        <v>925431</v>
      </c>
      <c r="H10" s="9">
        <v>34738</v>
      </c>
      <c r="I10" s="9">
        <v>34738</v>
      </c>
      <c r="J10" t="s">
        <v>514</v>
      </c>
      <c r="K10" s="9">
        <f>SUM(F10:J10)</f>
        <v>1679060</v>
      </c>
      <c r="L10" t="s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95"/>
  <sheetViews>
    <sheetView workbookViewId="0">
      <selection activeCell="N1" sqref="N1"/>
    </sheetView>
  </sheetViews>
  <sheetFormatPr baseColWidth="10" defaultRowHeight="16" x14ac:dyDescent="0.2"/>
  <cols>
    <col min="1" max="1" width="20.33203125" customWidth="1"/>
    <col min="2" max="2" width="12.83203125" customWidth="1"/>
    <col min="3" max="3" width="11.5" customWidth="1"/>
    <col min="4" max="4" width="12.6640625" bestFit="1" customWidth="1"/>
    <col min="5" max="5" width="11.83203125" customWidth="1"/>
    <col min="6" max="6" width="10.1640625" bestFit="1" customWidth="1"/>
    <col min="7" max="7" width="11" customWidth="1"/>
    <col min="8" max="8" width="10" bestFit="1" customWidth="1"/>
    <col min="9" max="9" width="12.83203125" bestFit="1" customWidth="1"/>
    <col min="10" max="10" width="15.1640625" bestFit="1" customWidth="1"/>
    <col min="11" max="11" width="17.83203125" bestFit="1" customWidth="1"/>
    <col min="12" max="12" width="12" bestFit="1" customWidth="1"/>
    <col min="13" max="13" width="14.6640625" bestFit="1" customWidth="1"/>
    <col min="14" max="14" width="11.33203125" customWidth="1"/>
    <col min="15" max="15" width="10.5" customWidth="1"/>
    <col min="16" max="16" width="11" bestFit="1" customWidth="1"/>
    <col min="17" max="17" width="13.83203125" bestFit="1" customWidth="1"/>
    <col min="18" max="18" width="13.6640625" customWidth="1"/>
    <col min="19" max="19" width="18.6640625" customWidth="1"/>
    <col min="20" max="20" width="13.33203125" customWidth="1"/>
  </cols>
  <sheetData>
    <row r="1" spans="1:20" x14ac:dyDescent="0.2">
      <c r="A1" t="s">
        <v>509</v>
      </c>
    </row>
    <row r="2" spans="1:20" x14ac:dyDescent="0.2">
      <c r="A2" t="s">
        <v>510</v>
      </c>
      <c r="B2" s="3"/>
      <c r="C2" s="3"/>
      <c r="D2" s="3"/>
      <c r="F2" s="3"/>
      <c r="G2" s="3"/>
      <c r="J2" s="3"/>
      <c r="K2" s="3"/>
    </row>
    <row r="3" spans="1:20" x14ac:dyDescent="0.2">
      <c r="A3" t="s">
        <v>511</v>
      </c>
      <c r="B3" s="3"/>
      <c r="C3" s="3"/>
      <c r="D3" s="3"/>
      <c r="F3" s="3"/>
      <c r="G3" s="3"/>
      <c r="J3" s="3"/>
      <c r="K3" s="3"/>
    </row>
    <row r="4" spans="1:20" x14ac:dyDescent="0.2">
      <c r="B4" s="3"/>
      <c r="C4" s="3"/>
      <c r="D4" s="3"/>
      <c r="F4" s="3"/>
      <c r="G4" s="3"/>
      <c r="J4" s="3"/>
      <c r="K4" s="3"/>
    </row>
    <row r="5" spans="1:20" x14ac:dyDescent="0.2">
      <c r="A5" t="s">
        <v>429</v>
      </c>
      <c r="B5" s="3"/>
      <c r="C5" s="3"/>
      <c r="D5" s="3"/>
      <c r="F5" s="3"/>
      <c r="G5" s="3"/>
      <c r="J5" s="3"/>
      <c r="K5" s="3"/>
    </row>
    <row r="6" spans="1:20" x14ac:dyDescent="0.2">
      <c r="A6" s="14" t="s">
        <v>430</v>
      </c>
      <c r="B6" s="15" t="s">
        <v>432</v>
      </c>
      <c r="C6" s="15" t="s">
        <v>436</v>
      </c>
      <c r="D6" s="15" t="s">
        <v>437</v>
      </c>
      <c r="E6" s="14" t="s">
        <v>433</v>
      </c>
      <c r="F6" s="15" t="s">
        <v>434</v>
      </c>
      <c r="G6" s="15" t="s">
        <v>435</v>
      </c>
      <c r="H6" s="15" t="s">
        <v>438</v>
      </c>
      <c r="I6" s="15" t="s">
        <v>439</v>
      </c>
      <c r="J6" s="15" t="s">
        <v>440</v>
      </c>
      <c r="K6" s="15" t="s">
        <v>441</v>
      </c>
      <c r="L6" s="15" t="s">
        <v>442</v>
      </c>
      <c r="M6" s="15" t="s">
        <v>443</v>
      </c>
      <c r="N6" s="15" t="s">
        <v>444</v>
      </c>
      <c r="O6" s="15" t="s">
        <v>445</v>
      </c>
      <c r="P6" s="15" t="s">
        <v>446</v>
      </c>
      <c r="Q6" s="15" t="s">
        <v>447</v>
      </c>
      <c r="R6" s="40" t="s">
        <v>453</v>
      </c>
      <c r="S6" s="15" t="s">
        <v>449</v>
      </c>
      <c r="T6" s="15" t="s">
        <v>448</v>
      </c>
    </row>
    <row r="7" spans="1:20" x14ac:dyDescent="0.2">
      <c r="A7">
        <v>1</v>
      </c>
      <c r="B7" s="12">
        <v>34089405</v>
      </c>
      <c r="C7" s="12">
        <v>3107303</v>
      </c>
      <c r="D7" s="12">
        <v>267243</v>
      </c>
      <c r="E7" s="12">
        <v>217865</v>
      </c>
      <c r="F7" s="12">
        <v>987150</v>
      </c>
      <c r="G7" s="12">
        <v>71903</v>
      </c>
      <c r="H7" s="12"/>
      <c r="I7" s="12"/>
      <c r="J7" s="12"/>
      <c r="K7" s="12">
        <v>-4094</v>
      </c>
      <c r="L7" s="12">
        <v>-299</v>
      </c>
      <c r="M7" s="12">
        <v>-244</v>
      </c>
      <c r="N7" s="12"/>
      <c r="O7" s="12">
        <v>25397</v>
      </c>
      <c r="P7" s="12">
        <v>71192</v>
      </c>
      <c r="Q7" s="12">
        <v>80528</v>
      </c>
      <c r="R7" s="41">
        <f>SUM(E7:Q7)</f>
        <v>1449398</v>
      </c>
      <c r="S7" s="12">
        <v>14742050</v>
      </c>
      <c r="T7" s="12">
        <f>SUM(B7:Q7,S7)</f>
        <v>53655399</v>
      </c>
    </row>
    <row r="8" spans="1:20" x14ac:dyDescent="0.2">
      <c r="A8">
        <f>1+A7</f>
        <v>2</v>
      </c>
      <c r="B8" s="12" t="s">
        <v>298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1">
        <f t="shared" ref="R8:R46" si="0">SUM(E8:Q8)</f>
        <v>0</v>
      </c>
      <c r="S8" s="12"/>
      <c r="T8" s="12">
        <f t="shared" ref="T8:T46" si="1">SUM(B8:Q8,S8)</f>
        <v>0</v>
      </c>
    </row>
    <row r="9" spans="1:20" x14ac:dyDescent="0.2">
      <c r="A9">
        <f t="shared" ref="A9:A22" si="2">1+A8</f>
        <v>3</v>
      </c>
      <c r="B9" s="12">
        <v>450000</v>
      </c>
      <c r="C9" s="12"/>
      <c r="D9" s="12"/>
      <c r="E9" s="12">
        <v>4000</v>
      </c>
      <c r="F9" s="12"/>
      <c r="G9" s="12"/>
      <c r="H9" s="12"/>
      <c r="I9" s="12"/>
      <c r="J9" s="12"/>
      <c r="K9" s="12"/>
      <c r="L9" s="12"/>
      <c r="M9" s="12"/>
      <c r="N9" s="12"/>
      <c r="O9" s="12">
        <v>1500</v>
      </c>
      <c r="P9" s="12"/>
      <c r="Q9" s="12"/>
      <c r="R9" s="41">
        <f t="shared" si="0"/>
        <v>5500</v>
      </c>
      <c r="S9" s="12"/>
      <c r="T9" s="12">
        <f t="shared" si="1"/>
        <v>455500</v>
      </c>
    </row>
    <row r="10" spans="1:20" x14ac:dyDescent="0.2">
      <c r="A10">
        <f t="shared" si="2"/>
        <v>4</v>
      </c>
      <c r="B10" s="12">
        <v>30921120</v>
      </c>
      <c r="C10" s="12">
        <v>3194884</v>
      </c>
      <c r="D10" s="12">
        <v>482409</v>
      </c>
      <c r="E10" s="12">
        <v>164730</v>
      </c>
      <c r="F10" s="12">
        <v>2259882</v>
      </c>
      <c r="G10" s="12">
        <v>141050</v>
      </c>
      <c r="H10" s="12">
        <v>37235</v>
      </c>
      <c r="I10" s="12">
        <v>36900</v>
      </c>
      <c r="J10" s="12">
        <v>39276</v>
      </c>
      <c r="K10" s="12">
        <v>35844</v>
      </c>
      <c r="L10" s="12">
        <v>37775</v>
      </c>
      <c r="M10" s="12">
        <v>35257</v>
      </c>
      <c r="N10" s="12">
        <v>35589</v>
      </c>
      <c r="O10" s="12">
        <v>35971</v>
      </c>
      <c r="P10" s="12">
        <v>37313</v>
      </c>
      <c r="Q10" s="12">
        <v>35345</v>
      </c>
      <c r="R10" s="41">
        <f t="shared" si="0"/>
        <v>2932167</v>
      </c>
      <c r="S10" s="12">
        <v>102450</v>
      </c>
      <c r="T10" s="12">
        <f t="shared" si="1"/>
        <v>37633030</v>
      </c>
    </row>
    <row r="11" spans="1:20" x14ac:dyDescent="0.2">
      <c r="A11">
        <f t="shared" si="2"/>
        <v>5</v>
      </c>
      <c r="B11" s="12" t="s">
        <v>298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1"/>
      <c r="S11" s="12"/>
      <c r="T11" s="12"/>
    </row>
    <row r="12" spans="1:20" x14ac:dyDescent="0.2">
      <c r="A12">
        <f t="shared" si="2"/>
        <v>6</v>
      </c>
      <c r="B12" s="12" t="s">
        <v>298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1"/>
      <c r="S12" s="12"/>
      <c r="T12" s="12"/>
    </row>
    <row r="13" spans="1:20" x14ac:dyDescent="0.2">
      <c r="A13">
        <f t="shared" si="2"/>
        <v>7</v>
      </c>
      <c r="B13" s="12" t="s">
        <v>298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1"/>
      <c r="S13" s="12"/>
      <c r="T13" s="12"/>
    </row>
    <row r="14" spans="1:20" x14ac:dyDescent="0.2">
      <c r="A14">
        <f t="shared" si="2"/>
        <v>8</v>
      </c>
      <c r="B14" s="12" t="s">
        <v>298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1"/>
      <c r="S14" s="12"/>
      <c r="T14" s="12"/>
    </row>
    <row r="15" spans="1:20" x14ac:dyDescent="0.2">
      <c r="A15">
        <f t="shared" si="2"/>
        <v>9</v>
      </c>
      <c r="B15" s="12">
        <v>17098014</v>
      </c>
      <c r="C15" s="12">
        <v>5348019</v>
      </c>
      <c r="D15" s="12">
        <v>179616</v>
      </c>
      <c r="E15" s="12">
        <v>133057</v>
      </c>
      <c r="F15" s="12">
        <v>121486</v>
      </c>
      <c r="G15" s="12">
        <v>78058</v>
      </c>
      <c r="H15" s="12">
        <v>35263</v>
      </c>
      <c r="I15" s="12">
        <v>43501</v>
      </c>
      <c r="J15" s="12">
        <v>144062</v>
      </c>
      <c r="K15" s="12">
        <v>167249</v>
      </c>
      <c r="L15" s="12">
        <v>43598</v>
      </c>
      <c r="M15" s="12">
        <v>58757</v>
      </c>
      <c r="N15" s="12">
        <v>127248</v>
      </c>
      <c r="O15" s="12">
        <v>93802</v>
      </c>
      <c r="P15" s="12">
        <v>109092</v>
      </c>
      <c r="Q15" s="12">
        <v>134108</v>
      </c>
      <c r="R15" s="41">
        <f t="shared" si="0"/>
        <v>1289281</v>
      </c>
      <c r="S15" s="12"/>
      <c r="T15" s="12">
        <f t="shared" si="1"/>
        <v>23914930</v>
      </c>
    </row>
    <row r="16" spans="1:20" x14ac:dyDescent="0.2">
      <c r="A16">
        <f t="shared" si="2"/>
        <v>10</v>
      </c>
      <c r="B16" s="12">
        <v>26422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1"/>
      <c r="S16" s="12"/>
      <c r="T16" s="12">
        <f t="shared" si="1"/>
        <v>26422</v>
      </c>
    </row>
    <row r="17" spans="1:20" x14ac:dyDescent="0.2">
      <c r="A17">
        <f t="shared" si="2"/>
        <v>11</v>
      </c>
      <c r="B17" s="12">
        <v>2573665</v>
      </c>
      <c r="C17" s="12">
        <v>403123</v>
      </c>
      <c r="D17" s="12">
        <v>98148</v>
      </c>
      <c r="E17" s="12">
        <v>72009</v>
      </c>
      <c r="F17" s="12">
        <v>344870</v>
      </c>
      <c r="G17" s="12">
        <v>49205</v>
      </c>
      <c r="H17" s="12">
        <v>5100</v>
      </c>
      <c r="I17" s="12">
        <v>5100</v>
      </c>
      <c r="J17" s="12">
        <v>3542</v>
      </c>
      <c r="K17" s="12">
        <v>3542</v>
      </c>
      <c r="L17" s="12">
        <v>4083</v>
      </c>
      <c r="M17" s="12">
        <v>4083</v>
      </c>
      <c r="N17" s="12">
        <v>3400</v>
      </c>
      <c r="O17" s="12">
        <v>25345</v>
      </c>
      <c r="P17" s="12">
        <v>29200</v>
      </c>
      <c r="Q17" s="12">
        <v>31357</v>
      </c>
      <c r="R17" s="41">
        <f t="shared" si="0"/>
        <v>580836</v>
      </c>
      <c r="S17" s="12">
        <v>1169528</v>
      </c>
      <c r="T17" s="12">
        <f t="shared" si="1"/>
        <v>4825300</v>
      </c>
    </row>
    <row r="18" spans="1:20" x14ac:dyDescent="0.2">
      <c r="A18">
        <f t="shared" si="2"/>
        <v>12</v>
      </c>
      <c r="B18" s="12">
        <v>25550017</v>
      </c>
      <c r="C18" s="12">
        <v>2468798</v>
      </c>
      <c r="D18" s="12">
        <v>402844</v>
      </c>
      <c r="E18" s="12">
        <v>213517</v>
      </c>
      <c r="F18" s="12">
        <v>834774</v>
      </c>
      <c r="G18" s="12">
        <v>193013</v>
      </c>
      <c r="H18" s="12">
        <v>22295</v>
      </c>
      <c r="I18" s="12">
        <v>22295</v>
      </c>
      <c r="J18" s="12">
        <v>25468</v>
      </c>
      <c r="K18" s="12">
        <v>79256</v>
      </c>
      <c r="L18" s="12">
        <v>21307</v>
      </c>
      <c r="M18" s="12">
        <v>21336</v>
      </c>
      <c r="N18" s="12">
        <v>21468</v>
      </c>
      <c r="O18" s="12">
        <v>39740</v>
      </c>
      <c r="P18" s="12">
        <v>64484</v>
      </c>
      <c r="Q18" s="12">
        <v>69529</v>
      </c>
      <c r="R18" s="41">
        <f t="shared" si="0"/>
        <v>1628482</v>
      </c>
      <c r="S18" s="12">
        <v>1905642</v>
      </c>
      <c r="T18" s="12">
        <f t="shared" si="1"/>
        <v>31955783</v>
      </c>
    </row>
    <row r="19" spans="1:20" x14ac:dyDescent="0.2">
      <c r="A19">
        <f t="shared" si="2"/>
        <v>13</v>
      </c>
      <c r="B19" s="12">
        <v>290530</v>
      </c>
      <c r="C19" s="12">
        <v>298808</v>
      </c>
      <c r="D19" s="12">
        <v>172595</v>
      </c>
      <c r="E19" s="12">
        <v>735929</v>
      </c>
      <c r="F19" s="12">
        <v>364174</v>
      </c>
      <c r="G19" s="12">
        <v>172162</v>
      </c>
      <c r="H19" s="12">
        <v>216118</v>
      </c>
      <c r="I19" s="12">
        <v>56967</v>
      </c>
      <c r="J19" s="12">
        <v>507382</v>
      </c>
      <c r="K19" s="12">
        <v>507382</v>
      </c>
      <c r="L19" s="12">
        <v>73491</v>
      </c>
      <c r="M19" s="12">
        <v>73491</v>
      </c>
      <c r="N19" s="12">
        <v>17825</v>
      </c>
      <c r="O19" s="12">
        <v>370606</v>
      </c>
      <c r="P19" s="12">
        <v>32992</v>
      </c>
      <c r="Q19" s="12">
        <v>32993</v>
      </c>
      <c r="R19" s="41">
        <f t="shared" si="0"/>
        <v>3161512</v>
      </c>
      <c r="S19" s="12">
        <v>603332</v>
      </c>
      <c r="T19" s="12">
        <f t="shared" si="1"/>
        <v>4526777</v>
      </c>
    </row>
    <row r="20" spans="1:20" x14ac:dyDescent="0.2">
      <c r="A20">
        <f t="shared" si="2"/>
        <v>14</v>
      </c>
      <c r="B20" s="12">
        <v>633745</v>
      </c>
      <c r="C20" s="12">
        <v>141751</v>
      </c>
      <c r="D20" s="12">
        <v>52686</v>
      </c>
      <c r="E20" s="12">
        <v>35286</v>
      </c>
      <c r="F20" s="12">
        <v>90364</v>
      </c>
      <c r="G20" s="12">
        <v>26230</v>
      </c>
      <c r="H20" s="12">
        <v>11938</v>
      </c>
      <c r="I20" s="12">
        <v>12943</v>
      </c>
      <c r="J20" s="12">
        <v>61540</v>
      </c>
      <c r="K20" s="12">
        <v>38743</v>
      </c>
      <c r="L20" s="12">
        <v>14023</v>
      </c>
      <c r="M20" s="12">
        <v>20884</v>
      </c>
      <c r="N20" s="12">
        <v>47584</v>
      </c>
      <c r="O20" s="12">
        <v>35732</v>
      </c>
      <c r="P20" s="12">
        <v>22458</v>
      </c>
      <c r="Q20" s="12">
        <v>25358</v>
      </c>
      <c r="R20" s="41">
        <f t="shared" si="0"/>
        <v>443083</v>
      </c>
      <c r="S20" s="12">
        <v>33100</v>
      </c>
      <c r="T20" s="12">
        <f t="shared" si="1"/>
        <v>1304365</v>
      </c>
    </row>
    <row r="21" spans="1:20" x14ac:dyDescent="0.2">
      <c r="A21">
        <f t="shared" si="2"/>
        <v>15</v>
      </c>
      <c r="B21" s="12">
        <v>875244</v>
      </c>
      <c r="C21" s="12"/>
      <c r="D21" s="12"/>
      <c r="E21" s="12"/>
      <c r="F21" s="12"/>
      <c r="G21" s="12"/>
      <c r="H21" s="12">
        <v>250</v>
      </c>
      <c r="I21" s="12">
        <v>8000</v>
      </c>
      <c r="J21" s="12">
        <v>1100</v>
      </c>
      <c r="K21" s="12">
        <v>1100</v>
      </c>
      <c r="L21" s="12">
        <v>3270</v>
      </c>
      <c r="M21" s="12">
        <v>620</v>
      </c>
      <c r="N21" s="12">
        <v>3800</v>
      </c>
      <c r="O21" s="12"/>
      <c r="P21" s="12">
        <v>50882</v>
      </c>
      <c r="Q21" s="12">
        <v>57557</v>
      </c>
      <c r="R21" s="41">
        <f t="shared" si="0"/>
        <v>126579</v>
      </c>
      <c r="S21" s="12">
        <v>1735853</v>
      </c>
      <c r="T21" s="12">
        <f t="shared" si="1"/>
        <v>2737676</v>
      </c>
    </row>
    <row r="22" spans="1:20" x14ac:dyDescent="0.2">
      <c r="A22">
        <f t="shared" si="2"/>
        <v>16</v>
      </c>
      <c r="B22" s="12">
        <f>SUM(B7:B21)</f>
        <v>112508162</v>
      </c>
      <c r="C22" s="12">
        <f>SUM(C7:C21)</f>
        <v>14962686</v>
      </c>
      <c r="D22" s="12">
        <f>SUM(D7:D21)</f>
        <v>1655541</v>
      </c>
      <c r="E22" s="12">
        <f t="shared" ref="E22:S22" si="3">SUM(E7:E21)</f>
        <v>1576393</v>
      </c>
      <c r="F22" s="12">
        <f t="shared" si="3"/>
        <v>5002700</v>
      </c>
      <c r="G22" s="12">
        <f t="shared" si="3"/>
        <v>731621</v>
      </c>
      <c r="H22" s="12">
        <f t="shared" si="3"/>
        <v>328199</v>
      </c>
      <c r="I22" s="12">
        <f t="shared" si="3"/>
        <v>185706</v>
      </c>
      <c r="J22" s="12">
        <f t="shared" si="3"/>
        <v>782370</v>
      </c>
      <c r="K22" s="12">
        <f t="shared" si="3"/>
        <v>829022</v>
      </c>
      <c r="L22" s="12">
        <f t="shared" si="3"/>
        <v>197248</v>
      </c>
      <c r="M22" s="12">
        <f t="shared" si="3"/>
        <v>214184</v>
      </c>
      <c r="N22" s="12">
        <f t="shared" si="3"/>
        <v>256914</v>
      </c>
      <c r="O22" s="12">
        <f t="shared" si="3"/>
        <v>628093</v>
      </c>
      <c r="P22" s="12">
        <f t="shared" si="3"/>
        <v>417613</v>
      </c>
      <c r="Q22" s="12">
        <f t="shared" si="3"/>
        <v>466775</v>
      </c>
      <c r="R22" s="41">
        <f t="shared" si="0"/>
        <v>11616838</v>
      </c>
      <c r="S22" s="12">
        <f t="shared" si="3"/>
        <v>20291955</v>
      </c>
      <c r="T22" s="12">
        <f t="shared" si="1"/>
        <v>161035182</v>
      </c>
    </row>
    <row r="23" spans="1:20" x14ac:dyDescent="0.2">
      <c r="A23" t="s">
        <v>431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1"/>
      <c r="S23" s="12"/>
      <c r="T23" s="12"/>
    </row>
    <row r="24" spans="1:20" x14ac:dyDescent="0.2">
      <c r="A24">
        <f>1+A22</f>
        <v>17</v>
      </c>
      <c r="B24" s="12">
        <v>4074402</v>
      </c>
      <c r="C24" s="12">
        <v>662936</v>
      </c>
      <c r="D24" s="12">
        <v>732572</v>
      </c>
      <c r="E24" s="12">
        <v>491939</v>
      </c>
      <c r="F24" s="12">
        <v>361698</v>
      </c>
      <c r="G24" s="12">
        <v>349220</v>
      </c>
      <c r="H24" s="12">
        <v>113630</v>
      </c>
      <c r="I24" s="12">
        <v>178852</v>
      </c>
      <c r="J24" s="12">
        <v>448366</v>
      </c>
      <c r="K24" s="12">
        <v>561840</v>
      </c>
      <c r="L24" s="12">
        <v>143846</v>
      </c>
      <c r="M24" s="12">
        <v>284339</v>
      </c>
      <c r="N24" s="12">
        <v>687386</v>
      </c>
      <c r="O24" s="12">
        <v>518838</v>
      </c>
      <c r="P24" s="12">
        <v>513806</v>
      </c>
      <c r="Q24" s="12">
        <v>581190</v>
      </c>
      <c r="R24" s="41">
        <f t="shared" si="0"/>
        <v>5234950</v>
      </c>
      <c r="S24" s="12">
        <v>137416</v>
      </c>
      <c r="T24" s="12">
        <f t="shared" si="1"/>
        <v>10842276</v>
      </c>
    </row>
    <row r="25" spans="1:20" x14ac:dyDescent="0.2">
      <c r="A25">
        <f t="shared" ref="A25:A45" si="4">1+A24</f>
        <v>18</v>
      </c>
      <c r="B25" s="12">
        <v>1350000</v>
      </c>
      <c r="C25" s="12">
        <v>502500</v>
      </c>
      <c r="D25" s="12">
        <v>97183</v>
      </c>
      <c r="E25" s="12">
        <v>19098</v>
      </c>
      <c r="F25" s="12">
        <v>59688</v>
      </c>
      <c r="G25" s="12">
        <v>16000</v>
      </c>
      <c r="H25" s="12"/>
      <c r="I25" s="12"/>
      <c r="J25" s="12"/>
      <c r="K25" s="12"/>
      <c r="L25" s="12"/>
      <c r="M25" s="12"/>
      <c r="N25" s="12">
        <v>5000</v>
      </c>
      <c r="O25" s="12">
        <v>7000</v>
      </c>
      <c r="P25" s="12"/>
      <c r="Q25" s="12"/>
      <c r="R25" s="41">
        <f t="shared" si="0"/>
        <v>106786</v>
      </c>
      <c r="S25" s="12"/>
      <c r="T25" s="12">
        <f t="shared" si="1"/>
        <v>2056469</v>
      </c>
    </row>
    <row r="26" spans="1:20" x14ac:dyDescent="0.2">
      <c r="A26">
        <f t="shared" si="4"/>
        <v>19</v>
      </c>
      <c r="B26" s="12">
        <v>12518126</v>
      </c>
      <c r="C26" s="12">
        <v>4167913</v>
      </c>
      <c r="D26" s="12">
        <v>1254535</v>
      </c>
      <c r="E26" s="12">
        <v>810760</v>
      </c>
      <c r="F26" s="12">
        <v>1758016</v>
      </c>
      <c r="G26" s="12">
        <v>545162</v>
      </c>
      <c r="H26" s="12">
        <v>385024</v>
      </c>
      <c r="I26" s="12">
        <v>306913</v>
      </c>
      <c r="J26" s="12">
        <v>666247</v>
      </c>
      <c r="K26" s="12">
        <v>565872</v>
      </c>
      <c r="L26" s="12">
        <v>349747</v>
      </c>
      <c r="M26" s="12">
        <v>296653</v>
      </c>
      <c r="N26" s="12">
        <v>290740</v>
      </c>
      <c r="O26" s="12">
        <v>418368</v>
      </c>
      <c r="P26" s="12">
        <v>520509</v>
      </c>
      <c r="Q26" s="12">
        <v>520509</v>
      </c>
      <c r="R26" s="41">
        <f t="shared" si="0"/>
        <v>7434520</v>
      </c>
      <c r="S26" s="12"/>
      <c r="T26" s="12">
        <f t="shared" si="1"/>
        <v>25375094</v>
      </c>
    </row>
    <row r="27" spans="1:20" x14ac:dyDescent="0.2">
      <c r="A27">
        <f t="shared" si="4"/>
        <v>20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41"/>
      <c r="S27" s="12"/>
      <c r="T27" s="12"/>
    </row>
    <row r="28" spans="1:20" x14ac:dyDescent="0.2">
      <c r="A28">
        <f t="shared" si="4"/>
        <v>21</v>
      </c>
      <c r="B28" s="12">
        <v>3580767</v>
      </c>
      <c r="C28" s="12">
        <v>745652</v>
      </c>
      <c r="D28" s="12">
        <v>518905</v>
      </c>
      <c r="E28" s="12">
        <v>185536</v>
      </c>
      <c r="F28" s="12">
        <v>228017</v>
      </c>
      <c r="G28" s="12">
        <v>110692</v>
      </c>
      <c r="H28" s="12">
        <v>125602</v>
      </c>
      <c r="I28" s="12">
        <v>34837</v>
      </c>
      <c r="J28" s="12">
        <v>241201</v>
      </c>
      <c r="K28" s="12">
        <v>139342</v>
      </c>
      <c r="L28" s="12">
        <v>35203</v>
      </c>
      <c r="M28" s="12">
        <v>28363</v>
      </c>
      <c r="N28" s="12">
        <v>96985</v>
      </c>
      <c r="O28" s="12">
        <v>203536</v>
      </c>
      <c r="P28" s="12">
        <v>12512</v>
      </c>
      <c r="Q28" s="12">
        <v>12513</v>
      </c>
      <c r="R28" s="41">
        <f t="shared" si="0"/>
        <v>1454339</v>
      </c>
      <c r="S28" s="12">
        <v>29415034</v>
      </c>
      <c r="T28" s="12">
        <f t="shared" si="1"/>
        <v>35714697</v>
      </c>
    </row>
    <row r="29" spans="1:20" x14ac:dyDescent="0.2">
      <c r="A29">
        <f t="shared" si="4"/>
        <v>22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41"/>
      <c r="S29" s="12"/>
      <c r="T29" s="12"/>
    </row>
    <row r="30" spans="1:20" x14ac:dyDescent="0.2">
      <c r="A30">
        <f t="shared" si="4"/>
        <v>23</v>
      </c>
      <c r="B30" s="12">
        <v>687500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>
        <v>96900</v>
      </c>
      <c r="Q30" s="12"/>
      <c r="R30" s="41">
        <f t="shared" si="0"/>
        <v>96900</v>
      </c>
      <c r="S30" s="12"/>
      <c r="T30" s="12">
        <f t="shared" si="1"/>
        <v>784400</v>
      </c>
    </row>
    <row r="31" spans="1:20" x14ac:dyDescent="0.2">
      <c r="A31">
        <f t="shared" si="4"/>
        <v>24</v>
      </c>
      <c r="B31" s="12">
        <v>594124</v>
      </c>
      <c r="C31" s="12">
        <v>142031</v>
      </c>
      <c r="D31" s="12">
        <v>120868</v>
      </c>
      <c r="E31" s="12">
        <v>51183</v>
      </c>
      <c r="F31" s="12">
        <v>73266</v>
      </c>
      <c r="G31" s="12">
        <v>39759</v>
      </c>
      <c r="H31" s="12">
        <v>33550</v>
      </c>
      <c r="I31" s="12">
        <v>37036</v>
      </c>
      <c r="J31" s="12">
        <v>44230</v>
      </c>
      <c r="K31" s="12">
        <v>61930</v>
      </c>
      <c r="L31" s="12">
        <v>30307</v>
      </c>
      <c r="M31" s="12">
        <v>17826</v>
      </c>
      <c r="N31" s="12">
        <v>46792</v>
      </c>
      <c r="O31" s="12">
        <v>41657</v>
      </c>
      <c r="P31" s="12">
        <v>60734</v>
      </c>
      <c r="Q31" s="12">
        <v>68699</v>
      </c>
      <c r="R31" s="41">
        <f t="shared" si="0"/>
        <v>606969</v>
      </c>
      <c r="S31" s="12"/>
      <c r="T31" s="12">
        <f t="shared" si="1"/>
        <v>1463992</v>
      </c>
    </row>
    <row r="32" spans="1:20" x14ac:dyDescent="0.2">
      <c r="A32">
        <f t="shared" si="4"/>
        <v>25</v>
      </c>
      <c r="B32" s="12">
        <v>2059521</v>
      </c>
      <c r="C32" s="12">
        <v>1394624</v>
      </c>
      <c r="D32" s="12">
        <v>1029002</v>
      </c>
      <c r="E32" s="12">
        <v>488762</v>
      </c>
      <c r="F32" s="12">
        <v>757529</v>
      </c>
      <c r="G32" s="12">
        <v>295581</v>
      </c>
      <c r="H32" s="12">
        <v>150558</v>
      </c>
      <c r="I32" s="12">
        <v>112353</v>
      </c>
      <c r="J32" s="12">
        <v>173062</v>
      </c>
      <c r="K32" s="12">
        <v>202477</v>
      </c>
      <c r="L32" s="12">
        <v>164164</v>
      </c>
      <c r="M32" s="12">
        <v>107910</v>
      </c>
      <c r="N32" s="12">
        <v>271846</v>
      </c>
      <c r="O32" s="12">
        <v>256563</v>
      </c>
      <c r="P32" s="12">
        <v>344300</v>
      </c>
      <c r="Q32" s="12">
        <v>389454</v>
      </c>
      <c r="R32" s="41">
        <f t="shared" si="0"/>
        <v>3714559</v>
      </c>
      <c r="S32" s="12"/>
      <c r="T32" s="12">
        <f t="shared" si="1"/>
        <v>8197706</v>
      </c>
    </row>
    <row r="33" spans="1:20" x14ac:dyDescent="0.2">
      <c r="A33">
        <f t="shared" si="4"/>
        <v>26</v>
      </c>
      <c r="B33" s="12">
        <v>415821</v>
      </c>
      <c r="C33" s="12">
        <v>36086</v>
      </c>
      <c r="D33" s="12">
        <v>29429</v>
      </c>
      <c r="E33" s="12">
        <v>8957</v>
      </c>
      <c r="F33" s="12">
        <v>73035</v>
      </c>
      <c r="G33" s="12">
        <v>14998</v>
      </c>
      <c r="H33" s="12">
        <v>24651</v>
      </c>
      <c r="I33" s="12">
        <v>37099</v>
      </c>
      <c r="J33" s="12">
        <v>37528</v>
      </c>
      <c r="K33" s="12">
        <v>15399</v>
      </c>
      <c r="L33" s="12">
        <v>45468</v>
      </c>
      <c r="M33" s="12">
        <v>17970</v>
      </c>
      <c r="N33" s="12">
        <v>51965</v>
      </c>
      <c r="O33" s="12">
        <v>46349</v>
      </c>
      <c r="P33" s="12">
        <v>48546</v>
      </c>
      <c r="Q33" s="12">
        <v>54913</v>
      </c>
      <c r="R33" s="41">
        <f t="shared" si="0"/>
        <v>476878</v>
      </c>
      <c r="S33" s="12">
        <v>509810</v>
      </c>
      <c r="T33" s="12">
        <f t="shared" si="1"/>
        <v>1468024</v>
      </c>
    </row>
    <row r="34" spans="1:20" x14ac:dyDescent="0.2">
      <c r="A34">
        <f t="shared" si="4"/>
        <v>27</v>
      </c>
      <c r="B34" s="12">
        <v>3118899</v>
      </c>
      <c r="C34" s="12">
        <v>806638</v>
      </c>
      <c r="D34" s="12">
        <v>631017</v>
      </c>
      <c r="E34" s="12">
        <v>366373</v>
      </c>
      <c r="F34" s="12">
        <v>531752</v>
      </c>
      <c r="G34" s="12">
        <v>197716</v>
      </c>
      <c r="H34" s="12">
        <v>2663</v>
      </c>
      <c r="I34" s="12">
        <v>36076</v>
      </c>
      <c r="J34" s="12">
        <v>346955</v>
      </c>
      <c r="K34" s="12">
        <v>341129</v>
      </c>
      <c r="L34" s="12">
        <v>28370</v>
      </c>
      <c r="M34" s="12">
        <v>35973</v>
      </c>
      <c r="N34" s="12">
        <v>16639</v>
      </c>
      <c r="O34" s="12">
        <v>125673</v>
      </c>
      <c r="P34" s="12">
        <v>202261</v>
      </c>
      <c r="Q34" s="12">
        <v>205171</v>
      </c>
      <c r="R34" s="41">
        <f t="shared" si="0"/>
        <v>2436751</v>
      </c>
      <c r="S34" s="12">
        <v>11771312</v>
      </c>
      <c r="T34" s="12">
        <f t="shared" si="1"/>
        <v>18764617</v>
      </c>
    </row>
    <row r="35" spans="1:20" x14ac:dyDescent="0.2">
      <c r="A35">
        <f t="shared" si="4"/>
        <v>28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>
        <v>1978</v>
      </c>
      <c r="M35" s="12">
        <v>1685</v>
      </c>
      <c r="N35" s="12">
        <v>275</v>
      </c>
      <c r="O35" s="12"/>
      <c r="P35" s="12">
        <v>129</v>
      </c>
      <c r="Q35" s="12">
        <v>146</v>
      </c>
      <c r="R35" s="41">
        <f t="shared" si="0"/>
        <v>4213</v>
      </c>
      <c r="S35" s="12">
        <v>4825093</v>
      </c>
      <c r="T35" s="12">
        <f t="shared" si="1"/>
        <v>4829306</v>
      </c>
    </row>
    <row r="36" spans="1:20" x14ac:dyDescent="0.2">
      <c r="A36">
        <f t="shared" si="4"/>
        <v>29</v>
      </c>
      <c r="B36" s="12">
        <v>44768</v>
      </c>
      <c r="C36" s="12">
        <v>167746</v>
      </c>
      <c r="D36" s="12">
        <v>202215</v>
      </c>
      <c r="E36" s="12">
        <v>281775</v>
      </c>
      <c r="F36" s="12">
        <v>72953</v>
      </c>
      <c r="G36" s="12">
        <v>25075</v>
      </c>
      <c r="H36" s="12">
        <v>57433</v>
      </c>
      <c r="I36" s="12">
        <v>15870</v>
      </c>
      <c r="J36" s="12">
        <v>156183</v>
      </c>
      <c r="K36" s="12">
        <v>156183</v>
      </c>
      <c r="L36" s="12">
        <v>31308</v>
      </c>
      <c r="M36" s="12">
        <v>31308</v>
      </c>
      <c r="N36" s="12">
        <v>5392</v>
      </c>
      <c r="O36" s="12">
        <v>42549</v>
      </c>
      <c r="P36" s="12">
        <v>8403</v>
      </c>
      <c r="Q36" s="12">
        <v>8403</v>
      </c>
      <c r="R36" s="41">
        <f t="shared" si="0"/>
        <v>892835</v>
      </c>
      <c r="S36" s="12">
        <v>242736</v>
      </c>
      <c r="T36" s="12">
        <f t="shared" si="1"/>
        <v>1550300</v>
      </c>
    </row>
    <row r="37" spans="1:20" x14ac:dyDescent="0.2">
      <c r="A37">
        <f t="shared" si="4"/>
        <v>30</v>
      </c>
      <c r="B37" s="12">
        <v>109872</v>
      </c>
      <c r="C37" s="12">
        <v>45263</v>
      </c>
      <c r="D37" s="12">
        <v>27001</v>
      </c>
      <c r="E37" s="12">
        <v>187815</v>
      </c>
      <c r="F37" s="12">
        <v>9901</v>
      </c>
      <c r="G37" s="12">
        <v>1086</v>
      </c>
      <c r="H37" s="12">
        <v>3448</v>
      </c>
      <c r="I37" s="12">
        <v>2857</v>
      </c>
      <c r="J37" s="12">
        <v>4326</v>
      </c>
      <c r="K37" s="12">
        <v>2545</v>
      </c>
      <c r="L37" s="12">
        <v>980</v>
      </c>
      <c r="M37" s="12">
        <v>499</v>
      </c>
      <c r="N37" s="12">
        <v>7679</v>
      </c>
      <c r="O37" s="12">
        <v>9343</v>
      </c>
      <c r="P37" s="12">
        <v>6106</v>
      </c>
      <c r="Q37" s="12">
        <v>6906</v>
      </c>
      <c r="R37" s="41">
        <f t="shared" si="0"/>
        <v>243491</v>
      </c>
      <c r="S37" s="12">
        <v>25329263</v>
      </c>
      <c r="T37" s="12">
        <f t="shared" si="1"/>
        <v>25754890</v>
      </c>
    </row>
    <row r="38" spans="1:20" x14ac:dyDescent="0.2">
      <c r="A38">
        <f t="shared" si="4"/>
        <v>31</v>
      </c>
      <c r="B38" s="12">
        <v>946500</v>
      </c>
      <c r="C38" s="12">
        <v>174976</v>
      </c>
      <c r="D38" s="12">
        <v>15777</v>
      </c>
      <c r="E38" s="12">
        <v>135587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41">
        <f t="shared" si="0"/>
        <v>135587</v>
      </c>
      <c r="S38" s="12">
        <v>84429</v>
      </c>
      <c r="T38" s="12">
        <f t="shared" si="1"/>
        <v>1357269</v>
      </c>
    </row>
    <row r="39" spans="1:20" x14ac:dyDescent="0.2">
      <c r="A39">
        <f t="shared" si="4"/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41"/>
      <c r="S39" s="12"/>
      <c r="T39" s="12"/>
    </row>
    <row r="40" spans="1:20" x14ac:dyDescent="0.2">
      <c r="A40">
        <f t="shared" si="4"/>
        <v>33</v>
      </c>
      <c r="B40" s="12">
        <v>163004</v>
      </c>
      <c r="C40" s="12">
        <v>33896</v>
      </c>
      <c r="D40" s="12">
        <v>50238</v>
      </c>
      <c r="E40" s="12">
        <v>39053</v>
      </c>
      <c r="F40" s="12">
        <v>39868</v>
      </c>
      <c r="G40" s="12">
        <v>17133</v>
      </c>
      <c r="H40" s="12">
        <v>1899</v>
      </c>
      <c r="I40" s="12">
        <v>8106</v>
      </c>
      <c r="J40" s="12">
        <v>30187</v>
      </c>
      <c r="K40" s="12">
        <v>45312</v>
      </c>
      <c r="L40" s="12">
        <v>2975</v>
      </c>
      <c r="M40" s="12">
        <v>5391</v>
      </c>
      <c r="N40" s="12">
        <v>35152</v>
      </c>
      <c r="O40" s="12">
        <v>16986</v>
      </c>
      <c r="P40" s="12">
        <v>27214</v>
      </c>
      <c r="Q40" s="12">
        <v>30783</v>
      </c>
      <c r="R40" s="41">
        <f t="shared" si="0"/>
        <v>300059</v>
      </c>
      <c r="S40" s="12">
        <v>1467479</v>
      </c>
      <c r="T40" s="12">
        <f t="shared" si="1"/>
        <v>2014676</v>
      </c>
    </row>
    <row r="41" spans="1:20" x14ac:dyDescent="0.2">
      <c r="A41">
        <f t="shared" si="4"/>
        <v>34</v>
      </c>
      <c r="B41" s="12">
        <v>5260</v>
      </c>
      <c r="C41" s="12">
        <v>4865</v>
      </c>
      <c r="D41" s="12">
        <v>3605</v>
      </c>
      <c r="E41" s="12">
        <v>780</v>
      </c>
      <c r="F41" s="12">
        <v>813</v>
      </c>
      <c r="G41" s="12">
        <v>2170</v>
      </c>
      <c r="H41" s="12">
        <v>12081</v>
      </c>
      <c r="I41" s="12">
        <v>5043</v>
      </c>
      <c r="J41" s="12">
        <v>3313</v>
      </c>
      <c r="K41" s="12">
        <v>2484</v>
      </c>
      <c r="L41" s="12">
        <v>1395</v>
      </c>
      <c r="M41" s="12">
        <v>993</v>
      </c>
      <c r="N41" s="12">
        <v>6749</v>
      </c>
      <c r="O41" s="12">
        <v>1225</v>
      </c>
      <c r="P41" s="12">
        <v>1511</v>
      </c>
      <c r="Q41" s="12">
        <v>1709</v>
      </c>
      <c r="R41" s="41">
        <f t="shared" si="0"/>
        <v>40266</v>
      </c>
      <c r="S41" s="12">
        <v>389549</v>
      </c>
      <c r="T41" s="12">
        <f t="shared" si="1"/>
        <v>443545</v>
      </c>
    </row>
    <row r="42" spans="1:20" x14ac:dyDescent="0.2">
      <c r="A42">
        <f t="shared" si="4"/>
        <v>35</v>
      </c>
      <c r="B42" s="12">
        <v>5216473</v>
      </c>
      <c r="C42" s="12">
        <v>80454</v>
      </c>
      <c r="D42" s="12">
        <v>102374</v>
      </c>
      <c r="E42" s="12">
        <v>85689</v>
      </c>
      <c r="F42" s="12">
        <v>69140</v>
      </c>
      <c r="G42" s="12">
        <v>32098</v>
      </c>
      <c r="H42" s="12">
        <v>36943</v>
      </c>
      <c r="I42" s="12">
        <v>47626</v>
      </c>
      <c r="J42" s="12">
        <v>151701</v>
      </c>
      <c r="K42" s="12">
        <v>91960</v>
      </c>
      <c r="L42" s="12">
        <v>39276</v>
      </c>
      <c r="M42" s="12">
        <v>26786</v>
      </c>
      <c r="N42" s="12">
        <v>47466</v>
      </c>
      <c r="O42" s="12">
        <v>44554</v>
      </c>
      <c r="P42" s="12">
        <v>166721</v>
      </c>
      <c r="Q42" s="12">
        <v>188586</v>
      </c>
      <c r="R42" s="41">
        <f t="shared" si="0"/>
        <v>1028546</v>
      </c>
      <c r="S42" s="12">
        <v>7083766</v>
      </c>
      <c r="T42" s="12">
        <f t="shared" si="1"/>
        <v>13511613</v>
      </c>
    </row>
    <row r="43" spans="1:20" x14ac:dyDescent="0.2">
      <c r="A43">
        <f t="shared" si="4"/>
        <v>36</v>
      </c>
      <c r="B43" s="12">
        <f>SUM(B24:B42)</f>
        <v>34885037</v>
      </c>
      <c r="C43" s="12">
        <f>SUM(C24:C42)</f>
        <v>8965580</v>
      </c>
      <c r="D43" s="12">
        <f>SUM(D24:D42)</f>
        <v>4814721</v>
      </c>
      <c r="E43" s="12">
        <f t="shared" ref="E43:S43" si="5">SUM(E24:E42)</f>
        <v>3153307</v>
      </c>
      <c r="F43" s="12">
        <f t="shared" si="5"/>
        <v>4035676</v>
      </c>
      <c r="G43" s="12">
        <f t="shared" si="5"/>
        <v>1646690</v>
      </c>
      <c r="H43" s="12">
        <f t="shared" si="5"/>
        <v>947482</v>
      </c>
      <c r="I43" s="12">
        <f t="shared" si="5"/>
        <v>822668</v>
      </c>
      <c r="J43" s="12">
        <f t="shared" si="5"/>
        <v>2303299</v>
      </c>
      <c r="K43" s="12">
        <f t="shared" si="5"/>
        <v>2186473</v>
      </c>
      <c r="L43" s="12">
        <f t="shared" si="5"/>
        <v>875017</v>
      </c>
      <c r="M43" s="12">
        <f t="shared" si="5"/>
        <v>855696</v>
      </c>
      <c r="N43" s="12">
        <f t="shared" si="5"/>
        <v>1570066</v>
      </c>
      <c r="O43" s="12">
        <f t="shared" si="5"/>
        <v>1732641</v>
      </c>
      <c r="P43" s="12">
        <f t="shared" si="5"/>
        <v>2009652</v>
      </c>
      <c r="Q43" s="12">
        <f t="shared" si="5"/>
        <v>2068982</v>
      </c>
      <c r="R43" s="41">
        <f t="shared" si="0"/>
        <v>24207649</v>
      </c>
      <c r="S43" s="12">
        <f t="shared" si="5"/>
        <v>81255887</v>
      </c>
      <c r="T43" s="12">
        <f t="shared" si="1"/>
        <v>154128874</v>
      </c>
    </row>
    <row r="44" spans="1:20" x14ac:dyDescent="0.2">
      <c r="A44">
        <f t="shared" si="4"/>
        <v>37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41"/>
      <c r="S44" s="12">
        <v>9721719</v>
      </c>
      <c r="T44" s="12">
        <f t="shared" si="1"/>
        <v>9721719</v>
      </c>
    </row>
    <row r="45" spans="1:20" x14ac:dyDescent="0.2">
      <c r="A45">
        <f t="shared" si="4"/>
        <v>38</v>
      </c>
      <c r="B45" s="12">
        <f>B43+B44</f>
        <v>34885037</v>
      </c>
      <c r="C45" s="12">
        <f>C43+C44</f>
        <v>8965580</v>
      </c>
      <c r="D45" s="12">
        <f>D43+D44</f>
        <v>4814721</v>
      </c>
      <c r="E45" s="12">
        <f t="shared" ref="E45:S45" si="6">E43+E44</f>
        <v>3153307</v>
      </c>
      <c r="F45" s="12">
        <f t="shared" si="6"/>
        <v>4035676</v>
      </c>
      <c r="G45" s="12">
        <f t="shared" si="6"/>
        <v>1646690</v>
      </c>
      <c r="H45" s="12">
        <f t="shared" si="6"/>
        <v>947482</v>
      </c>
      <c r="I45" s="12">
        <f t="shared" si="6"/>
        <v>822668</v>
      </c>
      <c r="J45" s="12">
        <f t="shared" si="6"/>
        <v>2303299</v>
      </c>
      <c r="K45" s="12">
        <f t="shared" si="6"/>
        <v>2186473</v>
      </c>
      <c r="L45" s="12">
        <f t="shared" si="6"/>
        <v>875017</v>
      </c>
      <c r="M45" s="12">
        <f t="shared" si="6"/>
        <v>855696</v>
      </c>
      <c r="N45" s="12">
        <f t="shared" si="6"/>
        <v>1570066</v>
      </c>
      <c r="O45" s="12">
        <f t="shared" si="6"/>
        <v>1732641</v>
      </c>
      <c r="P45" s="12">
        <f t="shared" si="6"/>
        <v>2009652</v>
      </c>
      <c r="Q45" s="12">
        <f t="shared" si="6"/>
        <v>2068982</v>
      </c>
      <c r="R45" s="41">
        <f t="shared" si="0"/>
        <v>24207649</v>
      </c>
      <c r="S45" s="12">
        <f t="shared" si="6"/>
        <v>90977606</v>
      </c>
      <c r="T45" s="12">
        <f t="shared" si="1"/>
        <v>163850593</v>
      </c>
    </row>
    <row r="46" spans="1:20" x14ac:dyDescent="0.2">
      <c r="A46" t="s">
        <v>450</v>
      </c>
      <c r="B46" s="12">
        <f>B22-B45</f>
        <v>77623125</v>
      </c>
      <c r="C46" s="12">
        <f>C22-C45</f>
        <v>5997106</v>
      </c>
      <c r="D46" s="12">
        <f>D22-D45</f>
        <v>-3159180</v>
      </c>
      <c r="E46" s="12">
        <f t="shared" ref="E46:S46" si="7">E22-E45</f>
        <v>-1576914</v>
      </c>
      <c r="F46" s="12">
        <f t="shared" si="7"/>
        <v>967024</v>
      </c>
      <c r="G46" s="12">
        <f t="shared" si="7"/>
        <v>-915069</v>
      </c>
      <c r="H46" s="12">
        <f t="shared" si="7"/>
        <v>-619283</v>
      </c>
      <c r="I46" s="12">
        <f t="shared" si="7"/>
        <v>-636962</v>
      </c>
      <c r="J46" s="12">
        <f t="shared" si="7"/>
        <v>-1520929</v>
      </c>
      <c r="K46" s="12">
        <f t="shared" si="7"/>
        <v>-1357451</v>
      </c>
      <c r="L46" s="12">
        <f t="shared" si="7"/>
        <v>-677769</v>
      </c>
      <c r="M46" s="12">
        <f t="shared" si="7"/>
        <v>-641512</v>
      </c>
      <c r="N46" s="12">
        <f t="shared" si="7"/>
        <v>-1313152</v>
      </c>
      <c r="O46" s="12">
        <f t="shared" si="7"/>
        <v>-1104548</v>
      </c>
      <c r="P46" s="12">
        <f t="shared" si="7"/>
        <v>-1592039</v>
      </c>
      <c r="Q46" s="12">
        <f t="shared" si="7"/>
        <v>-1602207</v>
      </c>
      <c r="R46" s="41">
        <f t="shared" si="0"/>
        <v>-12590811</v>
      </c>
      <c r="S46" s="12">
        <f t="shared" si="7"/>
        <v>-70685651</v>
      </c>
      <c r="T46" s="12">
        <f t="shared" si="1"/>
        <v>-2815411</v>
      </c>
    </row>
    <row r="47" spans="1:20" x14ac:dyDescent="0.2">
      <c r="B47" s="3"/>
      <c r="C47" s="3"/>
      <c r="D47" s="3"/>
      <c r="F47" s="3"/>
      <c r="G47" s="3"/>
      <c r="J47" s="3"/>
      <c r="K47" s="3"/>
    </row>
    <row r="48" spans="1:20" x14ac:dyDescent="0.2">
      <c r="A48" t="s">
        <v>451</v>
      </c>
      <c r="B48" s="3">
        <v>233002000</v>
      </c>
      <c r="C48" s="3"/>
      <c r="D48" s="3"/>
      <c r="F48" s="3"/>
      <c r="G48" s="3"/>
      <c r="J48" s="3"/>
      <c r="K48" s="3"/>
    </row>
    <row r="49" spans="1:11" x14ac:dyDescent="0.2">
      <c r="A49" t="s">
        <v>452</v>
      </c>
      <c r="B49" s="3">
        <v>18746795</v>
      </c>
      <c r="C49" s="3"/>
      <c r="D49" s="3"/>
      <c r="F49" s="3"/>
      <c r="G49" s="3"/>
      <c r="J49" s="3"/>
      <c r="K49" s="3"/>
    </row>
    <row r="50" spans="1:11" x14ac:dyDescent="0.2">
      <c r="B50" s="3"/>
      <c r="C50" s="3"/>
      <c r="D50" s="3"/>
      <c r="F50" s="3"/>
      <c r="G50" s="3"/>
      <c r="J50" s="3"/>
      <c r="K50" s="3"/>
    </row>
    <row r="51" spans="1:11" x14ac:dyDescent="0.2">
      <c r="B51" s="3"/>
      <c r="C51" s="3"/>
      <c r="D51" s="3"/>
      <c r="F51" s="3"/>
      <c r="G51" s="3"/>
      <c r="J51" s="3"/>
      <c r="K51" s="3"/>
    </row>
    <row r="52" spans="1:11" x14ac:dyDescent="0.2">
      <c r="B52" s="3"/>
      <c r="C52" s="3"/>
      <c r="D52" s="3"/>
      <c r="F52" s="3"/>
      <c r="G52" s="3"/>
      <c r="J52" s="3"/>
      <c r="K52" s="3"/>
    </row>
    <row r="53" spans="1:11" x14ac:dyDescent="0.2">
      <c r="B53" s="3"/>
      <c r="C53" s="3"/>
      <c r="D53" s="3"/>
      <c r="F53" s="3"/>
      <c r="G53" s="3"/>
      <c r="J53" s="3"/>
      <c r="K53" s="3"/>
    </row>
    <row r="54" spans="1:11" x14ac:dyDescent="0.2">
      <c r="B54" s="3"/>
      <c r="C54" s="3"/>
      <c r="D54" s="3"/>
      <c r="F54" s="3"/>
      <c r="G54" s="3"/>
      <c r="J54" s="3"/>
      <c r="K54" s="3"/>
    </row>
    <row r="55" spans="1:11" x14ac:dyDescent="0.2">
      <c r="B55" s="3"/>
      <c r="C55" s="3"/>
      <c r="D55" s="3"/>
      <c r="F55" s="3"/>
      <c r="G55" s="3"/>
      <c r="J55" s="3"/>
      <c r="K55" s="3"/>
    </row>
    <row r="56" spans="1:11" x14ac:dyDescent="0.2">
      <c r="B56" s="3"/>
      <c r="C56" s="3"/>
      <c r="D56" s="3"/>
      <c r="F56" s="3"/>
      <c r="G56" s="3"/>
      <c r="J56" s="3"/>
      <c r="K56" s="3"/>
    </row>
    <row r="57" spans="1:11" x14ac:dyDescent="0.2">
      <c r="B57" s="3"/>
      <c r="C57" s="3"/>
      <c r="D57" s="3"/>
      <c r="F57" s="3"/>
      <c r="G57" s="3"/>
      <c r="J57" s="3"/>
      <c r="K57" s="3"/>
    </row>
    <row r="58" spans="1:11" x14ac:dyDescent="0.2">
      <c r="B58" s="3"/>
      <c r="C58" s="3"/>
      <c r="D58" s="3"/>
      <c r="F58" s="3"/>
      <c r="G58" s="3"/>
      <c r="J58" s="3"/>
      <c r="K58" s="3"/>
    </row>
    <row r="59" spans="1:11" x14ac:dyDescent="0.2">
      <c r="B59" s="3"/>
      <c r="C59" s="3"/>
      <c r="D59" s="3"/>
      <c r="F59" s="3"/>
      <c r="G59" s="3"/>
      <c r="J59" s="3"/>
      <c r="K59" s="3"/>
    </row>
    <row r="60" spans="1:11" x14ac:dyDescent="0.2">
      <c r="B60" s="3"/>
      <c r="C60" s="3"/>
      <c r="D60" s="3"/>
      <c r="F60" s="3"/>
      <c r="G60" s="3"/>
      <c r="J60" s="3"/>
      <c r="K60" s="3"/>
    </row>
    <row r="61" spans="1:11" x14ac:dyDescent="0.2">
      <c r="B61" s="3"/>
      <c r="C61" s="3"/>
      <c r="D61" s="3"/>
      <c r="F61" s="3"/>
      <c r="G61" s="3"/>
      <c r="J61" s="3"/>
      <c r="K61" s="3"/>
    </row>
    <row r="62" spans="1:11" x14ac:dyDescent="0.2">
      <c r="B62" s="3"/>
      <c r="C62" s="3"/>
      <c r="D62" s="3"/>
      <c r="F62" s="3"/>
      <c r="G62" s="3"/>
      <c r="J62" s="3"/>
      <c r="K62" s="3"/>
    </row>
    <row r="63" spans="1:11" x14ac:dyDescent="0.2">
      <c r="B63" s="3"/>
      <c r="C63" s="3"/>
      <c r="D63" s="3"/>
      <c r="F63" s="3"/>
      <c r="G63" s="3"/>
      <c r="J63" s="3"/>
      <c r="K63" s="3"/>
    </row>
    <row r="64" spans="1:11" x14ac:dyDescent="0.2">
      <c r="B64" s="3"/>
      <c r="C64" s="3"/>
      <c r="D64" s="3"/>
      <c r="F64" s="3"/>
      <c r="G64" s="3"/>
      <c r="J64" s="3"/>
      <c r="K64" s="3"/>
    </row>
    <row r="65" spans="2:11" x14ac:dyDescent="0.2">
      <c r="B65" s="3"/>
      <c r="C65" s="3"/>
      <c r="D65" s="3"/>
      <c r="F65" s="3"/>
      <c r="G65" s="3"/>
      <c r="J65" s="3"/>
      <c r="K65" s="3"/>
    </row>
    <row r="66" spans="2:11" x14ac:dyDescent="0.2">
      <c r="B66" s="3"/>
      <c r="C66" s="3"/>
      <c r="D66" s="3"/>
      <c r="F66" s="3"/>
      <c r="G66" s="3"/>
      <c r="J66" s="3"/>
      <c r="K66" s="3"/>
    </row>
    <row r="67" spans="2:11" x14ac:dyDescent="0.2">
      <c r="B67" s="3"/>
      <c r="C67" s="3"/>
      <c r="D67" s="3"/>
      <c r="F67" s="3"/>
      <c r="G67" s="3"/>
      <c r="J67" s="3"/>
      <c r="K67" s="3"/>
    </row>
    <row r="68" spans="2:11" x14ac:dyDescent="0.2">
      <c r="B68" s="3"/>
      <c r="C68" s="3"/>
      <c r="D68" s="3"/>
      <c r="F68" s="3"/>
      <c r="G68" s="3"/>
      <c r="J68" s="3"/>
      <c r="K68" s="3"/>
    </row>
    <row r="69" spans="2:11" x14ac:dyDescent="0.2">
      <c r="B69" s="3"/>
      <c r="C69" s="3"/>
      <c r="D69" s="3"/>
      <c r="F69" s="3"/>
      <c r="G69" s="3"/>
      <c r="J69" s="3"/>
      <c r="K69" s="3"/>
    </row>
    <row r="70" spans="2:11" x14ac:dyDescent="0.2">
      <c r="B70" s="3"/>
      <c r="C70" s="3"/>
      <c r="D70" s="3"/>
      <c r="F70" s="3"/>
      <c r="G70" s="3"/>
      <c r="J70" s="3"/>
      <c r="K70" s="3"/>
    </row>
    <row r="71" spans="2:11" x14ac:dyDescent="0.2">
      <c r="B71" s="3"/>
      <c r="C71" s="3"/>
      <c r="D71" s="3"/>
      <c r="F71" s="3"/>
      <c r="G71" s="3"/>
      <c r="J71" s="3"/>
      <c r="K71" s="3"/>
    </row>
    <row r="72" spans="2:11" x14ac:dyDescent="0.2">
      <c r="B72" s="3"/>
      <c r="C72" s="3"/>
      <c r="D72" s="3"/>
      <c r="F72" s="3"/>
      <c r="G72" s="3"/>
      <c r="J72" s="3"/>
      <c r="K72" s="3"/>
    </row>
    <row r="73" spans="2:11" x14ac:dyDescent="0.2">
      <c r="B73" s="3"/>
      <c r="C73" s="3"/>
      <c r="D73" s="3"/>
      <c r="F73" s="3"/>
      <c r="G73" s="3"/>
      <c r="J73" s="3"/>
      <c r="K73" s="3"/>
    </row>
    <row r="74" spans="2:11" x14ac:dyDescent="0.2">
      <c r="B74" s="3"/>
      <c r="C74" s="3"/>
      <c r="D74" s="3"/>
      <c r="F74" s="3"/>
      <c r="G74" s="3"/>
      <c r="J74" s="3"/>
      <c r="K74" s="3"/>
    </row>
    <row r="75" spans="2:11" x14ac:dyDescent="0.2">
      <c r="B75" s="3"/>
      <c r="C75" s="3"/>
      <c r="D75" s="3"/>
      <c r="F75" s="3"/>
      <c r="G75" s="3"/>
      <c r="J75" s="3"/>
      <c r="K75" s="3"/>
    </row>
    <row r="76" spans="2:11" x14ac:dyDescent="0.2">
      <c r="B76" s="3"/>
      <c r="C76" s="3"/>
      <c r="D76" s="3"/>
      <c r="F76" s="3"/>
      <c r="G76" s="3"/>
      <c r="J76" s="3"/>
      <c r="K76" s="3"/>
    </row>
    <row r="77" spans="2:11" x14ac:dyDescent="0.2">
      <c r="B77" s="3"/>
      <c r="C77" s="3"/>
      <c r="D77" s="3"/>
      <c r="F77" s="3"/>
      <c r="G77" s="3"/>
      <c r="J77" s="3"/>
      <c r="K77" s="3"/>
    </row>
    <row r="78" spans="2:11" x14ac:dyDescent="0.2">
      <c r="B78" s="3"/>
      <c r="C78" s="3"/>
      <c r="D78" s="3"/>
      <c r="F78" s="3"/>
      <c r="G78" s="3"/>
      <c r="J78" s="3"/>
      <c r="K78" s="3"/>
    </row>
    <row r="79" spans="2:11" x14ac:dyDescent="0.2">
      <c r="B79" s="3"/>
      <c r="C79" s="3"/>
      <c r="D79" s="3"/>
      <c r="F79" s="3"/>
      <c r="G79" s="3"/>
      <c r="J79" s="3"/>
      <c r="K79" s="3"/>
    </row>
    <row r="80" spans="2:11" x14ac:dyDescent="0.2">
      <c r="B80" s="3"/>
      <c r="C80" s="3"/>
      <c r="D80" s="3"/>
      <c r="F80" s="3"/>
      <c r="G80" s="3"/>
      <c r="J80" s="3"/>
      <c r="K80" s="3"/>
    </row>
    <row r="81" spans="2:11" x14ac:dyDescent="0.2">
      <c r="B81" s="3"/>
      <c r="C81" s="3"/>
      <c r="D81" s="3"/>
      <c r="F81" s="3"/>
      <c r="G81" s="3"/>
      <c r="J81" s="3"/>
      <c r="K81" s="3"/>
    </row>
    <row r="82" spans="2:11" x14ac:dyDescent="0.2">
      <c r="B82" s="3"/>
      <c r="C82" s="3"/>
      <c r="D82" s="3"/>
      <c r="F82" s="3"/>
      <c r="G82" s="3"/>
      <c r="J82" s="3"/>
      <c r="K82" s="3"/>
    </row>
    <row r="83" spans="2:11" x14ac:dyDescent="0.2">
      <c r="B83" s="3"/>
      <c r="C83" s="3"/>
      <c r="D83" s="3"/>
      <c r="F83" s="3"/>
      <c r="G83" s="3"/>
      <c r="J83" s="3"/>
      <c r="K83" s="3"/>
    </row>
    <row r="84" spans="2:11" x14ac:dyDescent="0.2">
      <c r="B84" s="3"/>
      <c r="C84" s="3"/>
      <c r="D84" s="3"/>
      <c r="F84" s="3"/>
      <c r="G84" s="3"/>
      <c r="J84" s="3"/>
      <c r="K84" s="3"/>
    </row>
    <row r="85" spans="2:11" x14ac:dyDescent="0.2">
      <c r="B85" s="3"/>
      <c r="C85" s="3"/>
      <c r="D85" s="3"/>
      <c r="F85" s="3"/>
      <c r="G85" s="3"/>
      <c r="J85" s="3"/>
      <c r="K85" s="3"/>
    </row>
    <row r="86" spans="2:11" x14ac:dyDescent="0.2">
      <c r="B86" s="3"/>
      <c r="C86" s="3"/>
      <c r="D86" s="3"/>
      <c r="F86" s="3"/>
      <c r="G86" s="3"/>
      <c r="J86" s="3"/>
      <c r="K86" s="3"/>
    </row>
    <row r="87" spans="2:11" x14ac:dyDescent="0.2">
      <c r="B87" s="3"/>
      <c r="C87" s="3"/>
      <c r="D87" s="3"/>
      <c r="F87" s="3"/>
      <c r="G87" s="3"/>
      <c r="J87" s="3"/>
      <c r="K87" s="3"/>
    </row>
    <row r="88" spans="2:11" x14ac:dyDescent="0.2">
      <c r="B88" s="3"/>
      <c r="C88" s="3"/>
      <c r="D88" s="3"/>
      <c r="F88" s="3"/>
      <c r="G88" s="3"/>
      <c r="J88" s="3"/>
      <c r="K88" s="3"/>
    </row>
    <row r="89" spans="2:11" x14ac:dyDescent="0.2">
      <c r="B89" s="3"/>
      <c r="C89" s="3"/>
      <c r="D89" s="3"/>
      <c r="F89" s="3"/>
      <c r="G89" s="3"/>
      <c r="J89" s="3"/>
      <c r="K89" s="3"/>
    </row>
    <row r="90" spans="2:11" x14ac:dyDescent="0.2">
      <c r="B90" s="3"/>
      <c r="C90" s="3"/>
      <c r="D90" s="3"/>
      <c r="F90" s="3"/>
      <c r="G90" s="3"/>
      <c r="J90" s="3"/>
      <c r="K90" s="3"/>
    </row>
    <row r="91" spans="2:11" x14ac:dyDescent="0.2">
      <c r="B91" s="3"/>
      <c r="C91" s="3"/>
      <c r="D91" s="3"/>
      <c r="F91" s="3"/>
      <c r="G91" s="3"/>
      <c r="J91" s="3"/>
      <c r="K91" s="3"/>
    </row>
    <row r="92" spans="2:11" x14ac:dyDescent="0.2">
      <c r="B92" s="3"/>
      <c r="C92" s="3"/>
      <c r="D92" s="3"/>
      <c r="F92" s="3"/>
      <c r="G92" s="3"/>
      <c r="J92" s="3"/>
      <c r="K92" s="3"/>
    </row>
    <row r="93" spans="2:11" x14ac:dyDescent="0.2">
      <c r="B93" s="3"/>
      <c r="C93" s="3"/>
      <c r="D93" s="3"/>
      <c r="F93" s="3"/>
      <c r="G93" s="3"/>
      <c r="J93" s="3"/>
      <c r="K93" s="3"/>
    </row>
    <row r="94" spans="2:11" x14ac:dyDescent="0.2">
      <c r="B94" s="3"/>
      <c r="C94" s="3"/>
      <c r="D94" s="3"/>
      <c r="F94" s="3"/>
      <c r="G94" s="3"/>
      <c r="J94" s="3"/>
      <c r="K94" s="3"/>
    </row>
    <row r="95" spans="2:11" x14ac:dyDescent="0.2">
      <c r="B95" s="3"/>
      <c r="C95" s="3"/>
      <c r="D95" s="3"/>
      <c r="F95" s="3"/>
      <c r="G95" s="3"/>
      <c r="J95" s="3"/>
      <c r="K95" s="3"/>
    </row>
    <row r="96" spans="2:11" x14ac:dyDescent="0.2">
      <c r="B96" s="3"/>
      <c r="C96" s="3"/>
      <c r="D96" s="3"/>
      <c r="F96" s="3"/>
      <c r="G96" s="3"/>
      <c r="J96" s="3"/>
      <c r="K96" s="3"/>
    </row>
    <row r="97" spans="1:11" x14ac:dyDescent="0.2">
      <c r="B97" s="3"/>
      <c r="C97" s="3"/>
      <c r="D97" s="3"/>
      <c r="F97" s="3"/>
      <c r="G97" s="3"/>
      <c r="J97" s="3"/>
      <c r="K97" s="3"/>
    </row>
    <row r="98" spans="1:11" x14ac:dyDescent="0.2">
      <c r="B98" s="3"/>
    </row>
    <row r="99" spans="1:11" x14ac:dyDescent="0.2">
      <c r="A99" s="8"/>
      <c r="B99" s="8"/>
      <c r="C99" s="8"/>
      <c r="D99" s="8"/>
      <c r="E99" s="8"/>
      <c r="F99" s="8"/>
      <c r="G99" s="8"/>
      <c r="H99" s="8"/>
      <c r="I99" s="8"/>
    </row>
    <row r="100" spans="1:11" x14ac:dyDescent="0.2">
      <c r="B100" s="3"/>
      <c r="C100" s="3"/>
      <c r="D100" s="3"/>
      <c r="F100" s="4"/>
      <c r="G100" s="3"/>
      <c r="H100" s="3"/>
      <c r="I100" s="3"/>
    </row>
    <row r="101" spans="1:11" x14ac:dyDescent="0.2">
      <c r="B101" s="3"/>
      <c r="C101" s="3"/>
      <c r="D101" s="3"/>
      <c r="F101" s="4"/>
      <c r="G101" s="3"/>
      <c r="H101" s="3"/>
      <c r="I101" s="3"/>
    </row>
    <row r="102" spans="1:11" x14ac:dyDescent="0.2">
      <c r="B102" s="3"/>
      <c r="C102" s="3"/>
      <c r="D102" s="3"/>
      <c r="F102" s="4"/>
      <c r="G102" s="3"/>
      <c r="H102" s="3"/>
      <c r="I102" s="3"/>
    </row>
    <row r="103" spans="1:11" x14ac:dyDescent="0.2">
      <c r="B103" s="3"/>
      <c r="C103" s="3"/>
      <c r="D103" s="3"/>
      <c r="F103" s="5"/>
      <c r="G103" s="3"/>
      <c r="H103" s="3"/>
      <c r="I103" s="3"/>
    </row>
    <row r="104" spans="1:11" x14ac:dyDescent="0.2">
      <c r="B104" s="3"/>
      <c r="C104" s="3"/>
      <c r="D104" s="3"/>
      <c r="F104" s="4"/>
      <c r="G104" s="3"/>
      <c r="H104" s="3"/>
      <c r="I104" s="3"/>
    </row>
    <row r="105" spans="1:11" x14ac:dyDescent="0.2">
      <c r="B105" s="3"/>
      <c r="C105" s="3"/>
      <c r="D105" s="3"/>
      <c r="F105" s="5"/>
      <c r="G105" s="3"/>
      <c r="H105" s="3"/>
      <c r="I105" s="3"/>
    </row>
    <row r="106" spans="1:11" x14ac:dyDescent="0.2">
      <c r="B106" s="3"/>
      <c r="C106" s="3"/>
      <c r="D106" s="3"/>
      <c r="F106" s="4"/>
      <c r="G106" s="3"/>
      <c r="H106" s="3"/>
      <c r="I106" s="3"/>
    </row>
    <row r="107" spans="1:11" x14ac:dyDescent="0.2">
      <c r="B107" s="3"/>
      <c r="C107" s="3"/>
      <c r="D107" s="3"/>
      <c r="F107" s="5"/>
      <c r="G107" s="3"/>
      <c r="H107" s="3"/>
      <c r="I107" s="3"/>
    </row>
    <row r="108" spans="1:11" x14ac:dyDescent="0.2">
      <c r="B108" s="3"/>
      <c r="C108" s="3"/>
      <c r="D108" s="3"/>
      <c r="F108" s="5"/>
      <c r="G108" s="3"/>
      <c r="H108" s="3"/>
      <c r="I108" s="3"/>
    </row>
    <row r="109" spans="1:11" x14ac:dyDescent="0.2">
      <c r="B109" s="3"/>
      <c r="C109" s="3"/>
      <c r="D109" s="3"/>
      <c r="F109" s="5"/>
      <c r="G109" s="3"/>
      <c r="H109" s="3"/>
      <c r="I109" s="3"/>
    </row>
    <row r="110" spans="1:11" x14ac:dyDescent="0.2">
      <c r="B110" s="3"/>
      <c r="C110" s="3"/>
      <c r="D110" s="3"/>
      <c r="F110" s="4"/>
      <c r="G110" s="3"/>
      <c r="H110" s="3"/>
      <c r="I110" s="3"/>
    </row>
    <row r="111" spans="1:11" x14ac:dyDescent="0.2">
      <c r="B111" s="3"/>
      <c r="C111" s="3"/>
      <c r="D111" s="3"/>
      <c r="F111" s="5"/>
      <c r="G111" s="3"/>
      <c r="H111" s="3"/>
      <c r="I111" s="3"/>
    </row>
    <row r="112" spans="1:11" x14ac:dyDescent="0.2">
      <c r="B112" s="3"/>
      <c r="C112" s="3"/>
      <c r="D112" s="3"/>
      <c r="F112" s="5"/>
      <c r="G112" s="3"/>
      <c r="H112" s="3"/>
      <c r="I112" s="3"/>
    </row>
    <row r="113" spans="2:9" x14ac:dyDescent="0.2">
      <c r="B113" s="3"/>
      <c r="C113" s="3"/>
      <c r="D113" s="3"/>
      <c r="F113" s="4"/>
      <c r="G113" s="3"/>
      <c r="H113" s="3"/>
      <c r="I113" s="3"/>
    </row>
    <row r="114" spans="2:9" x14ac:dyDescent="0.2">
      <c r="B114" s="3"/>
      <c r="C114" s="3"/>
      <c r="D114" s="3"/>
      <c r="F114" s="5"/>
      <c r="G114" s="3"/>
      <c r="H114" s="3"/>
      <c r="I114" s="3"/>
    </row>
    <row r="115" spans="2:9" x14ac:dyDescent="0.2">
      <c r="B115" s="3"/>
      <c r="C115" s="3"/>
      <c r="D115" s="3"/>
      <c r="F115" s="5"/>
      <c r="G115" s="3"/>
      <c r="H115" s="3"/>
      <c r="I115" s="3"/>
    </row>
    <row r="116" spans="2:9" x14ac:dyDescent="0.2">
      <c r="B116" s="3"/>
      <c r="C116" s="3"/>
      <c r="D116" s="3"/>
      <c r="F116" s="5"/>
      <c r="G116" s="3"/>
      <c r="H116" s="3"/>
      <c r="I116" s="3"/>
    </row>
    <row r="117" spans="2:9" x14ac:dyDescent="0.2">
      <c r="B117" s="3"/>
      <c r="C117" s="3"/>
      <c r="D117" s="3"/>
      <c r="F117" s="5"/>
      <c r="G117" s="3"/>
      <c r="H117" s="3"/>
      <c r="I117" s="3"/>
    </row>
    <row r="118" spans="2:9" x14ac:dyDescent="0.2">
      <c r="B118" s="3"/>
      <c r="C118" s="3"/>
      <c r="D118" s="3"/>
      <c r="F118" s="5"/>
      <c r="G118" s="3"/>
      <c r="H118" s="3"/>
      <c r="I118" s="3"/>
    </row>
    <row r="119" spans="2:9" x14ac:dyDescent="0.2">
      <c r="B119" s="3"/>
      <c r="C119" s="3"/>
      <c r="D119" s="3"/>
      <c r="F119" s="5"/>
      <c r="G119" s="3"/>
      <c r="H119" s="3"/>
      <c r="I119" s="3"/>
    </row>
    <row r="120" spans="2:9" x14ac:dyDescent="0.2">
      <c r="B120" s="3"/>
      <c r="C120" s="3"/>
      <c r="D120" s="3"/>
      <c r="F120" s="6"/>
      <c r="G120" s="3"/>
      <c r="H120" s="3"/>
      <c r="I120" s="3"/>
    </row>
    <row r="121" spans="2:9" x14ac:dyDescent="0.2">
      <c r="B121" s="3"/>
      <c r="C121" s="3"/>
      <c r="D121" s="3"/>
      <c r="F121" s="5"/>
      <c r="G121" s="3"/>
      <c r="H121" s="3"/>
      <c r="I121" s="3"/>
    </row>
    <row r="122" spans="2:9" x14ac:dyDescent="0.2">
      <c r="B122" s="3"/>
      <c r="C122" s="3"/>
      <c r="D122" s="3"/>
      <c r="F122" s="5"/>
      <c r="G122" s="3"/>
      <c r="H122" s="3"/>
      <c r="I122" s="3"/>
    </row>
    <row r="123" spans="2:9" x14ac:dyDescent="0.2">
      <c r="B123" s="3"/>
      <c r="C123" s="3"/>
      <c r="D123" s="3"/>
      <c r="F123" s="5"/>
      <c r="G123" s="3"/>
      <c r="H123" s="3"/>
      <c r="I123" s="3"/>
    </row>
    <row r="124" spans="2:9" x14ac:dyDescent="0.2">
      <c r="B124" s="3"/>
      <c r="C124" s="3"/>
      <c r="D124" s="3"/>
      <c r="F124" s="5"/>
      <c r="G124" s="3"/>
      <c r="H124" s="3"/>
      <c r="I124" s="3"/>
    </row>
    <row r="125" spans="2:9" x14ac:dyDescent="0.2">
      <c r="B125" s="3"/>
      <c r="C125" s="3"/>
      <c r="D125" s="3"/>
      <c r="F125" s="4"/>
      <c r="G125" s="3"/>
      <c r="H125" s="3"/>
      <c r="I125" s="3"/>
    </row>
    <row r="126" spans="2:9" x14ac:dyDescent="0.2">
      <c r="B126" s="3"/>
      <c r="C126" s="3"/>
      <c r="D126" s="3"/>
      <c r="F126" s="5"/>
      <c r="G126" s="3"/>
      <c r="H126" s="3"/>
      <c r="I126" s="3"/>
    </row>
    <row r="127" spans="2:9" x14ac:dyDescent="0.2">
      <c r="B127" s="3"/>
      <c r="C127" s="3"/>
      <c r="D127" s="3"/>
      <c r="F127" s="5"/>
      <c r="G127" s="3"/>
      <c r="H127" s="3"/>
      <c r="I127" s="3"/>
    </row>
    <row r="128" spans="2:9" x14ac:dyDescent="0.2">
      <c r="B128" s="3"/>
      <c r="C128" s="3"/>
      <c r="D128" s="3"/>
      <c r="F128" s="5"/>
      <c r="G128" s="3"/>
      <c r="H128" s="3"/>
      <c r="I128" s="3"/>
    </row>
    <row r="129" spans="2:9" x14ac:dyDescent="0.2">
      <c r="B129" s="3"/>
      <c r="C129" s="3"/>
      <c r="D129" s="3"/>
      <c r="F129" s="5"/>
      <c r="G129" s="3"/>
      <c r="H129" s="3"/>
      <c r="I129" s="3"/>
    </row>
    <row r="130" spans="2:9" x14ac:dyDescent="0.2">
      <c r="B130" s="3"/>
      <c r="C130" s="3"/>
      <c r="D130" s="3"/>
      <c r="F130" s="5"/>
      <c r="G130" s="3"/>
      <c r="H130" s="3"/>
      <c r="I130" s="3"/>
    </row>
    <row r="131" spans="2:9" x14ac:dyDescent="0.2">
      <c r="B131" s="3"/>
      <c r="C131" s="3"/>
      <c r="D131" s="3"/>
      <c r="F131" s="5"/>
      <c r="G131" s="3"/>
      <c r="H131" s="3"/>
      <c r="I131" s="3"/>
    </row>
    <row r="132" spans="2:9" x14ac:dyDescent="0.2">
      <c r="B132" s="3"/>
      <c r="C132" s="3"/>
      <c r="D132" s="3"/>
      <c r="F132" s="5"/>
      <c r="G132" s="3"/>
      <c r="H132" s="3"/>
      <c r="I132" s="3"/>
    </row>
    <row r="133" spans="2:9" x14ac:dyDescent="0.2">
      <c r="B133" s="3"/>
      <c r="C133" s="3"/>
      <c r="D133" s="3"/>
      <c r="F133" s="5"/>
      <c r="G133" s="3"/>
      <c r="H133" s="3"/>
      <c r="I133" s="3"/>
    </row>
    <row r="134" spans="2:9" x14ac:dyDescent="0.2">
      <c r="B134" s="3"/>
      <c r="C134" s="3"/>
      <c r="D134" s="3"/>
      <c r="F134" s="5"/>
      <c r="G134" s="3"/>
      <c r="H134" s="3"/>
      <c r="I134" s="3"/>
    </row>
    <row r="135" spans="2:9" x14ac:dyDescent="0.2">
      <c r="B135" s="3"/>
      <c r="C135" s="3"/>
      <c r="D135" s="3"/>
      <c r="F135" s="5"/>
      <c r="G135" s="3"/>
      <c r="H135" s="3"/>
      <c r="I135" s="3"/>
    </row>
    <row r="136" spans="2:9" x14ac:dyDescent="0.2">
      <c r="B136" s="3"/>
      <c r="C136" s="3"/>
      <c r="D136" s="3"/>
      <c r="F136" s="5"/>
      <c r="G136" s="3"/>
      <c r="H136" s="3"/>
      <c r="I136" s="3"/>
    </row>
    <row r="137" spans="2:9" x14ac:dyDescent="0.2">
      <c r="B137" s="3"/>
      <c r="C137" s="3"/>
      <c r="D137" s="3"/>
      <c r="F137" s="5"/>
      <c r="G137" s="3"/>
      <c r="H137" s="3"/>
      <c r="I137" s="3"/>
    </row>
    <row r="138" spans="2:9" x14ac:dyDescent="0.2">
      <c r="B138" s="3"/>
      <c r="C138" s="3"/>
      <c r="D138" s="3"/>
      <c r="F138" s="5"/>
      <c r="G138" s="3"/>
      <c r="H138" s="3"/>
      <c r="I138" s="3"/>
    </row>
    <row r="139" spans="2:9" x14ac:dyDescent="0.2">
      <c r="B139" s="3"/>
      <c r="C139" s="3"/>
      <c r="D139" s="3"/>
      <c r="F139" s="4"/>
      <c r="G139" s="3"/>
      <c r="H139" s="3"/>
      <c r="I139" s="3"/>
    </row>
    <row r="140" spans="2:9" x14ac:dyDescent="0.2">
      <c r="B140" s="3"/>
      <c r="C140" s="3"/>
      <c r="D140" s="3"/>
      <c r="F140" s="5"/>
      <c r="G140" s="3"/>
      <c r="H140" s="3"/>
      <c r="I140" s="3"/>
    </row>
    <row r="141" spans="2:9" x14ac:dyDescent="0.2">
      <c r="B141" s="3"/>
      <c r="C141" s="3"/>
      <c r="D141" s="3"/>
      <c r="F141" s="5"/>
      <c r="G141" s="3"/>
      <c r="H141" s="3"/>
      <c r="I141" s="3"/>
    </row>
    <row r="142" spans="2:9" x14ac:dyDescent="0.2">
      <c r="B142" s="3"/>
      <c r="C142" s="3"/>
      <c r="D142" s="3"/>
      <c r="F142" s="5"/>
      <c r="G142" s="3"/>
      <c r="H142" s="3"/>
      <c r="I142" s="3"/>
    </row>
    <row r="143" spans="2:9" x14ac:dyDescent="0.2">
      <c r="B143" s="3"/>
      <c r="C143" s="3"/>
      <c r="D143" s="3"/>
      <c r="F143" s="5"/>
      <c r="G143" s="3"/>
      <c r="H143" s="3"/>
      <c r="I143" s="3"/>
    </row>
    <row r="144" spans="2:9" x14ac:dyDescent="0.2">
      <c r="B144" s="3"/>
      <c r="C144" s="3"/>
      <c r="D144" s="3"/>
      <c r="F144" s="5"/>
      <c r="G144" s="3"/>
      <c r="H144" s="3"/>
      <c r="I144" s="3"/>
    </row>
    <row r="145" spans="2:9" x14ac:dyDescent="0.2">
      <c r="B145" s="3"/>
      <c r="C145" s="3"/>
      <c r="D145" s="3"/>
      <c r="F145" s="4"/>
      <c r="G145" s="3"/>
      <c r="H145" s="3"/>
      <c r="I145" s="3"/>
    </row>
    <row r="146" spans="2:9" x14ac:dyDescent="0.2">
      <c r="B146" s="3"/>
      <c r="C146" s="3"/>
      <c r="D146" s="3"/>
      <c r="F146" s="4"/>
      <c r="G146" s="3"/>
      <c r="H146" s="3"/>
      <c r="I146" s="3"/>
    </row>
    <row r="147" spans="2:9" x14ac:dyDescent="0.2">
      <c r="B147" s="3"/>
      <c r="C147" s="3"/>
      <c r="D147" s="3"/>
      <c r="F147" s="5"/>
      <c r="G147" s="3"/>
      <c r="H147" s="3"/>
      <c r="I147" s="3"/>
    </row>
    <row r="148" spans="2:9" x14ac:dyDescent="0.2">
      <c r="B148" s="3"/>
      <c r="C148" s="3"/>
      <c r="D148" s="3"/>
      <c r="F148" s="5"/>
      <c r="G148" s="3"/>
      <c r="H148" s="3"/>
      <c r="I148" s="3"/>
    </row>
    <row r="149" spans="2:9" x14ac:dyDescent="0.2">
      <c r="B149" s="3"/>
      <c r="C149" s="3"/>
      <c r="D149" s="3"/>
      <c r="F149" s="4"/>
      <c r="G149" s="3"/>
      <c r="H149" s="3"/>
      <c r="I149" s="3"/>
    </row>
    <row r="150" spans="2:9" x14ac:dyDescent="0.2">
      <c r="B150" s="3"/>
      <c r="C150" s="3"/>
      <c r="D150" s="3"/>
      <c r="F150" s="7"/>
      <c r="G150" s="3"/>
      <c r="H150" s="3"/>
      <c r="I150" s="3"/>
    </row>
    <row r="151" spans="2:9" x14ac:dyDescent="0.2">
      <c r="B151" s="3"/>
      <c r="C151" s="3"/>
      <c r="D151" s="3"/>
      <c r="F151" s="4"/>
      <c r="G151" s="3"/>
      <c r="H151" s="3"/>
      <c r="I151" s="3"/>
    </row>
    <row r="152" spans="2:9" x14ac:dyDescent="0.2">
      <c r="B152" s="3"/>
      <c r="C152" s="3"/>
      <c r="D152" s="3"/>
      <c r="F152" s="4"/>
      <c r="G152" s="3"/>
      <c r="H152" s="3"/>
      <c r="I152" s="3"/>
    </row>
    <row r="153" spans="2:9" x14ac:dyDescent="0.2">
      <c r="B153" s="3"/>
      <c r="C153" s="3"/>
      <c r="D153" s="3"/>
      <c r="F153" s="4"/>
      <c r="G153" s="3"/>
      <c r="H153" s="3"/>
      <c r="I153" s="3"/>
    </row>
    <row r="154" spans="2:9" x14ac:dyDescent="0.2">
      <c r="B154" s="3"/>
      <c r="C154" s="3"/>
      <c r="D154" s="3"/>
      <c r="F154" s="4"/>
      <c r="G154" s="3"/>
      <c r="H154" s="3"/>
      <c r="I154" s="3"/>
    </row>
    <row r="155" spans="2:9" x14ac:dyDescent="0.2">
      <c r="B155" s="3"/>
      <c r="C155" s="3"/>
      <c r="D155" s="3"/>
      <c r="F155" s="4"/>
      <c r="G155" s="3"/>
      <c r="H155" s="3"/>
      <c r="I155" s="3"/>
    </row>
    <row r="156" spans="2:9" x14ac:dyDescent="0.2">
      <c r="B156" s="3"/>
      <c r="C156" s="3"/>
      <c r="D156" s="3"/>
      <c r="F156" s="4"/>
      <c r="G156" s="3"/>
      <c r="H156" s="3"/>
      <c r="I156" s="3"/>
    </row>
    <row r="157" spans="2:9" x14ac:dyDescent="0.2">
      <c r="B157" s="3"/>
      <c r="C157" s="3"/>
      <c r="D157" s="3"/>
      <c r="F157" s="5"/>
      <c r="G157" s="3"/>
      <c r="H157" s="3"/>
      <c r="I157" s="3"/>
    </row>
    <row r="158" spans="2:9" x14ac:dyDescent="0.2">
      <c r="B158" s="3"/>
      <c r="C158" s="3"/>
      <c r="D158" s="3"/>
      <c r="F158" s="5"/>
      <c r="G158" s="3"/>
      <c r="H158" s="3"/>
      <c r="I158" s="3"/>
    </row>
    <row r="159" spans="2:9" x14ac:dyDescent="0.2">
      <c r="B159" s="3"/>
      <c r="C159" s="3"/>
      <c r="D159" s="3"/>
      <c r="F159" s="5"/>
      <c r="G159" s="3"/>
      <c r="H159" s="3"/>
      <c r="I159" s="3"/>
    </row>
    <row r="160" spans="2:9" x14ac:dyDescent="0.2">
      <c r="B160" s="3"/>
      <c r="C160" s="3"/>
      <c r="D160" s="3"/>
      <c r="F160" s="6"/>
      <c r="G160" s="3"/>
      <c r="H160" s="3"/>
      <c r="I160" s="3"/>
    </row>
    <row r="161" spans="2:9" x14ac:dyDescent="0.2">
      <c r="B161" s="3"/>
      <c r="C161" s="3"/>
      <c r="D161" s="3"/>
      <c r="F161" s="5"/>
      <c r="G161" s="3"/>
      <c r="H161" s="3"/>
      <c r="I161" s="3"/>
    </row>
    <row r="162" spans="2:9" x14ac:dyDescent="0.2">
      <c r="B162" s="3"/>
      <c r="C162" s="3"/>
      <c r="D162" s="3"/>
      <c r="F162" s="5"/>
      <c r="G162" s="3"/>
      <c r="H162" s="3"/>
      <c r="I162" s="3"/>
    </row>
    <row r="163" spans="2:9" x14ac:dyDescent="0.2">
      <c r="B163" s="3"/>
      <c r="C163" s="3"/>
      <c r="D163" s="3"/>
      <c r="F163" s="6"/>
      <c r="G163" s="3"/>
      <c r="H163" s="3"/>
      <c r="I163" s="3"/>
    </row>
    <row r="164" spans="2:9" x14ac:dyDescent="0.2">
      <c r="B164" s="3"/>
      <c r="C164" s="3"/>
      <c r="D164" s="3"/>
      <c r="F164" s="5"/>
      <c r="G164" s="3"/>
      <c r="H164" s="3"/>
      <c r="I164" s="3"/>
    </row>
    <row r="165" spans="2:9" x14ac:dyDescent="0.2">
      <c r="B165" s="3"/>
      <c r="C165" s="3"/>
      <c r="D165" s="3"/>
      <c r="F165" s="6"/>
      <c r="G165" s="3"/>
      <c r="H165" s="3"/>
      <c r="I165" s="3"/>
    </row>
    <row r="166" spans="2:9" x14ac:dyDescent="0.2">
      <c r="B166" s="3"/>
      <c r="C166" s="3"/>
      <c r="D166" s="3"/>
      <c r="F166" s="5"/>
      <c r="G166" s="3"/>
      <c r="H166" s="3"/>
      <c r="I166" s="3"/>
    </row>
    <row r="167" spans="2:9" x14ac:dyDescent="0.2">
      <c r="B167" s="3"/>
      <c r="C167" s="3"/>
      <c r="D167" s="3"/>
      <c r="F167" s="5"/>
      <c r="G167" s="3"/>
      <c r="H167" s="3"/>
      <c r="I167" s="3"/>
    </row>
    <row r="168" spans="2:9" x14ac:dyDescent="0.2">
      <c r="B168" s="3"/>
      <c r="C168" s="3"/>
      <c r="D168" s="3"/>
      <c r="F168" s="5"/>
      <c r="G168" s="3"/>
      <c r="H168" s="3"/>
      <c r="I168" s="3"/>
    </row>
    <row r="169" spans="2:9" x14ac:dyDescent="0.2">
      <c r="B169" s="3"/>
      <c r="C169" s="3"/>
      <c r="D169" s="3"/>
      <c r="F169" s="6"/>
      <c r="G169" s="3"/>
      <c r="H169" s="3"/>
      <c r="I169" s="3"/>
    </row>
    <row r="170" spans="2:9" x14ac:dyDescent="0.2">
      <c r="B170" s="3"/>
      <c r="C170" s="3"/>
      <c r="D170" s="3"/>
      <c r="F170" s="6"/>
      <c r="G170" s="3"/>
      <c r="H170" s="3"/>
      <c r="I170" s="3"/>
    </row>
    <row r="171" spans="2:9" x14ac:dyDescent="0.2">
      <c r="B171" s="3"/>
      <c r="C171" s="3"/>
      <c r="D171" s="3"/>
      <c r="F171" s="5"/>
      <c r="G171" s="3"/>
      <c r="H171" s="3"/>
      <c r="I171" s="3"/>
    </row>
    <row r="172" spans="2:9" x14ac:dyDescent="0.2">
      <c r="B172" s="3"/>
      <c r="C172" s="3"/>
      <c r="D172" s="3"/>
      <c r="F172" s="6"/>
      <c r="G172" s="3"/>
      <c r="H172" s="3"/>
      <c r="I172" s="3"/>
    </row>
    <row r="173" spans="2:9" x14ac:dyDescent="0.2">
      <c r="B173" s="3"/>
      <c r="C173" s="3"/>
      <c r="D173" s="3"/>
      <c r="F173" s="5"/>
      <c r="G173" s="3"/>
      <c r="H173" s="3"/>
      <c r="I173" s="3"/>
    </row>
    <row r="174" spans="2:9" x14ac:dyDescent="0.2">
      <c r="B174" s="3"/>
      <c r="C174" s="3"/>
      <c r="D174" s="3"/>
      <c r="F174" s="6"/>
      <c r="G174" s="3"/>
      <c r="H174" s="3"/>
      <c r="I174" s="3"/>
    </row>
    <row r="175" spans="2:9" x14ac:dyDescent="0.2">
      <c r="B175" s="3"/>
      <c r="C175" s="3"/>
      <c r="D175" s="3"/>
      <c r="F175" s="6"/>
      <c r="G175" s="3"/>
      <c r="H175" s="3"/>
      <c r="I175" s="3"/>
    </row>
    <row r="176" spans="2:9" x14ac:dyDescent="0.2">
      <c r="B176" s="3"/>
      <c r="C176" s="3"/>
      <c r="D176" s="3"/>
      <c r="F176" s="6"/>
      <c r="G176" s="3"/>
      <c r="H176" s="3"/>
      <c r="I176" s="3"/>
    </row>
    <row r="177" spans="2:9" x14ac:dyDescent="0.2">
      <c r="B177" s="3"/>
      <c r="C177" s="3"/>
      <c r="D177" s="3"/>
      <c r="F177" s="6"/>
      <c r="G177" s="3"/>
      <c r="H177" s="3"/>
      <c r="I177" s="3"/>
    </row>
    <row r="178" spans="2:9" x14ac:dyDescent="0.2">
      <c r="B178" s="3"/>
      <c r="C178" s="3"/>
      <c r="D178" s="3"/>
      <c r="F178" s="6"/>
      <c r="G178" s="3"/>
      <c r="H178" s="3"/>
      <c r="I178" s="3"/>
    </row>
    <row r="179" spans="2:9" x14ac:dyDescent="0.2">
      <c r="B179" s="3"/>
      <c r="C179" s="3"/>
      <c r="D179" s="3"/>
      <c r="F179" s="5"/>
      <c r="G179" s="3"/>
      <c r="H179" s="3"/>
      <c r="I179" s="3"/>
    </row>
    <row r="180" spans="2:9" x14ac:dyDescent="0.2">
      <c r="B180" s="3"/>
      <c r="C180" s="3"/>
      <c r="D180" s="3"/>
      <c r="F180" s="6"/>
      <c r="G180" s="3"/>
      <c r="H180" s="3"/>
      <c r="I180" s="3"/>
    </row>
    <row r="181" spans="2:9" x14ac:dyDescent="0.2">
      <c r="B181" s="3"/>
      <c r="C181" s="3"/>
      <c r="D181" s="3"/>
      <c r="F181" s="6"/>
      <c r="G181" s="3"/>
      <c r="H181" s="3"/>
      <c r="I181" s="3"/>
    </row>
    <row r="182" spans="2:9" x14ac:dyDescent="0.2">
      <c r="B182" s="3"/>
      <c r="C182" s="3"/>
      <c r="D182" s="3"/>
      <c r="F182" s="6"/>
      <c r="G182" s="3"/>
      <c r="H182" s="3"/>
      <c r="I182" s="3"/>
    </row>
    <row r="183" spans="2:9" x14ac:dyDescent="0.2">
      <c r="B183" s="3"/>
      <c r="C183" s="3"/>
      <c r="D183" s="3"/>
      <c r="F183" s="6"/>
      <c r="G183" s="3"/>
      <c r="H183" s="3"/>
      <c r="I183" s="3"/>
    </row>
    <row r="184" spans="2:9" x14ac:dyDescent="0.2">
      <c r="B184" s="3"/>
      <c r="C184" s="3"/>
      <c r="D184" s="3"/>
      <c r="F184" s="6"/>
      <c r="G184" s="3"/>
      <c r="H184" s="3"/>
      <c r="I184" s="3"/>
    </row>
    <row r="185" spans="2:9" x14ac:dyDescent="0.2">
      <c r="B185" s="3"/>
      <c r="C185" s="3"/>
      <c r="D185" s="3"/>
      <c r="F185" s="6"/>
      <c r="G185" s="3"/>
      <c r="H185" s="3"/>
      <c r="I185" s="3"/>
    </row>
    <row r="186" spans="2:9" x14ac:dyDescent="0.2">
      <c r="B186" s="3"/>
      <c r="C186" s="3"/>
      <c r="D186" s="3"/>
      <c r="F186" s="6"/>
      <c r="G186" s="3"/>
      <c r="H186" s="3"/>
      <c r="I186" s="3"/>
    </row>
    <row r="187" spans="2:9" x14ac:dyDescent="0.2">
      <c r="B187" s="3"/>
      <c r="C187" s="3"/>
      <c r="D187" s="3"/>
      <c r="F187" s="6"/>
      <c r="G187" s="3"/>
      <c r="H187" s="3"/>
      <c r="I187" s="3"/>
    </row>
    <row r="188" spans="2:9" x14ac:dyDescent="0.2">
      <c r="B188" s="3"/>
      <c r="C188" s="3"/>
      <c r="D188" s="3"/>
      <c r="F188" s="6"/>
      <c r="G188" s="3"/>
      <c r="H188" s="3"/>
      <c r="I188" s="3"/>
    </row>
    <row r="189" spans="2:9" x14ac:dyDescent="0.2">
      <c r="B189" s="3"/>
      <c r="C189" s="3"/>
      <c r="D189" s="3"/>
      <c r="F189" s="6"/>
      <c r="G189" s="3"/>
      <c r="H189" s="3"/>
      <c r="I189" s="3"/>
    </row>
    <row r="190" spans="2:9" x14ac:dyDescent="0.2">
      <c r="B190" s="3"/>
      <c r="C190" s="3"/>
      <c r="D190" s="3"/>
      <c r="F190" s="6"/>
      <c r="G190" s="3"/>
      <c r="H190" s="3"/>
      <c r="I190" s="3"/>
    </row>
    <row r="191" spans="2:9" x14ac:dyDescent="0.2">
      <c r="B191" s="3"/>
      <c r="C191" s="3"/>
      <c r="D191" s="3"/>
      <c r="F191" s="6"/>
      <c r="G191" s="3"/>
      <c r="H191" s="3"/>
      <c r="I191" s="3"/>
    </row>
    <row r="192" spans="2:9" x14ac:dyDescent="0.2">
      <c r="B192" s="3"/>
      <c r="C192" s="3"/>
      <c r="D192" s="3"/>
      <c r="F192" s="6"/>
      <c r="G192" s="3"/>
      <c r="H192" s="3"/>
      <c r="I192" s="3"/>
    </row>
    <row r="193" spans="2:9" x14ac:dyDescent="0.2">
      <c r="B193" s="3"/>
      <c r="C193" s="3"/>
      <c r="D193" s="3"/>
      <c r="F193" s="6"/>
      <c r="G193" s="3"/>
      <c r="H193" s="3"/>
      <c r="I193" s="3"/>
    </row>
    <row r="194" spans="2:9" x14ac:dyDescent="0.2">
      <c r="B194" s="3"/>
    </row>
    <row r="195" spans="2:9" x14ac:dyDescent="0.2">
      <c r="C195" s="3"/>
      <c r="D195" s="3"/>
      <c r="G195" s="3"/>
      <c r="H195" s="3"/>
    </row>
  </sheetData>
  <sortState ref="F99:K193">
    <sortCondition descending="1" ref="I99:I1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106"/>
  <sheetViews>
    <sheetView tabSelected="1" zoomScale="180" zoomScaleNormal="180" zoomScalePageLayoutView="200" workbookViewId="0">
      <selection activeCell="A50" sqref="A50"/>
    </sheetView>
  </sheetViews>
  <sheetFormatPr baseColWidth="10" defaultRowHeight="10" x14ac:dyDescent="0.15"/>
  <cols>
    <col min="1" max="1" width="12.5" style="67" bestFit="1" customWidth="1"/>
    <col min="2" max="2" width="3.1640625" style="67" bestFit="1" customWidth="1"/>
    <col min="3" max="3" width="4.83203125" style="68" bestFit="1" customWidth="1"/>
    <col min="4" max="4" width="2.83203125" style="68" bestFit="1" customWidth="1"/>
    <col min="5" max="5" width="6.1640625" style="68" bestFit="1" customWidth="1"/>
    <col min="6" max="6" width="5.33203125" style="68" bestFit="1" customWidth="1"/>
    <col min="7" max="7" width="4.1640625" style="69" bestFit="1" customWidth="1"/>
    <col min="8" max="8" width="5.1640625" style="69" bestFit="1" customWidth="1"/>
    <col min="9" max="9" width="7" style="70" bestFit="1" customWidth="1"/>
    <col min="10" max="10" width="7.33203125" style="70" bestFit="1" customWidth="1"/>
    <col min="11" max="11" width="7.1640625" style="70" bestFit="1" customWidth="1"/>
    <col min="12" max="12" width="8.83203125" style="70" bestFit="1" customWidth="1"/>
    <col min="13" max="13" width="7.1640625" style="70" bestFit="1" customWidth="1"/>
    <col min="14" max="14" width="8.83203125" style="70" bestFit="1" customWidth="1"/>
    <col min="15" max="15" width="7.83203125" style="70" bestFit="1" customWidth="1"/>
    <col min="16" max="16" width="9.5" style="70" bestFit="1" customWidth="1"/>
    <col min="17" max="17" width="9" style="70" bestFit="1" customWidth="1"/>
    <col min="18" max="18" width="10.83203125" style="70" bestFit="1" customWidth="1"/>
    <col min="19" max="19" width="8" style="70" bestFit="1" customWidth="1"/>
    <col min="20" max="20" width="9.6640625" style="70" bestFit="1" customWidth="1"/>
    <col min="21" max="21" width="8.33203125" style="70" bestFit="1" customWidth="1"/>
    <col min="22" max="23" width="10" style="70" bestFit="1" customWidth="1"/>
    <col min="24" max="24" width="11.83203125" style="70" bestFit="1" customWidth="1"/>
    <col min="25" max="25" width="7.83203125" style="70" bestFit="1" customWidth="1"/>
    <col min="26" max="27" width="9.5" style="70" bestFit="1" customWidth="1"/>
    <col min="28" max="28" width="11.1640625" style="70" bestFit="1" customWidth="1"/>
    <col min="29" max="29" width="6.1640625" style="71" bestFit="1" customWidth="1"/>
    <col min="30" max="30" width="7.5" style="71" bestFit="1" customWidth="1"/>
    <col min="31" max="31" width="6.5" style="71" bestFit="1" customWidth="1"/>
    <col min="32" max="32" width="13.83203125" style="70" bestFit="1" customWidth="1"/>
    <col min="33" max="33" width="15.1640625" style="70" bestFit="1" customWidth="1"/>
    <col min="34" max="34" width="7.1640625" style="70" bestFit="1" customWidth="1"/>
    <col min="35" max="35" width="8.5" style="70" bestFit="1" customWidth="1"/>
    <col min="36" max="36" width="12.33203125" style="70" bestFit="1" customWidth="1"/>
    <col min="37" max="37" width="6.5" style="72" bestFit="1" customWidth="1"/>
    <col min="38" max="38" width="13.83203125" style="70" bestFit="1" customWidth="1"/>
    <col min="39" max="39" width="8" style="72" bestFit="1" customWidth="1"/>
    <col min="40" max="40" width="13.6640625" style="70" bestFit="1" customWidth="1"/>
    <col min="41" max="41" width="7.83203125" style="72" bestFit="1" customWidth="1"/>
    <col min="42" max="42" width="15.1640625" style="70" bestFit="1" customWidth="1"/>
    <col min="43" max="43" width="9.33203125" style="72" bestFit="1" customWidth="1"/>
    <col min="44" max="44" width="12.33203125" style="70" bestFit="1" customWidth="1"/>
    <col min="45" max="45" width="6.5" style="72" bestFit="1" customWidth="1"/>
    <col min="46" max="46" width="13.83203125" style="70" bestFit="1" customWidth="1"/>
    <col min="47" max="47" width="8" style="72" bestFit="1" customWidth="1"/>
    <col min="48" max="48" width="13.6640625" style="70" bestFit="1" customWidth="1"/>
    <col min="49" max="49" width="7.83203125" style="72" bestFit="1" customWidth="1"/>
    <col min="50" max="50" width="15.1640625" style="70" bestFit="1" customWidth="1"/>
    <col min="51" max="51" width="9.33203125" style="72" bestFit="1" customWidth="1"/>
    <col min="52" max="52" width="6.83203125" style="70" bestFit="1" customWidth="1"/>
    <col min="53" max="54" width="7.83203125" style="70" bestFit="1" customWidth="1"/>
    <col min="55" max="55" width="9.6640625" style="70" bestFit="1" customWidth="1"/>
    <col min="56" max="56" width="6.6640625" style="70" bestFit="1" customWidth="1"/>
    <col min="57" max="58" width="6.83203125" style="70" bestFit="1" customWidth="1"/>
    <col min="59" max="60" width="8.6640625" style="70" bestFit="1" customWidth="1"/>
    <col min="61" max="61" width="10.6640625" style="70" bestFit="1" customWidth="1"/>
    <col min="62" max="62" width="7.5" style="70" bestFit="1" customWidth="1"/>
    <col min="63" max="63" width="7" style="70" bestFit="1" customWidth="1"/>
    <col min="64" max="64" width="6.83203125" style="70" bestFit="1" customWidth="1"/>
    <col min="65" max="65" width="6" style="70" bestFit="1" customWidth="1"/>
    <col min="66" max="66" width="5.6640625" style="70" bestFit="1" customWidth="1"/>
    <col min="67" max="67" width="7.6640625" style="70" bestFit="1" customWidth="1"/>
    <col min="68" max="68" width="4.6640625" style="70" bestFit="1" customWidth="1"/>
    <col min="69" max="69" width="6.83203125" style="70" bestFit="1" customWidth="1"/>
    <col min="70" max="70" width="6.33203125" style="70" bestFit="1" customWidth="1"/>
    <col min="71" max="72" width="7.1640625" style="70" bestFit="1" customWidth="1"/>
    <col min="73" max="73" width="9" style="70" bestFit="1" customWidth="1"/>
    <col min="74" max="75" width="6.83203125" style="70" bestFit="1" customWidth="1"/>
    <col min="76" max="76" width="5.5" style="70" bestFit="1" customWidth="1"/>
    <col min="77" max="78" width="7.1640625" style="70" bestFit="1" customWidth="1"/>
    <col min="79" max="79" width="9" style="70" bestFit="1" customWidth="1"/>
    <col min="80" max="80" width="6" style="70" bestFit="1" customWidth="1"/>
    <col min="81" max="81" width="5.6640625" style="70" bestFit="1" customWidth="1"/>
    <col min="82" max="82" width="5.33203125" style="70" bestFit="1" customWidth="1"/>
    <col min="83" max="84" width="7" style="70" bestFit="1" customWidth="1"/>
    <col min="85" max="85" width="9" style="70" bestFit="1" customWidth="1"/>
    <col min="86" max="86" width="6" style="70" bestFit="1" customWidth="1"/>
    <col min="87" max="87" width="5.5" style="70" bestFit="1" customWidth="1"/>
    <col min="88" max="88" width="6.83203125" style="70" bestFit="1" customWidth="1"/>
    <col min="89" max="90" width="6.5" style="70" bestFit="1" customWidth="1"/>
    <col min="91" max="91" width="8.33203125" style="70" bestFit="1" customWidth="1"/>
    <col min="92" max="93" width="6.83203125" style="70" bestFit="1" customWidth="1"/>
    <col min="94" max="94" width="5.83203125" style="70" customWidth="1"/>
    <col min="95" max="96" width="5.6640625" style="70" bestFit="1" customWidth="1"/>
    <col min="97" max="97" width="7.5" style="70" bestFit="1" customWidth="1"/>
    <col min="98" max="99" width="6.83203125" style="70" bestFit="1" customWidth="1"/>
    <col min="100" max="100" width="6" style="70" bestFit="1" customWidth="1"/>
    <col min="101" max="101" width="6.83203125" style="70" bestFit="1" customWidth="1"/>
    <col min="102" max="102" width="7" style="70" bestFit="1" customWidth="1"/>
    <col min="103" max="103" width="8.83203125" style="70" bestFit="1" customWidth="1"/>
    <col min="104" max="105" width="6.83203125" style="70" bestFit="1" customWidth="1"/>
    <col min="106" max="106" width="5.83203125" style="70" bestFit="1" customWidth="1"/>
    <col min="107" max="108" width="6.33203125" style="70" bestFit="1" customWidth="1"/>
    <col min="109" max="109" width="8.1640625" style="70" bestFit="1" customWidth="1"/>
    <col min="110" max="110" width="10.33203125" style="70" bestFit="1" customWidth="1"/>
    <col min="111" max="111" width="6.83203125" style="70" customWidth="1"/>
    <col min="112" max="112" width="5.5" style="70" bestFit="1" customWidth="1"/>
    <col min="113" max="114" width="7" style="70" bestFit="1" customWidth="1"/>
    <col min="115" max="115" width="8.83203125" style="70" bestFit="1" customWidth="1"/>
    <col min="116" max="116" width="6" style="70" bestFit="1" customWidth="1"/>
    <col min="117" max="117" width="6.33203125" style="70" bestFit="1" customWidth="1"/>
    <col min="118" max="118" width="5.83203125" style="70" bestFit="1" customWidth="1"/>
    <col min="119" max="120" width="6.1640625" style="70" bestFit="1" customWidth="1"/>
    <col min="121" max="121" width="8" style="70" bestFit="1" customWidth="1"/>
    <col min="122" max="122" width="6" style="70" bestFit="1" customWidth="1"/>
    <col min="123" max="123" width="6.33203125" style="70" bestFit="1" customWidth="1"/>
    <col min="124" max="124" width="5.5" style="70" bestFit="1" customWidth="1"/>
    <col min="125" max="126" width="6.5" style="70" bestFit="1" customWidth="1"/>
    <col min="127" max="127" width="8.33203125" style="70" bestFit="1" customWidth="1"/>
    <col min="128" max="128" width="5.5" style="70" bestFit="1" customWidth="1"/>
    <col min="129" max="129" width="6" style="70" bestFit="1" customWidth="1"/>
    <col min="130" max="130" width="5.5" style="70" bestFit="1" customWidth="1"/>
    <col min="131" max="132" width="6.5" style="70" bestFit="1" customWidth="1"/>
    <col min="133" max="133" width="8.33203125" style="70" bestFit="1" customWidth="1"/>
    <col min="134" max="135" width="6" style="70" bestFit="1" customWidth="1"/>
    <col min="136" max="136" width="5.5" style="70" bestFit="1" customWidth="1"/>
    <col min="137" max="138" width="6" style="70" bestFit="1" customWidth="1"/>
    <col min="139" max="139" width="8" style="70" bestFit="1" customWidth="1"/>
    <col min="140" max="141" width="6" style="70" bestFit="1" customWidth="1"/>
    <col min="142" max="142" width="6.83203125" style="70" bestFit="1" customWidth="1"/>
    <col min="143" max="144" width="6.6640625" style="70" bestFit="1" customWidth="1"/>
    <col min="145" max="145" width="8.5" style="70" bestFit="1" customWidth="1"/>
    <col min="146" max="147" width="7.33203125" style="70" bestFit="1" customWidth="1"/>
    <col min="148" max="148" width="6.83203125" style="70" bestFit="1" customWidth="1"/>
    <col min="149" max="150" width="6" style="70" bestFit="1" customWidth="1"/>
    <col min="151" max="151" width="7" style="70" bestFit="1" customWidth="1"/>
    <col min="152" max="152" width="6" style="70" bestFit="1" customWidth="1"/>
    <col min="153" max="153" width="6.83203125" style="70" bestFit="1" customWidth="1"/>
    <col min="154" max="154" width="6" style="70" bestFit="1" customWidth="1"/>
    <col min="155" max="156" width="7.33203125" style="70" bestFit="1" customWidth="1"/>
    <col min="157" max="157" width="9.1640625" style="70" bestFit="1" customWidth="1"/>
    <col min="158" max="158" width="6.1640625" style="70" bestFit="1" customWidth="1"/>
    <col min="159" max="159" width="6" style="70" bestFit="1" customWidth="1"/>
    <col min="160" max="160" width="7.33203125" style="70" bestFit="1" customWidth="1"/>
    <col min="161" max="162" width="9.1640625" style="70" bestFit="1" customWidth="1"/>
    <col min="163" max="163" width="11" style="70" bestFit="1" customWidth="1"/>
    <col min="164" max="164" width="8" style="70" bestFit="1" customWidth="1"/>
    <col min="165" max="165" width="7.5" style="70" bestFit="1" customWidth="1"/>
    <col min="166" max="166" width="6.83203125" style="70" bestFit="1" customWidth="1"/>
    <col min="167" max="168" width="8.5" style="70" bestFit="1" customWidth="1"/>
    <col min="169" max="169" width="10.5" style="70" bestFit="1" customWidth="1"/>
    <col min="170" max="170" width="7.33203125" style="70" bestFit="1" customWidth="1"/>
    <col min="171" max="171" width="7" style="70" bestFit="1" customWidth="1"/>
    <col min="172" max="172" width="6.83203125" style="70" bestFit="1" customWidth="1"/>
    <col min="173" max="174" width="8.5" style="70" bestFit="1" customWidth="1"/>
    <col min="175" max="175" width="10.33203125" style="70" bestFit="1" customWidth="1"/>
    <col min="176" max="176" width="7.5" style="70" bestFit="1" customWidth="1"/>
    <col min="177" max="177" width="7" style="70" bestFit="1" customWidth="1"/>
    <col min="178" max="178" width="6.1640625" style="70" bestFit="1" customWidth="1"/>
    <col min="179" max="179" width="7.83203125" style="70" bestFit="1" customWidth="1"/>
    <col min="180" max="180" width="8" style="70" bestFit="1" customWidth="1"/>
    <col min="181" max="181" width="9.83203125" style="70" bestFit="1" customWidth="1"/>
    <col min="182" max="182" width="6.83203125" style="70" bestFit="1" customWidth="1"/>
    <col min="183" max="183" width="6.33203125" style="70" bestFit="1" customWidth="1"/>
    <col min="184" max="184" width="6" style="70" bestFit="1" customWidth="1"/>
    <col min="185" max="186" width="7.83203125" style="70" bestFit="1" customWidth="1"/>
    <col min="187" max="187" width="9.83203125" style="70" bestFit="1" customWidth="1"/>
    <col min="188" max="188" width="6.6640625" style="70" bestFit="1" customWidth="1"/>
    <col min="189" max="189" width="6.1640625" style="70" bestFit="1" customWidth="1"/>
    <col min="190" max="190" width="6" style="70" bestFit="1" customWidth="1"/>
    <col min="191" max="192" width="6.6640625" style="70" bestFit="1" customWidth="1"/>
    <col min="193" max="193" width="8.5" style="70" bestFit="1" customWidth="1"/>
    <col min="194" max="194" width="5.5" style="70" bestFit="1" customWidth="1"/>
    <col min="195" max="195" width="6" style="70" bestFit="1" customWidth="1"/>
    <col min="196" max="196" width="6.83203125" style="70" bestFit="1" customWidth="1"/>
    <col min="197" max="198" width="6.33203125" style="70" bestFit="1" customWidth="1"/>
    <col min="199" max="199" width="8.1640625" style="70" bestFit="1" customWidth="1"/>
    <col min="200" max="200" width="5.33203125" style="70" bestFit="1" customWidth="1"/>
    <col min="201" max="201" width="6.83203125" style="70" bestFit="1" customWidth="1"/>
    <col min="202" max="202" width="6" style="70" bestFit="1" customWidth="1"/>
    <col min="203" max="204" width="6.1640625" style="70" bestFit="1" customWidth="1"/>
    <col min="205" max="205" width="8" style="70" bestFit="1" customWidth="1"/>
    <col min="206" max="206" width="5.5" style="70" bestFit="1" customWidth="1"/>
    <col min="207" max="209" width="6" style="70" bestFit="1" customWidth="1"/>
    <col min="210" max="210" width="6.1640625" style="70" bestFit="1" customWidth="1"/>
    <col min="211" max="211" width="8" style="70" bestFit="1" customWidth="1"/>
    <col min="212" max="212" width="5.5" style="70" bestFit="1" customWidth="1"/>
    <col min="213" max="214" width="6" style="70" bestFit="1" customWidth="1"/>
    <col min="215" max="215" width="5.83203125" style="70" bestFit="1" customWidth="1"/>
    <col min="216" max="216" width="6" style="70" bestFit="1" customWidth="1"/>
    <col min="217" max="217" width="7.83203125" style="70" bestFit="1" customWidth="1"/>
    <col min="218" max="220" width="6" style="70" bestFit="1" customWidth="1"/>
    <col min="221" max="222" width="7.6640625" style="70" bestFit="1" customWidth="1"/>
    <col min="223" max="223" width="9.5" style="70" bestFit="1" customWidth="1"/>
    <col min="224" max="224" width="6.6640625" style="70" bestFit="1" customWidth="1"/>
    <col min="225" max="225" width="6.1640625" style="70" bestFit="1" customWidth="1"/>
    <col min="226" max="226" width="7" style="70" bestFit="1" customWidth="1"/>
    <col min="227" max="228" width="8.6640625" style="70" bestFit="1" customWidth="1"/>
    <col min="229" max="229" width="10.5" style="70" bestFit="1" customWidth="1"/>
    <col min="230" max="230" width="7.6640625" style="70" bestFit="1" customWidth="1"/>
    <col min="231" max="231" width="7.1640625" style="70" bestFit="1" customWidth="1"/>
    <col min="232" max="232" width="5.5" style="70" bestFit="1" customWidth="1"/>
    <col min="233" max="234" width="6" style="70" bestFit="1" customWidth="1"/>
    <col min="235" max="235" width="7.83203125" style="70" bestFit="1" customWidth="1"/>
    <col min="236" max="236" width="5.5" style="70" bestFit="1" customWidth="1"/>
    <col min="237" max="237" width="6" style="70" bestFit="1" customWidth="1"/>
    <col min="238" max="238" width="7.5" style="70" bestFit="1" customWidth="1"/>
    <col min="239" max="240" width="9.33203125" style="70" bestFit="1" customWidth="1"/>
    <col min="241" max="241" width="11.1640625" style="70" bestFit="1" customWidth="1"/>
    <col min="242" max="242" width="8.1640625" style="70" bestFit="1" customWidth="1"/>
    <col min="243" max="243" width="7.6640625" style="70" bestFit="1" customWidth="1"/>
    <col min="244" max="244" width="8" style="70" bestFit="1" customWidth="1"/>
    <col min="245" max="246" width="9.83203125" style="70" bestFit="1" customWidth="1"/>
    <col min="247" max="247" width="11.6640625" style="70" bestFit="1" customWidth="1"/>
    <col min="248" max="248" width="8.6640625" style="70" bestFit="1" customWidth="1"/>
    <col min="249" max="249" width="8.1640625" style="70" bestFit="1" customWidth="1"/>
    <col min="250" max="250" width="5" style="70" bestFit="1" customWidth="1"/>
    <col min="251" max="252" width="5.83203125" style="70" bestFit="1" customWidth="1"/>
    <col min="253" max="253" width="7.6640625" style="70" bestFit="1" customWidth="1"/>
    <col min="254" max="255" width="5.5" style="70" bestFit="1" customWidth="1"/>
    <col min="256" max="256" width="6" style="70" bestFit="1" customWidth="1"/>
    <col min="257" max="257" width="7.5" style="70" bestFit="1" customWidth="1"/>
    <col min="258" max="258" width="7.6640625" style="70" bestFit="1" customWidth="1"/>
    <col min="259" max="259" width="9.5" style="70" bestFit="1" customWidth="1"/>
    <col min="260" max="260" width="6.5" style="70" bestFit="1" customWidth="1"/>
    <col min="261" max="264" width="6.83203125" style="70" bestFit="1" customWidth="1"/>
    <col min="265" max="265" width="8.5" style="70" bestFit="1" customWidth="1"/>
    <col min="266" max="266" width="6.83203125" style="70" bestFit="1" customWidth="1"/>
    <col min="267" max="267" width="7.33203125" style="70" bestFit="1" customWidth="1"/>
    <col min="268" max="268" width="5.6640625" style="70" bestFit="1" customWidth="1"/>
    <col min="269" max="270" width="7.5" style="70" bestFit="1" customWidth="1"/>
    <col min="271" max="271" width="9.33203125" style="70" bestFit="1" customWidth="1"/>
    <col min="272" max="272" width="6.33203125" style="70" bestFit="1" customWidth="1"/>
    <col min="273" max="273" width="5.83203125" style="70" bestFit="1" customWidth="1"/>
    <col min="274" max="274" width="7.6640625" style="70" bestFit="1" customWidth="1"/>
    <col min="275" max="276" width="9.1640625" style="70" bestFit="1" customWidth="1"/>
    <col min="277" max="277" width="11" style="70" bestFit="1" customWidth="1"/>
    <col min="278" max="278" width="8" style="70" bestFit="1" customWidth="1"/>
    <col min="279" max="279" width="7.6640625" style="70" bestFit="1" customWidth="1"/>
    <col min="280" max="280" width="16.83203125" style="70" customWidth="1"/>
    <col min="281" max="355" width="6.5" style="70" customWidth="1"/>
    <col min="356" max="356" width="6.83203125" style="70" bestFit="1" customWidth="1"/>
    <col min="357" max="357" width="12.1640625" style="70" customWidth="1"/>
    <col min="358" max="358" width="7" style="70" bestFit="1" customWidth="1"/>
    <col min="359" max="359" width="10.83203125" style="68"/>
    <col min="360" max="360" width="7.6640625" style="68" bestFit="1" customWidth="1"/>
    <col min="361" max="370" width="10.83203125" style="68"/>
    <col min="371" max="371" width="15" style="68" customWidth="1"/>
    <col min="372" max="16384" width="10.83203125" style="68"/>
  </cols>
  <sheetData>
    <row r="1" spans="1:360" s="83" customFormat="1" x14ac:dyDescent="0.15">
      <c r="A1" s="82"/>
      <c r="B1" s="82"/>
      <c r="AZ1" s="83">
        <v>1</v>
      </c>
      <c r="BA1" s="83">
        <v>1</v>
      </c>
      <c r="BB1" s="83">
        <v>1</v>
      </c>
      <c r="BC1" s="83">
        <v>1</v>
      </c>
      <c r="BD1" s="83">
        <v>1</v>
      </c>
      <c r="BE1" s="83">
        <v>1</v>
      </c>
      <c r="BF1" s="83">
        <v>2</v>
      </c>
      <c r="BG1" s="83">
        <v>2</v>
      </c>
      <c r="BH1" s="83">
        <v>2</v>
      </c>
      <c r="BI1" s="83">
        <v>2</v>
      </c>
      <c r="BJ1" s="83">
        <v>2</v>
      </c>
      <c r="BK1" s="83">
        <v>2</v>
      </c>
      <c r="BL1" s="83">
        <v>3</v>
      </c>
      <c r="BM1" s="83">
        <v>3</v>
      </c>
      <c r="BN1" s="83">
        <v>3</v>
      </c>
      <c r="BO1" s="83">
        <v>3</v>
      </c>
      <c r="BP1" s="83">
        <v>3</v>
      </c>
      <c r="BQ1" s="83">
        <v>3</v>
      </c>
      <c r="BR1" s="83">
        <v>4</v>
      </c>
      <c r="BS1" s="83">
        <v>4</v>
      </c>
      <c r="BT1" s="83">
        <v>4</v>
      </c>
      <c r="BU1" s="83">
        <v>4</v>
      </c>
      <c r="BV1" s="83">
        <v>4</v>
      </c>
      <c r="BW1" s="83">
        <v>4</v>
      </c>
      <c r="BX1" s="83">
        <v>5</v>
      </c>
      <c r="BY1" s="83">
        <v>5</v>
      </c>
      <c r="BZ1" s="83">
        <v>5</v>
      </c>
      <c r="CA1" s="83">
        <v>5</v>
      </c>
      <c r="CB1" s="83">
        <v>5</v>
      </c>
      <c r="CC1" s="83">
        <v>5</v>
      </c>
      <c r="CD1" s="83">
        <v>6</v>
      </c>
      <c r="CE1" s="83">
        <v>6</v>
      </c>
      <c r="CF1" s="83">
        <v>6</v>
      </c>
      <c r="CG1" s="83">
        <v>6</v>
      </c>
      <c r="CH1" s="83">
        <v>6</v>
      </c>
      <c r="CI1" s="83">
        <v>6</v>
      </c>
      <c r="CJ1" s="83">
        <v>7</v>
      </c>
      <c r="CK1" s="83">
        <v>7</v>
      </c>
      <c r="CL1" s="83">
        <v>7</v>
      </c>
      <c r="CM1" s="83">
        <v>7</v>
      </c>
      <c r="CN1" s="83">
        <v>7</v>
      </c>
      <c r="CO1" s="83">
        <v>7</v>
      </c>
      <c r="CP1" s="83">
        <v>8</v>
      </c>
      <c r="CQ1" s="83">
        <v>8</v>
      </c>
      <c r="CR1" s="83">
        <v>8</v>
      </c>
      <c r="CS1" s="83">
        <v>8</v>
      </c>
      <c r="CT1" s="83">
        <v>8</v>
      </c>
      <c r="CU1" s="83">
        <v>8</v>
      </c>
      <c r="CV1" s="83">
        <v>9</v>
      </c>
      <c r="CW1" s="83">
        <v>9</v>
      </c>
      <c r="CX1" s="83">
        <v>9</v>
      </c>
      <c r="CY1" s="83">
        <v>9</v>
      </c>
      <c r="CZ1" s="83">
        <v>9</v>
      </c>
      <c r="DA1" s="83">
        <v>9</v>
      </c>
      <c r="DB1" s="83">
        <v>10</v>
      </c>
      <c r="DC1" s="83">
        <v>10</v>
      </c>
      <c r="DD1" s="83">
        <v>10</v>
      </c>
      <c r="DE1" s="83">
        <v>10</v>
      </c>
      <c r="DF1" s="83">
        <v>10</v>
      </c>
      <c r="DG1" s="83">
        <v>10</v>
      </c>
      <c r="DH1" s="83">
        <v>11</v>
      </c>
      <c r="DI1" s="83">
        <v>11</v>
      </c>
      <c r="DJ1" s="83">
        <v>11</v>
      </c>
      <c r="DK1" s="83">
        <v>11</v>
      </c>
      <c r="DL1" s="83">
        <v>11</v>
      </c>
      <c r="DM1" s="83">
        <v>11</v>
      </c>
      <c r="DN1" s="83">
        <v>12</v>
      </c>
      <c r="DO1" s="83">
        <v>12</v>
      </c>
      <c r="DP1" s="83">
        <v>12</v>
      </c>
      <c r="DQ1" s="83">
        <v>12</v>
      </c>
      <c r="DR1" s="83">
        <v>12</v>
      </c>
      <c r="DS1" s="83">
        <v>12</v>
      </c>
      <c r="DT1" s="83">
        <v>13</v>
      </c>
      <c r="DU1" s="83">
        <v>13</v>
      </c>
      <c r="DV1" s="83">
        <v>13</v>
      </c>
      <c r="DW1" s="83">
        <v>13</v>
      </c>
      <c r="DX1" s="83">
        <v>13</v>
      </c>
      <c r="DY1" s="83">
        <v>13</v>
      </c>
      <c r="DZ1" s="83">
        <v>14</v>
      </c>
      <c r="EA1" s="83">
        <v>14</v>
      </c>
      <c r="EB1" s="83">
        <v>14</v>
      </c>
      <c r="EC1" s="83">
        <v>14</v>
      </c>
      <c r="ED1" s="83">
        <v>14</v>
      </c>
      <c r="EE1" s="83">
        <v>14</v>
      </c>
      <c r="EF1" s="83">
        <v>15</v>
      </c>
      <c r="EG1" s="83">
        <v>15</v>
      </c>
      <c r="EH1" s="83">
        <v>15</v>
      </c>
      <c r="EI1" s="83">
        <v>15</v>
      </c>
      <c r="EJ1" s="83">
        <v>15</v>
      </c>
      <c r="EK1" s="83">
        <v>15</v>
      </c>
      <c r="EL1" s="83">
        <v>16</v>
      </c>
      <c r="EM1" s="83">
        <v>16</v>
      </c>
      <c r="EN1" s="83">
        <v>16</v>
      </c>
      <c r="EO1" s="83">
        <v>16</v>
      </c>
      <c r="EP1" s="83">
        <v>16</v>
      </c>
      <c r="EQ1" s="83">
        <v>16</v>
      </c>
      <c r="ER1" s="83">
        <v>17</v>
      </c>
      <c r="ES1" s="83">
        <v>17</v>
      </c>
      <c r="ET1" s="83">
        <v>17</v>
      </c>
      <c r="EU1" s="83">
        <v>17</v>
      </c>
      <c r="EV1" s="83">
        <v>17</v>
      </c>
      <c r="EW1" s="83">
        <v>17</v>
      </c>
      <c r="EX1" s="83">
        <v>18</v>
      </c>
      <c r="EY1" s="83">
        <v>18</v>
      </c>
      <c r="EZ1" s="83">
        <v>18</v>
      </c>
      <c r="FA1" s="83">
        <v>18</v>
      </c>
      <c r="FB1" s="83">
        <v>18</v>
      </c>
      <c r="FC1" s="83">
        <v>18</v>
      </c>
      <c r="FD1" s="83">
        <v>19</v>
      </c>
      <c r="FE1" s="83">
        <v>19</v>
      </c>
      <c r="FF1" s="83">
        <v>19</v>
      </c>
      <c r="FG1" s="83">
        <v>19</v>
      </c>
      <c r="FH1" s="83">
        <v>19</v>
      </c>
      <c r="FI1" s="83">
        <v>19</v>
      </c>
      <c r="FJ1" s="83">
        <v>20</v>
      </c>
      <c r="FK1" s="83">
        <v>20</v>
      </c>
      <c r="FL1" s="83">
        <v>20</v>
      </c>
      <c r="FM1" s="83">
        <v>20</v>
      </c>
      <c r="FN1" s="83">
        <v>20</v>
      </c>
      <c r="FO1" s="83">
        <v>20</v>
      </c>
      <c r="FP1" s="83">
        <v>21</v>
      </c>
      <c r="FQ1" s="83">
        <v>21</v>
      </c>
      <c r="FR1" s="83">
        <v>21</v>
      </c>
      <c r="FS1" s="83">
        <v>21</v>
      </c>
      <c r="FT1" s="83">
        <v>21</v>
      </c>
      <c r="FU1" s="83">
        <v>21</v>
      </c>
      <c r="FV1" s="83">
        <v>22</v>
      </c>
      <c r="FW1" s="83">
        <v>22</v>
      </c>
      <c r="FX1" s="83">
        <v>22</v>
      </c>
      <c r="FY1" s="83">
        <v>22</v>
      </c>
      <c r="FZ1" s="83">
        <v>22</v>
      </c>
      <c r="GA1" s="83">
        <v>22</v>
      </c>
      <c r="GB1" s="83">
        <v>23</v>
      </c>
      <c r="GC1" s="83">
        <v>23</v>
      </c>
      <c r="GD1" s="83">
        <v>23</v>
      </c>
      <c r="GE1" s="83">
        <v>23</v>
      </c>
      <c r="GF1" s="83">
        <v>23</v>
      </c>
      <c r="GG1" s="83">
        <v>23</v>
      </c>
      <c r="GH1" s="83">
        <v>24</v>
      </c>
      <c r="GI1" s="83">
        <v>24</v>
      </c>
      <c r="GJ1" s="83">
        <v>24</v>
      </c>
      <c r="GK1" s="83">
        <v>24</v>
      </c>
      <c r="GL1" s="83">
        <v>24</v>
      </c>
      <c r="GM1" s="83">
        <v>24</v>
      </c>
      <c r="GN1" s="83">
        <v>25</v>
      </c>
      <c r="GO1" s="83">
        <v>25</v>
      </c>
      <c r="GP1" s="83">
        <v>25</v>
      </c>
      <c r="GQ1" s="83">
        <v>25</v>
      </c>
      <c r="GR1" s="83">
        <v>25</v>
      </c>
      <c r="GS1" s="83">
        <v>25</v>
      </c>
      <c r="GT1" s="83">
        <v>26</v>
      </c>
      <c r="GU1" s="83">
        <v>26</v>
      </c>
      <c r="GV1" s="83">
        <v>26</v>
      </c>
      <c r="GW1" s="83">
        <v>26</v>
      </c>
      <c r="GX1" s="83">
        <v>26</v>
      </c>
      <c r="GY1" s="83">
        <v>26</v>
      </c>
      <c r="GZ1" s="83">
        <v>27</v>
      </c>
      <c r="HA1" s="83">
        <v>27</v>
      </c>
      <c r="HB1" s="83">
        <v>27</v>
      </c>
      <c r="HC1" s="83">
        <v>27</v>
      </c>
      <c r="HD1" s="83">
        <v>27</v>
      </c>
      <c r="HE1" s="83">
        <v>27</v>
      </c>
      <c r="HF1" s="83">
        <v>28</v>
      </c>
      <c r="HG1" s="83">
        <v>28</v>
      </c>
      <c r="HH1" s="83">
        <v>28</v>
      </c>
      <c r="HI1" s="83">
        <v>28</v>
      </c>
      <c r="HJ1" s="83">
        <v>28</v>
      </c>
      <c r="HK1" s="83">
        <v>28</v>
      </c>
      <c r="HL1" s="83">
        <v>29</v>
      </c>
      <c r="HM1" s="83">
        <v>29</v>
      </c>
      <c r="HN1" s="83">
        <v>29</v>
      </c>
      <c r="HO1" s="83">
        <v>29</v>
      </c>
      <c r="HP1" s="83">
        <v>29</v>
      </c>
      <c r="HQ1" s="83">
        <v>29</v>
      </c>
      <c r="HR1" s="83">
        <v>30</v>
      </c>
      <c r="HS1" s="83">
        <v>30</v>
      </c>
      <c r="HT1" s="83">
        <v>30</v>
      </c>
      <c r="HU1" s="83">
        <v>30</v>
      </c>
      <c r="HV1" s="83">
        <v>30</v>
      </c>
      <c r="HW1" s="83">
        <v>30</v>
      </c>
      <c r="HX1" s="83">
        <v>31</v>
      </c>
      <c r="HY1" s="83">
        <v>31</v>
      </c>
      <c r="HZ1" s="83">
        <v>31</v>
      </c>
      <c r="IA1" s="83">
        <v>31</v>
      </c>
      <c r="IB1" s="83">
        <v>31</v>
      </c>
      <c r="IC1" s="83">
        <v>31</v>
      </c>
      <c r="ID1" s="83">
        <v>32</v>
      </c>
      <c r="IE1" s="83">
        <v>32</v>
      </c>
      <c r="IF1" s="83">
        <v>32</v>
      </c>
      <c r="IG1" s="83">
        <v>32</v>
      </c>
      <c r="IH1" s="83">
        <v>32</v>
      </c>
      <c r="II1" s="83">
        <v>32</v>
      </c>
      <c r="IJ1" s="83">
        <v>33</v>
      </c>
      <c r="IK1" s="83">
        <v>33</v>
      </c>
      <c r="IL1" s="83">
        <v>33</v>
      </c>
      <c r="IM1" s="83">
        <v>33</v>
      </c>
      <c r="IN1" s="83">
        <v>33</v>
      </c>
      <c r="IO1" s="83">
        <v>33</v>
      </c>
      <c r="IP1" s="83">
        <v>34</v>
      </c>
      <c r="IQ1" s="83">
        <v>34</v>
      </c>
      <c r="IR1" s="83">
        <v>34</v>
      </c>
      <c r="IS1" s="83">
        <v>34</v>
      </c>
      <c r="IT1" s="83">
        <v>34</v>
      </c>
      <c r="IU1" s="83">
        <v>34</v>
      </c>
      <c r="IV1" s="83">
        <v>35</v>
      </c>
      <c r="IW1" s="83">
        <v>35</v>
      </c>
      <c r="IX1" s="83">
        <v>35</v>
      </c>
      <c r="IY1" s="83">
        <v>35</v>
      </c>
      <c r="IZ1" s="83">
        <v>35</v>
      </c>
      <c r="JA1" s="83">
        <v>35</v>
      </c>
      <c r="JB1" s="83">
        <v>36</v>
      </c>
      <c r="JC1" s="83">
        <v>36</v>
      </c>
      <c r="JD1" s="83">
        <v>36</v>
      </c>
      <c r="JE1" s="83">
        <v>36</v>
      </c>
      <c r="JF1" s="83">
        <v>36</v>
      </c>
      <c r="JG1" s="83">
        <v>36</v>
      </c>
      <c r="JH1" s="83">
        <v>37</v>
      </c>
      <c r="JI1" s="83">
        <v>37</v>
      </c>
      <c r="JJ1" s="83">
        <v>37</v>
      </c>
      <c r="JK1" s="83">
        <v>37</v>
      </c>
      <c r="JL1" s="83">
        <v>37</v>
      </c>
      <c r="JM1" s="83">
        <v>37</v>
      </c>
      <c r="JN1" s="83">
        <v>38</v>
      </c>
      <c r="JO1" s="83">
        <v>38</v>
      </c>
      <c r="JP1" s="83">
        <v>38</v>
      </c>
      <c r="JQ1" s="83">
        <v>38</v>
      </c>
      <c r="JR1" s="83">
        <v>38</v>
      </c>
      <c r="JS1" s="83">
        <v>38</v>
      </c>
    </row>
    <row r="2" spans="1:360" s="74" customFormat="1" x14ac:dyDescent="0.15">
      <c r="A2" s="73" t="s">
        <v>0</v>
      </c>
      <c r="B2" s="73" t="s">
        <v>420</v>
      </c>
      <c r="C2" s="87" t="s">
        <v>1</v>
      </c>
      <c r="D2" s="87" t="s">
        <v>2</v>
      </c>
      <c r="E2" s="87" t="s">
        <v>3</v>
      </c>
      <c r="F2" s="87" t="s">
        <v>4</v>
      </c>
      <c r="G2" s="88" t="s">
        <v>5</v>
      </c>
      <c r="H2" s="88" t="s">
        <v>6</v>
      </c>
      <c r="I2" s="89" t="s">
        <v>7</v>
      </c>
      <c r="J2" s="89" t="s">
        <v>8</v>
      </c>
      <c r="K2" s="89" t="s">
        <v>9</v>
      </c>
      <c r="L2" s="89" t="s">
        <v>10</v>
      </c>
      <c r="M2" s="89" t="s">
        <v>11</v>
      </c>
      <c r="N2" s="89" t="s">
        <v>12</v>
      </c>
      <c r="O2" s="89" t="s">
        <v>13</v>
      </c>
      <c r="P2" s="89" t="s">
        <v>14</v>
      </c>
      <c r="Q2" s="89" t="s">
        <v>15</v>
      </c>
      <c r="R2" s="89" t="s">
        <v>16</v>
      </c>
      <c r="S2" s="89" t="s">
        <v>17</v>
      </c>
      <c r="T2" s="89" t="s">
        <v>18</v>
      </c>
      <c r="U2" s="89" t="s">
        <v>19</v>
      </c>
      <c r="V2" s="89" t="s">
        <v>20</v>
      </c>
      <c r="W2" s="89" t="s">
        <v>21</v>
      </c>
      <c r="X2" s="89" t="s">
        <v>22</v>
      </c>
      <c r="Y2" s="89" t="s">
        <v>23</v>
      </c>
      <c r="Z2" s="89" t="s">
        <v>24</v>
      </c>
      <c r="AA2" s="89" t="s">
        <v>25</v>
      </c>
      <c r="AB2" s="89" t="s">
        <v>26</v>
      </c>
      <c r="AC2" s="111" t="s">
        <v>27</v>
      </c>
      <c r="AD2" s="111" t="s">
        <v>28</v>
      </c>
      <c r="AE2" s="111" t="s">
        <v>29</v>
      </c>
      <c r="AF2" s="112" t="s">
        <v>30</v>
      </c>
      <c r="AG2" s="112" t="s">
        <v>31</v>
      </c>
      <c r="AH2" s="112" t="s">
        <v>32</v>
      </c>
      <c r="AI2" s="112" t="s">
        <v>33</v>
      </c>
      <c r="AJ2" s="112" t="s">
        <v>34</v>
      </c>
      <c r="AK2" s="113" t="s">
        <v>35</v>
      </c>
      <c r="AL2" s="112" t="s">
        <v>36</v>
      </c>
      <c r="AM2" s="113" t="s">
        <v>37</v>
      </c>
      <c r="AN2" s="112" t="s">
        <v>38</v>
      </c>
      <c r="AO2" s="113" t="s">
        <v>39</v>
      </c>
      <c r="AP2" s="112" t="s">
        <v>40</v>
      </c>
      <c r="AQ2" s="113" t="s">
        <v>41</v>
      </c>
      <c r="AR2" s="112" t="s">
        <v>42</v>
      </c>
      <c r="AS2" s="113" t="s">
        <v>43</v>
      </c>
      <c r="AT2" s="112" t="s">
        <v>44</v>
      </c>
      <c r="AU2" s="113" t="s">
        <v>45</v>
      </c>
      <c r="AV2" s="112" t="s">
        <v>46</v>
      </c>
      <c r="AW2" s="113" t="s">
        <v>47</v>
      </c>
      <c r="AX2" s="112" t="s">
        <v>48</v>
      </c>
      <c r="AY2" s="113" t="s">
        <v>49</v>
      </c>
      <c r="AZ2" s="138" t="s">
        <v>50</v>
      </c>
      <c r="BA2" s="138" t="s">
        <v>51</v>
      </c>
      <c r="BB2" s="138" t="s">
        <v>52</v>
      </c>
      <c r="BC2" s="138" t="s">
        <v>53</v>
      </c>
      <c r="BD2" s="138" t="s">
        <v>54</v>
      </c>
      <c r="BE2" s="138" t="s">
        <v>55</v>
      </c>
      <c r="BF2" s="138" t="s">
        <v>56</v>
      </c>
      <c r="BG2" s="138" t="s">
        <v>57</v>
      </c>
      <c r="BH2" s="138" t="s">
        <v>58</v>
      </c>
      <c r="BI2" s="138" t="s">
        <v>59</v>
      </c>
      <c r="BJ2" s="138" t="s">
        <v>60</v>
      </c>
      <c r="BK2" s="138" t="s">
        <v>61</v>
      </c>
      <c r="BL2" s="138" t="s">
        <v>62</v>
      </c>
      <c r="BM2" s="138" t="s">
        <v>63</v>
      </c>
      <c r="BN2" s="138" t="s">
        <v>64</v>
      </c>
      <c r="BO2" s="138" t="s">
        <v>65</v>
      </c>
      <c r="BP2" s="138" t="s">
        <v>66</v>
      </c>
      <c r="BQ2" s="138" t="s">
        <v>67</v>
      </c>
      <c r="BR2" s="138" t="s">
        <v>68</v>
      </c>
      <c r="BS2" s="138" t="s">
        <v>69</v>
      </c>
      <c r="BT2" s="138" t="s">
        <v>70</v>
      </c>
      <c r="BU2" s="138" t="s">
        <v>71</v>
      </c>
      <c r="BV2" s="138" t="s">
        <v>72</v>
      </c>
      <c r="BW2" s="138" t="s">
        <v>73</v>
      </c>
      <c r="BX2" s="138" t="s">
        <v>74</v>
      </c>
      <c r="BY2" s="138" t="s">
        <v>75</v>
      </c>
      <c r="BZ2" s="138" t="s">
        <v>76</v>
      </c>
      <c r="CA2" s="138" t="s">
        <v>77</v>
      </c>
      <c r="CB2" s="138" t="s">
        <v>78</v>
      </c>
      <c r="CC2" s="138" t="s">
        <v>79</v>
      </c>
      <c r="CD2" s="138" t="s">
        <v>80</v>
      </c>
      <c r="CE2" s="138" t="s">
        <v>81</v>
      </c>
      <c r="CF2" s="138" t="s">
        <v>82</v>
      </c>
      <c r="CG2" s="138" t="s">
        <v>83</v>
      </c>
      <c r="CH2" s="138" t="s">
        <v>84</v>
      </c>
      <c r="CI2" s="138" t="s">
        <v>85</v>
      </c>
      <c r="CJ2" s="138" t="s">
        <v>86</v>
      </c>
      <c r="CK2" s="138" t="s">
        <v>87</v>
      </c>
      <c r="CL2" s="138" t="s">
        <v>88</v>
      </c>
      <c r="CM2" s="138" t="s">
        <v>89</v>
      </c>
      <c r="CN2" s="138" t="s">
        <v>90</v>
      </c>
      <c r="CO2" s="138" t="s">
        <v>91</v>
      </c>
      <c r="CP2" s="138" t="s">
        <v>92</v>
      </c>
      <c r="CQ2" s="138" t="s">
        <v>93</v>
      </c>
      <c r="CR2" s="138" t="s">
        <v>94</v>
      </c>
      <c r="CS2" s="138" t="s">
        <v>95</v>
      </c>
      <c r="CT2" s="138" t="s">
        <v>96</v>
      </c>
      <c r="CU2" s="138" t="s">
        <v>97</v>
      </c>
      <c r="CV2" s="138" t="s">
        <v>98</v>
      </c>
      <c r="CW2" s="138" t="s">
        <v>99</v>
      </c>
      <c r="CX2" s="138" t="s">
        <v>100</v>
      </c>
      <c r="CY2" s="138" t="s">
        <v>101</v>
      </c>
      <c r="CZ2" s="138" t="s">
        <v>102</v>
      </c>
      <c r="DA2" s="138" t="s">
        <v>103</v>
      </c>
      <c r="DB2" s="138" t="s">
        <v>104</v>
      </c>
      <c r="DC2" s="138" t="s">
        <v>105</v>
      </c>
      <c r="DD2" s="138" t="s">
        <v>106</v>
      </c>
      <c r="DE2" s="138" t="s">
        <v>107</v>
      </c>
      <c r="DF2" s="138" t="s">
        <v>108</v>
      </c>
      <c r="DG2" s="138" t="s">
        <v>109</v>
      </c>
      <c r="DH2" s="138" t="s">
        <v>110</v>
      </c>
      <c r="DI2" s="138" t="s">
        <v>111</v>
      </c>
      <c r="DJ2" s="138" t="s">
        <v>112</v>
      </c>
      <c r="DK2" s="138" t="s">
        <v>113</v>
      </c>
      <c r="DL2" s="138" t="s">
        <v>114</v>
      </c>
      <c r="DM2" s="138" t="s">
        <v>115</v>
      </c>
      <c r="DN2" s="138" t="s">
        <v>116</v>
      </c>
      <c r="DO2" s="138" t="s">
        <v>117</v>
      </c>
      <c r="DP2" s="138" t="s">
        <v>118</v>
      </c>
      <c r="DQ2" s="138" t="s">
        <v>119</v>
      </c>
      <c r="DR2" s="138" t="s">
        <v>120</v>
      </c>
      <c r="DS2" s="138" t="s">
        <v>121</v>
      </c>
      <c r="DT2" s="138" t="s">
        <v>122</v>
      </c>
      <c r="DU2" s="138" t="s">
        <v>123</v>
      </c>
      <c r="DV2" s="138" t="s">
        <v>124</v>
      </c>
      <c r="DW2" s="138" t="s">
        <v>125</v>
      </c>
      <c r="DX2" s="138" t="s">
        <v>126</v>
      </c>
      <c r="DY2" s="138" t="s">
        <v>127</v>
      </c>
      <c r="DZ2" s="138" t="s">
        <v>128</v>
      </c>
      <c r="EA2" s="138" t="s">
        <v>129</v>
      </c>
      <c r="EB2" s="138" t="s">
        <v>130</v>
      </c>
      <c r="EC2" s="138" t="s">
        <v>131</v>
      </c>
      <c r="ED2" s="138" t="s">
        <v>132</v>
      </c>
      <c r="EE2" s="138" t="s">
        <v>133</v>
      </c>
      <c r="EF2" s="138" t="s">
        <v>134</v>
      </c>
      <c r="EG2" s="138" t="s">
        <v>135</v>
      </c>
      <c r="EH2" s="138" t="s">
        <v>136</v>
      </c>
      <c r="EI2" s="138" t="s">
        <v>137</v>
      </c>
      <c r="EJ2" s="138" t="s">
        <v>138</v>
      </c>
      <c r="EK2" s="138" t="s">
        <v>139</v>
      </c>
      <c r="EL2" s="138" t="s">
        <v>140</v>
      </c>
      <c r="EM2" s="138" t="s">
        <v>141</v>
      </c>
      <c r="EN2" s="138" t="s">
        <v>142</v>
      </c>
      <c r="EO2" s="138" t="s">
        <v>143</v>
      </c>
      <c r="EP2" s="138" t="s">
        <v>144</v>
      </c>
      <c r="EQ2" s="138" t="s">
        <v>589</v>
      </c>
      <c r="ER2" s="138" t="s">
        <v>145</v>
      </c>
      <c r="ES2" s="138" t="s">
        <v>146</v>
      </c>
      <c r="ET2" s="138" t="s">
        <v>147</v>
      </c>
      <c r="EU2" s="138" t="s">
        <v>148</v>
      </c>
      <c r="EV2" s="138" t="s">
        <v>149</v>
      </c>
      <c r="EW2" s="138" t="s">
        <v>150</v>
      </c>
      <c r="EX2" s="138" t="s">
        <v>151</v>
      </c>
      <c r="EY2" s="138" t="s">
        <v>152</v>
      </c>
      <c r="EZ2" s="138" t="s">
        <v>153</v>
      </c>
      <c r="FA2" s="138" t="s">
        <v>154</v>
      </c>
      <c r="FB2" s="138" t="s">
        <v>155</v>
      </c>
      <c r="FC2" s="138" t="s">
        <v>156</v>
      </c>
      <c r="FD2" s="138" t="s">
        <v>157</v>
      </c>
      <c r="FE2" s="138" t="s">
        <v>158</v>
      </c>
      <c r="FF2" s="138" t="s">
        <v>159</v>
      </c>
      <c r="FG2" s="138" t="s">
        <v>160</v>
      </c>
      <c r="FH2" s="138" t="s">
        <v>161</v>
      </c>
      <c r="FI2" s="138" t="s">
        <v>162</v>
      </c>
      <c r="FJ2" s="138" t="s">
        <v>163</v>
      </c>
      <c r="FK2" s="138" t="s">
        <v>164</v>
      </c>
      <c r="FL2" s="138" t="s">
        <v>165</v>
      </c>
      <c r="FM2" s="138" t="s">
        <v>166</v>
      </c>
      <c r="FN2" s="138" t="s">
        <v>167</v>
      </c>
      <c r="FO2" s="138" t="s">
        <v>168</v>
      </c>
      <c r="FP2" s="138" t="s">
        <v>169</v>
      </c>
      <c r="FQ2" s="138" t="s">
        <v>170</v>
      </c>
      <c r="FR2" s="138" t="s">
        <v>171</v>
      </c>
      <c r="FS2" s="138" t="s">
        <v>172</v>
      </c>
      <c r="FT2" s="138" t="s">
        <v>173</v>
      </c>
      <c r="FU2" s="138" t="s">
        <v>174</v>
      </c>
      <c r="FV2" s="138" t="s">
        <v>175</v>
      </c>
      <c r="FW2" s="138" t="s">
        <v>176</v>
      </c>
      <c r="FX2" s="138" t="s">
        <v>177</v>
      </c>
      <c r="FY2" s="138" t="s">
        <v>178</v>
      </c>
      <c r="FZ2" s="138" t="s">
        <v>179</v>
      </c>
      <c r="GA2" s="138" t="s">
        <v>180</v>
      </c>
      <c r="GB2" s="138" t="s">
        <v>181</v>
      </c>
      <c r="GC2" s="138" t="s">
        <v>182</v>
      </c>
      <c r="GD2" s="138" t="s">
        <v>183</v>
      </c>
      <c r="GE2" s="138" t="s">
        <v>184</v>
      </c>
      <c r="GF2" s="138" t="s">
        <v>185</v>
      </c>
      <c r="GG2" s="138" t="s">
        <v>186</v>
      </c>
      <c r="GH2" s="138" t="s">
        <v>187</v>
      </c>
      <c r="GI2" s="138" t="s">
        <v>188</v>
      </c>
      <c r="GJ2" s="138" t="s">
        <v>189</v>
      </c>
      <c r="GK2" s="138" t="s">
        <v>190</v>
      </c>
      <c r="GL2" s="138" t="s">
        <v>191</v>
      </c>
      <c r="GM2" s="138" t="s">
        <v>192</v>
      </c>
      <c r="GN2" s="138" t="s">
        <v>193</v>
      </c>
      <c r="GO2" s="138" t="s">
        <v>194</v>
      </c>
      <c r="GP2" s="138" t="s">
        <v>195</v>
      </c>
      <c r="GQ2" s="138" t="s">
        <v>196</v>
      </c>
      <c r="GR2" s="138" t="s">
        <v>197</v>
      </c>
      <c r="GS2" s="138" t="s">
        <v>198</v>
      </c>
      <c r="GT2" s="138" t="s">
        <v>199</v>
      </c>
      <c r="GU2" s="138" t="s">
        <v>200</v>
      </c>
      <c r="GV2" s="138" t="s">
        <v>201</v>
      </c>
      <c r="GW2" s="138" t="s">
        <v>202</v>
      </c>
      <c r="GX2" s="138" t="s">
        <v>203</v>
      </c>
      <c r="GY2" s="138" t="s">
        <v>204</v>
      </c>
      <c r="GZ2" s="138" t="s">
        <v>205</v>
      </c>
      <c r="HA2" s="138" t="s">
        <v>206</v>
      </c>
      <c r="HB2" s="138" t="s">
        <v>207</v>
      </c>
      <c r="HC2" s="138" t="s">
        <v>208</v>
      </c>
      <c r="HD2" s="138" t="s">
        <v>209</v>
      </c>
      <c r="HE2" s="138" t="s">
        <v>210</v>
      </c>
      <c r="HF2" s="138" t="s">
        <v>211</v>
      </c>
      <c r="HG2" s="138" t="s">
        <v>212</v>
      </c>
      <c r="HH2" s="138" t="s">
        <v>213</v>
      </c>
      <c r="HI2" s="138" t="s">
        <v>214</v>
      </c>
      <c r="HJ2" s="138" t="s">
        <v>215</v>
      </c>
      <c r="HK2" s="138" t="s">
        <v>216</v>
      </c>
      <c r="HL2" s="138" t="s">
        <v>217</v>
      </c>
      <c r="HM2" s="138" t="s">
        <v>218</v>
      </c>
      <c r="HN2" s="138" t="s">
        <v>219</v>
      </c>
      <c r="HO2" s="138" t="s">
        <v>220</v>
      </c>
      <c r="HP2" s="138" t="s">
        <v>221</v>
      </c>
      <c r="HQ2" s="138" t="s">
        <v>222</v>
      </c>
      <c r="HR2" s="138" t="s">
        <v>223</v>
      </c>
      <c r="HS2" s="138" t="s">
        <v>224</v>
      </c>
      <c r="HT2" s="138" t="s">
        <v>225</v>
      </c>
      <c r="HU2" s="138" t="s">
        <v>226</v>
      </c>
      <c r="HV2" s="138" t="s">
        <v>227</v>
      </c>
      <c r="HW2" s="138" t="s">
        <v>228</v>
      </c>
      <c r="HX2" s="138" t="s">
        <v>229</v>
      </c>
      <c r="HY2" s="138" t="s">
        <v>230</v>
      </c>
      <c r="HZ2" s="138" t="s">
        <v>231</v>
      </c>
      <c r="IA2" s="138" t="s">
        <v>232</v>
      </c>
      <c r="IB2" s="138" t="s">
        <v>233</v>
      </c>
      <c r="IC2" s="138" t="s">
        <v>234</v>
      </c>
      <c r="ID2" s="138" t="s">
        <v>235</v>
      </c>
      <c r="IE2" s="138" t="s">
        <v>236</v>
      </c>
      <c r="IF2" s="138" t="s">
        <v>237</v>
      </c>
      <c r="IG2" s="138" t="s">
        <v>238</v>
      </c>
      <c r="IH2" s="138" t="s">
        <v>239</v>
      </c>
      <c r="II2" s="138" t="s">
        <v>240</v>
      </c>
      <c r="IJ2" s="138" t="s">
        <v>241</v>
      </c>
      <c r="IK2" s="138" t="s">
        <v>242</v>
      </c>
      <c r="IL2" s="138" t="s">
        <v>243</v>
      </c>
      <c r="IM2" s="138" t="s">
        <v>244</v>
      </c>
      <c r="IN2" s="138" t="s">
        <v>245</v>
      </c>
      <c r="IO2" s="138" t="s">
        <v>246</v>
      </c>
      <c r="IP2" s="138" t="s">
        <v>247</v>
      </c>
      <c r="IQ2" s="138" t="s">
        <v>248</v>
      </c>
      <c r="IR2" s="138" t="s">
        <v>249</v>
      </c>
      <c r="IS2" s="138" t="s">
        <v>250</v>
      </c>
      <c r="IT2" s="138" t="s">
        <v>251</v>
      </c>
      <c r="IU2" s="138" t="s">
        <v>252</v>
      </c>
      <c r="IV2" s="138" t="s">
        <v>253</v>
      </c>
      <c r="IW2" s="138" t="s">
        <v>254</v>
      </c>
      <c r="IX2" s="138" t="s">
        <v>255</v>
      </c>
      <c r="IY2" s="138" t="s">
        <v>256</v>
      </c>
      <c r="IZ2" s="138" t="s">
        <v>257</v>
      </c>
      <c r="JA2" s="138" t="s">
        <v>258</v>
      </c>
      <c r="JB2" s="138" t="s">
        <v>259</v>
      </c>
      <c r="JC2" s="138" t="s">
        <v>260</v>
      </c>
      <c r="JD2" s="138" t="s">
        <v>261</v>
      </c>
      <c r="JE2" s="138" t="s">
        <v>262</v>
      </c>
      <c r="JF2" s="138" t="s">
        <v>263</v>
      </c>
      <c r="JG2" s="138" t="s">
        <v>264</v>
      </c>
      <c r="JH2" s="138" t="s">
        <v>265</v>
      </c>
      <c r="JI2" s="138" t="s">
        <v>266</v>
      </c>
      <c r="JJ2" s="138" t="s">
        <v>267</v>
      </c>
      <c r="JK2" s="138" t="s">
        <v>268</v>
      </c>
      <c r="JL2" s="138" t="s">
        <v>269</v>
      </c>
      <c r="JM2" s="138" t="s">
        <v>270</v>
      </c>
      <c r="JN2" s="138" t="s">
        <v>271</v>
      </c>
      <c r="JO2" s="138" t="s">
        <v>272</v>
      </c>
      <c r="JP2" s="138" t="s">
        <v>273</v>
      </c>
      <c r="JQ2" s="138" t="s">
        <v>274</v>
      </c>
      <c r="JR2" s="138" t="s">
        <v>275</v>
      </c>
      <c r="JS2" s="138" t="s">
        <v>276</v>
      </c>
      <c r="JT2" s="75"/>
      <c r="JU2" s="75" t="s">
        <v>370</v>
      </c>
      <c r="JV2" s="75" t="s">
        <v>371</v>
      </c>
      <c r="JW2" s="75" t="s">
        <v>372</v>
      </c>
      <c r="JX2" s="75" t="s">
        <v>371</v>
      </c>
      <c r="JY2" s="75" t="s">
        <v>373</v>
      </c>
      <c r="JZ2" s="75" t="s">
        <v>371</v>
      </c>
      <c r="KA2" s="75" t="s">
        <v>374</v>
      </c>
      <c r="KB2" s="75" t="s">
        <v>371</v>
      </c>
      <c r="KC2" s="75" t="s">
        <v>375</v>
      </c>
      <c r="KD2" s="75" t="s">
        <v>371</v>
      </c>
      <c r="KE2" s="70" t="s">
        <v>376</v>
      </c>
      <c r="KF2" s="70" t="s">
        <v>371</v>
      </c>
      <c r="KG2" s="75" t="s">
        <v>377</v>
      </c>
      <c r="KH2" s="75" t="s">
        <v>371</v>
      </c>
      <c r="KI2" s="75" t="s">
        <v>378</v>
      </c>
      <c r="KJ2" s="75" t="s">
        <v>371</v>
      </c>
      <c r="KK2" s="75" t="s">
        <v>379</v>
      </c>
      <c r="KL2" s="75" t="s">
        <v>371</v>
      </c>
      <c r="KM2" s="75" t="s">
        <v>380</v>
      </c>
      <c r="KN2" s="75" t="s">
        <v>371</v>
      </c>
      <c r="KO2" s="75" t="s">
        <v>381</v>
      </c>
      <c r="KP2" s="75" t="s">
        <v>371</v>
      </c>
      <c r="KQ2" s="75" t="s">
        <v>382</v>
      </c>
      <c r="KR2" s="75" t="s">
        <v>371</v>
      </c>
      <c r="KS2" s="75" t="s">
        <v>383</v>
      </c>
      <c r="KT2" s="75" t="s">
        <v>371</v>
      </c>
      <c r="KU2" s="75" t="s">
        <v>384</v>
      </c>
      <c r="KV2" s="75" t="s">
        <v>371</v>
      </c>
      <c r="KW2" s="75" t="s">
        <v>385</v>
      </c>
      <c r="KX2" s="75" t="s">
        <v>371</v>
      </c>
      <c r="KY2" s="75" t="s">
        <v>386</v>
      </c>
      <c r="KZ2" s="75" t="s">
        <v>371</v>
      </c>
      <c r="LA2" s="75" t="s">
        <v>387</v>
      </c>
      <c r="LB2" s="75" t="s">
        <v>371</v>
      </c>
      <c r="LC2" s="75" t="s">
        <v>388</v>
      </c>
      <c r="LD2" s="75" t="s">
        <v>371</v>
      </c>
      <c r="LE2" s="75" t="s">
        <v>389</v>
      </c>
      <c r="LF2" s="75" t="s">
        <v>371</v>
      </c>
      <c r="LG2" s="75" t="s">
        <v>390</v>
      </c>
      <c r="LH2" s="75" t="s">
        <v>371</v>
      </c>
      <c r="LI2" s="75" t="s">
        <v>391</v>
      </c>
      <c r="LJ2" s="75" t="s">
        <v>371</v>
      </c>
      <c r="LK2" s="70" t="s">
        <v>392</v>
      </c>
      <c r="LL2" s="70" t="s">
        <v>371</v>
      </c>
      <c r="LM2" s="75" t="s">
        <v>393</v>
      </c>
      <c r="LN2" s="75" t="s">
        <v>371</v>
      </c>
      <c r="LO2" s="75" t="s">
        <v>394</v>
      </c>
      <c r="LP2" s="75" t="s">
        <v>371</v>
      </c>
      <c r="LQ2" s="75" t="s">
        <v>395</v>
      </c>
      <c r="LR2" s="75" t="s">
        <v>371</v>
      </c>
      <c r="LS2" s="75" t="s">
        <v>396</v>
      </c>
      <c r="LT2" s="75" t="s">
        <v>371</v>
      </c>
      <c r="LU2" s="75" t="s">
        <v>397</v>
      </c>
      <c r="LV2" s="75" t="s">
        <v>371</v>
      </c>
      <c r="LW2" s="75" t="s">
        <v>398</v>
      </c>
      <c r="LX2" s="75" t="s">
        <v>371</v>
      </c>
      <c r="LY2" s="75" t="s">
        <v>399</v>
      </c>
      <c r="LZ2" s="75" t="s">
        <v>371</v>
      </c>
      <c r="MA2" s="75" t="s">
        <v>400</v>
      </c>
      <c r="MB2" s="75" t="s">
        <v>371</v>
      </c>
      <c r="MC2" s="75" t="s">
        <v>401</v>
      </c>
      <c r="MD2" s="75" t="s">
        <v>371</v>
      </c>
      <c r="ME2" s="75" t="s">
        <v>402</v>
      </c>
      <c r="MF2" s="75" t="s">
        <v>371</v>
      </c>
      <c r="MG2" s="75" t="s">
        <v>403</v>
      </c>
      <c r="MH2" s="75" t="s">
        <v>371</v>
      </c>
      <c r="MI2" s="75" t="s">
        <v>404</v>
      </c>
      <c r="MJ2" s="75" t="s">
        <v>371</v>
      </c>
      <c r="MK2" s="75" t="s">
        <v>405</v>
      </c>
      <c r="ML2" s="75" t="s">
        <v>371</v>
      </c>
      <c r="MM2" s="75" t="s">
        <v>406</v>
      </c>
      <c r="MN2" s="75" t="s">
        <v>371</v>
      </c>
      <c r="MO2" s="75" t="s">
        <v>407</v>
      </c>
      <c r="MP2" s="75" t="s">
        <v>371</v>
      </c>
      <c r="MQ2" s="75" t="s">
        <v>408</v>
      </c>
      <c r="MR2" s="75" t="s">
        <v>371</v>
      </c>
      <c r="MS2" s="75"/>
      <c r="MT2" s="75" t="s">
        <v>409</v>
      </c>
      <c r="MV2" s="74" t="s">
        <v>417</v>
      </c>
    </row>
    <row r="3" spans="1:360" x14ac:dyDescent="0.15">
      <c r="A3" s="182" t="s">
        <v>288</v>
      </c>
      <c r="B3" s="76" t="s">
        <v>421</v>
      </c>
      <c r="C3" s="90">
        <v>200800</v>
      </c>
      <c r="D3" s="90">
        <v>2014</v>
      </c>
      <c r="E3" s="90">
        <v>1</v>
      </c>
      <c r="F3" s="91">
        <v>9</v>
      </c>
      <c r="G3" s="92">
        <v>7301</v>
      </c>
      <c r="H3" s="92">
        <v>6603</v>
      </c>
      <c r="I3" s="93">
        <v>468263830</v>
      </c>
      <c r="J3" s="93">
        <v>486141875</v>
      </c>
      <c r="K3" s="94">
        <v>4934069</v>
      </c>
      <c r="L3" s="93">
        <v>5177252</v>
      </c>
      <c r="M3" s="93">
        <v>32925002</v>
      </c>
      <c r="N3" s="93">
        <v>30212547</v>
      </c>
      <c r="O3" s="93">
        <v>68088888</v>
      </c>
      <c r="P3" s="93">
        <v>73371134</v>
      </c>
      <c r="Q3" s="93">
        <v>73999582</v>
      </c>
      <c r="R3" s="93">
        <v>407923165</v>
      </c>
      <c r="S3" s="93">
        <v>362588199</v>
      </c>
      <c r="T3" s="93">
        <v>376532901</v>
      </c>
      <c r="U3" s="93">
        <v>22341</v>
      </c>
      <c r="V3" s="93">
        <v>22167</v>
      </c>
      <c r="W3" s="93">
        <v>31061</v>
      </c>
      <c r="X3" s="93">
        <v>30716</v>
      </c>
      <c r="Y3" s="93">
        <v>24044</v>
      </c>
      <c r="Z3" s="93">
        <v>23304</v>
      </c>
      <c r="AA3" s="93">
        <v>32532</v>
      </c>
      <c r="AB3" s="93">
        <v>31464</v>
      </c>
      <c r="AC3" s="114">
        <v>8</v>
      </c>
      <c r="AD3" s="114">
        <v>10</v>
      </c>
      <c r="AE3" s="114">
        <v>1</v>
      </c>
      <c r="AF3" s="115">
        <v>4082602</v>
      </c>
      <c r="AG3" s="115">
        <v>2621654</v>
      </c>
      <c r="AH3" s="115">
        <v>291451</v>
      </c>
      <c r="AI3" s="115">
        <v>133689</v>
      </c>
      <c r="AJ3" s="115">
        <v>295959</v>
      </c>
      <c r="AK3" s="116">
        <v>6</v>
      </c>
      <c r="AL3" s="115">
        <v>253679</v>
      </c>
      <c r="AM3" s="116">
        <v>7</v>
      </c>
      <c r="AN3" s="115">
        <v>123283</v>
      </c>
      <c r="AO3" s="116">
        <v>8</v>
      </c>
      <c r="AP3" s="115">
        <v>109585</v>
      </c>
      <c r="AQ3" s="116">
        <v>9</v>
      </c>
      <c r="AR3" s="115">
        <v>103452</v>
      </c>
      <c r="AS3" s="116">
        <v>19</v>
      </c>
      <c r="AT3" s="115">
        <v>98279</v>
      </c>
      <c r="AU3" s="116">
        <v>20</v>
      </c>
      <c r="AV3" s="115">
        <v>61957</v>
      </c>
      <c r="AW3" s="116">
        <v>14.5</v>
      </c>
      <c r="AX3" s="115">
        <v>56148</v>
      </c>
      <c r="AY3" s="116">
        <v>16</v>
      </c>
      <c r="AZ3" s="139">
        <v>1029547</v>
      </c>
      <c r="BA3" s="139">
        <v>405790</v>
      </c>
      <c r="BB3" s="139">
        <v>13969</v>
      </c>
      <c r="BC3" s="139">
        <v>145686</v>
      </c>
      <c r="BD3" s="139">
        <v>92571</v>
      </c>
      <c r="BE3" s="139">
        <v>1687563</v>
      </c>
      <c r="BF3" s="139">
        <v>0</v>
      </c>
      <c r="BG3" s="139">
        <v>0</v>
      </c>
      <c r="BH3" s="139">
        <v>0</v>
      </c>
      <c r="BI3" s="139">
        <v>0</v>
      </c>
      <c r="BJ3" s="139">
        <v>0</v>
      </c>
      <c r="BK3" s="139">
        <v>0</v>
      </c>
      <c r="BL3" s="139">
        <v>1100000</v>
      </c>
      <c r="BM3" s="139">
        <v>190000</v>
      </c>
      <c r="BN3" s="139">
        <v>1000</v>
      </c>
      <c r="BO3" s="139">
        <v>19500</v>
      </c>
      <c r="BP3" s="139">
        <v>0</v>
      </c>
      <c r="BQ3" s="139">
        <v>1310500</v>
      </c>
      <c r="BR3" s="139">
        <v>1100000</v>
      </c>
      <c r="BS3" s="139">
        <v>190000</v>
      </c>
      <c r="BT3" s="139">
        <v>1000</v>
      </c>
      <c r="BU3" s="139">
        <v>19500</v>
      </c>
      <c r="BV3" s="139">
        <v>0</v>
      </c>
      <c r="BW3" s="139">
        <v>1310500</v>
      </c>
      <c r="BX3" s="139">
        <v>0</v>
      </c>
      <c r="BY3" s="139">
        <v>0</v>
      </c>
      <c r="BZ3" s="139">
        <v>0</v>
      </c>
      <c r="CA3" s="139">
        <v>0</v>
      </c>
      <c r="CB3" s="139">
        <v>0</v>
      </c>
      <c r="CC3" s="139">
        <v>0</v>
      </c>
      <c r="CD3" s="139">
        <v>0</v>
      </c>
      <c r="CE3" s="139">
        <v>0</v>
      </c>
      <c r="CF3" s="139">
        <v>0</v>
      </c>
      <c r="CG3" s="139">
        <v>0</v>
      </c>
      <c r="CH3" s="139">
        <v>0</v>
      </c>
      <c r="CI3" s="139">
        <v>0</v>
      </c>
      <c r="CJ3" s="139">
        <v>12000</v>
      </c>
      <c r="CK3" s="139">
        <v>0</v>
      </c>
      <c r="CL3" s="139">
        <v>0</v>
      </c>
      <c r="CM3" s="139">
        <v>10072</v>
      </c>
      <c r="CN3" s="139">
        <v>22631945</v>
      </c>
      <c r="CO3" s="139">
        <v>22654017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2538667</v>
      </c>
      <c r="DA3" s="139">
        <v>2538667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232</v>
      </c>
      <c r="DL3" s="139">
        <v>144376</v>
      </c>
      <c r="DM3" s="139">
        <v>144608</v>
      </c>
      <c r="DN3" s="139">
        <v>0</v>
      </c>
      <c r="DO3" s="139">
        <v>0</v>
      </c>
      <c r="DP3" s="139">
        <v>0</v>
      </c>
      <c r="DQ3" s="139">
        <v>0</v>
      </c>
      <c r="DR3" s="139">
        <v>971746</v>
      </c>
      <c r="DS3" s="139">
        <v>971746</v>
      </c>
      <c r="DT3" s="139">
        <v>21145</v>
      </c>
      <c r="DU3" s="139">
        <v>56793</v>
      </c>
      <c r="DV3" s="139">
        <v>17905</v>
      </c>
      <c r="DW3" s="139">
        <v>522008</v>
      </c>
      <c r="DX3" s="139">
        <v>24275</v>
      </c>
      <c r="DY3" s="139">
        <v>642126</v>
      </c>
      <c r="DZ3" s="139">
        <v>39285</v>
      </c>
      <c r="EA3" s="139">
        <v>0</v>
      </c>
      <c r="EB3" s="139">
        <v>2882</v>
      </c>
      <c r="EC3" s="139">
        <v>57781</v>
      </c>
      <c r="ED3" s="139">
        <v>96905</v>
      </c>
      <c r="EE3" s="139">
        <v>196853</v>
      </c>
      <c r="EF3" s="139">
        <v>4809</v>
      </c>
      <c r="EG3" s="139">
        <v>732</v>
      </c>
      <c r="EH3" s="139">
        <v>635</v>
      </c>
      <c r="EI3" s="139">
        <v>93321</v>
      </c>
      <c r="EJ3" s="139">
        <v>452543</v>
      </c>
      <c r="EK3" s="139">
        <v>552040</v>
      </c>
      <c r="EL3" s="139">
        <v>2330425</v>
      </c>
      <c r="EM3" s="139">
        <v>753479</v>
      </c>
      <c r="EN3" s="139">
        <v>58114</v>
      </c>
      <c r="EO3" s="139">
        <v>959243</v>
      </c>
      <c r="EP3" s="139">
        <v>28673005</v>
      </c>
      <c r="EQ3" s="139">
        <v>32774266</v>
      </c>
      <c r="ER3" s="139">
        <v>2643681</v>
      </c>
      <c r="ES3" s="139">
        <v>423827</v>
      </c>
      <c r="ET3" s="139">
        <v>413765</v>
      </c>
      <c r="EU3" s="139">
        <v>3307943</v>
      </c>
      <c r="EV3" s="139">
        <v>51642</v>
      </c>
      <c r="EW3" s="139">
        <v>6840858</v>
      </c>
      <c r="EX3" s="139">
        <v>425000</v>
      </c>
      <c r="EY3" s="139">
        <v>216000</v>
      </c>
      <c r="EZ3" s="139">
        <v>4000</v>
      </c>
      <c r="FA3" s="139">
        <v>15500</v>
      </c>
      <c r="FB3" s="139">
        <v>0</v>
      </c>
      <c r="FC3" s="139">
        <v>660500</v>
      </c>
      <c r="FD3" s="139">
        <v>1750515</v>
      </c>
      <c r="FE3" s="139">
        <v>1067782</v>
      </c>
      <c r="FF3" s="139">
        <v>595408</v>
      </c>
      <c r="FG3" s="139">
        <v>2212271</v>
      </c>
      <c r="FH3" s="139">
        <v>0</v>
      </c>
      <c r="FI3" s="139">
        <v>5625976</v>
      </c>
      <c r="FJ3" s="139">
        <v>0</v>
      </c>
      <c r="FK3" s="139">
        <v>0</v>
      </c>
      <c r="FL3" s="139">
        <v>0</v>
      </c>
      <c r="FM3" s="139">
        <v>0</v>
      </c>
      <c r="FN3" s="139">
        <v>0</v>
      </c>
      <c r="FO3" s="139">
        <v>0</v>
      </c>
      <c r="FP3" s="139">
        <v>293598</v>
      </c>
      <c r="FQ3" s="139">
        <v>163140</v>
      </c>
      <c r="FR3" s="139">
        <v>57960</v>
      </c>
      <c r="FS3" s="139">
        <v>396873</v>
      </c>
      <c r="FT3" s="139">
        <v>3970592</v>
      </c>
      <c r="FU3" s="139">
        <v>4882163</v>
      </c>
      <c r="FV3" s="139">
        <v>0</v>
      </c>
      <c r="FW3" s="139">
        <v>0</v>
      </c>
      <c r="FX3" s="139">
        <v>0</v>
      </c>
      <c r="FY3" s="139">
        <v>0</v>
      </c>
      <c r="FZ3" s="139">
        <v>0</v>
      </c>
      <c r="GA3" s="139">
        <v>0</v>
      </c>
      <c r="GB3" s="139">
        <v>0</v>
      </c>
      <c r="GC3" s="139">
        <v>0</v>
      </c>
      <c r="GD3" s="139">
        <v>0</v>
      </c>
      <c r="GE3" s="139">
        <v>0</v>
      </c>
      <c r="GF3" s="139">
        <v>0</v>
      </c>
      <c r="GG3" s="139">
        <v>0</v>
      </c>
      <c r="GH3" s="139">
        <v>152866</v>
      </c>
      <c r="GI3" s="139">
        <v>78635</v>
      </c>
      <c r="GJ3" s="139">
        <v>50416</v>
      </c>
      <c r="GK3" s="139">
        <v>144978</v>
      </c>
      <c r="GL3" s="139">
        <v>4392</v>
      </c>
      <c r="GM3" s="139">
        <v>431287</v>
      </c>
      <c r="GN3" s="139">
        <v>661544</v>
      </c>
      <c r="GO3" s="139">
        <v>284020</v>
      </c>
      <c r="GP3" s="139">
        <v>123537</v>
      </c>
      <c r="GQ3" s="139">
        <v>808475</v>
      </c>
      <c r="GR3" s="139">
        <v>102558</v>
      </c>
      <c r="GS3" s="139">
        <v>1980134</v>
      </c>
      <c r="GT3" s="139">
        <v>180049</v>
      </c>
      <c r="GU3" s="139">
        <v>56992</v>
      </c>
      <c r="GV3" s="139">
        <v>34114</v>
      </c>
      <c r="GW3" s="139">
        <v>299735</v>
      </c>
      <c r="GX3" s="139">
        <v>241460</v>
      </c>
      <c r="GY3" s="139">
        <v>812350</v>
      </c>
      <c r="GZ3" s="139">
        <v>228135</v>
      </c>
      <c r="HA3" s="139">
        <v>210854</v>
      </c>
      <c r="HB3" s="139">
        <v>78893</v>
      </c>
      <c r="HC3" s="139">
        <v>139933</v>
      </c>
      <c r="HD3" s="139">
        <v>0</v>
      </c>
      <c r="HE3" s="139">
        <v>657815</v>
      </c>
      <c r="HF3" s="139">
        <v>2869</v>
      </c>
      <c r="HG3" s="139">
        <v>1762</v>
      </c>
      <c r="HH3" s="139">
        <v>5109</v>
      </c>
      <c r="HI3" s="139">
        <v>3915</v>
      </c>
      <c r="HJ3" s="139">
        <v>522447</v>
      </c>
      <c r="HK3" s="139">
        <v>536102</v>
      </c>
      <c r="HL3" s="139">
        <v>11206</v>
      </c>
      <c r="HM3" s="139">
        <v>15197</v>
      </c>
      <c r="HN3" s="139">
        <v>12030</v>
      </c>
      <c r="HO3" s="139">
        <v>278907</v>
      </c>
      <c r="HP3" s="139">
        <v>21167</v>
      </c>
      <c r="HQ3" s="139">
        <v>338507</v>
      </c>
      <c r="HR3" s="139">
        <v>391750</v>
      </c>
      <c r="HS3" s="139">
        <v>10437</v>
      </c>
      <c r="HT3" s="139">
        <v>6554</v>
      </c>
      <c r="HU3" s="139">
        <v>62128</v>
      </c>
      <c r="HV3" s="139">
        <v>5913967</v>
      </c>
      <c r="HW3" s="139">
        <v>6384836</v>
      </c>
      <c r="HX3" s="139">
        <v>0</v>
      </c>
      <c r="HY3" s="139">
        <v>0</v>
      </c>
      <c r="HZ3" s="139">
        <v>0</v>
      </c>
      <c r="IA3" s="139">
        <v>0</v>
      </c>
      <c r="IB3" s="139">
        <v>71406</v>
      </c>
      <c r="IC3" s="139">
        <v>71406</v>
      </c>
      <c r="ID3" s="139">
        <v>0</v>
      </c>
      <c r="IE3" s="139">
        <v>0</v>
      </c>
      <c r="IF3" s="139">
        <v>0</v>
      </c>
      <c r="IG3" s="139">
        <v>0</v>
      </c>
      <c r="IH3" s="139">
        <v>0</v>
      </c>
      <c r="II3" s="139">
        <v>0</v>
      </c>
      <c r="IJ3" s="139">
        <v>121</v>
      </c>
      <c r="IK3" s="139">
        <v>1117</v>
      </c>
      <c r="IL3" s="139">
        <v>882</v>
      </c>
      <c r="IM3" s="139">
        <v>714</v>
      </c>
      <c r="IN3" s="139">
        <v>366211</v>
      </c>
      <c r="IO3" s="139">
        <v>369045</v>
      </c>
      <c r="IP3" s="139">
        <v>2920</v>
      </c>
      <c r="IQ3" s="139">
        <v>1139</v>
      </c>
      <c r="IR3" s="139">
        <v>1520</v>
      </c>
      <c r="IS3" s="139">
        <v>8454</v>
      </c>
      <c r="IT3" s="139">
        <v>259794</v>
      </c>
      <c r="IU3" s="139">
        <v>273827</v>
      </c>
      <c r="IV3" s="139">
        <v>402701</v>
      </c>
      <c r="IW3" s="139">
        <v>117116</v>
      </c>
      <c r="IX3" s="139">
        <v>61960</v>
      </c>
      <c r="IY3" s="139">
        <v>224955</v>
      </c>
      <c r="IZ3" s="139">
        <v>1379148</v>
      </c>
      <c r="JA3" s="139">
        <v>2185880</v>
      </c>
      <c r="JB3" s="139">
        <v>7146955</v>
      </c>
      <c r="JC3" s="139">
        <v>2648018</v>
      </c>
      <c r="JD3" s="139">
        <v>1446148</v>
      </c>
      <c r="JE3" s="139">
        <v>7904781</v>
      </c>
      <c r="JF3" s="139">
        <v>12904784</v>
      </c>
      <c r="JG3" s="139">
        <v>32050686</v>
      </c>
      <c r="JH3" s="139">
        <v>0</v>
      </c>
      <c r="JI3" s="139">
        <v>0</v>
      </c>
      <c r="JJ3" s="139">
        <v>0</v>
      </c>
      <c r="JK3" s="139">
        <v>0</v>
      </c>
      <c r="JL3" s="139">
        <v>0</v>
      </c>
      <c r="JM3" s="139">
        <v>0</v>
      </c>
      <c r="JN3" s="139">
        <v>7146955</v>
      </c>
      <c r="JO3" s="139">
        <v>2648018</v>
      </c>
      <c r="JP3" s="139">
        <v>1446148</v>
      </c>
      <c r="JQ3" s="139">
        <v>7904781</v>
      </c>
      <c r="JR3" s="139">
        <v>12904784</v>
      </c>
      <c r="JS3" s="139">
        <v>32050686</v>
      </c>
      <c r="JU3" s="70">
        <f t="shared" ref="JU3:JU32" si="0">SUM(AZ3:BD3)</f>
        <v>1687563</v>
      </c>
      <c r="JV3" s="70">
        <f t="shared" ref="JV3:JV32" si="1">BE3-JU3</f>
        <v>0</v>
      </c>
      <c r="JW3" s="70">
        <f t="shared" ref="JW3:JW32" si="2">SUM(BF3:BJ3)</f>
        <v>0</v>
      </c>
      <c r="JX3" s="70">
        <f t="shared" ref="JX3:JX32" si="3">BK3-JW3</f>
        <v>0</v>
      </c>
      <c r="JY3" s="70">
        <f t="shared" ref="JY3:JY32" si="4">SUM(BL3:BP3)</f>
        <v>1310500</v>
      </c>
      <c r="JZ3" s="70">
        <f t="shared" ref="JZ3:JZ32" si="5">BQ3-JY3</f>
        <v>0</v>
      </c>
      <c r="KA3" s="70">
        <f t="shared" ref="KA3:KA32" si="6">SUM(BR3:BV3)</f>
        <v>1310500</v>
      </c>
      <c r="KB3" s="70">
        <f t="shared" ref="KB3:KB32" si="7">BW3-KA3</f>
        <v>0</v>
      </c>
      <c r="KC3" s="70">
        <f t="shared" ref="KC3:KC32" si="8">SUM(BX3:CB3)</f>
        <v>0</v>
      </c>
      <c r="KD3" s="70">
        <f t="shared" ref="KD3:KD32" si="9">CC3-KC3</f>
        <v>0</v>
      </c>
      <c r="KE3" s="70">
        <f t="shared" ref="KE3:KE32" si="10">SUM(CD3:CH3)</f>
        <v>0</v>
      </c>
      <c r="KF3" s="70">
        <f t="shared" ref="KF3:KF32" si="11">CI3-KE3</f>
        <v>0</v>
      </c>
      <c r="KG3" s="70">
        <f t="shared" ref="KG3:KG32" si="12">SUM(CJ3:CN3)</f>
        <v>22654017</v>
      </c>
      <c r="KH3" s="70">
        <f t="shared" ref="KH3:KH32" si="13">CO3-KG3</f>
        <v>0</v>
      </c>
      <c r="KI3" s="70">
        <f t="shared" ref="KI3:KI32" si="14">SUM(CP3:CT3)</f>
        <v>0</v>
      </c>
      <c r="KJ3" s="70">
        <f t="shared" ref="KJ3:KJ32" si="15">CU3-KI3</f>
        <v>0</v>
      </c>
      <c r="KK3" s="70">
        <f t="shared" ref="KK3:KK32" si="16">SUM(CV3:CZ3)</f>
        <v>2538667</v>
      </c>
      <c r="KL3" s="70">
        <f t="shared" ref="KL3:KL32" si="17">DA3-KK3</f>
        <v>0</v>
      </c>
      <c r="KM3" s="70">
        <f t="shared" ref="KM3:KM32" si="18">SUM(DB3:DF3)</f>
        <v>0</v>
      </c>
      <c r="KN3" s="70">
        <f t="shared" ref="KN3:KN32" si="19">DG3-KM3</f>
        <v>0</v>
      </c>
      <c r="KO3" s="70">
        <f t="shared" ref="KO3:KO32" si="20">SUM(DH3:DL3)</f>
        <v>144608</v>
      </c>
      <c r="KP3" s="70">
        <f t="shared" ref="KP3:KP32" si="21">DM3-KO3</f>
        <v>0</v>
      </c>
      <c r="KQ3" s="70">
        <f t="shared" ref="KQ3:KQ32" si="22">SUM(DN3:DR3)</f>
        <v>971746</v>
      </c>
      <c r="KR3" s="70">
        <f t="shared" ref="KR3:KR32" si="23">DS3-KQ3</f>
        <v>0</v>
      </c>
      <c r="KS3" s="70">
        <f t="shared" ref="KS3:KS32" si="24">SUM(DT3:DX3)</f>
        <v>642126</v>
      </c>
      <c r="KT3" s="70">
        <f t="shared" ref="KT3:KT32" si="25">DY3-KS3</f>
        <v>0</v>
      </c>
      <c r="KU3" s="70">
        <f t="shared" ref="KU3:KU32" si="26">SUM(DZ3:ED3)</f>
        <v>196853</v>
      </c>
      <c r="KV3" s="70">
        <f t="shared" ref="KV3:KV32" si="27">EE3-KU3</f>
        <v>0</v>
      </c>
      <c r="KW3" s="70">
        <f t="shared" ref="KW3:KW32" si="28">SUM(EF3:EJ3)</f>
        <v>552040</v>
      </c>
      <c r="KX3" s="70">
        <f t="shared" ref="KX3:KX32" si="29">EK3-KW3</f>
        <v>0</v>
      </c>
      <c r="KY3" s="70">
        <f t="shared" ref="KY3:KY32" si="30">SUM(EL3:EP3)</f>
        <v>32774266</v>
      </c>
      <c r="KZ3" s="70">
        <f t="shared" ref="KZ3:KZ32" si="31">EQ3-KY3</f>
        <v>0</v>
      </c>
      <c r="LA3" s="70">
        <f t="shared" ref="LA3:LA32" si="32">SUM(ER3:EV3)</f>
        <v>6840858</v>
      </c>
      <c r="LB3" s="70">
        <f t="shared" ref="LB3:LB32" si="33">EW3-LA3</f>
        <v>0</v>
      </c>
      <c r="LC3" s="70">
        <f t="shared" ref="LC3:LC32" si="34">SUM(EX3:FB3)</f>
        <v>660500</v>
      </c>
      <c r="LD3" s="70">
        <f t="shared" ref="LD3:LD32" si="35">FC3-LC3</f>
        <v>0</v>
      </c>
      <c r="LE3" s="70">
        <f t="shared" ref="LE3:LE32" si="36">SUM(FD3:FH3)</f>
        <v>5625976</v>
      </c>
      <c r="LF3" s="70">
        <f t="shared" ref="LF3:LF32" si="37">FI3-LE3</f>
        <v>0</v>
      </c>
      <c r="LG3" s="70">
        <f t="shared" ref="LG3:LG14" si="38">SUM(FJ3:FN3)</f>
        <v>0</v>
      </c>
      <c r="LH3" s="70">
        <f t="shared" ref="LH3:LH14" si="39">FO3-LG3</f>
        <v>0</v>
      </c>
      <c r="LI3" s="70">
        <f t="shared" ref="LI3:LI32" si="40">SUM(FP3:FT3)</f>
        <v>4882163</v>
      </c>
      <c r="LJ3" s="70">
        <f t="shared" ref="LJ3:LJ32" si="41">FU3-LI3</f>
        <v>0</v>
      </c>
      <c r="LK3" s="70">
        <f t="shared" ref="LK3:LK32" si="42">SUM(FV3:FZ3)</f>
        <v>0</v>
      </c>
      <c r="LL3" s="70">
        <f t="shared" ref="LL3:LL32" si="43">GA3-LK3</f>
        <v>0</v>
      </c>
      <c r="LM3" s="70">
        <f t="shared" ref="LM3:LM32" si="44">SUM(GB3:GF3)</f>
        <v>0</v>
      </c>
      <c r="LN3" s="70">
        <f t="shared" ref="LN3:LN32" si="45">GG3-LM3</f>
        <v>0</v>
      </c>
      <c r="LO3" s="70">
        <f t="shared" ref="LO3:LO32" si="46">SUM(GH3:GL3)</f>
        <v>431287</v>
      </c>
      <c r="LP3" s="70">
        <f t="shared" ref="LP3:LP32" si="47">GM3-LO3</f>
        <v>0</v>
      </c>
      <c r="LQ3" s="70">
        <f t="shared" ref="LQ3:LQ32" si="48">SUM(GN3:GR3)</f>
        <v>1980134</v>
      </c>
      <c r="LR3" s="70">
        <f t="shared" ref="LR3:LR32" si="49">GS3-LQ3</f>
        <v>0</v>
      </c>
      <c r="LS3" s="70">
        <f t="shared" ref="LS3:LS32" si="50">SUM(GT3:GX3)</f>
        <v>812350</v>
      </c>
      <c r="LT3" s="70">
        <f t="shared" ref="LT3:LT32" si="51">GY3-LS3</f>
        <v>0</v>
      </c>
      <c r="LU3" s="70">
        <f t="shared" ref="LU3:LU32" si="52">SUM(GZ3:HD3)</f>
        <v>657815</v>
      </c>
      <c r="LV3" s="70">
        <f t="shared" ref="LV3:LV32" si="53">HE3-LU3</f>
        <v>0</v>
      </c>
      <c r="LW3" s="70">
        <f t="shared" ref="LW3:LW32" si="54">SUM(HF3:HJ3)</f>
        <v>536102</v>
      </c>
      <c r="LX3" s="70">
        <f t="shared" ref="LX3:LX32" si="55">HK3-LW3</f>
        <v>0</v>
      </c>
      <c r="LY3" s="70">
        <f t="shared" ref="LY3:LY32" si="56">SUM(HL3:HP3)</f>
        <v>338507</v>
      </c>
      <c r="LZ3" s="70">
        <f t="shared" ref="LZ3:LZ32" si="57">HQ3-LY3</f>
        <v>0</v>
      </c>
      <c r="MA3" s="70">
        <f t="shared" ref="MA3:MA32" si="58">SUM(HR3:HV3)</f>
        <v>6384836</v>
      </c>
      <c r="MB3" s="70">
        <f t="shared" ref="MB3:MB32" si="59">HW3-MA3</f>
        <v>0</v>
      </c>
      <c r="MC3" s="70">
        <f t="shared" ref="MC3:MC32" si="60">SUM(HX3:IB3)</f>
        <v>71406</v>
      </c>
      <c r="MD3" s="70">
        <f t="shared" ref="MD3:MD32" si="61">IC3-MC3</f>
        <v>0</v>
      </c>
      <c r="ME3" s="70">
        <f t="shared" ref="ME3:ME32" si="62">SUM(ID3:IH3)</f>
        <v>0</v>
      </c>
      <c r="MF3" s="70">
        <f t="shared" ref="MF3:MF32" si="63">II3-ME3</f>
        <v>0</v>
      </c>
      <c r="MG3" s="70">
        <f t="shared" ref="MG3:MG32" si="64">SUM(IJ3:IN3)</f>
        <v>369045</v>
      </c>
      <c r="MH3" s="70">
        <f t="shared" ref="MH3:MH32" si="65">IO3-MG3</f>
        <v>0</v>
      </c>
      <c r="MI3" s="70">
        <f t="shared" ref="MI3:MI32" si="66">SUM(IP3:IT3)</f>
        <v>273827</v>
      </c>
      <c r="MJ3" s="70">
        <f t="shared" ref="MJ3:MJ32" si="67">IU3-MI3</f>
        <v>0</v>
      </c>
      <c r="MK3" s="70">
        <f t="shared" ref="MK3:MK32" si="68">SUM(IV3:IZ3)</f>
        <v>2185880</v>
      </c>
      <c r="ML3" s="70">
        <f t="shared" ref="ML3:ML32" si="69">JA3-MK3</f>
        <v>0</v>
      </c>
      <c r="MM3" s="70">
        <f t="shared" ref="MM3:MM32" si="70">SUM(JB3:JF3)</f>
        <v>32050686</v>
      </c>
      <c r="MN3" s="70">
        <f t="shared" ref="MN3:MN32" si="71">JG3-MM3</f>
        <v>0</v>
      </c>
      <c r="MO3" s="70">
        <f t="shared" ref="MO3:MO32" si="72">SUM(JH3:JL3)</f>
        <v>0</v>
      </c>
      <c r="MP3" s="70">
        <f t="shared" ref="MP3:MP32" si="73">JM3-MO3</f>
        <v>0</v>
      </c>
      <c r="MQ3" s="70">
        <f t="shared" ref="MQ3:MQ32" si="74">SUM(JN3:JR3)</f>
        <v>32050686</v>
      </c>
      <c r="MR3" s="70">
        <f t="shared" ref="MR3:MR32" si="75">JS3-MQ3</f>
        <v>0</v>
      </c>
      <c r="MT3" s="70">
        <f t="shared" ref="MT3:MT32" si="76">SUM(JV3,JX3,JZ3,KB3,KD3,KF3,KH3,KJ3,KL3,KN3,KP3,KR3,KT3,KV3,KX3,KZ3,LB3,LD3,LF3,LH3,LJ3,LN3,LP3,,LT3,LV3,LX3,LZ3,MB3,MD3,MF3,MH3,MJ3,ML3,MN3,MP3,MR3)</f>
        <v>0</v>
      </c>
      <c r="MV3" s="68">
        <f>IF(MT3=0,0,1)</f>
        <v>0</v>
      </c>
    </row>
    <row r="4" spans="1:360" x14ac:dyDescent="0.15">
      <c r="A4" s="182" t="s">
        <v>540</v>
      </c>
      <c r="B4" s="76" t="s">
        <v>421</v>
      </c>
      <c r="C4" s="90">
        <v>100751</v>
      </c>
      <c r="D4" s="90">
        <v>2014</v>
      </c>
      <c r="E4" s="90">
        <v>1</v>
      </c>
      <c r="F4" s="91">
        <v>5</v>
      </c>
      <c r="G4" s="92">
        <v>13558</v>
      </c>
      <c r="H4" s="92">
        <v>15885</v>
      </c>
      <c r="I4" s="93">
        <v>800668320</v>
      </c>
      <c r="J4" s="93">
        <v>755944606</v>
      </c>
      <c r="K4" s="93">
        <v>14699437</v>
      </c>
      <c r="L4" s="93">
        <v>15980449</v>
      </c>
      <c r="M4" s="93">
        <v>59474482</v>
      </c>
      <c r="N4" s="93">
        <v>54096080</v>
      </c>
      <c r="O4" s="93">
        <v>160726840</v>
      </c>
      <c r="P4" s="93">
        <v>181873032</v>
      </c>
      <c r="Q4" s="93">
        <v>820468996</v>
      </c>
      <c r="R4" s="93">
        <v>669328631</v>
      </c>
      <c r="S4" s="93">
        <v>572616077</v>
      </c>
      <c r="T4" s="93">
        <v>539010817</v>
      </c>
      <c r="U4" s="93">
        <v>24206</v>
      </c>
      <c r="V4" s="93">
        <v>23200</v>
      </c>
      <c r="W4" s="93">
        <v>38706</v>
      </c>
      <c r="X4" s="93">
        <v>36950</v>
      </c>
      <c r="Y4" s="93">
        <v>27870</v>
      </c>
      <c r="Z4" s="93">
        <v>27532</v>
      </c>
      <c r="AA4" s="93">
        <v>42724</v>
      </c>
      <c r="AB4" s="93">
        <v>42612</v>
      </c>
      <c r="AC4" s="114">
        <v>9</v>
      </c>
      <c r="AD4" s="114">
        <v>12</v>
      </c>
      <c r="AE4" s="114">
        <v>0</v>
      </c>
      <c r="AF4" s="115">
        <v>6228557</v>
      </c>
      <c r="AG4" s="115">
        <v>5480558</v>
      </c>
      <c r="AH4" s="115">
        <v>1708683</v>
      </c>
      <c r="AI4" s="115">
        <v>484972</v>
      </c>
      <c r="AJ4" s="115">
        <v>1588069</v>
      </c>
      <c r="AK4" s="116">
        <v>6</v>
      </c>
      <c r="AL4" s="115">
        <v>1361202</v>
      </c>
      <c r="AM4" s="116">
        <v>7</v>
      </c>
      <c r="AN4" s="115">
        <v>283096</v>
      </c>
      <c r="AO4" s="116">
        <v>9</v>
      </c>
      <c r="AP4" s="115">
        <v>254786</v>
      </c>
      <c r="AQ4" s="116">
        <v>10</v>
      </c>
      <c r="AR4" s="115">
        <v>408175</v>
      </c>
      <c r="AS4" s="116">
        <v>20.5</v>
      </c>
      <c r="AT4" s="115">
        <v>334703</v>
      </c>
      <c r="AU4" s="116">
        <v>25</v>
      </c>
      <c r="AV4" s="115">
        <v>111577</v>
      </c>
      <c r="AW4" s="116">
        <v>19.5</v>
      </c>
      <c r="AX4" s="115">
        <v>90656</v>
      </c>
      <c r="AY4" s="116">
        <v>24</v>
      </c>
      <c r="AZ4" s="139">
        <v>34915615</v>
      </c>
      <c r="BA4" s="139">
        <v>1446592</v>
      </c>
      <c r="BB4" s="139">
        <v>21699</v>
      </c>
      <c r="BC4" s="139">
        <v>835437</v>
      </c>
      <c r="BD4" s="139">
        <v>0</v>
      </c>
      <c r="BE4" s="139">
        <v>37219343</v>
      </c>
      <c r="BF4" s="139">
        <v>0</v>
      </c>
      <c r="BG4" s="139">
        <v>0</v>
      </c>
      <c r="BH4" s="139">
        <v>0</v>
      </c>
      <c r="BI4" s="139">
        <v>0</v>
      </c>
      <c r="BJ4" s="139">
        <v>0</v>
      </c>
      <c r="BK4" s="139">
        <v>0</v>
      </c>
      <c r="BL4" s="139">
        <v>0</v>
      </c>
      <c r="BM4" s="139">
        <v>70000</v>
      </c>
      <c r="BN4" s="139">
        <v>0</v>
      </c>
      <c r="BO4" s="139">
        <v>45000</v>
      </c>
      <c r="BP4" s="139">
        <v>0</v>
      </c>
      <c r="BQ4" s="139">
        <v>115000</v>
      </c>
      <c r="BR4" s="139">
        <v>20723362</v>
      </c>
      <c r="BS4" s="139">
        <v>714805</v>
      </c>
      <c r="BT4" s="139">
        <v>35523</v>
      </c>
      <c r="BU4" s="139">
        <v>2644863</v>
      </c>
      <c r="BV4" s="139">
        <v>8078136</v>
      </c>
      <c r="BW4" s="139">
        <v>32196689</v>
      </c>
      <c r="BX4" s="139">
        <v>272396</v>
      </c>
      <c r="BY4" s="139">
        <v>12676</v>
      </c>
      <c r="BZ4" s="139">
        <v>4980</v>
      </c>
      <c r="CA4" s="139">
        <v>288790</v>
      </c>
      <c r="CB4" s="139">
        <v>100702</v>
      </c>
      <c r="CC4" s="139">
        <v>679544</v>
      </c>
      <c r="CD4" s="139">
        <v>0</v>
      </c>
      <c r="CE4" s="139">
        <v>0</v>
      </c>
      <c r="CF4" s="139">
        <v>0</v>
      </c>
      <c r="CG4" s="139">
        <v>0</v>
      </c>
      <c r="CH4" s="139">
        <v>0</v>
      </c>
      <c r="CI4" s="139">
        <v>0</v>
      </c>
      <c r="CJ4" s="139">
        <v>0</v>
      </c>
      <c r="CK4" s="139">
        <v>0</v>
      </c>
      <c r="CL4" s="139">
        <v>686691</v>
      </c>
      <c r="CM4" s="139">
        <v>5310409</v>
      </c>
      <c r="CN4" s="139">
        <v>0</v>
      </c>
      <c r="CO4" s="139">
        <v>5997100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15630254</v>
      </c>
      <c r="CW4" s="139">
        <v>5175508</v>
      </c>
      <c r="CX4" s="139">
        <v>0</v>
      </c>
      <c r="CY4" s="139">
        <v>25095</v>
      </c>
      <c r="CZ4" s="139">
        <v>2451344</v>
      </c>
      <c r="DA4" s="139">
        <v>23282201</v>
      </c>
      <c r="DB4" s="139">
        <v>9109805</v>
      </c>
      <c r="DC4" s="139">
        <v>4483964</v>
      </c>
      <c r="DD4" s="139">
        <v>0</v>
      </c>
      <c r="DE4" s="139">
        <v>0</v>
      </c>
      <c r="DF4" s="139">
        <v>69171</v>
      </c>
      <c r="DG4" s="139">
        <v>13662940</v>
      </c>
      <c r="DH4" s="139">
        <v>58622</v>
      </c>
      <c r="DI4" s="139">
        <v>18373</v>
      </c>
      <c r="DJ4" s="139">
        <v>0</v>
      </c>
      <c r="DK4" s="139">
        <v>1278</v>
      </c>
      <c r="DL4" s="139">
        <v>26180</v>
      </c>
      <c r="DM4" s="139">
        <v>104453</v>
      </c>
      <c r="DN4" s="139">
        <v>4547853</v>
      </c>
      <c r="DO4" s="139">
        <v>1995500</v>
      </c>
      <c r="DP4" s="139">
        <v>86000</v>
      </c>
      <c r="DQ4" s="139">
        <v>487235</v>
      </c>
      <c r="DR4" s="139">
        <v>8354778</v>
      </c>
      <c r="DS4" s="139">
        <v>15471366</v>
      </c>
      <c r="DT4" s="139">
        <v>730580</v>
      </c>
      <c r="DU4" s="139">
        <v>0</v>
      </c>
      <c r="DV4" s="139">
        <v>0</v>
      </c>
      <c r="DW4" s="139">
        <v>71655</v>
      </c>
      <c r="DX4" s="139">
        <v>1011148</v>
      </c>
      <c r="DY4" s="139">
        <v>1813383</v>
      </c>
      <c r="DZ4" s="139">
        <v>389908</v>
      </c>
      <c r="EA4" s="139">
        <v>30330</v>
      </c>
      <c r="EB4" s="139">
        <v>17834</v>
      </c>
      <c r="EC4" s="139">
        <v>133861</v>
      </c>
      <c r="ED4" s="139">
        <v>10164716</v>
      </c>
      <c r="EE4" s="139">
        <v>10736649</v>
      </c>
      <c r="EF4" s="139">
        <v>8884347</v>
      </c>
      <c r="EG4" s="139">
        <v>758547</v>
      </c>
      <c r="EH4" s="139">
        <v>3558</v>
      </c>
      <c r="EI4" s="139">
        <v>519644</v>
      </c>
      <c r="EJ4" s="139">
        <v>1789509</v>
      </c>
      <c r="EK4" s="139">
        <v>11955605</v>
      </c>
      <c r="EL4" s="139">
        <v>95262742</v>
      </c>
      <c r="EM4" s="139">
        <v>14706295</v>
      </c>
      <c r="EN4" s="139">
        <v>856285</v>
      </c>
      <c r="EO4" s="139">
        <v>10363267</v>
      </c>
      <c r="EP4" s="139">
        <v>32045684</v>
      </c>
      <c r="EQ4" s="139">
        <v>153234273</v>
      </c>
      <c r="ER4" s="139">
        <v>3832908</v>
      </c>
      <c r="ES4" s="139">
        <v>554574</v>
      </c>
      <c r="ET4" s="139">
        <v>671408</v>
      </c>
      <c r="EU4" s="139">
        <v>6650225</v>
      </c>
      <c r="EV4" s="139">
        <v>2223760</v>
      </c>
      <c r="EW4" s="139">
        <v>13932875</v>
      </c>
      <c r="EX4" s="139">
        <v>2650000</v>
      </c>
      <c r="EY4" s="139">
        <v>291000</v>
      </c>
      <c r="EZ4" s="139">
        <v>50000</v>
      </c>
      <c r="FA4" s="139">
        <v>72602</v>
      </c>
      <c r="FB4" s="139">
        <v>0</v>
      </c>
      <c r="FC4" s="139">
        <v>3063602</v>
      </c>
      <c r="FD4" s="139">
        <v>12843289</v>
      </c>
      <c r="FE4" s="139">
        <v>2835863</v>
      </c>
      <c r="FF4" s="139">
        <v>919496</v>
      </c>
      <c r="FG4" s="139">
        <v>6020958</v>
      </c>
      <c r="FH4" s="139">
        <v>0</v>
      </c>
      <c r="FI4" s="139">
        <v>22619606</v>
      </c>
      <c r="FJ4" s="139">
        <v>256766</v>
      </c>
      <c r="FK4" s="139">
        <v>12676</v>
      </c>
      <c r="FL4" s="139">
        <v>4980</v>
      </c>
      <c r="FM4" s="139">
        <v>265040</v>
      </c>
      <c r="FN4" s="139">
        <v>0</v>
      </c>
      <c r="FO4" s="139">
        <v>539462</v>
      </c>
      <c r="FP4" s="139">
        <v>2647170</v>
      </c>
      <c r="FQ4" s="139">
        <v>239853</v>
      </c>
      <c r="FR4" s="139">
        <v>252123</v>
      </c>
      <c r="FS4" s="139">
        <v>547688</v>
      </c>
      <c r="FT4" s="139">
        <v>17985649</v>
      </c>
      <c r="FU4" s="139">
        <v>21672483</v>
      </c>
      <c r="FV4" s="139">
        <v>15630</v>
      </c>
      <c r="FW4" s="139">
        <v>0</v>
      </c>
      <c r="FX4" s="139">
        <v>0</v>
      </c>
      <c r="FY4" s="139">
        <v>23750</v>
      </c>
      <c r="FZ4" s="139">
        <v>100702</v>
      </c>
      <c r="GA4" s="139">
        <v>140082</v>
      </c>
      <c r="GB4" s="139">
        <v>127420</v>
      </c>
      <c r="GC4" s="139">
        <v>21347</v>
      </c>
      <c r="GD4" s="139">
        <v>0</v>
      </c>
      <c r="GE4" s="139">
        <v>37415</v>
      </c>
      <c r="GF4" s="139">
        <v>85958</v>
      </c>
      <c r="GG4" s="139">
        <v>272140</v>
      </c>
      <c r="GH4" s="139">
        <v>1275684</v>
      </c>
      <c r="GI4" s="139">
        <v>219456</v>
      </c>
      <c r="GJ4" s="139">
        <v>109261</v>
      </c>
      <c r="GK4" s="139">
        <v>589254</v>
      </c>
      <c r="GL4" s="139">
        <v>0</v>
      </c>
      <c r="GM4" s="139">
        <v>2193655</v>
      </c>
      <c r="GN4" s="139">
        <v>2531141</v>
      </c>
      <c r="GO4" s="139">
        <v>840444</v>
      </c>
      <c r="GP4" s="139">
        <v>507362</v>
      </c>
      <c r="GQ4" s="139">
        <v>2858581</v>
      </c>
      <c r="GR4" s="139">
        <v>0</v>
      </c>
      <c r="GS4" s="139">
        <v>6737528</v>
      </c>
      <c r="GT4" s="139">
        <v>1673670</v>
      </c>
      <c r="GU4" s="139">
        <v>139301</v>
      </c>
      <c r="GV4" s="139">
        <v>114782</v>
      </c>
      <c r="GW4" s="139">
        <v>1261641</v>
      </c>
      <c r="GX4" s="139">
        <v>3939</v>
      </c>
      <c r="GY4" s="139">
        <v>3193333</v>
      </c>
      <c r="GZ4" s="139">
        <v>2785685</v>
      </c>
      <c r="HA4" s="139">
        <v>385560</v>
      </c>
      <c r="HB4" s="139">
        <v>159002</v>
      </c>
      <c r="HC4" s="139">
        <v>725192</v>
      </c>
      <c r="HD4" s="139">
        <v>0</v>
      </c>
      <c r="HE4" s="139">
        <v>4055439</v>
      </c>
      <c r="HF4" s="139">
        <v>4264139</v>
      </c>
      <c r="HG4" s="139">
        <v>226280</v>
      </c>
      <c r="HH4" s="139">
        <v>35944</v>
      </c>
      <c r="HI4" s="139">
        <v>274866</v>
      </c>
      <c r="HJ4" s="139">
        <v>1612485</v>
      </c>
      <c r="HK4" s="139">
        <v>6413714</v>
      </c>
      <c r="HL4" s="139">
        <v>601283</v>
      </c>
      <c r="HM4" s="139">
        <v>0</v>
      </c>
      <c r="HN4" s="139">
        <v>0</v>
      </c>
      <c r="HO4" s="139">
        <v>33213</v>
      </c>
      <c r="HP4" s="139">
        <v>601381</v>
      </c>
      <c r="HQ4" s="139">
        <v>1235877</v>
      </c>
      <c r="HR4" s="139">
        <v>2297931</v>
      </c>
      <c r="HS4" s="139">
        <v>124106</v>
      </c>
      <c r="HT4" s="139">
        <v>16564</v>
      </c>
      <c r="HU4" s="139">
        <v>538994</v>
      </c>
      <c r="HV4" s="139">
        <v>18895919</v>
      </c>
      <c r="HW4" s="139">
        <v>21873514</v>
      </c>
      <c r="HX4" s="139">
        <v>187768</v>
      </c>
      <c r="HY4" s="139">
        <v>147276</v>
      </c>
      <c r="HZ4" s="139">
        <v>79593</v>
      </c>
      <c r="IA4" s="139">
        <v>147900</v>
      </c>
      <c r="IB4" s="139">
        <v>0</v>
      </c>
      <c r="IC4" s="139">
        <v>562537</v>
      </c>
      <c r="ID4" s="139">
        <v>0</v>
      </c>
      <c r="IE4" s="139">
        <v>0</v>
      </c>
      <c r="IF4" s="139">
        <v>0</v>
      </c>
      <c r="IG4" s="139">
        <v>0</v>
      </c>
      <c r="IH4" s="139">
        <v>0</v>
      </c>
      <c r="II4" s="139">
        <v>0</v>
      </c>
      <c r="IJ4" s="139">
        <v>1240808</v>
      </c>
      <c r="IK4" s="139">
        <v>118476</v>
      </c>
      <c r="IL4" s="139">
        <v>34625</v>
      </c>
      <c r="IM4" s="139">
        <v>803090</v>
      </c>
      <c r="IN4" s="139">
        <v>277146</v>
      </c>
      <c r="IO4" s="139">
        <v>2474145</v>
      </c>
      <c r="IP4" s="139">
        <v>3210</v>
      </c>
      <c r="IQ4" s="139">
        <v>985</v>
      </c>
      <c r="IR4" s="139">
        <v>947</v>
      </c>
      <c r="IS4" s="139">
        <v>16076</v>
      </c>
      <c r="IT4" s="139">
        <v>116106</v>
      </c>
      <c r="IU4" s="139">
        <v>137324</v>
      </c>
      <c r="IV4" s="139">
        <v>2758525</v>
      </c>
      <c r="IW4" s="139">
        <v>321932</v>
      </c>
      <c r="IX4" s="139">
        <v>160865</v>
      </c>
      <c r="IY4" s="139">
        <v>811274</v>
      </c>
      <c r="IZ4" s="139">
        <v>5014216</v>
      </c>
      <c r="JA4" s="139">
        <v>9066812</v>
      </c>
      <c r="JB4" s="139">
        <v>41993027</v>
      </c>
      <c r="JC4" s="139">
        <v>6479129</v>
      </c>
      <c r="JD4" s="139">
        <v>3116952</v>
      </c>
      <c r="JE4" s="139">
        <v>21677759</v>
      </c>
      <c r="JF4" s="139">
        <v>46917261</v>
      </c>
      <c r="JG4" s="139">
        <v>120184128</v>
      </c>
      <c r="JH4" s="139">
        <v>0</v>
      </c>
      <c r="JI4" s="139">
        <v>0</v>
      </c>
      <c r="JJ4" s="139">
        <v>0</v>
      </c>
      <c r="JK4" s="139">
        <v>0</v>
      </c>
      <c r="JL4" s="139">
        <v>9116334</v>
      </c>
      <c r="JM4" s="139">
        <v>9116334</v>
      </c>
      <c r="JN4" s="139">
        <v>41993027</v>
      </c>
      <c r="JO4" s="139">
        <v>6479129</v>
      </c>
      <c r="JP4" s="139">
        <v>3116952</v>
      </c>
      <c r="JQ4" s="139">
        <v>21677759</v>
      </c>
      <c r="JR4" s="139">
        <v>56033595</v>
      </c>
      <c r="JS4" s="139">
        <v>129300462</v>
      </c>
      <c r="JU4" s="70">
        <f t="shared" si="0"/>
        <v>37219343</v>
      </c>
      <c r="JV4" s="70">
        <f t="shared" si="1"/>
        <v>0</v>
      </c>
      <c r="JW4" s="70">
        <f t="shared" si="2"/>
        <v>0</v>
      </c>
      <c r="JX4" s="70">
        <f t="shared" si="3"/>
        <v>0</v>
      </c>
      <c r="JY4" s="70">
        <f t="shared" si="4"/>
        <v>115000</v>
      </c>
      <c r="JZ4" s="70">
        <f t="shared" si="5"/>
        <v>0</v>
      </c>
      <c r="KA4" s="70">
        <f t="shared" si="6"/>
        <v>32196689</v>
      </c>
      <c r="KB4" s="70">
        <f t="shared" si="7"/>
        <v>0</v>
      </c>
      <c r="KC4" s="70">
        <f t="shared" si="8"/>
        <v>679544</v>
      </c>
      <c r="KD4" s="70">
        <f t="shared" si="9"/>
        <v>0</v>
      </c>
      <c r="KE4" s="70">
        <f t="shared" si="10"/>
        <v>0</v>
      </c>
      <c r="KF4" s="70">
        <f t="shared" si="11"/>
        <v>0</v>
      </c>
      <c r="KG4" s="70">
        <f t="shared" si="12"/>
        <v>5997100</v>
      </c>
      <c r="KH4" s="70">
        <f t="shared" si="13"/>
        <v>0</v>
      </c>
      <c r="KI4" s="70">
        <f t="shared" si="14"/>
        <v>0</v>
      </c>
      <c r="KJ4" s="70">
        <f t="shared" si="15"/>
        <v>0</v>
      </c>
      <c r="KK4" s="70">
        <f t="shared" si="16"/>
        <v>23282201</v>
      </c>
      <c r="KL4" s="70">
        <f t="shared" si="17"/>
        <v>0</v>
      </c>
      <c r="KM4" s="70">
        <f t="shared" si="18"/>
        <v>13662940</v>
      </c>
      <c r="KN4" s="70">
        <f t="shared" si="19"/>
        <v>0</v>
      </c>
      <c r="KO4" s="70">
        <f t="shared" si="20"/>
        <v>104453</v>
      </c>
      <c r="KP4" s="70">
        <f t="shared" si="21"/>
        <v>0</v>
      </c>
      <c r="KQ4" s="70">
        <f t="shared" si="22"/>
        <v>15471366</v>
      </c>
      <c r="KR4" s="70">
        <f t="shared" si="23"/>
        <v>0</v>
      </c>
      <c r="KS4" s="70">
        <f t="shared" si="24"/>
        <v>1813383</v>
      </c>
      <c r="KT4" s="70">
        <f t="shared" si="25"/>
        <v>0</v>
      </c>
      <c r="KU4" s="70">
        <f t="shared" si="26"/>
        <v>10736649</v>
      </c>
      <c r="KV4" s="70">
        <f t="shared" si="27"/>
        <v>0</v>
      </c>
      <c r="KW4" s="70">
        <f t="shared" si="28"/>
        <v>11955605</v>
      </c>
      <c r="KX4" s="70">
        <f t="shared" si="29"/>
        <v>0</v>
      </c>
      <c r="KY4" s="70">
        <f t="shared" si="30"/>
        <v>153234273</v>
      </c>
      <c r="KZ4" s="70">
        <f t="shared" si="31"/>
        <v>0</v>
      </c>
      <c r="LA4" s="70">
        <f t="shared" si="32"/>
        <v>13932875</v>
      </c>
      <c r="LB4" s="70">
        <f t="shared" si="33"/>
        <v>0</v>
      </c>
      <c r="LC4" s="70">
        <f t="shared" si="34"/>
        <v>3063602</v>
      </c>
      <c r="LD4" s="70">
        <f t="shared" si="35"/>
        <v>0</v>
      </c>
      <c r="LE4" s="70">
        <f t="shared" si="36"/>
        <v>22619606</v>
      </c>
      <c r="LF4" s="70">
        <f t="shared" si="37"/>
        <v>0</v>
      </c>
      <c r="LG4" s="70">
        <f t="shared" si="38"/>
        <v>539462</v>
      </c>
      <c r="LH4" s="70">
        <f t="shared" si="39"/>
        <v>0</v>
      </c>
      <c r="LI4" s="70">
        <f t="shared" si="40"/>
        <v>21672483</v>
      </c>
      <c r="LJ4" s="70">
        <f t="shared" si="41"/>
        <v>0</v>
      </c>
      <c r="LK4" s="70">
        <f t="shared" si="42"/>
        <v>140082</v>
      </c>
      <c r="LL4" s="70">
        <f t="shared" si="43"/>
        <v>0</v>
      </c>
      <c r="LM4" s="70">
        <f t="shared" si="44"/>
        <v>272140</v>
      </c>
      <c r="LN4" s="70">
        <f t="shared" si="45"/>
        <v>0</v>
      </c>
      <c r="LO4" s="70">
        <f t="shared" si="46"/>
        <v>2193655</v>
      </c>
      <c r="LP4" s="70">
        <f t="shared" si="47"/>
        <v>0</v>
      </c>
      <c r="LQ4" s="70">
        <f t="shared" si="48"/>
        <v>6737528</v>
      </c>
      <c r="LR4" s="70">
        <f t="shared" si="49"/>
        <v>0</v>
      </c>
      <c r="LS4" s="70">
        <f t="shared" si="50"/>
        <v>3193333</v>
      </c>
      <c r="LT4" s="70">
        <f t="shared" si="51"/>
        <v>0</v>
      </c>
      <c r="LU4" s="70">
        <f t="shared" si="52"/>
        <v>4055439</v>
      </c>
      <c r="LV4" s="70">
        <f t="shared" si="53"/>
        <v>0</v>
      </c>
      <c r="LW4" s="70">
        <f t="shared" si="54"/>
        <v>6413714</v>
      </c>
      <c r="LX4" s="70">
        <f t="shared" si="55"/>
        <v>0</v>
      </c>
      <c r="LY4" s="70">
        <f t="shared" si="56"/>
        <v>1235877</v>
      </c>
      <c r="LZ4" s="70">
        <f t="shared" si="57"/>
        <v>0</v>
      </c>
      <c r="MA4" s="70">
        <f t="shared" si="58"/>
        <v>21873514</v>
      </c>
      <c r="MB4" s="70">
        <f t="shared" si="59"/>
        <v>0</v>
      </c>
      <c r="MC4" s="70">
        <f t="shared" si="60"/>
        <v>562537</v>
      </c>
      <c r="MD4" s="70">
        <f t="shared" si="61"/>
        <v>0</v>
      </c>
      <c r="ME4" s="70">
        <f t="shared" si="62"/>
        <v>0</v>
      </c>
      <c r="MF4" s="70">
        <f t="shared" si="63"/>
        <v>0</v>
      </c>
      <c r="MG4" s="70">
        <f t="shared" si="64"/>
        <v>2474145</v>
      </c>
      <c r="MH4" s="70">
        <f t="shared" si="65"/>
        <v>0</v>
      </c>
      <c r="MI4" s="70">
        <f t="shared" si="66"/>
        <v>137324</v>
      </c>
      <c r="MJ4" s="70">
        <f t="shared" si="67"/>
        <v>0</v>
      </c>
      <c r="MK4" s="70">
        <f t="shared" si="68"/>
        <v>9066812</v>
      </c>
      <c r="ML4" s="70">
        <f t="shared" si="69"/>
        <v>0</v>
      </c>
      <c r="MM4" s="70">
        <f t="shared" si="70"/>
        <v>120184128</v>
      </c>
      <c r="MN4" s="70">
        <f t="shared" si="71"/>
        <v>0</v>
      </c>
      <c r="MO4" s="70">
        <f t="shared" si="72"/>
        <v>9116334</v>
      </c>
      <c r="MP4" s="70">
        <f t="shared" si="73"/>
        <v>0</v>
      </c>
      <c r="MQ4" s="70">
        <f t="shared" si="74"/>
        <v>129300462</v>
      </c>
      <c r="MR4" s="70">
        <f t="shared" si="75"/>
        <v>0</v>
      </c>
      <c r="MT4" s="70">
        <f t="shared" si="76"/>
        <v>0</v>
      </c>
      <c r="MV4" s="68">
        <f t="shared" ref="MV4:MV65" si="77">IF(MT4=0,0,1)</f>
        <v>0</v>
      </c>
    </row>
    <row r="5" spans="1:360" x14ac:dyDescent="0.15">
      <c r="A5" s="182" t="s">
        <v>610</v>
      </c>
      <c r="B5" s="76" t="s">
        <v>427</v>
      </c>
      <c r="C5" s="90">
        <v>100663</v>
      </c>
      <c r="D5" s="90">
        <v>2014</v>
      </c>
      <c r="E5" s="90">
        <v>1</v>
      </c>
      <c r="F5" s="91">
        <v>8</v>
      </c>
      <c r="G5" s="92">
        <v>3501</v>
      </c>
      <c r="H5" s="92">
        <v>4856</v>
      </c>
      <c r="I5" s="93">
        <v>1126577040</v>
      </c>
      <c r="J5" s="93">
        <v>1044121372</v>
      </c>
      <c r="K5" s="93">
        <v>0</v>
      </c>
      <c r="L5" s="93">
        <v>0</v>
      </c>
      <c r="M5" s="93">
        <v>19361454</v>
      </c>
      <c r="N5" s="93">
        <v>16010937</v>
      </c>
      <c r="O5" s="93">
        <v>0</v>
      </c>
      <c r="P5" s="93">
        <v>0</v>
      </c>
      <c r="Q5" s="93">
        <v>436539862</v>
      </c>
      <c r="R5" s="93">
        <v>451678129</v>
      </c>
      <c r="S5" s="93">
        <v>821907835</v>
      </c>
      <c r="T5" s="93">
        <v>902513823</v>
      </c>
      <c r="U5" s="93">
        <v>19119</v>
      </c>
      <c r="V5" s="93">
        <v>19918</v>
      </c>
      <c r="W5" s="93">
        <v>28671</v>
      </c>
      <c r="X5" s="93">
        <v>27112</v>
      </c>
      <c r="Y5" s="93">
        <v>24539</v>
      </c>
      <c r="Z5" s="93">
        <v>24572</v>
      </c>
      <c r="AA5" s="93">
        <v>34780</v>
      </c>
      <c r="AB5" s="93">
        <v>32191</v>
      </c>
      <c r="AC5" s="114">
        <v>6</v>
      </c>
      <c r="AD5" s="114">
        <v>12</v>
      </c>
      <c r="AE5" s="114">
        <v>0</v>
      </c>
      <c r="AF5" s="115">
        <v>4058861</v>
      </c>
      <c r="AG5" s="115">
        <v>2731142</v>
      </c>
      <c r="AH5" s="115">
        <v>320001</v>
      </c>
      <c r="AI5" s="115">
        <v>210291</v>
      </c>
      <c r="AJ5" s="115">
        <v>306868</v>
      </c>
      <c r="AK5" s="116">
        <v>6</v>
      </c>
      <c r="AL5" s="115">
        <v>306868</v>
      </c>
      <c r="AM5" s="116">
        <v>6</v>
      </c>
      <c r="AN5" s="115">
        <v>106302</v>
      </c>
      <c r="AO5" s="116">
        <v>9.27</v>
      </c>
      <c r="AP5" s="115">
        <v>98542</v>
      </c>
      <c r="AQ5" s="116">
        <v>10</v>
      </c>
      <c r="AR5" s="115">
        <v>155781</v>
      </c>
      <c r="AS5" s="116">
        <v>17</v>
      </c>
      <c r="AT5" s="115">
        <v>155781</v>
      </c>
      <c r="AU5" s="116">
        <v>17</v>
      </c>
      <c r="AV5" s="115">
        <v>76185</v>
      </c>
      <c r="AW5" s="116">
        <v>11</v>
      </c>
      <c r="AX5" s="115">
        <v>76185</v>
      </c>
      <c r="AY5" s="116">
        <v>11</v>
      </c>
      <c r="AZ5" s="139">
        <v>471801</v>
      </c>
      <c r="BA5" s="139">
        <v>647256</v>
      </c>
      <c r="BB5" s="139">
        <v>2258</v>
      </c>
      <c r="BC5" s="139">
        <v>44008</v>
      </c>
      <c r="BD5" s="139">
        <v>0</v>
      </c>
      <c r="BE5" s="139">
        <v>1165323</v>
      </c>
      <c r="BF5" s="139">
        <v>0</v>
      </c>
      <c r="BG5" s="139">
        <v>0</v>
      </c>
      <c r="BH5" s="139">
        <v>0</v>
      </c>
      <c r="BI5" s="139">
        <v>0</v>
      </c>
      <c r="BJ5" s="139">
        <v>5234091</v>
      </c>
      <c r="BK5" s="139">
        <v>5234091</v>
      </c>
      <c r="BL5" s="139">
        <v>1700000</v>
      </c>
      <c r="BM5" s="139">
        <v>25000</v>
      </c>
      <c r="BN5" s="139">
        <v>10000</v>
      </c>
      <c r="BO5" s="139">
        <v>16000</v>
      </c>
      <c r="BP5" s="139">
        <v>0</v>
      </c>
      <c r="BQ5" s="139">
        <v>1751000</v>
      </c>
      <c r="BR5" s="139">
        <v>1477123</v>
      </c>
      <c r="BS5" s="139">
        <v>739057</v>
      </c>
      <c r="BT5" s="139">
        <v>78754</v>
      </c>
      <c r="BU5" s="139">
        <v>353494</v>
      </c>
      <c r="BV5" s="139">
        <v>557174</v>
      </c>
      <c r="BW5" s="139">
        <v>3205602</v>
      </c>
      <c r="BX5" s="139">
        <v>0</v>
      </c>
      <c r="BY5" s="139">
        <v>0</v>
      </c>
      <c r="BZ5" s="139">
        <v>0</v>
      </c>
      <c r="CA5" s="139">
        <v>0</v>
      </c>
      <c r="CB5" s="139">
        <v>0</v>
      </c>
      <c r="CC5" s="139">
        <v>0</v>
      </c>
      <c r="CD5" s="139">
        <v>0</v>
      </c>
      <c r="CE5" s="139">
        <v>0</v>
      </c>
      <c r="CF5" s="139">
        <v>0</v>
      </c>
      <c r="CG5" s="139">
        <v>0</v>
      </c>
      <c r="CH5" s="139">
        <v>0</v>
      </c>
      <c r="CI5" s="139">
        <v>0</v>
      </c>
      <c r="CJ5" s="139">
        <v>3439077</v>
      </c>
      <c r="CK5" s="139">
        <v>1310982</v>
      </c>
      <c r="CL5" s="139">
        <v>1617177</v>
      </c>
      <c r="CM5" s="139">
        <v>7008745</v>
      </c>
      <c r="CN5" s="139">
        <v>1312352</v>
      </c>
      <c r="CO5" s="139">
        <v>14688333</v>
      </c>
      <c r="CP5" s="139">
        <v>21885</v>
      </c>
      <c r="CQ5" s="139">
        <v>3438</v>
      </c>
      <c r="CR5" s="139">
        <v>896</v>
      </c>
      <c r="CS5" s="139">
        <v>147351</v>
      </c>
      <c r="CT5" s="139">
        <v>249613</v>
      </c>
      <c r="CU5" s="139">
        <v>423183</v>
      </c>
      <c r="CV5" s="139">
        <v>919724</v>
      </c>
      <c r="CW5" s="139">
        <v>350676</v>
      </c>
      <c r="CX5" s="139">
        <v>7652</v>
      </c>
      <c r="CY5" s="139">
        <v>3983</v>
      </c>
      <c r="CZ5" s="139">
        <v>1656633</v>
      </c>
      <c r="DA5" s="139">
        <v>2938668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257600</v>
      </c>
      <c r="DO5" s="139">
        <v>386400</v>
      </c>
      <c r="DP5" s="139">
        <v>0</v>
      </c>
      <c r="DQ5" s="139">
        <v>0</v>
      </c>
      <c r="DR5" s="139">
        <v>317267</v>
      </c>
      <c r="DS5" s="139">
        <v>961267</v>
      </c>
      <c r="DT5" s="139">
        <v>0</v>
      </c>
      <c r="DU5" s="139">
        <v>0</v>
      </c>
      <c r="DV5" s="139">
        <v>0</v>
      </c>
      <c r="DW5" s="139">
        <v>0</v>
      </c>
      <c r="DX5" s="139">
        <v>0</v>
      </c>
      <c r="DY5" s="139">
        <v>0</v>
      </c>
      <c r="DZ5" s="139">
        <v>3038</v>
      </c>
      <c r="EA5" s="139">
        <v>2898</v>
      </c>
      <c r="EB5" s="139">
        <v>1374</v>
      </c>
      <c r="EC5" s="139">
        <v>3931</v>
      </c>
      <c r="ED5" s="139">
        <v>20673</v>
      </c>
      <c r="EE5" s="139">
        <v>31914</v>
      </c>
      <c r="EF5" s="139">
        <v>754938</v>
      </c>
      <c r="EG5" s="139">
        <v>161992</v>
      </c>
      <c r="EH5" s="139">
        <v>380</v>
      </c>
      <c r="EI5" s="139">
        <v>52936</v>
      </c>
      <c r="EJ5" s="139">
        <v>179890</v>
      </c>
      <c r="EK5" s="139">
        <v>1150136</v>
      </c>
      <c r="EL5" s="139">
        <v>9045186</v>
      </c>
      <c r="EM5" s="139">
        <v>3627699</v>
      </c>
      <c r="EN5" s="139">
        <v>1718491</v>
      </c>
      <c r="EO5" s="139">
        <v>7630448</v>
      </c>
      <c r="EP5" s="139">
        <v>9527693</v>
      </c>
      <c r="EQ5" s="139">
        <v>31549517</v>
      </c>
      <c r="ER5" s="139">
        <v>2650160</v>
      </c>
      <c r="ES5" s="139">
        <v>406347</v>
      </c>
      <c r="ET5" s="139">
        <v>492174</v>
      </c>
      <c r="EU5" s="139">
        <v>3241322</v>
      </c>
      <c r="EV5" s="139">
        <v>345182</v>
      </c>
      <c r="EW5" s="139">
        <v>7135185</v>
      </c>
      <c r="EX5" s="139">
        <v>304364</v>
      </c>
      <c r="EY5" s="139">
        <v>264659</v>
      </c>
      <c r="EZ5" s="139">
        <v>26500</v>
      </c>
      <c r="FA5" s="139">
        <v>26958</v>
      </c>
      <c r="FB5" s="139">
        <v>0</v>
      </c>
      <c r="FC5" s="139">
        <v>622481</v>
      </c>
      <c r="FD5" s="139">
        <v>2382378</v>
      </c>
      <c r="FE5" s="139">
        <v>1339035</v>
      </c>
      <c r="FF5" s="139">
        <v>639805</v>
      </c>
      <c r="FG5" s="139">
        <v>1951732</v>
      </c>
      <c r="FH5" s="139">
        <v>0</v>
      </c>
      <c r="FI5" s="139">
        <v>6312950</v>
      </c>
      <c r="FJ5" s="139">
        <v>0</v>
      </c>
      <c r="FK5" s="139">
        <v>0</v>
      </c>
      <c r="FL5" s="139">
        <v>0</v>
      </c>
      <c r="FM5" s="139">
        <v>0</v>
      </c>
      <c r="FN5" s="139">
        <v>0</v>
      </c>
      <c r="FO5" s="139">
        <v>0</v>
      </c>
      <c r="FP5" s="139">
        <v>409845</v>
      </c>
      <c r="FQ5" s="139">
        <v>64024</v>
      </c>
      <c r="FR5" s="139">
        <v>61461</v>
      </c>
      <c r="FS5" s="139">
        <v>102953</v>
      </c>
      <c r="FT5" s="139">
        <v>4905625</v>
      </c>
      <c r="FU5" s="139">
        <v>5543908</v>
      </c>
      <c r="FV5" s="139">
        <v>0</v>
      </c>
      <c r="FW5" s="139">
        <v>0</v>
      </c>
      <c r="FX5" s="139">
        <v>0</v>
      </c>
      <c r="FY5" s="139">
        <v>0</v>
      </c>
      <c r="FZ5" s="139">
        <v>0</v>
      </c>
      <c r="GA5" s="139">
        <v>0</v>
      </c>
      <c r="GB5" s="139">
        <v>146225</v>
      </c>
      <c r="GC5" s="139">
        <v>0</v>
      </c>
      <c r="GD5" s="139">
        <v>0</v>
      </c>
      <c r="GE5" s="139">
        <v>0</v>
      </c>
      <c r="GF5" s="139">
        <v>0</v>
      </c>
      <c r="GG5" s="139">
        <v>146225</v>
      </c>
      <c r="GH5" s="139">
        <v>164268</v>
      </c>
      <c r="GI5" s="139">
        <v>100242</v>
      </c>
      <c r="GJ5" s="139">
        <v>62436</v>
      </c>
      <c r="GK5" s="139">
        <v>203346</v>
      </c>
      <c r="GL5" s="139">
        <v>8451</v>
      </c>
      <c r="GM5" s="139">
        <v>538743</v>
      </c>
      <c r="GN5" s="139">
        <v>723656</v>
      </c>
      <c r="GO5" s="139">
        <v>439819</v>
      </c>
      <c r="GP5" s="139">
        <v>201976</v>
      </c>
      <c r="GQ5" s="139">
        <v>1148296</v>
      </c>
      <c r="GR5" s="139">
        <v>4778</v>
      </c>
      <c r="GS5" s="139">
        <v>2518525</v>
      </c>
      <c r="GT5" s="139">
        <v>418285</v>
      </c>
      <c r="GU5" s="139">
        <v>38825</v>
      </c>
      <c r="GV5" s="139">
        <v>32379</v>
      </c>
      <c r="GW5" s="139">
        <v>311935</v>
      </c>
      <c r="GX5" s="139">
        <v>224769</v>
      </c>
      <c r="GY5" s="139">
        <v>1026193</v>
      </c>
      <c r="GZ5" s="139">
        <v>84445</v>
      </c>
      <c r="HA5" s="139">
        <v>119350</v>
      </c>
      <c r="HB5" s="139">
        <v>72056</v>
      </c>
      <c r="HC5" s="139">
        <v>124565</v>
      </c>
      <c r="HD5" s="139">
        <v>136111</v>
      </c>
      <c r="HE5" s="139">
        <v>536527</v>
      </c>
      <c r="HF5" s="139">
        <v>21</v>
      </c>
      <c r="HG5" s="139">
        <v>0</v>
      </c>
      <c r="HH5" s="139">
        <v>0</v>
      </c>
      <c r="HI5" s="139">
        <v>0</v>
      </c>
      <c r="HJ5" s="139">
        <v>577567</v>
      </c>
      <c r="HK5" s="139">
        <v>577588</v>
      </c>
      <c r="HL5" s="139">
        <v>0</v>
      </c>
      <c r="HM5" s="139">
        <v>0</v>
      </c>
      <c r="HN5" s="139">
        <v>0</v>
      </c>
      <c r="HO5" s="139">
        <v>0</v>
      </c>
      <c r="HP5" s="139">
        <v>0</v>
      </c>
      <c r="HQ5" s="139">
        <v>0</v>
      </c>
      <c r="HR5" s="139">
        <v>87714</v>
      </c>
      <c r="HS5" s="139">
        <v>47445</v>
      </c>
      <c r="HT5" s="139">
        <v>44775</v>
      </c>
      <c r="HU5" s="139">
        <v>147506</v>
      </c>
      <c r="HV5" s="139">
        <v>767378</v>
      </c>
      <c r="HW5" s="139">
        <v>1094818</v>
      </c>
      <c r="HX5" s="139">
        <v>481789</v>
      </c>
      <c r="HY5" s="139">
        <v>0</v>
      </c>
      <c r="HZ5" s="139">
        <v>0</v>
      </c>
      <c r="IA5" s="139">
        <v>0</v>
      </c>
      <c r="IB5" s="139">
        <v>248781</v>
      </c>
      <c r="IC5" s="139">
        <v>730570</v>
      </c>
      <c r="ID5" s="139">
        <v>21885</v>
      </c>
      <c r="IE5" s="139">
        <v>3438</v>
      </c>
      <c r="IF5" s="139">
        <v>896</v>
      </c>
      <c r="IG5" s="139">
        <v>147351</v>
      </c>
      <c r="IH5" s="139">
        <v>249613</v>
      </c>
      <c r="II5" s="139">
        <v>423183</v>
      </c>
      <c r="IJ5" s="139">
        <v>0</v>
      </c>
      <c r="IK5" s="139">
        <v>0</v>
      </c>
      <c r="IL5" s="139">
        <v>825</v>
      </c>
      <c r="IM5" s="139">
        <v>0</v>
      </c>
      <c r="IN5" s="139">
        <v>590351</v>
      </c>
      <c r="IO5" s="139">
        <v>591176</v>
      </c>
      <c r="IP5" s="139">
        <v>2768</v>
      </c>
      <c r="IQ5" s="139">
        <v>1125</v>
      </c>
      <c r="IR5" s="139">
        <v>865</v>
      </c>
      <c r="IS5" s="139">
        <v>3435</v>
      </c>
      <c r="IT5" s="139">
        <v>299777</v>
      </c>
      <c r="IU5" s="139">
        <v>307970</v>
      </c>
      <c r="IV5" s="139">
        <v>1100161</v>
      </c>
      <c r="IW5" s="139">
        <v>139859</v>
      </c>
      <c r="IX5" s="139">
        <v>78959</v>
      </c>
      <c r="IY5" s="139">
        <v>311562</v>
      </c>
      <c r="IZ5" s="139">
        <v>1068588</v>
      </c>
      <c r="JA5" s="139">
        <v>2699129</v>
      </c>
      <c r="JB5" s="139">
        <v>8977964</v>
      </c>
      <c r="JC5" s="139">
        <v>2964168</v>
      </c>
      <c r="JD5" s="139">
        <v>1715107</v>
      </c>
      <c r="JE5" s="139">
        <v>7720961</v>
      </c>
      <c r="JF5" s="139">
        <v>9426971</v>
      </c>
      <c r="JG5" s="139">
        <v>30805171</v>
      </c>
      <c r="JH5" s="139">
        <v>0</v>
      </c>
      <c r="JI5" s="139">
        <v>0</v>
      </c>
      <c r="JJ5" s="139">
        <v>0</v>
      </c>
      <c r="JK5" s="139">
        <v>0</v>
      </c>
      <c r="JL5" s="139">
        <v>0</v>
      </c>
      <c r="JM5" s="139">
        <v>0</v>
      </c>
      <c r="JN5" s="139">
        <v>8977964</v>
      </c>
      <c r="JO5" s="139">
        <v>2964168</v>
      </c>
      <c r="JP5" s="139">
        <v>1715107</v>
      </c>
      <c r="JQ5" s="139">
        <v>7720961</v>
      </c>
      <c r="JR5" s="139">
        <v>9426971</v>
      </c>
      <c r="JS5" s="139">
        <v>30805171</v>
      </c>
      <c r="JU5" s="70">
        <f t="shared" si="0"/>
        <v>1165323</v>
      </c>
      <c r="JV5" s="70">
        <f t="shared" si="1"/>
        <v>0</v>
      </c>
      <c r="JW5" s="70">
        <f t="shared" si="2"/>
        <v>5234091</v>
      </c>
      <c r="JX5" s="70">
        <f t="shared" si="3"/>
        <v>0</v>
      </c>
      <c r="JY5" s="70">
        <f t="shared" si="4"/>
        <v>1751000</v>
      </c>
      <c r="JZ5" s="70">
        <f t="shared" si="5"/>
        <v>0</v>
      </c>
      <c r="KA5" s="70">
        <f t="shared" si="6"/>
        <v>3205602</v>
      </c>
      <c r="KB5" s="70">
        <f t="shared" si="7"/>
        <v>0</v>
      </c>
      <c r="KC5" s="70">
        <f t="shared" si="8"/>
        <v>0</v>
      </c>
      <c r="KD5" s="70">
        <f t="shared" si="9"/>
        <v>0</v>
      </c>
      <c r="KE5" s="70">
        <f t="shared" si="10"/>
        <v>0</v>
      </c>
      <c r="KF5" s="70">
        <f t="shared" si="11"/>
        <v>0</v>
      </c>
      <c r="KG5" s="70">
        <f t="shared" si="12"/>
        <v>14688333</v>
      </c>
      <c r="KH5" s="70">
        <f t="shared" si="13"/>
        <v>0</v>
      </c>
      <c r="KI5" s="70">
        <f t="shared" si="14"/>
        <v>423183</v>
      </c>
      <c r="KJ5" s="70">
        <f t="shared" si="15"/>
        <v>0</v>
      </c>
      <c r="KK5" s="70">
        <f t="shared" si="16"/>
        <v>2938668</v>
      </c>
      <c r="KL5" s="70">
        <f t="shared" si="17"/>
        <v>0</v>
      </c>
      <c r="KM5" s="70">
        <f t="shared" si="18"/>
        <v>0</v>
      </c>
      <c r="KN5" s="70">
        <f t="shared" si="19"/>
        <v>0</v>
      </c>
      <c r="KO5" s="70">
        <f t="shared" si="20"/>
        <v>0</v>
      </c>
      <c r="KP5" s="70">
        <f t="shared" si="21"/>
        <v>0</v>
      </c>
      <c r="KQ5" s="70">
        <f t="shared" si="22"/>
        <v>961267</v>
      </c>
      <c r="KR5" s="70">
        <f t="shared" si="23"/>
        <v>0</v>
      </c>
      <c r="KS5" s="70">
        <f t="shared" si="24"/>
        <v>0</v>
      </c>
      <c r="KT5" s="70">
        <f t="shared" si="25"/>
        <v>0</v>
      </c>
      <c r="KU5" s="70">
        <f t="shared" si="26"/>
        <v>31914</v>
      </c>
      <c r="KV5" s="70">
        <f t="shared" si="27"/>
        <v>0</v>
      </c>
      <c r="KW5" s="70">
        <f t="shared" si="28"/>
        <v>1150136</v>
      </c>
      <c r="KX5" s="70">
        <f t="shared" si="29"/>
        <v>0</v>
      </c>
      <c r="KY5" s="70">
        <f t="shared" si="30"/>
        <v>31549517</v>
      </c>
      <c r="KZ5" s="70">
        <f t="shared" si="31"/>
        <v>0</v>
      </c>
      <c r="LA5" s="70">
        <f t="shared" si="32"/>
        <v>7135185</v>
      </c>
      <c r="LB5" s="70">
        <f t="shared" si="33"/>
        <v>0</v>
      </c>
      <c r="LC5" s="70">
        <f t="shared" si="34"/>
        <v>622481</v>
      </c>
      <c r="LD5" s="70">
        <f t="shared" si="35"/>
        <v>0</v>
      </c>
      <c r="LE5" s="70">
        <f t="shared" si="36"/>
        <v>6312950</v>
      </c>
      <c r="LF5" s="70">
        <f t="shared" si="37"/>
        <v>0</v>
      </c>
      <c r="LG5" s="70">
        <f t="shared" si="38"/>
        <v>0</v>
      </c>
      <c r="LH5" s="70">
        <f t="shared" si="39"/>
        <v>0</v>
      </c>
      <c r="LI5" s="70">
        <f t="shared" si="40"/>
        <v>5543908</v>
      </c>
      <c r="LJ5" s="70">
        <f t="shared" si="41"/>
        <v>0</v>
      </c>
      <c r="LK5" s="70">
        <f t="shared" si="42"/>
        <v>0</v>
      </c>
      <c r="LL5" s="70">
        <f t="shared" si="43"/>
        <v>0</v>
      </c>
      <c r="LM5" s="70">
        <f t="shared" si="44"/>
        <v>146225</v>
      </c>
      <c r="LN5" s="70">
        <f t="shared" si="45"/>
        <v>0</v>
      </c>
      <c r="LO5" s="70">
        <f t="shared" si="46"/>
        <v>538743</v>
      </c>
      <c r="LP5" s="70">
        <f t="shared" si="47"/>
        <v>0</v>
      </c>
      <c r="LQ5" s="70">
        <f t="shared" si="48"/>
        <v>2518525</v>
      </c>
      <c r="LR5" s="70">
        <f t="shared" si="49"/>
        <v>0</v>
      </c>
      <c r="LS5" s="70">
        <f t="shared" si="50"/>
        <v>1026193</v>
      </c>
      <c r="LT5" s="70">
        <f t="shared" si="51"/>
        <v>0</v>
      </c>
      <c r="LU5" s="70">
        <f t="shared" si="52"/>
        <v>536527</v>
      </c>
      <c r="LV5" s="70">
        <f t="shared" si="53"/>
        <v>0</v>
      </c>
      <c r="LW5" s="70">
        <f t="shared" si="54"/>
        <v>577588</v>
      </c>
      <c r="LX5" s="70">
        <f t="shared" si="55"/>
        <v>0</v>
      </c>
      <c r="LY5" s="70">
        <f t="shared" si="56"/>
        <v>0</v>
      </c>
      <c r="LZ5" s="70">
        <f t="shared" si="57"/>
        <v>0</v>
      </c>
      <c r="MA5" s="70">
        <f t="shared" si="58"/>
        <v>1094818</v>
      </c>
      <c r="MB5" s="70">
        <f t="shared" si="59"/>
        <v>0</v>
      </c>
      <c r="MC5" s="70">
        <f t="shared" si="60"/>
        <v>730570</v>
      </c>
      <c r="MD5" s="70">
        <f t="shared" si="61"/>
        <v>0</v>
      </c>
      <c r="ME5" s="70">
        <f t="shared" si="62"/>
        <v>423183</v>
      </c>
      <c r="MF5" s="70">
        <f t="shared" si="63"/>
        <v>0</v>
      </c>
      <c r="MG5" s="70">
        <f t="shared" si="64"/>
        <v>591176</v>
      </c>
      <c r="MH5" s="70">
        <f t="shared" si="65"/>
        <v>0</v>
      </c>
      <c r="MI5" s="70">
        <f t="shared" si="66"/>
        <v>307970</v>
      </c>
      <c r="MJ5" s="70">
        <f t="shared" si="67"/>
        <v>0</v>
      </c>
      <c r="MK5" s="70">
        <f t="shared" si="68"/>
        <v>2699129</v>
      </c>
      <c r="ML5" s="70">
        <f t="shared" si="69"/>
        <v>0</v>
      </c>
      <c r="MM5" s="70">
        <f t="shared" si="70"/>
        <v>30805171</v>
      </c>
      <c r="MN5" s="70">
        <f t="shared" si="71"/>
        <v>0</v>
      </c>
      <c r="MO5" s="70">
        <f t="shared" si="72"/>
        <v>0</v>
      </c>
      <c r="MP5" s="70">
        <f t="shared" si="73"/>
        <v>0</v>
      </c>
      <c r="MQ5" s="70">
        <f t="shared" si="74"/>
        <v>30805171</v>
      </c>
      <c r="MR5" s="70">
        <f t="shared" si="75"/>
        <v>0</v>
      </c>
      <c r="MT5" s="70">
        <f t="shared" si="76"/>
        <v>0</v>
      </c>
      <c r="MV5" s="68">
        <f t="shared" si="77"/>
        <v>0</v>
      </c>
    </row>
    <row r="6" spans="1:360" x14ac:dyDescent="0.15">
      <c r="A6" s="182" t="s">
        <v>289</v>
      </c>
      <c r="B6" s="76" t="s">
        <v>421</v>
      </c>
      <c r="C6" s="90">
        <v>104179</v>
      </c>
      <c r="D6" s="90">
        <v>2014</v>
      </c>
      <c r="E6" s="90">
        <v>1</v>
      </c>
      <c r="F6" s="91">
        <v>4</v>
      </c>
      <c r="G6" s="92">
        <v>1511</v>
      </c>
      <c r="H6" s="92">
        <v>16559</v>
      </c>
      <c r="I6" s="93">
        <v>1702741000</v>
      </c>
      <c r="J6" s="93">
        <v>1651325000</v>
      </c>
      <c r="K6" s="93">
        <v>5122710</v>
      </c>
      <c r="L6" s="93">
        <v>5446775</v>
      </c>
      <c r="M6" s="93">
        <v>106136925</v>
      </c>
      <c r="N6" s="93">
        <v>104826684</v>
      </c>
      <c r="O6" s="93">
        <v>86660000</v>
      </c>
      <c r="P6" s="93">
        <v>87575000</v>
      </c>
      <c r="Q6" s="93">
        <v>1259686000</v>
      </c>
      <c r="R6" s="93">
        <v>1287755000</v>
      </c>
      <c r="S6" s="93">
        <v>1425022000</v>
      </c>
      <c r="T6" s="93">
        <v>1381026000</v>
      </c>
      <c r="U6" s="93">
        <v>22988</v>
      </c>
      <c r="V6" s="93">
        <v>22512</v>
      </c>
      <c r="W6" s="93">
        <v>39670</v>
      </c>
      <c r="X6" s="93">
        <v>37708</v>
      </c>
      <c r="Y6" s="93">
        <v>25228</v>
      </c>
      <c r="Z6" s="93">
        <v>24794</v>
      </c>
      <c r="AA6" s="93">
        <v>41910</v>
      </c>
      <c r="AB6" s="93">
        <v>40974</v>
      </c>
      <c r="AC6" s="114">
        <v>8</v>
      </c>
      <c r="AD6" s="114">
        <v>12</v>
      </c>
      <c r="AE6" s="114">
        <v>0</v>
      </c>
      <c r="AF6" s="115">
        <v>6009951</v>
      </c>
      <c r="AG6" s="115">
        <v>4790949</v>
      </c>
      <c r="AH6" s="115">
        <v>974945</v>
      </c>
      <c r="AI6" s="115">
        <v>406654</v>
      </c>
      <c r="AJ6" s="115">
        <v>1004514</v>
      </c>
      <c r="AK6" s="116">
        <v>6</v>
      </c>
      <c r="AL6" s="115">
        <v>861912</v>
      </c>
      <c r="AM6" s="116">
        <v>7</v>
      </c>
      <c r="AN6" s="115">
        <v>167103</v>
      </c>
      <c r="AO6" s="116">
        <v>9</v>
      </c>
      <c r="AP6" s="115">
        <v>150393</v>
      </c>
      <c r="AQ6" s="116">
        <v>10</v>
      </c>
      <c r="AR6" s="115">
        <v>248710</v>
      </c>
      <c r="AS6" s="116">
        <v>20</v>
      </c>
      <c r="AT6" s="115">
        <v>207258</v>
      </c>
      <c r="AU6" s="116">
        <v>24</v>
      </c>
      <c r="AV6" s="115">
        <v>90779</v>
      </c>
      <c r="AW6" s="116">
        <v>18</v>
      </c>
      <c r="AX6" s="115">
        <v>74274</v>
      </c>
      <c r="AY6" s="116">
        <v>22</v>
      </c>
      <c r="AZ6" s="139">
        <v>6696752</v>
      </c>
      <c r="BA6" s="139">
        <v>7497548</v>
      </c>
      <c r="BB6" s="139">
        <v>83362</v>
      </c>
      <c r="BC6" s="139">
        <v>650022</v>
      </c>
      <c r="BD6" s="139">
        <v>3765</v>
      </c>
      <c r="BE6" s="139">
        <v>14931449</v>
      </c>
      <c r="BF6" s="139">
        <v>0</v>
      </c>
      <c r="BG6" s="139">
        <v>0</v>
      </c>
      <c r="BH6" s="139">
        <v>0</v>
      </c>
      <c r="BI6" s="139">
        <v>0</v>
      </c>
      <c r="BJ6" s="139">
        <v>0</v>
      </c>
      <c r="BK6" s="139">
        <v>0</v>
      </c>
      <c r="BL6" s="139">
        <v>250000</v>
      </c>
      <c r="BM6" s="139">
        <v>161971</v>
      </c>
      <c r="BN6" s="139">
        <v>0</v>
      </c>
      <c r="BO6" s="139">
        <v>50200</v>
      </c>
      <c r="BP6" s="139">
        <v>0</v>
      </c>
      <c r="BQ6" s="139">
        <v>462171</v>
      </c>
      <c r="BR6" s="139">
        <v>5186793</v>
      </c>
      <c r="BS6" s="139">
        <v>4509681</v>
      </c>
      <c r="BT6" s="139">
        <v>20569</v>
      </c>
      <c r="BU6" s="139">
        <v>304839</v>
      </c>
      <c r="BV6" s="139">
        <v>34243095</v>
      </c>
      <c r="BW6" s="139">
        <v>44264977</v>
      </c>
      <c r="BX6" s="139">
        <v>375000</v>
      </c>
      <c r="BY6" s="139">
        <v>417500</v>
      </c>
      <c r="BZ6" s="139">
        <v>37800</v>
      </c>
      <c r="CA6" s="139">
        <v>297650</v>
      </c>
      <c r="CB6" s="139">
        <v>9600</v>
      </c>
      <c r="CC6" s="139">
        <v>1137550</v>
      </c>
      <c r="CD6" s="139">
        <v>0</v>
      </c>
      <c r="CE6" s="139">
        <v>0</v>
      </c>
      <c r="CF6" s="139">
        <v>0</v>
      </c>
      <c r="CG6" s="139">
        <v>0</v>
      </c>
      <c r="CH6" s="139">
        <v>0</v>
      </c>
      <c r="CI6" s="139">
        <v>0</v>
      </c>
      <c r="CJ6" s="139">
        <v>2030664</v>
      </c>
      <c r="CK6" s="139">
        <v>281286</v>
      </c>
      <c r="CL6" s="139">
        <v>403182</v>
      </c>
      <c r="CM6" s="139">
        <v>4043287</v>
      </c>
      <c r="CN6" s="139">
        <v>0</v>
      </c>
      <c r="CO6" s="139">
        <v>6758419</v>
      </c>
      <c r="CP6" s="139">
        <v>312847</v>
      </c>
      <c r="CQ6" s="139">
        <v>36224</v>
      </c>
      <c r="CR6" s="139">
        <v>49397</v>
      </c>
      <c r="CS6" s="139">
        <v>744247</v>
      </c>
      <c r="CT6" s="139">
        <v>0</v>
      </c>
      <c r="CU6" s="139">
        <v>1142715</v>
      </c>
      <c r="CV6" s="139">
        <v>11053403</v>
      </c>
      <c r="CW6" s="139">
        <v>11053403</v>
      </c>
      <c r="CX6" s="139">
        <v>0</v>
      </c>
      <c r="CY6" s="139">
        <v>0</v>
      </c>
      <c r="CZ6" s="139">
        <v>0</v>
      </c>
      <c r="DA6" s="139">
        <v>22106806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762986</v>
      </c>
      <c r="DI6" s="139">
        <v>762986</v>
      </c>
      <c r="DJ6" s="139">
        <v>0</v>
      </c>
      <c r="DK6" s="139">
        <v>0</v>
      </c>
      <c r="DL6" s="139">
        <v>0</v>
      </c>
      <c r="DM6" s="139">
        <v>1525972</v>
      </c>
      <c r="DN6" s="139">
        <v>3154263</v>
      </c>
      <c r="DO6" s="139">
        <v>3154262</v>
      </c>
      <c r="DP6" s="139">
        <v>0</v>
      </c>
      <c r="DQ6" s="139">
        <v>0</v>
      </c>
      <c r="DR6" s="139">
        <v>0</v>
      </c>
      <c r="DS6" s="139">
        <v>6308525</v>
      </c>
      <c r="DT6" s="139">
        <v>0</v>
      </c>
      <c r="DU6" s="139">
        <v>0</v>
      </c>
      <c r="DV6" s="139">
        <v>0</v>
      </c>
      <c r="DW6" s="139">
        <v>0</v>
      </c>
      <c r="DX6" s="139">
        <v>0</v>
      </c>
      <c r="DY6" s="139">
        <v>0</v>
      </c>
      <c r="DZ6" s="139">
        <v>124786</v>
      </c>
      <c r="EA6" s="139">
        <v>97425</v>
      </c>
      <c r="EB6" s="139">
        <v>4649</v>
      </c>
      <c r="EC6" s="139">
        <v>123389</v>
      </c>
      <c r="ED6" s="140">
        <v>150778</v>
      </c>
      <c r="EE6" s="139">
        <v>501027</v>
      </c>
      <c r="EF6" s="139">
        <v>0</v>
      </c>
      <c r="EG6" s="139">
        <v>0</v>
      </c>
      <c r="EH6" s="139">
        <v>0</v>
      </c>
      <c r="EI6" s="139">
        <v>0</v>
      </c>
      <c r="EJ6" s="139">
        <v>771423</v>
      </c>
      <c r="EK6" s="139">
        <v>771423</v>
      </c>
      <c r="EL6" s="139">
        <v>29947494</v>
      </c>
      <c r="EM6" s="139">
        <v>27972286</v>
      </c>
      <c r="EN6" s="139">
        <v>598959</v>
      </c>
      <c r="EO6" s="139">
        <v>6213634</v>
      </c>
      <c r="EP6" s="139">
        <v>35178661</v>
      </c>
      <c r="EQ6" s="139">
        <v>99911034</v>
      </c>
      <c r="ER6" s="139">
        <v>3644661</v>
      </c>
      <c r="ES6" s="139">
        <v>498843</v>
      </c>
      <c r="ET6" s="139">
        <v>639237</v>
      </c>
      <c r="EU6" s="139">
        <v>6018159</v>
      </c>
      <c r="EV6" s="139">
        <v>0</v>
      </c>
      <c r="EW6" s="139">
        <v>10800900</v>
      </c>
      <c r="EX6" s="139">
        <v>1120000</v>
      </c>
      <c r="EY6" s="139">
        <v>486000</v>
      </c>
      <c r="EZ6" s="139">
        <v>78500</v>
      </c>
      <c r="FA6" s="139">
        <v>210571</v>
      </c>
      <c r="FB6" s="139">
        <v>0</v>
      </c>
      <c r="FC6" s="139">
        <v>1895071</v>
      </c>
      <c r="FD6" s="139">
        <v>5849362</v>
      </c>
      <c r="FE6" s="139">
        <v>3811578</v>
      </c>
      <c r="FF6" s="139">
        <v>750257</v>
      </c>
      <c r="FG6" s="139">
        <v>3728040</v>
      </c>
      <c r="FH6" s="139">
        <v>0</v>
      </c>
      <c r="FI6" s="139">
        <v>14139237</v>
      </c>
      <c r="FJ6" s="139">
        <v>375000</v>
      </c>
      <c r="FK6" s="139">
        <v>417500</v>
      </c>
      <c r="FL6" s="139">
        <v>37800</v>
      </c>
      <c r="FM6" s="139">
        <v>297650</v>
      </c>
      <c r="FN6" s="139">
        <v>0</v>
      </c>
      <c r="FO6" s="139">
        <v>1127950</v>
      </c>
      <c r="FP6" s="139">
        <v>951783</v>
      </c>
      <c r="FQ6" s="139">
        <v>303272</v>
      </c>
      <c r="FR6" s="139">
        <v>135831</v>
      </c>
      <c r="FS6" s="139">
        <v>206296</v>
      </c>
      <c r="FT6" s="139">
        <v>11012360</v>
      </c>
      <c r="FU6" s="139">
        <v>12609542</v>
      </c>
      <c r="FV6" s="139">
        <v>0</v>
      </c>
      <c r="FW6" s="139">
        <v>0</v>
      </c>
      <c r="FX6" s="139">
        <v>0</v>
      </c>
      <c r="FY6" s="139">
        <v>0</v>
      </c>
      <c r="FZ6" s="139">
        <v>9600</v>
      </c>
      <c r="GA6" s="139">
        <v>9600</v>
      </c>
      <c r="GB6" s="139">
        <v>0</v>
      </c>
      <c r="GC6" s="139">
        <v>0</v>
      </c>
      <c r="GD6" s="139">
        <v>0</v>
      </c>
      <c r="GE6" s="139">
        <v>0</v>
      </c>
      <c r="GF6" s="139">
        <v>0</v>
      </c>
      <c r="GG6" s="139">
        <v>0</v>
      </c>
      <c r="GH6" s="139">
        <v>594381</v>
      </c>
      <c r="GI6" s="139">
        <v>211300</v>
      </c>
      <c r="GJ6" s="139">
        <v>137824</v>
      </c>
      <c r="GK6" s="139">
        <v>438094</v>
      </c>
      <c r="GL6" s="139">
        <v>0</v>
      </c>
      <c r="GM6" s="139">
        <v>1381599</v>
      </c>
      <c r="GN6" s="139">
        <v>2169243</v>
      </c>
      <c r="GO6" s="139">
        <v>1218398</v>
      </c>
      <c r="GP6" s="139">
        <v>496291</v>
      </c>
      <c r="GQ6" s="139">
        <v>2326031</v>
      </c>
      <c r="GR6" s="139">
        <v>0</v>
      </c>
      <c r="GS6" s="139">
        <v>6209963</v>
      </c>
      <c r="GT6" s="139">
        <v>930914</v>
      </c>
      <c r="GU6" s="139">
        <v>98312</v>
      </c>
      <c r="GV6" s="139">
        <v>25673</v>
      </c>
      <c r="GW6" s="139">
        <v>740653</v>
      </c>
      <c r="GX6" s="139">
        <v>0</v>
      </c>
      <c r="GY6" s="139">
        <v>1795552</v>
      </c>
      <c r="GZ6" s="139">
        <v>2088861</v>
      </c>
      <c r="HA6" s="139">
        <v>1946546</v>
      </c>
      <c r="HB6" s="139">
        <v>140110</v>
      </c>
      <c r="HC6" s="139">
        <v>623633</v>
      </c>
      <c r="HD6" s="139">
        <v>0</v>
      </c>
      <c r="HE6" s="139">
        <v>4799150</v>
      </c>
      <c r="HF6" s="139">
        <v>307863</v>
      </c>
      <c r="HG6" s="139">
        <v>35647</v>
      </c>
      <c r="HH6" s="139">
        <v>48610</v>
      </c>
      <c r="HI6" s="139">
        <v>732389</v>
      </c>
      <c r="HJ6" s="139">
        <v>0</v>
      </c>
      <c r="HK6" s="139">
        <v>1124509</v>
      </c>
      <c r="HL6" s="139">
        <v>0</v>
      </c>
      <c r="HM6" s="139">
        <v>0</v>
      </c>
      <c r="HN6" s="139">
        <v>0</v>
      </c>
      <c r="HO6" s="139">
        <v>0</v>
      </c>
      <c r="HP6" s="139">
        <v>0</v>
      </c>
      <c r="HQ6" s="139">
        <v>0</v>
      </c>
      <c r="HR6" s="139">
        <v>1252713</v>
      </c>
      <c r="HS6" s="139">
        <v>1500016</v>
      </c>
      <c r="HT6" s="139">
        <v>26694</v>
      </c>
      <c r="HU6" s="139">
        <v>694553</v>
      </c>
      <c r="HV6" s="139">
        <v>26663349</v>
      </c>
      <c r="HW6" s="139">
        <v>30137325</v>
      </c>
      <c r="HX6" s="139">
        <v>60493</v>
      </c>
      <c r="HY6" s="139">
        <v>7005</v>
      </c>
      <c r="HZ6" s="139">
        <v>9552</v>
      </c>
      <c r="IA6" s="139">
        <v>143910</v>
      </c>
      <c r="IB6" s="139">
        <v>0</v>
      </c>
      <c r="IC6" s="139">
        <v>220960</v>
      </c>
      <c r="ID6" s="139">
        <v>312847</v>
      </c>
      <c r="IE6" s="139">
        <v>36225</v>
      </c>
      <c r="IF6" s="139">
        <v>49397</v>
      </c>
      <c r="IG6" s="139">
        <v>744246</v>
      </c>
      <c r="IH6" s="139">
        <v>0</v>
      </c>
      <c r="II6" s="139">
        <v>1142715</v>
      </c>
      <c r="IJ6" s="139">
        <v>262805</v>
      </c>
      <c r="IK6" s="139">
        <v>30430</v>
      </c>
      <c r="IL6" s="139">
        <v>41495</v>
      </c>
      <c r="IM6" s="139">
        <v>625199</v>
      </c>
      <c r="IN6" s="139">
        <v>0</v>
      </c>
      <c r="IO6" s="139">
        <v>959929</v>
      </c>
      <c r="IP6" s="139">
        <v>32785</v>
      </c>
      <c r="IQ6" s="139">
        <v>3796</v>
      </c>
      <c r="IR6" s="139">
        <v>5177</v>
      </c>
      <c r="IS6" s="139">
        <v>77994</v>
      </c>
      <c r="IT6" s="139">
        <v>0</v>
      </c>
      <c r="IU6" s="139">
        <v>119752</v>
      </c>
      <c r="IV6" s="139">
        <v>1930254</v>
      </c>
      <c r="IW6" s="139">
        <v>223503</v>
      </c>
      <c r="IX6" s="139">
        <v>304777</v>
      </c>
      <c r="IY6" s="139">
        <v>4591972</v>
      </c>
      <c r="IZ6" s="139">
        <v>0</v>
      </c>
      <c r="JA6" s="139">
        <v>7050506</v>
      </c>
      <c r="JB6" s="139">
        <v>21883965</v>
      </c>
      <c r="JC6" s="139">
        <v>10828371</v>
      </c>
      <c r="JD6" s="139">
        <v>2927225</v>
      </c>
      <c r="JE6" s="139">
        <v>22199390</v>
      </c>
      <c r="JF6" s="139">
        <v>37685309</v>
      </c>
      <c r="JG6" s="139">
        <v>95524260</v>
      </c>
      <c r="JH6" s="139">
        <v>0</v>
      </c>
      <c r="JI6" s="139">
        <v>0</v>
      </c>
      <c r="JJ6" s="139">
        <v>0</v>
      </c>
      <c r="JK6" s="139">
        <v>0</v>
      </c>
      <c r="JL6" s="139">
        <v>0</v>
      </c>
      <c r="JM6" s="139">
        <v>0</v>
      </c>
      <c r="JN6" s="139">
        <v>21883965</v>
      </c>
      <c r="JO6" s="139">
        <v>10828371</v>
      </c>
      <c r="JP6" s="139">
        <v>2927225</v>
      </c>
      <c r="JQ6" s="139">
        <v>22199390</v>
      </c>
      <c r="JR6" s="139">
        <v>37685309</v>
      </c>
      <c r="JS6" s="139">
        <v>95524260</v>
      </c>
      <c r="JU6" s="70">
        <f t="shared" si="0"/>
        <v>14931449</v>
      </c>
      <c r="JV6" s="70">
        <f t="shared" si="1"/>
        <v>0</v>
      </c>
      <c r="JW6" s="70">
        <f t="shared" si="2"/>
        <v>0</v>
      </c>
      <c r="JX6" s="70">
        <f t="shared" si="3"/>
        <v>0</v>
      </c>
      <c r="JY6" s="70">
        <f t="shared" si="4"/>
        <v>462171</v>
      </c>
      <c r="JZ6" s="70">
        <f t="shared" si="5"/>
        <v>0</v>
      </c>
      <c r="KA6" s="70">
        <f t="shared" si="6"/>
        <v>44264977</v>
      </c>
      <c r="KB6" s="70">
        <f t="shared" si="7"/>
        <v>0</v>
      </c>
      <c r="KC6" s="70">
        <f t="shared" si="8"/>
        <v>1137550</v>
      </c>
      <c r="KD6" s="70">
        <f t="shared" si="9"/>
        <v>0</v>
      </c>
      <c r="KE6" s="70">
        <f t="shared" si="10"/>
        <v>0</v>
      </c>
      <c r="KF6" s="70">
        <f t="shared" si="11"/>
        <v>0</v>
      </c>
      <c r="KG6" s="70">
        <f t="shared" si="12"/>
        <v>6758419</v>
      </c>
      <c r="KH6" s="70">
        <f t="shared" si="13"/>
        <v>0</v>
      </c>
      <c r="KI6" s="70">
        <f t="shared" si="14"/>
        <v>1142715</v>
      </c>
      <c r="KJ6" s="70">
        <f t="shared" si="15"/>
        <v>0</v>
      </c>
      <c r="KK6" s="70">
        <f t="shared" si="16"/>
        <v>22106806</v>
      </c>
      <c r="KL6" s="70">
        <f t="shared" si="17"/>
        <v>0</v>
      </c>
      <c r="KM6" s="70">
        <f t="shared" si="18"/>
        <v>0</v>
      </c>
      <c r="KN6" s="70">
        <f t="shared" si="19"/>
        <v>0</v>
      </c>
      <c r="KO6" s="70">
        <f t="shared" si="20"/>
        <v>1525972</v>
      </c>
      <c r="KP6" s="70">
        <f t="shared" si="21"/>
        <v>0</v>
      </c>
      <c r="KQ6" s="70">
        <f t="shared" si="22"/>
        <v>6308525</v>
      </c>
      <c r="KR6" s="70">
        <f t="shared" si="23"/>
        <v>0</v>
      </c>
      <c r="KS6" s="70">
        <f t="shared" si="24"/>
        <v>0</v>
      </c>
      <c r="KT6" s="70">
        <f t="shared" si="25"/>
        <v>0</v>
      </c>
      <c r="KU6" s="70">
        <f t="shared" si="26"/>
        <v>501027</v>
      </c>
      <c r="KV6" s="70">
        <f t="shared" si="27"/>
        <v>0</v>
      </c>
      <c r="KW6" s="70">
        <f t="shared" si="28"/>
        <v>771423</v>
      </c>
      <c r="KX6" s="70">
        <f t="shared" si="29"/>
        <v>0</v>
      </c>
      <c r="KY6" s="70">
        <f t="shared" si="30"/>
        <v>99911034</v>
      </c>
      <c r="KZ6" s="70">
        <f t="shared" si="31"/>
        <v>0</v>
      </c>
      <c r="LA6" s="70">
        <f t="shared" si="32"/>
        <v>10800900</v>
      </c>
      <c r="LB6" s="70">
        <f t="shared" si="33"/>
        <v>0</v>
      </c>
      <c r="LC6" s="70">
        <f t="shared" si="34"/>
        <v>1895071</v>
      </c>
      <c r="LD6" s="70">
        <f t="shared" si="35"/>
        <v>0</v>
      </c>
      <c r="LE6" s="70">
        <f t="shared" si="36"/>
        <v>14139237</v>
      </c>
      <c r="LF6" s="70">
        <f t="shared" si="37"/>
        <v>0</v>
      </c>
      <c r="LG6" s="70">
        <f t="shared" si="38"/>
        <v>1127950</v>
      </c>
      <c r="LH6" s="70">
        <f t="shared" si="39"/>
        <v>0</v>
      </c>
      <c r="LI6" s="70">
        <f t="shared" si="40"/>
        <v>12609542</v>
      </c>
      <c r="LJ6" s="70">
        <f t="shared" si="41"/>
        <v>0</v>
      </c>
      <c r="LK6" s="70">
        <f t="shared" si="42"/>
        <v>9600</v>
      </c>
      <c r="LL6" s="70">
        <f t="shared" si="43"/>
        <v>0</v>
      </c>
      <c r="LM6" s="70">
        <f t="shared" si="44"/>
        <v>0</v>
      </c>
      <c r="LN6" s="70">
        <f t="shared" si="45"/>
        <v>0</v>
      </c>
      <c r="LO6" s="70">
        <f t="shared" si="46"/>
        <v>1381599</v>
      </c>
      <c r="LP6" s="70">
        <f t="shared" si="47"/>
        <v>0</v>
      </c>
      <c r="LQ6" s="70">
        <f t="shared" si="48"/>
        <v>6209963</v>
      </c>
      <c r="LR6" s="70">
        <f t="shared" si="49"/>
        <v>0</v>
      </c>
      <c r="LS6" s="70">
        <f t="shared" si="50"/>
        <v>1795552</v>
      </c>
      <c r="LT6" s="70">
        <f t="shared" si="51"/>
        <v>0</v>
      </c>
      <c r="LU6" s="70">
        <f t="shared" si="52"/>
        <v>4799150</v>
      </c>
      <c r="LV6" s="70">
        <f t="shared" si="53"/>
        <v>0</v>
      </c>
      <c r="LW6" s="70">
        <f t="shared" si="54"/>
        <v>1124509</v>
      </c>
      <c r="LX6" s="70">
        <f t="shared" si="55"/>
        <v>0</v>
      </c>
      <c r="LY6" s="70">
        <f t="shared" si="56"/>
        <v>0</v>
      </c>
      <c r="LZ6" s="70">
        <f t="shared" si="57"/>
        <v>0</v>
      </c>
      <c r="MA6" s="70">
        <f t="shared" si="58"/>
        <v>30137325</v>
      </c>
      <c r="MB6" s="70">
        <f t="shared" si="59"/>
        <v>0</v>
      </c>
      <c r="MC6" s="70">
        <f t="shared" si="60"/>
        <v>220960</v>
      </c>
      <c r="MD6" s="70">
        <f t="shared" si="61"/>
        <v>0</v>
      </c>
      <c r="ME6" s="70">
        <f t="shared" si="62"/>
        <v>1142715</v>
      </c>
      <c r="MF6" s="70">
        <f t="shared" si="63"/>
        <v>0</v>
      </c>
      <c r="MG6" s="70">
        <f t="shared" si="64"/>
        <v>959929</v>
      </c>
      <c r="MH6" s="70">
        <f t="shared" si="65"/>
        <v>0</v>
      </c>
      <c r="MI6" s="70">
        <f t="shared" si="66"/>
        <v>119752</v>
      </c>
      <c r="MJ6" s="70">
        <f t="shared" si="67"/>
        <v>0</v>
      </c>
      <c r="MK6" s="70">
        <f t="shared" si="68"/>
        <v>7050506</v>
      </c>
      <c r="ML6" s="70">
        <f t="shared" si="69"/>
        <v>0</v>
      </c>
      <c r="MM6" s="70">
        <f t="shared" si="70"/>
        <v>95524260</v>
      </c>
      <c r="MN6" s="70">
        <f t="shared" si="71"/>
        <v>0</v>
      </c>
      <c r="MO6" s="70">
        <f t="shared" si="72"/>
        <v>0</v>
      </c>
      <c r="MP6" s="70">
        <f t="shared" si="73"/>
        <v>0</v>
      </c>
      <c r="MQ6" s="70">
        <f t="shared" si="74"/>
        <v>95524260</v>
      </c>
      <c r="MR6" s="70">
        <f t="shared" si="75"/>
        <v>0</v>
      </c>
      <c r="MT6" s="70">
        <f t="shared" si="76"/>
        <v>0</v>
      </c>
      <c r="MV6" s="68">
        <f t="shared" si="77"/>
        <v>0</v>
      </c>
    </row>
    <row r="7" spans="1:360" x14ac:dyDescent="0.15">
      <c r="A7" s="182" t="s">
        <v>290</v>
      </c>
      <c r="B7" s="76" t="s">
        <v>421</v>
      </c>
      <c r="C7" s="90">
        <v>104151</v>
      </c>
      <c r="D7" s="90">
        <v>2014</v>
      </c>
      <c r="E7" s="90">
        <v>1</v>
      </c>
      <c r="F7" s="91">
        <v>4</v>
      </c>
      <c r="G7" s="92">
        <v>26590</v>
      </c>
      <c r="H7" s="92">
        <v>25699</v>
      </c>
      <c r="I7" s="93">
        <v>1796805000</v>
      </c>
      <c r="J7" s="93">
        <v>1644537000</v>
      </c>
      <c r="K7" s="93">
        <v>3741000</v>
      </c>
      <c r="L7" s="93">
        <v>3740000</v>
      </c>
      <c r="M7" s="93">
        <v>113267000</v>
      </c>
      <c r="N7" s="93">
        <v>99821000</v>
      </c>
      <c r="O7" s="93">
        <v>29930000</v>
      </c>
      <c r="P7" s="93">
        <v>32305000</v>
      </c>
      <c r="Q7" s="93">
        <v>1372649000</v>
      </c>
      <c r="R7" s="93">
        <v>1321417000</v>
      </c>
      <c r="S7" s="93">
        <v>1553985000</v>
      </c>
      <c r="T7" s="93">
        <v>1418036000</v>
      </c>
      <c r="U7" s="93">
        <v>22764</v>
      </c>
      <c r="V7" s="94">
        <v>21756</v>
      </c>
      <c r="W7" s="93">
        <v>36416</v>
      </c>
      <c r="X7" s="94">
        <v>35009</v>
      </c>
      <c r="Y7" s="93">
        <v>24476</v>
      </c>
      <c r="Z7" s="94">
        <v>24212</v>
      </c>
      <c r="AA7" s="93">
        <v>38128</v>
      </c>
      <c r="AB7" s="93">
        <v>37465</v>
      </c>
      <c r="AC7" s="114">
        <v>9</v>
      </c>
      <c r="AD7" s="114">
        <v>13</v>
      </c>
      <c r="AE7" s="114">
        <v>0</v>
      </c>
      <c r="AF7" s="115">
        <v>6805548</v>
      </c>
      <c r="AG7" s="115">
        <v>4915967</v>
      </c>
      <c r="AH7" s="115">
        <v>837033</v>
      </c>
      <c r="AI7" s="115">
        <v>271963</v>
      </c>
      <c r="AJ7" s="115">
        <v>1180135</v>
      </c>
      <c r="AK7" s="116">
        <v>6</v>
      </c>
      <c r="AL7" s="115">
        <v>1011544</v>
      </c>
      <c r="AM7" s="116">
        <v>7</v>
      </c>
      <c r="AN7" s="115">
        <v>246015</v>
      </c>
      <c r="AO7" s="116">
        <v>9</v>
      </c>
      <c r="AP7" s="115">
        <v>201285</v>
      </c>
      <c r="AQ7" s="116">
        <v>11</v>
      </c>
      <c r="AR7" s="115">
        <v>252640</v>
      </c>
      <c r="AS7" s="116">
        <v>21.5</v>
      </c>
      <c r="AT7" s="115">
        <v>208914</v>
      </c>
      <c r="AU7" s="116">
        <v>26</v>
      </c>
      <c r="AV7" s="115">
        <v>92466</v>
      </c>
      <c r="AW7" s="116">
        <v>18.5</v>
      </c>
      <c r="AX7" s="115">
        <v>74375</v>
      </c>
      <c r="AY7" s="116">
        <v>23</v>
      </c>
      <c r="AZ7" s="139">
        <v>10391260</v>
      </c>
      <c r="BA7" s="139">
        <v>1430303</v>
      </c>
      <c r="BB7" s="139">
        <v>106578</v>
      </c>
      <c r="BC7" s="139">
        <v>956993</v>
      </c>
      <c r="BD7" s="139">
        <v>0</v>
      </c>
      <c r="BE7" s="139">
        <v>12885134</v>
      </c>
      <c r="BF7" s="139">
        <v>0</v>
      </c>
      <c r="BG7" s="139">
        <v>0</v>
      </c>
      <c r="BH7" s="139">
        <v>0</v>
      </c>
      <c r="BI7" s="139">
        <v>0</v>
      </c>
      <c r="BJ7" s="139">
        <v>0</v>
      </c>
      <c r="BK7" s="139">
        <v>0</v>
      </c>
      <c r="BL7" s="139">
        <v>1400000</v>
      </c>
      <c r="BM7" s="139">
        <v>0</v>
      </c>
      <c r="BN7" s="139">
        <v>0</v>
      </c>
      <c r="BO7" s="139">
        <v>0</v>
      </c>
      <c r="BP7" s="139">
        <v>0</v>
      </c>
      <c r="BQ7" s="139">
        <v>1400000</v>
      </c>
      <c r="BR7" s="139">
        <v>9944889</v>
      </c>
      <c r="BS7" s="139">
        <v>1147326</v>
      </c>
      <c r="BT7" s="139">
        <v>250805</v>
      </c>
      <c r="BU7" s="139">
        <v>1042286</v>
      </c>
      <c r="BV7" s="139">
        <v>1114459</v>
      </c>
      <c r="BW7" s="139">
        <v>13499765</v>
      </c>
      <c r="BX7" s="139">
        <v>75608</v>
      </c>
      <c r="BY7" s="139">
        <v>24366</v>
      </c>
      <c r="BZ7" s="139">
        <v>26531</v>
      </c>
      <c r="CA7" s="139">
        <v>155397</v>
      </c>
      <c r="CB7" s="139">
        <v>140024</v>
      </c>
      <c r="CC7" s="139">
        <v>421926</v>
      </c>
      <c r="CD7" s="139">
        <v>0</v>
      </c>
      <c r="CE7" s="139">
        <v>0</v>
      </c>
      <c r="CF7" s="139">
        <v>0</v>
      </c>
      <c r="CG7" s="139">
        <v>0</v>
      </c>
      <c r="CH7" s="139">
        <v>0</v>
      </c>
      <c r="CI7" s="139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8541670</v>
      </c>
      <c r="CO7" s="139">
        <v>8541670</v>
      </c>
      <c r="CP7" s="139">
        <v>0</v>
      </c>
      <c r="CQ7" s="139">
        <v>0</v>
      </c>
      <c r="CR7" s="139">
        <v>0</v>
      </c>
      <c r="CS7" s="139">
        <v>0</v>
      </c>
      <c r="CT7" s="139">
        <v>1531535</v>
      </c>
      <c r="CU7" s="139">
        <v>1531535</v>
      </c>
      <c r="CV7" s="139">
        <v>17216158</v>
      </c>
      <c r="CW7" s="139">
        <v>3756975</v>
      </c>
      <c r="CX7" s="139">
        <v>0</v>
      </c>
      <c r="CY7" s="139">
        <v>2685</v>
      </c>
      <c r="CZ7" s="139">
        <v>1982635</v>
      </c>
      <c r="DA7" s="139">
        <v>22958453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1709480</v>
      </c>
      <c r="DI7" s="139">
        <v>222267</v>
      </c>
      <c r="DJ7" s="139">
        <v>12458</v>
      </c>
      <c r="DK7" s="139">
        <v>119886</v>
      </c>
      <c r="DL7" s="139">
        <v>35280</v>
      </c>
      <c r="DM7" s="139">
        <v>2099371</v>
      </c>
      <c r="DN7" s="139">
        <v>7603616</v>
      </c>
      <c r="DO7" s="139">
        <v>1068713</v>
      </c>
      <c r="DP7" s="139">
        <v>141621</v>
      </c>
      <c r="DQ7" s="139">
        <v>1320104</v>
      </c>
      <c r="DR7" s="139">
        <v>14000</v>
      </c>
      <c r="DS7" s="139">
        <v>10148054</v>
      </c>
      <c r="DT7" s="139">
        <v>177527</v>
      </c>
      <c r="DU7" s="139">
        <v>0</v>
      </c>
      <c r="DV7" s="139">
        <v>0</v>
      </c>
      <c r="DW7" s="139">
        <v>8436</v>
      </c>
      <c r="DX7" s="139">
        <v>-1074</v>
      </c>
      <c r="DY7" s="139">
        <v>184889</v>
      </c>
      <c r="DZ7" s="139">
        <v>5431</v>
      </c>
      <c r="EA7" s="139">
        <v>0</v>
      </c>
      <c r="EB7" s="139">
        <v>0</v>
      </c>
      <c r="EC7" s="139">
        <v>78659</v>
      </c>
      <c r="ED7" s="139">
        <v>129649</v>
      </c>
      <c r="EE7" s="139">
        <v>213739</v>
      </c>
      <c r="EF7" s="139">
        <v>534286</v>
      </c>
      <c r="EG7" s="139">
        <v>54148</v>
      </c>
      <c r="EH7" s="139">
        <v>3540</v>
      </c>
      <c r="EI7" s="139">
        <v>56450</v>
      </c>
      <c r="EJ7" s="139">
        <v>196309</v>
      </c>
      <c r="EK7" s="139">
        <v>844733</v>
      </c>
      <c r="EL7" s="139">
        <v>49058255</v>
      </c>
      <c r="EM7" s="139">
        <v>7704098</v>
      </c>
      <c r="EN7" s="139">
        <v>541533</v>
      </c>
      <c r="EO7" s="139">
        <v>3740896</v>
      </c>
      <c r="EP7" s="139">
        <v>13684487</v>
      </c>
      <c r="EQ7" s="139">
        <v>74729269</v>
      </c>
      <c r="ER7" s="139">
        <v>4394057</v>
      </c>
      <c r="ES7" s="139">
        <v>590601</v>
      </c>
      <c r="ET7" s="139">
        <v>629513</v>
      </c>
      <c r="EU7" s="139">
        <v>6107344</v>
      </c>
      <c r="EV7" s="139">
        <v>980310</v>
      </c>
      <c r="EW7" s="139">
        <v>12701825</v>
      </c>
      <c r="EX7" s="139">
        <v>745000</v>
      </c>
      <c r="EY7" s="139">
        <v>575163</v>
      </c>
      <c r="EZ7" s="139">
        <v>34193</v>
      </c>
      <c r="FA7" s="139">
        <v>92650</v>
      </c>
      <c r="FB7" s="139">
        <v>0</v>
      </c>
      <c r="FC7" s="139">
        <v>1447006</v>
      </c>
      <c r="FD7" s="139">
        <v>7514427</v>
      </c>
      <c r="FE7" s="139">
        <v>3051547</v>
      </c>
      <c r="FF7" s="139">
        <v>1303647</v>
      </c>
      <c r="FG7" s="139">
        <v>4567709</v>
      </c>
      <c r="FH7" s="139">
        <v>0</v>
      </c>
      <c r="FI7" s="139">
        <v>16437330</v>
      </c>
      <c r="FJ7" s="139">
        <v>73851</v>
      </c>
      <c r="FK7" s="139">
        <v>23186</v>
      </c>
      <c r="FL7" s="139">
        <v>25351</v>
      </c>
      <c r="FM7" s="139">
        <v>153409</v>
      </c>
      <c r="FN7" s="139">
        <v>0</v>
      </c>
      <c r="FO7" s="139">
        <v>275797</v>
      </c>
      <c r="FP7" s="139">
        <v>1254278</v>
      </c>
      <c r="FQ7" s="139">
        <v>188074</v>
      </c>
      <c r="FR7" s="139">
        <v>138615</v>
      </c>
      <c r="FS7" s="139">
        <v>337231</v>
      </c>
      <c r="FT7" s="139">
        <v>8450586</v>
      </c>
      <c r="FU7" s="139">
        <v>10368784</v>
      </c>
      <c r="FV7" s="139">
        <v>1757</v>
      </c>
      <c r="FW7" s="139">
        <v>1180</v>
      </c>
      <c r="FX7" s="139">
        <v>1180</v>
      </c>
      <c r="FY7" s="139">
        <v>1990</v>
      </c>
      <c r="FZ7" s="139">
        <v>140022</v>
      </c>
      <c r="GA7" s="139">
        <v>146129</v>
      </c>
      <c r="GB7" s="139">
        <v>0</v>
      </c>
      <c r="GC7" s="139">
        <v>0</v>
      </c>
      <c r="GD7" s="139">
        <v>0</v>
      </c>
      <c r="GE7" s="139">
        <v>0</v>
      </c>
      <c r="GF7" s="139">
        <v>0</v>
      </c>
      <c r="GG7" s="139">
        <v>0</v>
      </c>
      <c r="GH7" s="139">
        <v>518543</v>
      </c>
      <c r="GI7" s="139">
        <v>180576</v>
      </c>
      <c r="GJ7" s="139">
        <v>81849</v>
      </c>
      <c r="GK7" s="139">
        <v>328028</v>
      </c>
      <c r="GL7" s="139">
        <v>0</v>
      </c>
      <c r="GM7" s="139">
        <v>1108996</v>
      </c>
      <c r="GN7" s="139">
        <v>2067495</v>
      </c>
      <c r="GO7" s="139">
        <v>805385</v>
      </c>
      <c r="GP7" s="139">
        <v>162827</v>
      </c>
      <c r="GQ7" s="139">
        <v>1993541</v>
      </c>
      <c r="GR7" s="139">
        <v>29340</v>
      </c>
      <c r="GS7" s="139">
        <v>5058588</v>
      </c>
      <c r="GT7" s="139">
        <v>1740317</v>
      </c>
      <c r="GU7" s="139">
        <v>211181</v>
      </c>
      <c r="GV7" s="139">
        <v>112681</v>
      </c>
      <c r="GW7" s="139">
        <v>1118608</v>
      </c>
      <c r="GX7" s="139">
        <v>767002</v>
      </c>
      <c r="GY7" s="139">
        <v>3949789</v>
      </c>
      <c r="GZ7" s="139">
        <v>2609162</v>
      </c>
      <c r="HA7" s="139">
        <v>361306</v>
      </c>
      <c r="HB7" s="139">
        <v>154837</v>
      </c>
      <c r="HC7" s="139">
        <v>386363</v>
      </c>
      <c r="HD7" s="139">
        <v>1932</v>
      </c>
      <c r="HE7" s="139">
        <v>3513600</v>
      </c>
      <c r="HF7" s="139">
        <v>4068979</v>
      </c>
      <c r="HG7" s="139">
        <v>461509</v>
      </c>
      <c r="HH7" s="139">
        <v>38439</v>
      </c>
      <c r="HI7" s="139">
        <v>396307</v>
      </c>
      <c r="HJ7" s="139">
        <v>929501</v>
      </c>
      <c r="HK7" s="139">
        <v>5894735</v>
      </c>
      <c r="HL7" s="139">
        <v>178822</v>
      </c>
      <c r="HM7" s="139">
        <v>0</v>
      </c>
      <c r="HN7" s="139">
        <v>0</v>
      </c>
      <c r="HO7" s="139">
        <v>10305</v>
      </c>
      <c r="HP7" s="139">
        <v>161</v>
      </c>
      <c r="HQ7" s="139">
        <v>189288</v>
      </c>
      <c r="HR7" s="139">
        <v>1199359</v>
      </c>
      <c r="HS7" s="139">
        <v>568803</v>
      </c>
      <c r="HT7" s="139">
        <v>542116</v>
      </c>
      <c r="HU7" s="139">
        <v>1281665</v>
      </c>
      <c r="HV7" s="139">
        <v>2150185</v>
      </c>
      <c r="HW7" s="139">
        <v>5742128</v>
      </c>
      <c r="HX7" s="139">
        <v>0</v>
      </c>
      <c r="HY7" s="139">
        <v>0</v>
      </c>
      <c r="HZ7" s="139">
        <v>0</v>
      </c>
      <c r="IA7" s="139">
        <v>0</v>
      </c>
      <c r="IB7" s="139">
        <v>0</v>
      </c>
      <c r="IC7" s="139">
        <v>0</v>
      </c>
      <c r="ID7" s="139">
        <v>0</v>
      </c>
      <c r="IE7" s="139">
        <v>0</v>
      </c>
      <c r="IF7" s="139">
        <v>0</v>
      </c>
      <c r="IG7" s="139">
        <v>0</v>
      </c>
      <c r="IH7" s="139">
        <v>1531535</v>
      </c>
      <c r="II7" s="139">
        <v>1531535</v>
      </c>
      <c r="IJ7" s="139">
        <v>371639</v>
      </c>
      <c r="IK7" s="139">
        <v>78563</v>
      </c>
      <c r="IL7" s="139">
        <v>22301</v>
      </c>
      <c r="IM7" s="139">
        <v>964053</v>
      </c>
      <c r="IN7" s="139">
        <v>159286</v>
      </c>
      <c r="IO7" s="139">
        <v>1595842</v>
      </c>
      <c r="IP7" s="139">
        <v>2320</v>
      </c>
      <c r="IQ7" s="139">
        <v>3375</v>
      </c>
      <c r="IR7" s="139">
        <v>2920</v>
      </c>
      <c r="IS7" s="139">
        <v>30410</v>
      </c>
      <c r="IT7" s="139">
        <v>23120</v>
      </c>
      <c r="IU7" s="139">
        <v>62145</v>
      </c>
      <c r="IV7" s="139">
        <v>1129842</v>
      </c>
      <c r="IW7" s="139">
        <v>309040</v>
      </c>
      <c r="IX7" s="139">
        <v>102002</v>
      </c>
      <c r="IY7" s="139">
        <v>983328</v>
      </c>
      <c r="IZ7" s="139">
        <v>2005375</v>
      </c>
      <c r="JA7" s="139">
        <v>4529587</v>
      </c>
      <c r="JB7" s="139">
        <v>27869848</v>
      </c>
      <c r="JC7" s="139">
        <v>7409489</v>
      </c>
      <c r="JD7" s="139">
        <v>3352471</v>
      </c>
      <c r="JE7" s="139">
        <v>18752941</v>
      </c>
      <c r="JF7" s="139">
        <v>17168355</v>
      </c>
      <c r="JG7" s="139">
        <v>74553104</v>
      </c>
      <c r="JH7" s="139">
        <v>0</v>
      </c>
      <c r="JI7" s="139">
        <v>0</v>
      </c>
      <c r="JJ7" s="139">
        <v>0</v>
      </c>
      <c r="JK7" s="139">
        <v>0</v>
      </c>
      <c r="JL7" s="139">
        <v>0</v>
      </c>
      <c r="JM7" s="139">
        <v>0</v>
      </c>
      <c r="JN7" s="139">
        <v>27869848</v>
      </c>
      <c r="JO7" s="139">
        <v>7409489</v>
      </c>
      <c r="JP7" s="139">
        <v>3352471</v>
      </c>
      <c r="JQ7" s="139">
        <v>18752941</v>
      </c>
      <c r="JR7" s="139">
        <v>17168355</v>
      </c>
      <c r="JS7" s="139">
        <v>74553104</v>
      </c>
      <c r="JU7" s="70">
        <f t="shared" si="0"/>
        <v>12885134</v>
      </c>
      <c r="JV7" s="70">
        <f t="shared" si="1"/>
        <v>0</v>
      </c>
      <c r="JW7" s="70">
        <f t="shared" si="2"/>
        <v>0</v>
      </c>
      <c r="JX7" s="70">
        <f t="shared" si="3"/>
        <v>0</v>
      </c>
      <c r="JY7" s="70">
        <f t="shared" si="4"/>
        <v>1400000</v>
      </c>
      <c r="JZ7" s="70">
        <f t="shared" si="5"/>
        <v>0</v>
      </c>
      <c r="KA7" s="70">
        <f t="shared" si="6"/>
        <v>13499765</v>
      </c>
      <c r="KB7" s="70">
        <f t="shared" si="7"/>
        <v>0</v>
      </c>
      <c r="KC7" s="70">
        <f t="shared" si="8"/>
        <v>421926</v>
      </c>
      <c r="KD7" s="70">
        <f t="shared" si="9"/>
        <v>0</v>
      </c>
      <c r="KE7" s="70">
        <f t="shared" si="10"/>
        <v>0</v>
      </c>
      <c r="KF7" s="70">
        <f t="shared" si="11"/>
        <v>0</v>
      </c>
      <c r="KG7" s="70">
        <f t="shared" si="12"/>
        <v>8541670</v>
      </c>
      <c r="KH7" s="70">
        <f t="shared" si="13"/>
        <v>0</v>
      </c>
      <c r="KI7" s="70">
        <f t="shared" si="14"/>
        <v>1531535</v>
      </c>
      <c r="KJ7" s="70">
        <f t="shared" si="15"/>
        <v>0</v>
      </c>
      <c r="KK7" s="70">
        <f t="shared" si="16"/>
        <v>22958453</v>
      </c>
      <c r="KL7" s="70">
        <f t="shared" si="17"/>
        <v>0</v>
      </c>
      <c r="KM7" s="70">
        <f t="shared" si="18"/>
        <v>0</v>
      </c>
      <c r="KN7" s="70">
        <f t="shared" si="19"/>
        <v>0</v>
      </c>
      <c r="KO7" s="70">
        <f t="shared" si="20"/>
        <v>2099371</v>
      </c>
      <c r="KP7" s="70">
        <f t="shared" si="21"/>
        <v>0</v>
      </c>
      <c r="KQ7" s="70">
        <f t="shared" si="22"/>
        <v>10148054</v>
      </c>
      <c r="KR7" s="70">
        <f t="shared" si="23"/>
        <v>0</v>
      </c>
      <c r="KS7" s="70">
        <f t="shared" si="24"/>
        <v>184889</v>
      </c>
      <c r="KT7" s="70">
        <f t="shared" si="25"/>
        <v>0</v>
      </c>
      <c r="KU7" s="70">
        <f t="shared" si="26"/>
        <v>213739</v>
      </c>
      <c r="KV7" s="70">
        <f t="shared" si="27"/>
        <v>0</v>
      </c>
      <c r="KW7" s="70">
        <f t="shared" si="28"/>
        <v>844733</v>
      </c>
      <c r="KX7" s="70">
        <f t="shared" si="29"/>
        <v>0</v>
      </c>
      <c r="KY7" s="70">
        <f t="shared" si="30"/>
        <v>74729269</v>
      </c>
      <c r="KZ7" s="70">
        <f t="shared" si="31"/>
        <v>0</v>
      </c>
      <c r="LA7" s="70">
        <f t="shared" si="32"/>
        <v>12701825</v>
      </c>
      <c r="LB7" s="70">
        <f t="shared" si="33"/>
        <v>0</v>
      </c>
      <c r="LC7" s="70">
        <f t="shared" si="34"/>
        <v>1447006</v>
      </c>
      <c r="LD7" s="70">
        <f t="shared" si="35"/>
        <v>0</v>
      </c>
      <c r="LE7" s="70">
        <f t="shared" si="36"/>
        <v>16437330</v>
      </c>
      <c r="LF7" s="70">
        <f t="shared" si="37"/>
        <v>0</v>
      </c>
      <c r="LG7" s="70">
        <f t="shared" si="38"/>
        <v>275797</v>
      </c>
      <c r="LH7" s="70">
        <f t="shared" si="39"/>
        <v>0</v>
      </c>
      <c r="LI7" s="70">
        <f t="shared" si="40"/>
        <v>10368784</v>
      </c>
      <c r="LJ7" s="70">
        <f t="shared" si="41"/>
        <v>0</v>
      </c>
      <c r="LK7" s="70">
        <f t="shared" si="42"/>
        <v>146129</v>
      </c>
      <c r="LL7" s="70">
        <f t="shared" si="43"/>
        <v>0</v>
      </c>
      <c r="LM7" s="70">
        <f t="shared" si="44"/>
        <v>0</v>
      </c>
      <c r="LN7" s="70">
        <f t="shared" si="45"/>
        <v>0</v>
      </c>
      <c r="LO7" s="70">
        <f t="shared" si="46"/>
        <v>1108996</v>
      </c>
      <c r="LP7" s="70">
        <f t="shared" si="47"/>
        <v>0</v>
      </c>
      <c r="LQ7" s="70">
        <f t="shared" si="48"/>
        <v>5058588</v>
      </c>
      <c r="LR7" s="70">
        <f t="shared" si="49"/>
        <v>0</v>
      </c>
      <c r="LS7" s="70">
        <f t="shared" si="50"/>
        <v>3949789</v>
      </c>
      <c r="LT7" s="70">
        <f t="shared" si="51"/>
        <v>0</v>
      </c>
      <c r="LU7" s="70">
        <f t="shared" si="52"/>
        <v>3513600</v>
      </c>
      <c r="LV7" s="70">
        <f t="shared" si="53"/>
        <v>0</v>
      </c>
      <c r="LW7" s="70">
        <f t="shared" si="54"/>
        <v>5894735</v>
      </c>
      <c r="LX7" s="70">
        <f t="shared" si="55"/>
        <v>0</v>
      </c>
      <c r="LY7" s="70">
        <f t="shared" si="56"/>
        <v>189288</v>
      </c>
      <c r="LZ7" s="70">
        <f t="shared" si="57"/>
        <v>0</v>
      </c>
      <c r="MA7" s="70">
        <f t="shared" si="58"/>
        <v>5742128</v>
      </c>
      <c r="MB7" s="70">
        <f t="shared" si="59"/>
        <v>0</v>
      </c>
      <c r="MC7" s="70">
        <f t="shared" si="60"/>
        <v>0</v>
      </c>
      <c r="MD7" s="70">
        <f t="shared" si="61"/>
        <v>0</v>
      </c>
      <c r="ME7" s="70">
        <f t="shared" si="62"/>
        <v>1531535</v>
      </c>
      <c r="MF7" s="70">
        <f t="shared" si="63"/>
        <v>0</v>
      </c>
      <c r="MG7" s="70">
        <f t="shared" si="64"/>
        <v>1595842</v>
      </c>
      <c r="MH7" s="70">
        <f t="shared" si="65"/>
        <v>0</v>
      </c>
      <c r="MI7" s="70">
        <f t="shared" si="66"/>
        <v>62145</v>
      </c>
      <c r="MJ7" s="70">
        <f t="shared" si="67"/>
        <v>0</v>
      </c>
      <c r="MK7" s="70">
        <f t="shared" si="68"/>
        <v>4529587</v>
      </c>
      <c r="ML7" s="70">
        <f t="shared" si="69"/>
        <v>0</v>
      </c>
      <c r="MM7" s="70">
        <f t="shared" si="70"/>
        <v>74553104</v>
      </c>
      <c r="MN7" s="70">
        <f t="shared" si="71"/>
        <v>0</v>
      </c>
      <c r="MO7" s="70">
        <f t="shared" si="72"/>
        <v>0</v>
      </c>
      <c r="MP7" s="70">
        <f t="shared" si="73"/>
        <v>0</v>
      </c>
      <c r="MQ7" s="70">
        <f t="shared" si="74"/>
        <v>74553104</v>
      </c>
      <c r="MR7" s="70">
        <f t="shared" si="75"/>
        <v>0</v>
      </c>
      <c r="MT7" s="70">
        <f t="shared" si="76"/>
        <v>0</v>
      </c>
      <c r="MV7" s="68">
        <f t="shared" si="77"/>
        <v>0</v>
      </c>
    </row>
    <row r="8" spans="1:360" x14ac:dyDescent="0.15">
      <c r="A8" s="182" t="s">
        <v>291</v>
      </c>
      <c r="B8" s="76" t="s">
        <v>421</v>
      </c>
      <c r="C8" s="90">
        <v>106397</v>
      </c>
      <c r="D8" s="90">
        <v>2014</v>
      </c>
      <c r="E8" s="90">
        <v>1</v>
      </c>
      <c r="F8" s="91">
        <v>5</v>
      </c>
      <c r="G8" s="92">
        <v>8990</v>
      </c>
      <c r="H8" s="92">
        <v>9465</v>
      </c>
      <c r="I8" s="93">
        <v>713833706</v>
      </c>
      <c r="J8" s="93">
        <v>685449295</v>
      </c>
      <c r="K8" s="93">
        <v>12404986</v>
      </c>
      <c r="L8" s="93">
        <v>9806660</v>
      </c>
      <c r="M8" s="93">
        <v>46080522</v>
      </c>
      <c r="N8" s="93">
        <v>38889892</v>
      </c>
      <c r="O8" s="93">
        <v>71737565</v>
      </c>
      <c r="P8" s="93">
        <v>81364538</v>
      </c>
      <c r="Q8" s="93">
        <v>710588792</v>
      </c>
      <c r="R8" s="93">
        <v>701812672</v>
      </c>
      <c r="S8" s="93">
        <v>484080050</v>
      </c>
      <c r="T8" s="93">
        <v>462278337</v>
      </c>
      <c r="U8" s="93">
        <v>17660</v>
      </c>
      <c r="V8" s="93">
        <v>17025</v>
      </c>
      <c r="W8" s="93">
        <v>28916</v>
      </c>
      <c r="X8" s="93">
        <v>27906</v>
      </c>
      <c r="Y8" s="93">
        <v>22212</v>
      </c>
      <c r="Z8" s="93">
        <v>21472</v>
      </c>
      <c r="AA8" s="93">
        <v>33468</v>
      </c>
      <c r="AB8" s="93">
        <v>32352</v>
      </c>
      <c r="AC8" s="114">
        <v>8</v>
      </c>
      <c r="AD8" s="114">
        <v>11</v>
      </c>
      <c r="AE8" s="114">
        <v>0</v>
      </c>
      <c r="AF8" s="115">
        <v>4645323</v>
      </c>
      <c r="AG8" s="115">
        <v>3946733</v>
      </c>
      <c r="AH8" s="115">
        <v>1194822</v>
      </c>
      <c r="AI8" s="115">
        <v>469195</v>
      </c>
      <c r="AJ8" s="115">
        <v>1240708</v>
      </c>
      <c r="AK8" s="116">
        <v>6</v>
      </c>
      <c r="AL8" s="115">
        <v>1240708</v>
      </c>
      <c r="AM8" s="116">
        <v>6</v>
      </c>
      <c r="AN8" s="115">
        <v>247000</v>
      </c>
      <c r="AO8" s="116">
        <v>9</v>
      </c>
      <c r="AP8" s="115">
        <v>247000</v>
      </c>
      <c r="AQ8" s="116">
        <v>9</v>
      </c>
      <c r="AR8" s="115">
        <v>322684</v>
      </c>
      <c r="AS8" s="116">
        <v>18</v>
      </c>
      <c r="AT8" s="115">
        <v>322684</v>
      </c>
      <c r="AU8" s="116">
        <v>18</v>
      </c>
      <c r="AV8" s="115">
        <v>87478</v>
      </c>
      <c r="AW8" s="116">
        <v>17</v>
      </c>
      <c r="AX8" s="115">
        <v>87478</v>
      </c>
      <c r="AY8" s="116">
        <v>17</v>
      </c>
      <c r="AZ8" s="139">
        <v>25584626</v>
      </c>
      <c r="BA8" s="139">
        <v>6600355</v>
      </c>
      <c r="BB8" s="139">
        <v>62773</v>
      </c>
      <c r="BC8" s="139">
        <v>2036564</v>
      </c>
      <c r="BD8" s="139">
        <v>0</v>
      </c>
      <c r="BE8" s="139">
        <v>34284318</v>
      </c>
      <c r="BF8" s="139">
        <v>0</v>
      </c>
      <c r="BG8" s="139">
        <v>0</v>
      </c>
      <c r="BH8" s="139">
        <v>0</v>
      </c>
      <c r="BI8" s="139">
        <v>0</v>
      </c>
      <c r="BJ8" s="139">
        <v>0</v>
      </c>
      <c r="BK8" s="139">
        <v>0</v>
      </c>
      <c r="BL8" s="139">
        <v>300000</v>
      </c>
      <c r="BM8" s="139">
        <v>43225</v>
      </c>
      <c r="BN8" s="139">
        <v>6000</v>
      </c>
      <c r="BO8" s="139">
        <v>15500</v>
      </c>
      <c r="BP8" s="139">
        <v>0</v>
      </c>
      <c r="BQ8" s="139">
        <v>364725</v>
      </c>
      <c r="BR8" s="139">
        <v>15642589</v>
      </c>
      <c r="BS8" s="139">
        <v>3707152</v>
      </c>
      <c r="BT8" s="139">
        <v>0</v>
      </c>
      <c r="BU8" s="139">
        <v>859673</v>
      </c>
      <c r="BV8" s="139">
        <v>1066747</v>
      </c>
      <c r="BW8" s="139">
        <v>21276161</v>
      </c>
      <c r="BX8" s="139">
        <v>0</v>
      </c>
      <c r="BY8" s="139">
        <v>0</v>
      </c>
      <c r="BZ8" s="139">
        <v>0</v>
      </c>
      <c r="CA8" s="139">
        <v>175000</v>
      </c>
      <c r="CB8" s="139">
        <v>0</v>
      </c>
      <c r="CC8" s="139">
        <v>175000</v>
      </c>
      <c r="CD8" s="139">
        <v>0</v>
      </c>
      <c r="CE8" s="139">
        <v>0</v>
      </c>
      <c r="CF8" s="139">
        <v>0</v>
      </c>
      <c r="CG8" s="139">
        <v>0</v>
      </c>
      <c r="CH8" s="139">
        <v>0</v>
      </c>
      <c r="CI8" s="139">
        <v>0</v>
      </c>
      <c r="CJ8" s="139">
        <v>722920</v>
      </c>
      <c r="CK8" s="139">
        <v>102816</v>
      </c>
      <c r="CL8" s="139">
        <v>110133</v>
      </c>
      <c r="CM8" s="139">
        <v>988826</v>
      </c>
      <c r="CN8" s="139">
        <v>11710</v>
      </c>
      <c r="CO8" s="139">
        <v>1936405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13696854</v>
      </c>
      <c r="CW8" s="139">
        <v>5148168</v>
      </c>
      <c r="CX8" s="139">
        <v>26880</v>
      </c>
      <c r="CY8" s="139">
        <v>254284</v>
      </c>
      <c r="CZ8" s="139">
        <v>2540169</v>
      </c>
      <c r="DA8" s="139">
        <v>21666355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985453</v>
      </c>
      <c r="DI8" s="139">
        <v>201287</v>
      </c>
      <c r="DJ8" s="139">
        <v>11709</v>
      </c>
      <c r="DK8" s="139">
        <v>144834</v>
      </c>
      <c r="DL8" s="139">
        <v>832480</v>
      </c>
      <c r="DM8" s="139">
        <v>2175763</v>
      </c>
      <c r="DN8" s="139">
        <v>40000</v>
      </c>
      <c r="DO8" s="139">
        <v>0</v>
      </c>
      <c r="DP8" s="139">
        <v>0</v>
      </c>
      <c r="DQ8" s="139">
        <v>10000</v>
      </c>
      <c r="DR8" s="139">
        <v>11763916</v>
      </c>
      <c r="DS8" s="139">
        <v>11813916</v>
      </c>
      <c r="DT8" s="139">
        <v>1449</v>
      </c>
      <c r="DU8" s="139">
        <v>838</v>
      </c>
      <c r="DV8" s="139">
        <v>1109</v>
      </c>
      <c r="DW8" s="139">
        <v>10065</v>
      </c>
      <c r="DX8" s="139">
        <v>322</v>
      </c>
      <c r="DY8" s="139">
        <v>13783</v>
      </c>
      <c r="DZ8" s="139">
        <v>3357</v>
      </c>
      <c r="EA8" s="139">
        <v>3714</v>
      </c>
      <c r="EB8" s="139">
        <v>19377</v>
      </c>
      <c r="EC8" s="139">
        <v>106552</v>
      </c>
      <c r="ED8" s="139">
        <v>2260611</v>
      </c>
      <c r="EE8" s="139">
        <v>2393611</v>
      </c>
      <c r="EF8" s="139">
        <v>80552</v>
      </c>
      <c r="EG8" s="139">
        <v>0</v>
      </c>
      <c r="EH8" s="139">
        <v>0</v>
      </c>
      <c r="EI8" s="139">
        <v>92121</v>
      </c>
      <c r="EJ8" s="139">
        <v>521262</v>
      </c>
      <c r="EK8" s="139">
        <v>693935</v>
      </c>
      <c r="EL8" s="139">
        <v>57057800</v>
      </c>
      <c r="EM8" s="139">
        <v>15807555</v>
      </c>
      <c r="EN8" s="139">
        <v>237981</v>
      </c>
      <c r="EO8" s="139">
        <v>4693419</v>
      </c>
      <c r="EP8" s="139">
        <v>18997217</v>
      </c>
      <c r="EQ8" s="139">
        <v>96793972</v>
      </c>
      <c r="ER8" s="139">
        <v>2861509</v>
      </c>
      <c r="ES8" s="139">
        <v>451360</v>
      </c>
      <c r="ET8" s="139">
        <v>452823</v>
      </c>
      <c r="EU8" s="139">
        <v>4826364</v>
      </c>
      <c r="EV8" s="139">
        <v>462950</v>
      </c>
      <c r="EW8" s="139">
        <v>9055006</v>
      </c>
      <c r="EX8" s="139">
        <v>2350000</v>
      </c>
      <c r="EY8" s="139">
        <v>739788</v>
      </c>
      <c r="EZ8" s="139">
        <v>89044</v>
      </c>
      <c r="FA8" s="139">
        <v>140240</v>
      </c>
      <c r="FB8" s="139">
        <v>0</v>
      </c>
      <c r="FC8" s="139">
        <v>3319072</v>
      </c>
      <c r="FD8" s="139">
        <v>7674626</v>
      </c>
      <c r="FE8" s="139">
        <v>3390874</v>
      </c>
      <c r="FF8" s="139">
        <v>1039263</v>
      </c>
      <c r="FG8" s="139">
        <v>4857939</v>
      </c>
      <c r="FH8" s="139">
        <v>0</v>
      </c>
      <c r="FI8" s="139">
        <v>16962702</v>
      </c>
      <c r="FJ8" s="139">
        <v>0</v>
      </c>
      <c r="FK8" s="139">
        <v>0</v>
      </c>
      <c r="FL8" s="139">
        <v>0</v>
      </c>
      <c r="FM8" s="139">
        <v>175000</v>
      </c>
      <c r="FN8" s="139">
        <v>0</v>
      </c>
      <c r="FO8" s="139">
        <v>175000</v>
      </c>
      <c r="FP8" s="139">
        <v>920857</v>
      </c>
      <c r="FQ8" s="139">
        <v>435403</v>
      </c>
      <c r="FR8" s="139">
        <v>237826</v>
      </c>
      <c r="FS8" s="139">
        <v>388953</v>
      </c>
      <c r="FT8" s="139">
        <v>15704914</v>
      </c>
      <c r="FU8" s="139">
        <v>17687953</v>
      </c>
      <c r="FV8" s="139">
        <v>0</v>
      </c>
      <c r="FW8" s="139">
        <v>0</v>
      </c>
      <c r="FX8" s="139">
        <v>0</v>
      </c>
      <c r="FY8" s="139">
        <v>0</v>
      </c>
      <c r="FZ8" s="139">
        <v>0</v>
      </c>
      <c r="GA8" s="139">
        <v>0</v>
      </c>
      <c r="GB8" s="139">
        <v>0</v>
      </c>
      <c r="GC8" s="139">
        <v>0</v>
      </c>
      <c r="GD8" s="139">
        <v>84094</v>
      </c>
      <c r="GE8" s="139">
        <v>0</v>
      </c>
      <c r="GF8" s="139">
        <v>0</v>
      </c>
      <c r="GG8" s="139">
        <v>84094</v>
      </c>
      <c r="GH8" s="139">
        <v>686514</v>
      </c>
      <c r="GI8" s="139">
        <v>237383</v>
      </c>
      <c r="GJ8" s="139">
        <v>134834</v>
      </c>
      <c r="GK8" s="139">
        <v>605286</v>
      </c>
      <c r="GL8" s="139">
        <v>0</v>
      </c>
      <c r="GM8" s="139">
        <v>1664017</v>
      </c>
      <c r="GN8" s="139">
        <v>1674104</v>
      </c>
      <c r="GO8" s="139">
        <v>845103</v>
      </c>
      <c r="GP8" s="139">
        <v>698534</v>
      </c>
      <c r="GQ8" s="139">
        <v>3340711</v>
      </c>
      <c r="GR8" s="139">
        <v>0</v>
      </c>
      <c r="GS8" s="139">
        <v>6558452</v>
      </c>
      <c r="GT8" s="139">
        <v>912682</v>
      </c>
      <c r="GU8" s="139">
        <v>82469</v>
      </c>
      <c r="GV8" s="139">
        <v>61591</v>
      </c>
      <c r="GW8" s="139">
        <v>968535</v>
      </c>
      <c r="GX8" s="139">
        <v>0</v>
      </c>
      <c r="GY8" s="139">
        <v>2025277</v>
      </c>
      <c r="GZ8" s="139">
        <v>2282738</v>
      </c>
      <c r="HA8" s="139">
        <v>737346</v>
      </c>
      <c r="HB8" s="139">
        <v>244547</v>
      </c>
      <c r="HC8" s="139">
        <v>913732</v>
      </c>
      <c r="HD8" s="139">
        <v>0</v>
      </c>
      <c r="HE8" s="139">
        <v>4178363</v>
      </c>
      <c r="HF8" s="139">
        <v>286377</v>
      </c>
      <c r="HG8" s="139">
        <v>76254</v>
      </c>
      <c r="HH8" s="139">
        <v>10581</v>
      </c>
      <c r="HI8" s="139">
        <v>54932</v>
      </c>
      <c r="HJ8" s="139">
        <v>1549017</v>
      </c>
      <c r="HK8" s="139">
        <v>1977161</v>
      </c>
      <c r="HL8" s="139">
        <v>0</v>
      </c>
      <c r="HM8" s="139">
        <v>0</v>
      </c>
      <c r="HN8" s="139">
        <v>0</v>
      </c>
      <c r="HO8" s="139">
        <v>0</v>
      </c>
      <c r="HP8" s="139">
        <v>0</v>
      </c>
      <c r="HQ8" s="139">
        <v>0</v>
      </c>
      <c r="HR8" s="139">
        <v>6443543</v>
      </c>
      <c r="HS8" s="139">
        <v>435508</v>
      </c>
      <c r="HT8" s="139">
        <v>434162</v>
      </c>
      <c r="HU8" s="139">
        <v>4149016</v>
      </c>
      <c r="HV8" s="139">
        <v>6710560</v>
      </c>
      <c r="HW8" s="139">
        <v>18172789</v>
      </c>
      <c r="HX8" s="139">
        <v>0</v>
      </c>
      <c r="HY8" s="139">
        <v>0</v>
      </c>
      <c r="HZ8" s="139">
        <v>0</v>
      </c>
      <c r="IA8" s="139">
        <v>0</v>
      </c>
      <c r="IB8" s="139">
        <v>0</v>
      </c>
      <c r="IC8" s="139">
        <v>0</v>
      </c>
      <c r="ID8" s="139">
        <v>0</v>
      </c>
      <c r="IE8" s="139">
        <v>0</v>
      </c>
      <c r="IF8" s="139">
        <v>0</v>
      </c>
      <c r="IG8" s="139">
        <v>0</v>
      </c>
      <c r="IH8" s="139">
        <v>0</v>
      </c>
      <c r="II8" s="139">
        <v>0</v>
      </c>
      <c r="IJ8" s="139">
        <v>260290</v>
      </c>
      <c r="IK8" s="139">
        <v>31717</v>
      </c>
      <c r="IL8" s="139">
        <v>49987</v>
      </c>
      <c r="IM8" s="139">
        <v>610827</v>
      </c>
      <c r="IN8" s="139">
        <v>576127</v>
      </c>
      <c r="IO8" s="139">
        <v>1528948</v>
      </c>
      <c r="IP8" s="139">
        <v>1508</v>
      </c>
      <c r="IQ8" s="139">
        <v>0</v>
      </c>
      <c r="IR8" s="139">
        <v>3290</v>
      </c>
      <c r="IS8" s="139">
        <v>11125</v>
      </c>
      <c r="IT8" s="139">
        <v>48257</v>
      </c>
      <c r="IU8" s="139">
        <v>64180</v>
      </c>
      <c r="IV8" s="139">
        <v>1719951</v>
      </c>
      <c r="IW8" s="139">
        <v>218723</v>
      </c>
      <c r="IX8" s="139">
        <v>160394</v>
      </c>
      <c r="IY8" s="139">
        <v>727398</v>
      </c>
      <c r="IZ8" s="139">
        <v>7386733</v>
      </c>
      <c r="JA8" s="139">
        <v>10213199</v>
      </c>
      <c r="JB8" s="139">
        <v>28074699</v>
      </c>
      <c r="JC8" s="139">
        <v>7681928</v>
      </c>
      <c r="JD8" s="139">
        <v>3700970</v>
      </c>
      <c r="JE8" s="139">
        <v>21770058</v>
      </c>
      <c r="JF8" s="139">
        <v>33412753</v>
      </c>
      <c r="JG8" s="139">
        <v>94640408</v>
      </c>
      <c r="JH8" s="139">
        <v>0</v>
      </c>
      <c r="JI8" s="139">
        <v>0</v>
      </c>
      <c r="JJ8" s="139">
        <v>0</v>
      </c>
      <c r="JK8" s="139">
        <v>0</v>
      </c>
      <c r="JL8" s="139">
        <v>105015</v>
      </c>
      <c r="JM8" s="139">
        <v>105015</v>
      </c>
      <c r="JN8" s="139">
        <v>28074699</v>
      </c>
      <c r="JO8" s="139">
        <v>7681928</v>
      </c>
      <c r="JP8" s="139">
        <v>3700970</v>
      </c>
      <c r="JQ8" s="139">
        <v>21770058</v>
      </c>
      <c r="JR8" s="139">
        <v>33517768</v>
      </c>
      <c r="JS8" s="139">
        <v>94745423</v>
      </c>
      <c r="JU8" s="70">
        <f t="shared" si="0"/>
        <v>34284318</v>
      </c>
      <c r="JV8" s="70">
        <f t="shared" si="1"/>
        <v>0</v>
      </c>
      <c r="JW8" s="70">
        <f t="shared" si="2"/>
        <v>0</v>
      </c>
      <c r="JX8" s="70">
        <f t="shared" si="3"/>
        <v>0</v>
      </c>
      <c r="JY8" s="70">
        <f t="shared" si="4"/>
        <v>364725</v>
      </c>
      <c r="JZ8" s="70">
        <f t="shared" si="5"/>
        <v>0</v>
      </c>
      <c r="KA8" s="70">
        <f t="shared" si="6"/>
        <v>21276161</v>
      </c>
      <c r="KB8" s="70">
        <f t="shared" si="7"/>
        <v>0</v>
      </c>
      <c r="KC8" s="70">
        <f t="shared" si="8"/>
        <v>175000</v>
      </c>
      <c r="KD8" s="70">
        <f t="shared" si="9"/>
        <v>0</v>
      </c>
      <c r="KE8" s="70">
        <f t="shared" si="10"/>
        <v>0</v>
      </c>
      <c r="KF8" s="70">
        <f t="shared" si="11"/>
        <v>0</v>
      </c>
      <c r="KG8" s="70">
        <f t="shared" si="12"/>
        <v>1936405</v>
      </c>
      <c r="KH8" s="70">
        <f t="shared" si="13"/>
        <v>0</v>
      </c>
      <c r="KI8" s="70">
        <f t="shared" si="14"/>
        <v>0</v>
      </c>
      <c r="KJ8" s="70">
        <f t="shared" si="15"/>
        <v>0</v>
      </c>
      <c r="KK8" s="70">
        <f t="shared" si="16"/>
        <v>21666355</v>
      </c>
      <c r="KL8" s="70">
        <f t="shared" si="17"/>
        <v>0</v>
      </c>
      <c r="KM8" s="70">
        <f t="shared" si="18"/>
        <v>0</v>
      </c>
      <c r="KN8" s="70">
        <f t="shared" si="19"/>
        <v>0</v>
      </c>
      <c r="KO8" s="70">
        <f t="shared" si="20"/>
        <v>2175763</v>
      </c>
      <c r="KP8" s="70">
        <f t="shared" si="21"/>
        <v>0</v>
      </c>
      <c r="KQ8" s="70">
        <f t="shared" si="22"/>
        <v>11813916</v>
      </c>
      <c r="KR8" s="70">
        <f t="shared" si="23"/>
        <v>0</v>
      </c>
      <c r="KS8" s="70">
        <f t="shared" si="24"/>
        <v>13783</v>
      </c>
      <c r="KT8" s="70">
        <f t="shared" si="25"/>
        <v>0</v>
      </c>
      <c r="KU8" s="70">
        <f t="shared" si="26"/>
        <v>2393611</v>
      </c>
      <c r="KV8" s="70">
        <f t="shared" si="27"/>
        <v>0</v>
      </c>
      <c r="KW8" s="70">
        <f t="shared" si="28"/>
        <v>693935</v>
      </c>
      <c r="KX8" s="70">
        <f t="shared" si="29"/>
        <v>0</v>
      </c>
      <c r="KY8" s="70">
        <f t="shared" si="30"/>
        <v>96793972</v>
      </c>
      <c r="KZ8" s="70">
        <f t="shared" si="31"/>
        <v>0</v>
      </c>
      <c r="LA8" s="70">
        <f t="shared" si="32"/>
        <v>9055006</v>
      </c>
      <c r="LB8" s="70">
        <f t="shared" si="33"/>
        <v>0</v>
      </c>
      <c r="LC8" s="70">
        <f t="shared" si="34"/>
        <v>3319072</v>
      </c>
      <c r="LD8" s="70">
        <f t="shared" si="35"/>
        <v>0</v>
      </c>
      <c r="LE8" s="70">
        <f t="shared" si="36"/>
        <v>16962702</v>
      </c>
      <c r="LF8" s="70">
        <f t="shared" si="37"/>
        <v>0</v>
      </c>
      <c r="LG8" s="70">
        <f t="shared" si="38"/>
        <v>175000</v>
      </c>
      <c r="LH8" s="70">
        <f t="shared" si="39"/>
        <v>0</v>
      </c>
      <c r="LI8" s="70">
        <f t="shared" si="40"/>
        <v>17687953</v>
      </c>
      <c r="LJ8" s="70">
        <f t="shared" si="41"/>
        <v>0</v>
      </c>
      <c r="LK8" s="70">
        <f t="shared" si="42"/>
        <v>0</v>
      </c>
      <c r="LL8" s="70">
        <f t="shared" si="43"/>
        <v>0</v>
      </c>
      <c r="LM8" s="70">
        <f t="shared" si="44"/>
        <v>84094</v>
      </c>
      <c r="LN8" s="70">
        <f t="shared" si="45"/>
        <v>0</v>
      </c>
      <c r="LO8" s="70">
        <f t="shared" si="46"/>
        <v>1664017</v>
      </c>
      <c r="LP8" s="70">
        <f t="shared" si="47"/>
        <v>0</v>
      </c>
      <c r="LQ8" s="70">
        <f t="shared" si="48"/>
        <v>6558452</v>
      </c>
      <c r="LR8" s="70">
        <f t="shared" si="49"/>
        <v>0</v>
      </c>
      <c r="LS8" s="70">
        <f t="shared" si="50"/>
        <v>2025277</v>
      </c>
      <c r="LT8" s="70">
        <f t="shared" si="51"/>
        <v>0</v>
      </c>
      <c r="LU8" s="70">
        <f t="shared" si="52"/>
        <v>4178363</v>
      </c>
      <c r="LV8" s="70">
        <f t="shared" si="53"/>
        <v>0</v>
      </c>
      <c r="LW8" s="70">
        <f t="shared" si="54"/>
        <v>1977161</v>
      </c>
      <c r="LX8" s="70">
        <f t="shared" si="55"/>
        <v>0</v>
      </c>
      <c r="LY8" s="70">
        <f t="shared" si="56"/>
        <v>0</v>
      </c>
      <c r="LZ8" s="70">
        <f t="shared" si="57"/>
        <v>0</v>
      </c>
      <c r="MA8" s="70">
        <f t="shared" si="58"/>
        <v>18172789</v>
      </c>
      <c r="MB8" s="70">
        <f t="shared" si="59"/>
        <v>0</v>
      </c>
      <c r="MC8" s="70">
        <f t="shared" si="60"/>
        <v>0</v>
      </c>
      <c r="MD8" s="70">
        <f t="shared" si="61"/>
        <v>0</v>
      </c>
      <c r="ME8" s="70">
        <f t="shared" si="62"/>
        <v>0</v>
      </c>
      <c r="MF8" s="70">
        <f t="shared" si="63"/>
        <v>0</v>
      </c>
      <c r="MG8" s="70">
        <f t="shared" si="64"/>
        <v>1528948</v>
      </c>
      <c r="MH8" s="70">
        <f t="shared" si="65"/>
        <v>0</v>
      </c>
      <c r="MI8" s="70">
        <f t="shared" si="66"/>
        <v>64180</v>
      </c>
      <c r="MJ8" s="70">
        <f t="shared" si="67"/>
        <v>0</v>
      </c>
      <c r="MK8" s="70">
        <f t="shared" si="68"/>
        <v>10213199</v>
      </c>
      <c r="ML8" s="70">
        <f t="shared" si="69"/>
        <v>0</v>
      </c>
      <c r="MM8" s="70">
        <f t="shared" si="70"/>
        <v>94640408</v>
      </c>
      <c r="MN8" s="70">
        <f t="shared" si="71"/>
        <v>0</v>
      </c>
      <c r="MO8" s="70">
        <f t="shared" si="72"/>
        <v>105015</v>
      </c>
      <c r="MP8" s="70">
        <f t="shared" si="73"/>
        <v>0</v>
      </c>
      <c r="MQ8" s="70">
        <f t="shared" si="74"/>
        <v>94745423</v>
      </c>
      <c r="MR8" s="70">
        <f t="shared" si="75"/>
        <v>0</v>
      </c>
      <c r="MT8" s="70">
        <f t="shared" si="76"/>
        <v>0</v>
      </c>
      <c r="MV8" s="68">
        <f t="shared" si="77"/>
        <v>0</v>
      </c>
    </row>
    <row r="9" spans="1:360" x14ac:dyDescent="0.15">
      <c r="A9" s="183" t="s">
        <v>292</v>
      </c>
      <c r="B9" s="76" t="s">
        <v>421</v>
      </c>
      <c r="C9" s="90">
        <v>106458</v>
      </c>
      <c r="D9" s="90">
        <v>2014</v>
      </c>
      <c r="E9" s="90">
        <v>1</v>
      </c>
      <c r="F9" s="91">
        <v>11</v>
      </c>
      <c r="G9" s="92">
        <v>3252</v>
      </c>
      <c r="H9" s="92">
        <v>4305</v>
      </c>
      <c r="I9" s="93">
        <v>195652950</v>
      </c>
      <c r="J9" s="93"/>
      <c r="K9" s="93">
        <v>0</v>
      </c>
      <c r="L9" s="93"/>
      <c r="M9" s="93">
        <v>11710281</v>
      </c>
      <c r="N9" s="93"/>
      <c r="O9" s="93">
        <v>0</v>
      </c>
      <c r="P9" s="93"/>
      <c r="Q9" s="93">
        <v>158584939</v>
      </c>
      <c r="R9" s="93"/>
      <c r="S9" s="93">
        <v>140868407</v>
      </c>
      <c r="T9" s="93"/>
      <c r="U9" s="93">
        <v>16585</v>
      </c>
      <c r="V9" s="93"/>
      <c r="W9" s="93">
        <v>22525</v>
      </c>
      <c r="X9" s="93"/>
      <c r="Y9" s="93">
        <v>20014</v>
      </c>
      <c r="Z9" s="93"/>
      <c r="AA9" s="93">
        <v>25654</v>
      </c>
      <c r="AB9" s="93"/>
      <c r="AC9" s="114">
        <v>7</v>
      </c>
      <c r="AD9" s="114">
        <v>8</v>
      </c>
      <c r="AE9" s="114">
        <v>0</v>
      </c>
      <c r="AF9" s="115">
        <v>3009596</v>
      </c>
      <c r="AG9" s="115">
        <v>2064311</v>
      </c>
      <c r="AH9" s="115">
        <v>293373</v>
      </c>
      <c r="AI9" s="115">
        <v>134309</v>
      </c>
      <c r="AJ9" s="115">
        <v>127818</v>
      </c>
      <c r="AK9" s="116">
        <v>4.5</v>
      </c>
      <c r="AL9" s="115">
        <v>115036</v>
      </c>
      <c r="AM9" s="116">
        <v>5</v>
      </c>
      <c r="AN9" s="115">
        <v>69448</v>
      </c>
      <c r="AO9" s="116">
        <v>6.5</v>
      </c>
      <c r="AP9" s="115">
        <v>64488</v>
      </c>
      <c r="AQ9" s="116">
        <v>7</v>
      </c>
      <c r="AR9" s="115">
        <v>85722</v>
      </c>
      <c r="AS9" s="116">
        <v>15.5</v>
      </c>
      <c r="AT9" s="115">
        <v>78158</v>
      </c>
      <c r="AU9" s="116">
        <v>17</v>
      </c>
      <c r="AV9" s="115">
        <v>48120</v>
      </c>
      <c r="AW9" s="116">
        <v>6.5</v>
      </c>
      <c r="AX9" s="115">
        <v>39097</v>
      </c>
      <c r="AY9" s="116">
        <v>8</v>
      </c>
      <c r="AZ9" s="139">
        <v>1084748</v>
      </c>
      <c r="BA9" s="139">
        <v>300083</v>
      </c>
      <c r="BB9" s="139">
        <v>41664</v>
      </c>
      <c r="BC9" s="139">
        <v>28757</v>
      </c>
      <c r="BD9" s="139">
        <v>0</v>
      </c>
      <c r="BE9" s="139">
        <v>1455252</v>
      </c>
      <c r="BF9" s="139">
        <v>1064689</v>
      </c>
      <c r="BG9" s="139">
        <v>416617</v>
      </c>
      <c r="BH9" s="139">
        <v>601781</v>
      </c>
      <c r="BI9" s="139">
        <v>2545993</v>
      </c>
      <c r="BJ9" s="139">
        <v>0</v>
      </c>
      <c r="BK9" s="139">
        <v>4629080</v>
      </c>
      <c r="BL9" s="139">
        <v>1700000</v>
      </c>
      <c r="BM9" s="139">
        <v>190000</v>
      </c>
      <c r="BN9" s="139">
        <v>20000</v>
      </c>
      <c r="BO9" s="139">
        <v>11000</v>
      </c>
      <c r="BP9" s="139">
        <v>0</v>
      </c>
      <c r="BQ9" s="139">
        <v>1921000</v>
      </c>
      <c r="BR9" s="139">
        <v>216615</v>
      </c>
      <c r="BS9" s="139">
        <v>17365</v>
      </c>
      <c r="BT9" s="139">
        <v>2352</v>
      </c>
      <c r="BU9" s="139">
        <v>12560</v>
      </c>
      <c r="BV9" s="139">
        <v>1311576</v>
      </c>
      <c r="BW9" s="139">
        <v>1560468</v>
      </c>
      <c r="BX9" s="139">
        <v>685035</v>
      </c>
      <c r="BY9" s="139">
        <v>298147</v>
      </c>
      <c r="BZ9" s="139">
        <v>26300</v>
      </c>
      <c r="CA9" s="139">
        <v>85036</v>
      </c>
      <c r="CB9" s="139">
        <v>91586</v>
      </c>
      <c r="CC9" s="139">
        <v>1186104</v>
      </c>
      <c r="CD9" s="139">
        <v>0</v>
      </c>
      <c r="CE9" s="139">
        <v>0</v>
      </c>
      <c r="CF9" s="139">
        <v>0</v>
      </c>
      <c r="CG9" s="139">
        <v>0</v>
      </c>
      <c r="CH9" s="139">
        <v>0</v>
      </c>
      <c r="CI9" s="139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6013261</v>
      </c>
      <c r="CO9" s="139">
        <v>6013261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255559</v>
      </c>
      <c r="CW9" s="139">
        <v>0</v>
      </c>
      <c r="CX9" s="139">
        <v>0</v>
      </c>
      <c r="CY9" s="139">
        <v>58979</v>
      </c>
      <c r="CZ9" s="139">
        <v>1349851</v>
      </c>
      <c r="DA9" s="139">
        <v>1664389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265803</v>
      </c>
      <c r="DI9" s="139">
        <v>48363</v>
      </c>
      <c r="DJ9" s="139">
        <v>25795</v>
      </c>
      <c r="DK9" s="139">
        <v>9778</v>
      </c>
      <c r="DL9" s="139">
        <v>81263</v>
      </c>
      <c r="DM9" s="139">
        <v>431002</v>
      </c>
      <c r="DN9" s="139">
        <v>0</v>
      </c>
      <c r="DO9" s="139">
        <v>0</v>
      </c>
      <c r="DP9" s="139">
        <v>0</v>
      </c>
      <c r="DQ9" s="139">
        <v>0</v>
      </c>
      <c r="DR9" s="139">
        <v>644444</v>
      </c>
      <c r="DS9" s="139">
        <v>644444</v>
      </c>
      <c r="DT9" s="139">
        <v>0</v>
      </c>
      <c r="DU9" s="139">
        <v>0</v>
      </c>
      <c r="DV9" s="139">
        <v>0</v>
      </c>
      <c r="DW9" s="139">
        <v>0</v>
      </c>
      <c r="DX9" s="139">
        <v>0</v>
      </c>
      <c r="DY9" s="139">
        <v>0</v>
      </c>
      <c r="DZ9" s="139">
        <v>0</v>
      </c>
      <c r="EA9" s="139">
        <v>0</v>
      </c>
      <c r="EB9" s="139">
        <v>0</v>
      </c>
      <c r="EC9" s="139">
        <v>0</v>
      </c>
      <c r="ED9" s="139">
        <v>191572</v>
      </c>
      <c r="EE9" s="139">
        <v>191572</v>
      </c>
      <c r="EF9" s="139">
        <v>178116</v>
      </c>
      <c r="EG9" s="139">
        <v>32027</v>
      </c>
      <c r="EH9" s="139">
        <v>31627</v>
      </c>
      <c r="EI9" s="139">
        <v>2800</v>
      </c>
      <c r="EJ9" s="139">
        <v>210651</v>
      </c>
      <c r="EK9" s="139">
        <v>455221</v>
      </c>
      <c r="EL9" s="139">
        <v>5450565</v>
      </c>
      <c r="EM9" s="139">
        <v>1302602</v>
      </c>
      <c r="EN9" s="139">
        <v>749519</v>
      </c>
      <c r="EO9" s="139">
        <v>2754903</v>
      </c>
      <c r="EP9" s="139">
        <v>9894204</v>
      </c>
      <c r="EQ9" s="139">
        <v>20151793</v>
      </c>
      <c r="ER9" s="139">
        <v>1973627</v>
      </c>
      <c r="ES9" s="139">
        <v>312466</v>
      </c>
      <c r="ET9" s="139">
        <v>356948</v>
      </c>
      <c r="EU9" s="139">
        <v>2430866</v>
      </c>
      <c r="EV9" s="139">
        <v>310139</v>
      </c>
      <c r="EW9" s="139">
        <v>5384046</v>
      </c>
      <c r="EX9" s="139">
        <v>550000</v>
      </c>
      <c r="EY9" s="139">
        <v>20000</v>
      </c>
      <c r="EZ9" s="139">
        <v>4500</v>
      </c>
      <c r="FA9" s="139">
        <v>14382</v>
      </c>
      <c r="FB9" s="139">
        <v>0</v>
      </c>
      <c r="FC9" s="139">
        <v>588882</v>
      </c>
      <c r="FD9" s="139">
        <v>1151429</v>
      </c>
      <c r="FE9" s="139">
        <v>424384</v>
      </c>
      <c r="FF9" s="139">
        <v>290201</v>
      </c>
      <c r="FG9" s="139">
        <v>802045</v>
      </c>
      <c r="FH9" s="139">
        <v>0</v>
      </c>
      <c r="FI9" s="139">
        <v>2668059</v>
      </c>
      <c r="FJ9" s="139">
        <v>685033</v>
      </c>
      <c r="FK9" s="139">
        <v>298148</v>
      </c>
      <c r="FL9" s="139">
        <v>26300</v>
      </c>
      <c r="FM9" s="139">
        <v>85037</v>
      </c>
      <c r="FN9" s="139">
        <v>0</v>
      </c>
      <c r="FO9" s="139">
        <v>1094518</v>
      </c>
      <c r="FP9" s="139">
        <v>420971</v>
      </c>
      <c r="FQ9" s="139">
        <v>65533</v>
      </c>
      <c r="FR9" s="139">
        <v>41298</v>
      </c>
      <c r="FS9" s="139">
        <v>34767</v>
      </c>
      <c r="FT9" s="139">
        <v>1884328</v>
      </c>
      <c r="FU9" s="139">
        <v>2446897</v>
      </c>
      <c r="FV9" s="139">
        <v>11017</v>
      </c>
      <c r="FW9" s="139">
        <v>0</v>
      </c>
      <c r="FX9" s="139">
        <v>0</v>
      </c>
      <c r="FY9" s="139">
        <v>0</v>
      </c>
      <c r="FZ9" s="139">
        <v>80569</v>
      </c>
      <c r="GA9" s="139">
        <v>91586</v>
      </c>
      <c r="GB9" s="139">
        <v>0</v>
      </c>
      <c r="GC9" s="139">
        <v>0</v>
      </c>
      <c r="GD9" s="139">
        <v>0</v>
      </c>
      <c r="GE9" s="139">
        <v>0</v>
      </c>
      <c r="GF9" s="139">
        <v>0</v>
      </c>
      <c r="GG9" s="139">
        <v>0</v>
      </c>
      <c r="GH9" s="139">
        <v>205077</v>
      </c>
      <c r="GI9" s="139">
        <v>48950</v>
      </c>
      <c r="GJ9" s="139">
        <v>59845</v>
      </c>
      <c r="GK9" s="139">
        <v>113810</v>
      </c>
      <c r="GL9" s="139">
        <v>4386</v>
      </c>
      <c r="GM9" s="139">
        <v>432068</v>
      </c>
      <c r="GN9" s="139">
        <v>1006715</v>
      </c>
      <c r="GO9" s="139">
        <v>298612</v>
      </c>
      <c r="GP9" s="139">
        <v>223458</v>
      </c>
      <c r="GQ9" s="139">
        <v>703389</v>
      </c>
      <c r="GR9" s="139">
        <v>26671</v>
      </c>
      <c r="GS9" s="139">
        <v>2258845</v>
      </c>
      <c r="GT9" s="139">
        <v>804116</v>
      </c>
      <c r="GU9" s="139">
        <v>81513</v>
      </c>
      <c r="GV9" s="139">
        <v>59028</v>
      </c>
      <c r="GW9" s="139">
        <v>384464</v>
      </c>
      <c r="GX9" s="139">
        <v>285670</v>
      </c>
      <c r="GY9" s="139">
        <v>1614791</v>
      </c>
      <c r="GZ9" s="139">
        <v>161698</v>
      </c>
      <c r="HA9" s="139">
        <v>124981</v>
      </c>
      <c r="HB9" s="139">
        <v>71660</v>
      </c>
      <c r="HC9" s="139">
        <v>75233</v>
      </c>
      <c r="HD9" s="139">
        <v>50819</v>
      </c>
      <c r="HE9" s="139">
        <v>484391</v>
      </c>
      <c r="HF9" s="139">
        <v>191420</v>
      </c>
      <c r="HG9" s="139">
        <v>31723</v>
      </c>
      <c r="HH9" s="139">
        <v>29338</v>
      </c>
      <c r="HI9" s="139">
        <v>1742</v>
      </c>
      <c r="HJ9" s="139">
        <v>125467</v>
      </c>
      <c r="HK9" s="139">
        <v>379690</v>
      </c>
      <c r="HL9" s="139">
        <v>0</v>
      </c>
      <c r="HM9" s="139">
        <v>0</v>
      </c>
      <c r="HN9" s="139">
        <v>0</v>
      </c>
      <c r="HO9" s="139">
        <v>0</v>
      </c>
      <c r="HP9" s="139">
        <v>0</v>
      </c>
      <c r="HQ9" s="139">
        <v>0</v>
      </c>
      <c r="HR9" s="139">
        <v>5356</v>
      </c>
      <c r="HS9" s="139">
        <v>0</v>
      </c>
      <c r="HT9" s="139">
        <v>13</v>
      </c>
      <c r="HU9" s="139">
        <v>1568</v>
      </c>
      <c r="HV9" s="139">
        <v>355788</v>
      </c>
      <c r="HW9" s="139">
        <v>362725</v>
      </c>
      <c r="HX9" s="139">
        <v>169684</v>
      </c>
      <c r="HY9" s="139">
        <v>31110</v>
      </c>
      <c r="HZ9" s="139">
        <v>31109</v>
      </c>
      <c r="IA9" s="139">
        <v>0</v>
      </c>
      <c r="IB9" s="139">
        <v>0</v>
      </c>
      <c r="IC9" s="139">
        <v>231903</v>
      </c>
      <c r="ID9" s="139">
        <v>0</v>
      </c>
      <c r="IE9" s="139">
        <v>0</v>
      </c>
      <c r="IF9" s="139">
        <v>0</v>
      </c>
      <c r="IG9" s="139">
        <v>0</v>
      </c>
      <c r="IH9" s="139">
        <v>0</v>
      </c>
      <c r="II9" s="139">
        <v>0</v>
      </c>
      <c r="IJ9" s="139">
        <v>7150</v>
      </c>
      <c r="IK9" s="139">
        <v>0</v>
      </c>
      <c r="IL9" s="139">
        <v>0</v>
      </c>
      <c r="IM9" s="139">
        <f>7525+375-IJ9-IK9-IL9</f>
        <v>750</v>
      </c>
      <c r="IN9" s="139">
        <v>162397</v>
      </c>
      <c r="IO9" s="139">
        <v>170297</v>
      </c>
      <c r="IP9" s="139">
        <v>1710</v>
      </c>
      <c r="IQ9" s="139">
        <v>2055</v>
      </c>
      <c r="IR9" s="139">
        <v>450</v>
      </c>
      <c r="IS9" s="139">
        <f>4635+4969-IP9-IQ9-IR9</f>
        <v>5389</v>
      </c>
      <c r="IT9" s="139">
        <v>123985</v>
      </c>
      <c r="IU9" s="139">
        <v>133589</v>
      </c>
      <c r="IV9" s="139">
        <v>244996</v>
      </c>
      <c r="IW9" s="139">
        <v>54857</v>
      </c>
      <c r="IX9" s="139">
        <v>40001</v>
      </c>
      <c r="IY9" s="139">
        <f>328760+75090-IV9-IW9-IX9</f>
        <v>63996</v>
      </c>
      <c r="IZ9" s="139">
        <v>1405656</v>
      </c>
      <c r="JA9" s="139">
        <v>1809506</v>
      </c>
      <c r="JB9" s="139">
        <v>7589999</v>
      </c>
      <c r="JC9" s="139">
        <v>1794332</v>
      </c>
      <c r="JD9" s="139">
        <v>1234149</v>
      </c>
      <c r="JE9" s="139">
        <f>11115897+4220021-JB9-JC9-JD9</f>
        <v>4717438</v>
      </c>
      <c r="JF9" s="139">
        <v>4815875</v>
      </c>
      <c r="JG9" s="139">
        <v>20151793</v>
      </c>
      <c r="JH9" s="139">
        <v>0</v>
      </c>
      <c r="JI9" s="139">
        <v>0</v>
      </c>
      <c r="JJ9" s="139">
        <v>0</v>
      </c>
      <c r="JK9" s="139">
        <v>0</v>
      </c>
      <c r="JL9" s="139">
        <v>0</v>
      </c>
      <c r="JM9" s="139">
        <v>0</v>
      </c>
      <c r="JN9" s="139">
        <v>7589999</v>
      </c>
      <c r="JO9" s="139">
        <v>1794332</v>
      </c>
      <c r="JP9" s="139">
        <v>1234149</v>
      </c>
      <c r="JQ9" s="139">
        <f>11115897+4220021-JN9-JO9-JP9</f>
        <v>4717438</v>
      </c>
      <c r="JR9" s="139">
        <v>4815875</v>
      </c>
      <c r="JS9" s="139">
        <v>20151793</v>
      </c>
      <c r="JU9" s="70">
        <f t="shared" si="0"/>
        <v>1455252</v>
      </c>
      <c r="JV9" s="70">
        <f t="shared" si="1"/>
        <v>0</v>
      </c>
      <c r="JW9" s="70">
        <f t="shared" si="2"/>
        <v>4629080</v>
      </c>
      <c r="JX9" s="70">
        <f t="shared" si="3"/>
        <v>0</v>
      </c>
      <c r="JY9" s="70">
        <f t="shared" si="4"/>
        <v>1921000</v>
      </c>
      <c r="JZ9" s="70">
        <f t="shared" si="5"/>
        <v>0</v>
      </c>
      <c r="KA9" s="70">
        <f t="shared" si="6"/>
        <v>1560468</v>
      </c>
      <c r="KB9" s="70">
        <f t="shared" si="7"/>
        <v>0</v>
      </c>
      <c r="KC9" s="70">
        <f t="shared" si="8"/>
        <v>1186104</v>
      </c>
      <c r="KD9" s="70">
        <f t="shared" si="9"/>
        <v>0</v>
      </c>
      <c r="KE9" s="70">
        <f t="shared" si="10"/>
        <v>0</v>
      </c>
      <c r="KF9" s="70">
        <f t="shared" si="11"/>
        <v>0</v>
      </c>
      <c r="KG9" s="70">
        <f t="shared" si="12"/>
        <v>6013261</v>
      </c>
      <c r="KH9" s="70">
        <f t="shared" si="13"/>
        <v>0</v>
      </c>
      <c r="KI9" s="70">
        <f t="shared" si="14"/>
        <v>0</v>
      </c>
      <c r="KJ9" s="70">
        <f t="shared" si="15"/>
        <v>0</v>
      </c>
      <c r="KK9" s="70">
        <f t="shared" si="16"/>
        <v>1664389</v>
      </c>
      <c r="KL9" s="70">
        <f t="shared" si="17"/>
        <v>0</v>
      </c>
      <c r="KM9" s="70">
        <f t="shared" si="18"/>
        <v>0</v>
      </c>
      <c r="KN9" s="70">
        <f t="shared" si="19"/>
        <v>0</v>
      </c>
      <c r="KO9" s="70">
        <f t="shared" si="20"/>
        <v>431002</v>
      </c>
      <c r="KP9" s="70">
        <f t="shared" si="21"/>
        <v>0</v>
      </c>
      <c r="KQ9" s="70">
        <f t="shared" si="22"/>
        <v>644444</v>
      </c>
      <c r="KR9" s="70">
        <f t="shared" si="23"/>
        <v>0</v>
      </c>
      <c r="KS9" s="70">
        <f t="shared" si="24"/>
        <v>0</v>
      </c>
      <c r="KT9" s="70">
        <f t="shared" si="25"/>
        <v>0</v>
      </c>
      <c r="KU9" s="70">
        <f t="shared" si="26"/>
        <v>191572</v>
      </c>
      <c r="KV9" s="70">
        <f t="shared" si="27"/>
        <v>0</v>
      </c>
      <c r="KW9" s="70">
        <f t="shared" si="28"/>
        <v>455221</v>
      </c>
      <c r="KX9" s="70">
        <f t="shared" si="29"/>
        <v>0</v>
      </c>
      <c r="KY9" s="70">
        <f t="shared" si="30"/>
        <v>20151793</v>
      </c>
      <c r="KZ9" s="70">
        <f t="shared" si="31"/>
        <v>0</v>
      </c>
      <c r="LA9" s="70">
        <f t="shared" si="32"/>
        <v>5384046</v>
      </c>
      <c r="LB9" s="70">
        <f t="shared" si="33"/>
        <v>0</v>
      </c>
      <c r="LC9" s="70">
        <f t="shared" si="34"/>
        <v>588882</v>
      </c>
      <c r="LD9" s="70">
        <f t="shared" si="35"/>
        <v>0</v>
      </c>
      <c r="LE9" s="70">
        <f t="shared" si="36"/>
        <v>2668059</v>
      </c>
      <c r="LF9" s="70">
        <f t="shared" si="37"/>
        <v>0</v>
      </c>
      <c r="LG9" s="70">
        <f t="shared" si="38"/>
        <v>1094518</v>
      </c>
      <c r="LH9" s="70">
        <f t="shared" si="39"/>
        <v>0</v>
      </c>
      <c r="LI9" s="70">
        <f t="shared" si="40"/>
        <v>2446897</v>
      </c>
      <c r="LJ9" s="70">
        <f t="shared" si="41"/>
        <v>0</v>
      </c>
      <c r="LK9" s="70">
        <f t="shared" si="42"/>
        <v>91586</v>
      </c>
      <c r="LL9" s="70">
        <f t="shared" si="43"/>
        <v>0</v>
      </c>
      <c r="LM9" s="70">
        <f t="shared" si="44"/>
        <v>0</v>
      </c>
      <c r="LN9" s="70">
        <f t="shared" si="45"/>
        <v>0</v>
      </c>
      <c r="LO9" s="70">
        <f t="shared" si="46"/>
        <v>432068</v>
      </c>
      <c r="LP9" s="70">
        <f t="shared" si="47"/>
        <v>0</v>
      </c>
      <c r="LQ9" s="70">
        <f t="shared" si="48"/>
        <v>2258845</v>
      </c>
      <c r="LR9" s="70">
        <f t="shared" si="49"/>
        <v>0</v>
      </c>
      <c r="LS9" s="70">
        <f t="shared" si="50"/>
        <v>1614791</v>
      </c>
      <c r="LT9" s="70">
        <f t="shared" si="51"/>
        <v>0</v>
      </c>
      <c r="LU9" s="70">
        <f t="shared" si="52"/>
        <v>484391</v>
      </c>
      <c r="LV9" s="70">
        <f t="shared" si="53"/>
        <v>0</v>
      </c>
      <c r="LW9" s="70">
        <f t="shared" si="54"/>
        <v>379690</v>
      </c>
      <c r="LX9" s="70">
        <f t="shared" si="55"/>
        <v>0</v>
      </c>
      <c r="LY9" s="70">
        <f t="shared" si="56"/>
        <v>0</v>
      </c>
      <c r="LZ9" s="70">
        <f t="shared" si="57"/>
        <v>0</v>
      </c>
      <c r="MA9" s="70">
        <f t="shared" si="58"/>
        <v>362725</v>
      </c>
      <c r="MB9" s="70">
        <f t="shared" si="59"/>
        <v>0</v>
      </c>
      <c r="MC9" s="70">
        <f t="shared" si="60"/>
        <v>231903</v>
      </c>
      <c r="MD9" s="70">
        <f t="shared" si="61"/>
        <v>0</v>
      </c>
      <c r="ME9" s="70">
        <f t="shared" si="62"/>
        <v>0</v>
      </c>
      <c r="MF9" s="70">
        <f t="shared" si="63"/>
        <v>0</v>
      </c>
      <c r="MG9" s="70">
        <f t="shared" si="64"/>
        <v>170297</v>
      </c>
      <c r="MH9" s="70">
        <f t="shared" si="65"/>
        <v>0</v>
      </c>
      <c r="MI9" s="70">
        <f t="shared" si="66"/>
        <v>133589</v>
      </c>
      <c r="MJ9" s="70">
        <f t="shared" si="67"/>
        <v>0</v>
      </c>
      <c r="MK9" s="70">
        <f t="shared" si="68"/>
        <v>1809506</v>
      </c>
      <c r="ML9" s="70">
        <f t="shared" si="69"/>
        <v>0</v>
      </c>
      <c r="MM9" s="70">
        <f t="shared" si="70"/>
        <v>20151793</v>
      </c>
      <c r="MN9" s="70">
        <f t="shared" si="71"/>
        <v>0</v>
      </c>
      <c r="MO9" s="70">
        <f t="shared" si="72"/>
        <v>0</v>
      </c>
      <c r="MP9" s="70">
        <f t="shared" si="73"/>
        <v>0</v>
      </c>
      <c r="MQ9" s="70">
        <f t="shared" si="74"/>
        <v>20151793</v>
      </c>
      <c r="MR9" s="70">
        <f t="shared" si="75"/>
        <v>0</v>
      </c>
      <c r="MT9" s="70">
        <f t="shared" si="76"/>
        <v>0</v>
      </c>
      <c r="MV9" s="68">
        <f t="shared" si="77"/>
        <v>0</v>
      </c>
    </row>
    <row r="10" spans="1:360" x14ac:dyDescent="0.15">
      <c r="A10" s="182" t="s">
        <v>293</v>
      </c>
      <c r="B10" s="76" t="s">
        <v>421</v>
      </c>
      <c r="C10" s="90">
        <v>100858</v>
      </c>
      <c r="D10" s="90">
        <v>2014</v>
      </c>
      <c r="E10" s="90">
        <v>1</v>
      </c>
      <c r="F10" s="91">
        <v>5</v>
      </c>
      <c r="G10" s="92">
        <v>10108</v>
      </c>
      <c r="H10" s="92">
        <v>9691</v>
      </c>
      <c r="I10" s="93">
        <v>943732935</v>
      </c>
      <c r="J10" s="93">
        <v>899378944</v>
      </c>
      <c r="K10" s="93">
        <v>10880487</v>
      </c>
      <c r="L10" s="93">
        <v>9973080</v>
      </c>
      <c r="M10" s="93">
        <v>56078696</v>
      </c>
      <c r="N10" s="93">
        <v>55746898</v>
      </c>
      <c r="O10" s="93">
        <v>109408700</v>
      </c>
      <c r="P10" s="93">
        <v>108778201</v>
      </c>
      <c r="Q10" s="93">
        <v>715231442</v>
      </c>
      <c r="R10" s="93">
        <v>735818791</v>
      </c>
      <c r="S10" s="93">
        <v>805178034</v>
      </c>
      <c r="T10" s="93">
        <v>777233141</v>
      </c>
      <c r="U10" s="93">
        <v>22204</v>
      </c>
      <c r="V10" s="93">
        <v>20852</v>
      </c>
      <c r="W10" s="93">
        <v>38716</v>
      </c>
      <c r="X10" s="93">
        <v>39596</v>
      </c>
      <c r="Y10" s="93">
        <v>28098</v>
      </c>
      <c r="Z10" s="93">
        <v>26548</v>
      </c>
      <c r="AA10" s="93">
        <v>44610</v>
      </c>
      <c r="AB10" s="93">
        <v>42292</v>
      </c>
      <c r="AC10" s="114">
        <v>9</v>
      </c>
      <c r="AD10" s="114">
        <v>12</v>
      </c>
      <c r="AE10" s="114">
        <v>0</v>
      </c>
      <c r="AF10" s="115">
        <v>6881490</v>
      </c>
      <c r="AG10" s="115">
        <v>4914289</v>
      </c>
      <c r="AH10" s="115">
        <v>2061288</v>
      </c>
      <c r="AI10" s="115">
        <v>645332</v>
      </c>
      <c r="AJ10" s="115">
        <v>1372335</v>
      </c>
      <c r="AK10" s="116">
        <v>5.96</v>
      </c>
      <c r="AL10" s="115">
        <v>1168445</v>
      </c>
      <c r="AM10" s="116">
        <v>7</v>
      </c>
      <c r="AN10" s="115">
        <v>246216</v>
      </c>
      <c r="AO10" s="116">
        <v>8.9499999999999993</v>
      </c>
      <c r="AP10" s="115">
        <v>220364</v>
      </c>
      <c r="AQ10" s="116">
        <v>10</v>
      </c>
      <c r="AR10" s="115">
        <v>379990</v>
      </c>
      <c r="AS10" s="116">
        <v>20.79</v>
      </c>
      <c r="AT10" s="115">
        <v>303846</v>
      </c>
      <c r="AU10" s="116">
        <v>26</v>
      </c>
      <c r="AV10" s="115">
        <v>103291</v>
      </c>
      <c r="AW10" s="116">
        <v>20.22</v>
      </c>
      <c r="AX10" s="115">
        <v>83541</v>
      </c>
      <c r="AY10" s="116">
        <v>25</v>
      </c>
      <c r="AZ10" s="139">
        <v>28233894</v>
      </c>
      <c r="BA10" s="139">
        <v>1103636</v>
      </c>
      <c r="BB10" s="139">
        <v>53916</v>
      </c>
      <c r="BC10" s="139">
        <v>441995</v>
      </c>
      <c r="BD10" s="139">
        <v>0</v>
      </c>
      <c r="BE10" s="139">
        <v>29833441</v>
      </c>
      <c r="BF10" s="139">
        <v>0</v>
      </c>
      <c r="BG10" s="139">
        <v>0</v>
      </c>
      <c r="BH10" s="139">
        <v>0</v>
      </c>
      <c r="BI10" s="139">
        <v>0</v>
      </c>
      <c r="BJ10" s="139">
        <v>4384800</v>
      </c>
      <c r="BK10" s="139">
        <v>4384800</v>
      </c>
      <c r="BL10" s="139">
        <v>0</v>
      </c>
      <c r="BM10" s="139">
        <v>0</v>
      </c>
      <c r="BN10" s="139">
        <v>5000</v>
      </c>
      <c r="BO10" s="139">
        <v>33000</v>
      </c>
      <c r="BP10" s="139">
        <v>0</v>
      </c>
      <c r="BQ10" s="139">
        <v>38000</v>
      </c>
      <c r="BR10" s="139">
        <v>31653396</v>
      </c>
      <c r="BS10" s="139">
        <v>2232377</v>
      </c>
      <c r="BT10" s="139">
        <v>17975</v>
      </c>
      <c r="BU10" s="139">
        <v>490207</v>
      </c>
      <c r="BV10" s="139">
        <v>5015123</v>
      </c>
      <c r="BW10" s="139">
        <v>39409078</v>
      </c>
      <c r="BX10" s="139">
        <v>0</v>
      </c>
      <c r="BY10" s="139">
        <v>0</v>
      </c>
      <c r="BZ10" s="139">
        <v>0</v>
      </c>
      <c r="CA10" s="139">
        <v>0</v>
      </c>
      <c r="CB10" s="139">
        <v>0</v>
      </c>
      <c r="CC10" s="139">
        <v>0</v>
      </c>
      <c r="CD10" s="139">
        <v>0</v>
      </c>
      <c r="CE10" s="139">
        <v>0</v>
      </c>
      <c r="CF10" s="139">
        <v>0</v>
      </c>
      <c r="CG10" s="139">
        <v>0</v>
      </c>
      <c r="CH10" s="139">
        <v>0</v>
      </c>
      <c r="CI10" s="139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16254739</v>
      </c>
      <c r="CW10" s="139">
        <v>5150545</v>
      </c>
      <c r="CX10" s="140">
        <v>0</v>
      </c>
      <c r="CY10" s="139">
        <v>2491</v>
      </c>
      <c r="CZ10" s="139">
        <v>2002561</v>
      </c>
      <c r="DA10" s="139">
        <v>23410336</v>
      </c>
      <c r="DB10" s="139">
        <v>4768378</v>
      </c>
      <c r="DC10" s="139">
        <v>1589459</v>
      </c>
      <c r="DD10" s="139">
        <v>0</v>
      </c>
      <c r="DE10" s="139">
        <v>0</v>
      </c>
      <c r="DF10" s="139">
        <v>0</v>
      </c>
      <c r="DG10" s="139">
        <v>6357837</v>
      </c>
      <c r="DH10" s="139">
        <v>1619899</v>
      </c>
      <c r="DI10" s="139">
        <v>46085</v>
      </c>
      <c r="DJ10" s="139">
        <v>6150</v>
      </c>
      <c r="DK10" s="139">
        <v>44787</v>
      </c>
      <c r="DL10" s="139">
        <v>454986</v>
      </c>
      <c r="DM10" s="139">
        <v>2171907</v>
      </c>
      <c r="DN10" s="139">
        <v>357</v>
      </c>
      <c r="DO10" s="139">
        <v>0</v>
      </c>
      <c r="DP10" s="139">
        <v>0</v>
      </c>
      <c r="DQ10" s="139">
        <v>20000</v>
      </c>
      <c r="DR10" s="139">
        <v>5255197</v>
      </c>
      <c r="DS10" s="139">
        <v>5275554</v>
      </c>
      <c r="DT10" s="139">
        <v>0</v>
      </c>
      <c r="DU10" s="139">
        <v>0</v>
      </c>
      <c r="DV10" s="139">
        <v>0</v>
      </c>
      <c r="DW10" s="139">
        <v>0</v>
      </c>
      <c r="DX10" s="139">
        <v>0</v>
      </c>
      <c r="DY10" s="139">
        <v>0</v>
      </c>
      <c r="DZ10" s="139">
        <v>17712</v>
      </c>
      <c r="EA10" s="139">
        <v>1501</v>
      </c>
      <c r="EB10" s="139">
        <v>946</v>
      </c>
      <c r="EC10" s="139">
        <v>88002</v>
      </c>
      <c r="ED10" s="139">
        <v>1100392</v>
      </c>
      <c r="EE10" s="139">
        <v>1208553</v>
      </c>
      <c r="EF10" s="139">
        <v>778581</v>
      </c>
      <c r="EG10" s="139">
        <v>1449</v>
      </c>
      <c r="EH10" s="139">
        <v>3762</v>
      </c>
      <c r="EI10" s="139">
        <v>65823</v>
      </c>
      <c r="EJ10" s="139">
        <v>776883</v>
      </c>
      <c r="EK10" s="139">
        <v>1626498</v>
      </c>
      <c r="EL10" s="139">
        <v>83326956</v>
      </c>
      <c r="EM10" s="139">
        <v>10125052</v>
      </c>
      <c r="EN10" s="139">
        <v>87749</v>
      </c>
      <c r="EO10" s="139">
        <v>1186305</v>
      </c>
      <c r="EP10" s="139">
        <v>18989942</v>
      </c>
      <c r="EQ10" s="139">
        <v>113716004</v>
      </c>
      <c r="ER10" s="139">
        <v>4413252</v>
      </c>
      <c r="ES10" s="139">
        <v>564411</v>
      </c>
      <c r="ET10" s="139">
        <v>553780</v>
      </c>
      <c r="EU10" s="139">
        <v>6264336</v>
      </c>
      <c r="EV10" s="139">
        <v>208824</v>
      </c>
      <c r="EW10" s="139">
        <v>12004603</v>
      </c>
      <c r="EX10" s="139">
        <v>4275000</v>
      </c>
      <c r="EY10" s="139">
        <v>633330</v>
      </c>
      <c r="EZ10" s="139">
        <v>68000</v>
      </c>
      <c r="FA10" s="139">
        <v>132869</v>
      </c>
      <c r="FB10" s="139">
        <v>0</v>
      </c>
      <c r="FC10" s="139">
        <v>5109199</v>
      </c>
      <c r="FD10" s="139">
        <v>10470552</v>
      </c>
      <c r="FE10" s="139">
        <v>3239705</v>
      </c>
      <c r="FF10" s="139">
        <v>1290523</v>
      </c>
      <c r="FG10" s="139">
        <v>5370499</v>
      </c>
      <c r="FH10" s="139">
        <v>0</v>
      </c>
      <c r="FI10" s="139">
        <v>20371279</v>
      </c>
      <c r="FJ10" s="139">
        <v>0</v>
      </c>
      <c r="FK10" s="139">
        <v>0</v>
      </c>
      <c r="FL10" s="139">
        <v>0</v>
      </c>
      <c r="FM10" s="139">
        <v>0</v>
      </c>
      <c r="FN10" s="139">
        <v>0</v>
      </c>
      <c r="FO10" s="139">
        <v>0</v>
      </c>
      <c r="FP10" s="139">
        <v>3176950</v>
      </c>
      <c r="FQ10" s="139">
        <v>410317</v>
      </c>
      <c r="FR10" s="139">
        <v>315156</v>
      </c>
      <c r="FS10" s="139">
        <v>594244</v>
      </c>
      <c r="FT10" s="139">
        <v>15415035</v>
      </c>
      <c r="FU10" s="139">
        <v>19911702</v>
      </c>
      <c r="FV10" s="139">
        <v>0</v>
      </c>
      <c r="FW10" s="139">
        <v>0</v>
      </c>
      <c r="FX10" s="139">
        <v>0</v>
      </c>
      <c r="FY10" s="139">
        <v>0</v>
      </c>
      <c r="FZ10" s="139">
        <v>0</v>
      </c>
      <c r="GA10" s="139">
        <v>0</v>
      </c>
      <c r="GB10" s="139">
        <v>4055763</v>
      </c>
      <c r="GC10" s="139">
        <v>390899</v>
      </c>
      <c r="GD10" s="139">
        <v>0</v>
      </c>
      <c r="GE10" s="139">
        <v>400000</v>
      </c>
      <c r="GF10" s="139">
        <v>0</v>
      </c>
      <c r="GG10" s="139">
        <v>4846662</v>
      </c>
      <c r="GH10" s="139">
        <v>1280265</v>
      </c>
      <c r="GI10" s="139">
        <v>494358</v>
      </c>
      <c r="GJ10" s="139">
        <v>185339</v>
      </c>
      <c r="GK10" s="139">
        <v>746658</v>
      </c>
      <c r="GL10" s="139">
        <v>2908</v>
      </c>
      <c r="GM10" s="139">
        <v>2709528</v>
      </c>
      <c r="GN10" s="139">
        <v>3233548</v>
      </c>
      <c r="GO10" s="139">
        <v>553502</v>
      </c>
      <c r="GP10" s="139">
        <v>582633</v>
      </c>
      <c r="GQ10" s="139">
        <v>2451947</v>
      </c>
      <c r="GR10" s="139">
        <v>109467</v>
      </c>
      <c r="GS10" s="139">
        <v>6931097</v>
      </c>
      <c r="GT10" s="139">
        <v>1285771</v>
      </c>
      <c r="GU10" s="139">
        <v>208701</v>
      </c>
      <c r="GV10" s="139">
        <v>71542</v>
      </c>
      <c r="GW10" s="139">
        <v>1177733</v>
      </c>
      <c r="GX10" s="139">
        <v>341923</v>
      </c>
      <c r="GY10" s="139">
        <v>3085670</v>
      </c>
      <c r="GZ10" s="139">
        <v>2909496</v>
      </c>
      <c r="HA10" s="139">
        <v>420135</v>
      </c>
      <c r="HB10" s="139">
        <v>202476</v>
      </c>
      <c r="HC10" s="139">
        <v>583887</v>
      </c>
      <c r="HD10" s="139">
        <v>156363</v>
      </c>
      <c r="HE10" s="139">
        <v>4272357</v>
      </c>
      <c r="HF10" s="139">
        <v>4784817</v>
      </c>
      <c r="HG10" s="139">
        <v>1097513</v>
      </c>
      <c r="HH10" s="139">
        <v>57693</v>
      </c>
      <c r="HI10" s="139">
        <v>92002</v>
      </c>
      <c r="HJ10" s="139">
        <v>1136034</v>
      </c>
      <c r="HK10" s="139">
        <v>7168059</v>
      </c>
      <c r="HL10" s="139">
        <v>0</v>
      </c>
      <c r="HM10" s="139">
        <v>0</v>
      </c>
      <c r="HN10" s="139">
        <v>0</v>
      </c>
      <c r="HO10" s="139">
        <v>0</v>
      </c>
      <c r="HP10" s="139">
        <v>0</v>
      </c>
      <c r="HQ10" s="139">
        <v>0</v>
      </c>
      <c r="HR10" s="139">
        <v>4549547</v>
      </c>
      <c r="HS10" s="139">
        <v>1652096</v>
      </c>
      <c r="HT10" s="139">
        <v>1221517</v>
      </c>
      <c r="HU10" s="139">
        <v>5839392</v>
      </c>
      <c r="HV10" s="139">
        <v>14514918</v>
      </c>
      <c r="HW10" s="139">
        <v>27777470</v>
      </c>
      <c r="HX10" s="139">
        <v>588226</v>
      </c>
      <c r="HY10" s="139">
        <v>88013</v>
      </c>
      <c r="HZ10" s="139">
        <v>87195</v>
      </c>
      <c r="IA10" s="139">
        <v>0</v>
      </c>
      <c r="IB10" s="139">
        <v>0</v>
      </c>
      <c r="IC10" s="139">
        <v>763434</v>
      </c>
      <c r="ID10" s="139">
        <v>0</v>
      </c>
      <c r="IE10" s="139">
        <v>0</v>
      </c>
      <c r="IF10" s="139">
        <v>0</v>
      </c>
      <c r="IG10" s="139">
        <v>0</v>
      </c>
      <c r="IH10" s="139">
        <v>0</v>
      </c>
      <c r="II10" s="139">
        <v>0</v>
      </c>
      <c r="IJ10" s="139">
        <v>261608</v>
      </c>
      <c r="IK10" s="139">
        <v>45702</v>
      </c>
      <c r="IL10" s="139">
        <v>31205</v>
      </c>
      <c r="IM10" s="139">
        <v>202270</v>
      </c>
      <c r="IN10" s="139">
        <v>493726</v>
      </c>
      <c r="IO10" s="139">
        <v>1034511</v>
      </c>
      <c r="IP10" s="139">
        <v>85420</v>
      </c>
      <c r="IQ10" s="139">
        <v>20912</v>
      </c>
      <c r="IR10" s="139">
        <v>16615</v>
      </c>
      <c r="IS10" s="139">
        <v>40731</v>
      </c>
      <c r="IT10" s="139">
        <v>40963</v>
      </c>
      <c r="IU10" s="139">
        <v>204641</v>
      </c>
      <c r="IV10" s="139">
        <v>4269043</v>
      </c>
      <c r="IW10" s="139">
        <v>425931</v>
      </c>
      <c r="IX10" s="139">
        <v>108271</v>
      </c>
      <c r="IY10" s="139">
        <v>691984</v>
      </c>
      <c r="IZ10" s="139">
        <v>4785161</v>
      </c>
      <c r="JA10" s="139">
        <v>10280390</v>
      </c>
      <c r="JB10" s="139">
        <v>49639258</v>
      </c>
      <c r="JC10" s="139">
        <v>10245525</v>
      </c>
      <c r="JD10" s="139">
        <v>4791945</v>
      </c>
      <c r="JE10" s="139">
        <v>24588552</v>
      </c>
      <c r="JF10" s="139">
        <v>37205322</v>
      </c>
      <c r="JG10" s="139">
        <v>126470602</v>
      </c>
      <c r="JH10" s="139">
        <v>507056</v>
      </c>
      <c r="JI10" s="139">
        <v>15981</v>
      </c>
      <c r="JJ10" s="139">
        <v>45991</v>
      </c>
      <c r="JK10" s="139">
        <v>0</v>
      </c>
      <c r="JL10" s="139">
        <v>300750</v>
      </c>
      <c r="JM10" s="139">
        <v>869778</v>
      </c>
      <c r="JN10" s="139">
        <v>50146314</v>
      </c>
      <c r="JO10" s="139">
        <v>10261506</v>
      </c>
      <c r="JP10" s="139">
        <v>4837936</v>
      </c>
      <c r="JQ10" s="139">
        <v>24588552</v>
      </c>
      <c r="JR10" s="139">
        <v>37506072</v>
      </c>
      <c r="JS10" s="139">
        <v>127340380</v>
      </c>
      <c r="JU10" s="70">
        <f t="shared" si="0"/>
        <v>29833441</v>
      </c>
      <c r="JV10" s="70">
        <f t="shared" si="1"/>
        <v>0</v>
      </c>
      <c r="JW10" s="70">
        <f t="shared" si="2"/>
        <v>4384800</v>
      </c>
      <c r="JX10" s="70">
        <f t="shared" si="3"/>
        <v>0</v>
      </c>
      <c r="JY10" s="70">
        <f t="shared" si="4"/>
        <v>38000</v>
      </c>
      <c r="JZ10" s="70">
        <f t="shared" si="5"/>
        <v>0</v>
      </c>
      <c r="KA10" s="70">
        <f t="shared" si="6"/>
        <v>39409078</v>
      </c>
      <c r="KB10" s="70">
        <f t="shared" si="7"/>
        <v>0</v>
      </c>
      <c r="KC10" s="70">
        <f t="shared" si="8"/>
        <v>0</v>
      </c>
      <c r="KD10" s="70">
        <f t="shared" si="9"/>
        <v>0</v>
      </c>
      <c r="KE10" s="70">
        <f t="shared" si="10"/>
        <v>0</v>
      </c>
      <c r="KF10" s="70">
        <f t="shared" si="11"/>
        <v>0</v>
      </c>
      <c r="KG10" s="70">
        <f t="shared" si="12"/>
        <v>0</v>
      </c>
      <c r="KH10" s="70">
        <f t="shared" si="13"/>
        <v>0</v>
      </c>
      <c r="KI10" s="70">
        <f t="shared" si="14"/>
        <v>0</v>
      </c>
      <c r="KJ10" s="70">
        <f t="shared" si="15"/>
        <v>0</v>
      </c>
      <c r="KK10" s="70">
        <f t="shared" si="16"/>
        <v>23410336</v>
      </c>
      <c r="KL10" s="70">
        <f t="shared" si="17"/>
        <v>0</v>
      </c>
      <c r="KM10" s="70">
        <f t="shared" si="18"/>
        <v>6357837</v>
      </c>
      <c r="KN10" s="70">
        <f t="shared" si="19"/>
        <v>0</v>
      </c>
      <c r="KO10" s="70">
        <f t="shared" si="20"/>
        <v>2171907</v>
      </c>
      <c r="KP10" s="70">
        <f t="shared" si="21"/>
        <v>0</v>
      </c>
      <c r="KQ10" s="70">
        <f t="shared" si="22"/>
        <v>5275554</v>
      </c>
      <c r="KR10" s="70">
        <f t="shared" si="23"/>
        <v>0</v>
      </c>
      <c r="KS10" s="70">
        <f t="shared" si="24"/>
        <v>0</v>
      </c>
      <c r="KT10" s="70">
        <f t="shared" si="25"/>
        <v>0</v>
      </c>
      <c r="KU10" s="70">
        <f t="shared" si="26"/>
        <v>1208553</v>
      </c>
      <c r="KV10" s="70">
        <f t="shared" si="27"/>
        <v>0</v>
      </c>
      <c r="KW10" s="70">
        <f t="shared" si="28"/>
        <v>1626498</v>
      </c>
      <c r="KX10" s="70">
        <f t="shared" si="29"/>
        <v>0</v>
      </c>
      <c r="KY10" s="70">
        <f t="shared" si="30"/>
        <v>113716004</v>
      </c>
      <c r="KZ10" s="70">
        <f t="shared" si="31"/>
        <v>0</v>
      </c>
      <c r="LA10" s="70">
        <f t="shared" si="32"/>
        <v>12004603</v>
      </c>
      <c r="LB10" s="70">
        <f t="shared" si="33"/>
        <v>0</v>
      </c>
      <c r="LC10" s="70">
        <f t="shared" si="34"/>
        <v>5109199</v>
      </c>
      <c r="LD10" s="70">
        <f t="shared" si="35"/>
        <v>0</v>
      </c>
      <c r="LE10" s="70">
        <f t="shared" si="36"/>
        <v>20371279</v>
      </c>
      <c r="LF10" s="70">
        <f t="shared" si="37"/>
        <v>0</v>
      </c>
      <c r="LG10" s="70">
        <f t="shared" si="38"/>
        <v>0</v>
      </c>
      <c r="LH10" s="70">
        <f t="shared" si="39"/>
        <v>0</v>
      </c>
      <c r="LI10" s="70">
        <f t="shared" si="40"/>
        <v>19911702</v>
      </c>
      <c r="LJ10" s="70">
        <f t="shared" si="41"/>
        <v>0</v>
      </c>
      <c r="LK10" s="70">
        <f t="shared" si="42"/>
        <v>0</v>
      </c>
      <c r="LL10" s="70">
        <f t="shared" si="43"/>
        <v>0</v>
      </c>
      <c r="LM10" s="70">
        <f t="shared" si="44"/>
        <v>4846662</v>
      </c>
      <c r="LN10" s="70">
        <f t="shared" si="45"/>
        <v>0</v>
      </c>
      <c r="LO10" s="70">
        <f t="shared" si="46"/>
        <v>2709528</v>
      </c>
      <c r="LP10" s="70">
        <f t="shared" si="47"/>
        <v>0</v>
      </c>
      <c r="LQ10" s="70">
        <f t="shared" si="48"/>
        <v>6931097</v>
      </c>
      <c r="LR10" s="70">
        <f t="shared" si="49"/>
        <v>0</v>
      </c>
      <c r="LS10" s="70">
        <f t="shared" si="50"/>
        <v>3085670</v>
      </c>
      <c r="LT10" s="70">
        <f t="shared" si="51"/>
        <v>0</v>
      </c>
      <c r="LU10" s="70">
        <f t="shared" si="52"/>
        <v>4272357</v>
      </c>
      <c r="LV10" s="70">
        <f t="shared" si="53"/>
        <v>0</v>
      </c>
      <c r="LW10" s="70">
        <f t="shared" si="54"/>
        <v>7168059</v>
      </c>
      <c r="LX10" s="70">
        <f t="shared" si="55"/>
        <v>0</v>
      </c>
      <c r="LY10" s="70">
        <f t="shared" si="56"/>
        <v>0</v>
      </c>
      <c r="LZ10" s="70">
        <f t="shared" si="57"/>
        <v>0</v>
      </c>
      <c r="MA10" s="70">
        <f t="shared" si="58"/>
        <v>27777470</v>
      </c>
      <c r="MB10" s="70">
        <f t="shared" si="59"/>
        <v>0</v>
      </c>
      <c r="MC10" s="70">
        <f t="shared" si="60"/>
        <v>763434</v>
      </c>
      <c r="MD10" s="70">
        <f t="shared" si="61"/>
        <v>0</v>
      </c>
      <c r="ME10" s="70">
        <f t="shared" si="62"/>
        <v>0</v>
      </c>
      <c r="MF10" s="70">
        <f t="shared" si="63"/>
        <v>0</v>
      </c>
      <c r="MG10" s="70">
        <f t="shared" si="64"/>
        <v>1034511</v>
      </c>
      <c r="MH10" s="70">
        <f t="shared" si="65"/>
        <v>0</v>
      </c>
      <c r="MI10" s="70">
        <f t="shared" si="66"/>
        <v>204641</v>
      </c>
      <c r="MJ10" s="70">
        <f t="shared" si="67"/>
        <v>0</v>
      </c>
      <c r="MK10" s="70">
        <f t="shared" si="68"/>
        <v>10280390</v>
      </c>
      <c r="ML10" s="70">
        <f t="shared" si="69"/>
        <v>0</v>
      </c>
      <c r="MM10" s="70">
        <f t="shared" si="70"/>
        <v>126470602</v>
      </c>
      <c r="MN10" s="70">
        <f t="shared" si="71"/>
        <v>0</v>
      </c>
      <c r="MO10" s="70">
        <f t="shared" si="72"/>
        <v>869778</v>
      </c>
      <c r="MP10" s="70">
        <f t="shared" si="73"/>
        <v>0</v>
      </c>
      <c r="MQ10" s="70">
        <f t="shared" si="74"/>
        <v>127340380</v>
      </c>
      <c r="MR10" s="70">
        <f t="shared" si="75"/>
        <v>0</v>
      </c>
      <c r="MT10" s="70">
        <f t="shared" si="76"/>
        <v>0</v>
      </c>
      <c r="MV10" s="68">
        <f t="shared" si="77"/>
        <v>0</v>
      </c>
    </row>
    <row r="11" spans="1:360" x14ac:dyDescent="0.15">
      <c r="A11" s="182" t="s">
        <v>294</v>
      </c>
      <c r="B11" s="76" t="s">
        <v>421</v>
      </c>
      <c r="C11" s="90">
        <v>150136</v>
      </c>
      <c r="D11" s="90">
        <v>2014</v>
      </c>
      <c r="E11" s="90">
        <v>1</v>
      </c>
      <c r="F11" s="91">
        <v>9</v>
      </c>
      <c r="G11" s="92">
        <v>6877</v>
      </c>
      <c r="H11" s="92">
        <v>9423</v>
      </c>
      <c r="I11" s="93">
        <v>471361488</v>
      </c>
      <c r="J11" s="93">
        <v>449299380</v>
      </c>
      <c r="K11" s="93">
        <v>0</v>
      </c>
      <c r="L11" s="93">
        <v>0</v>
      </c>
      <c r="M11" s="93">
        <v>13350000</v>
      </c>
      <c r="N11" s="93">
        <v>11475000</v>
      </c>
      <c r="O11" s="93">
        <v>0</v>
      </c>
      <c r="P11" s="93">
        <v>0</v>
      </c>
      <c r="Q11" s="93">
        <v>196510000</v>
      </c>
      <c r="R11" s="93">
        <v>168775000</v>
      </c>
      <c r="S11" s="93">
        <v>430258102</v>
      </c>
      <c r="T11" s="93">
        <v>403151444</v>
      </c>
      <c r="U11" s="93">
        <v>19158</v>
      </c>
      <c r="V11" s="93">
        <v>18770</v>
      </c>
      <c r="W11" s="93">
        <v>34112</v>
      </c>
      <c r="X11" s="93">
        <v>33440</v>
      </c>
      <c r="Y11" s="93">
        <v>22528</v>
      </c>
      <c r="Z11" s="93">
        <v>21638</v>
      </c>
      <c r="AA11" s="93">
        <v>37992</v>
      </c>
      <c r="AB11" s="93">
        <v>36728</v>
      </c>
      <c r="AC11" s="114">
        <v>7</v>
      </c>
      <c r="AD11" s="114">
        <v>12</v>
      </c>
      <c r="AE11" s="114">
        <v>0</v>
      </c>
      <c r="AF11" s="115">
        <v>3681394</v>
      </c>
      <c r="AG11" s="115">
        <v>3316911</v>
      </c>
      <c r="AH11" s="115">
        <v>257743</v>
      </c>
      <c r="AI11" s="115">
        <v>133581</v>
      </c>
      <c r="AJ11" s="115">
        <v>211028</v>
      </c>
      <c r="AK11" s="116">
        <v>7</v>
      </c>
      <c r="AL11" s="115">
        <v>211028</v>
      </c>
      <c r="AM11" s="116">
        <v>7</v>
      </c>
      <c r="AN11" s="115">
        <v>98099</v>
      </c>
      <c r="AO11" s="116">
        <v>10</v>
      </c>
      <c r="AP11" s="115">
        <v>98099</v>
      </c>
      <c r="AQ11" s="116">
        <v>10</v>
      </c>
      <c r="AR11" s="115">
        <v>98689</v>
      </c>
      <c r="AS11" s="116">
        <v>17.25</v>
      </c>
      <c r="AT11" s="115">
        <v>94577</v>
      </c>
      <c r="AU11" s="116">
        <v>18</v>
      </c>
      <c r="AV11" s="115">
        <v>56898</v>
      </c>
      <c r="AW11" s="116">
        <v>11.5</v>
      </c>
      <c r="AX11" s="115">
        <v>50333</v>
      </c>
      <c r="AY11" s="116">
        <v>13</v>
      </c>
      <c r="AZ11" s="139">
        <v>775432</v>
      </c>
      <c r="BA11" s="139">
        <v>210389</v>
      </c>
      <c r="BB11" s="139">
        <v>11830</v>
      </c>
      <c r="BC11" s="139">
        <v>20831</v>
      </c>
      <c r="BD11" s="139">
        <v>0</v>
      </c>
      <c r="BE11" s="139">
        <v>1018482</v>
      </c>
      <c r="BF11" s="139">
        <v>0</v>
      </c>
      <c r="BG11" s="139">
        <v>0</v>
      </c>
      <c r="BH11" s="139">
        <v>0</v>
      </c>
      <c r="BI11" s="139">
        <v>0</v>
      </c>
      <c r="BJ11" s="139">
        <v>11237600</v>
      </c>
      <c r="BK11" s="139">
        <v>11237600</v>
      </c>
      <c r="BL11" s="139">
        <v>825620</v>
      </c>
      <c r="BM11" s="139">
        <v>100000</v>
      </c>
      <c r="BN11" s="139">
        <v>0</v>
      </c>
      <c r="BO11" s="139">
        <v>13500</v>
      </c>
      <c r="BP11" s="139">
        <v>0</v>
      </c>
      <c r="BQ11" s="139">
        <v>939120</v>
      </c>
      <c r="BR11" s="139">
        <v>119478</v>
      </c>
      <c r="BS11" s="139">
        <v>25000</v>
      </c>
      <c r="BT11" s="139">
        <v>10000</v>
      </c>
      <c r="BU11" s="139">
        <v>210766</v>
      </c>
      <c r="BV11" s="139">
        <v>332357</v>
      </c>
      <c r="BW11" s="139">
        <v>697601</v>
      </c>
      <c r="BX11" s="139">
        <v>0</v>
      </c>
      <c r="BY11" s="139">
        <v>0</v>
      </c>
      <c r="BZ11" s="139">
        <v>0</v>
      </c>
      <c r="CA11" s="139">
        <v>0</v>
      </c>
      <c r="CB11" s="139">
        <v>0</v>
      </c>
      <c r="CC11" s="139">
        <v>0</v>
      </c>
      <c r="CD11" s="139">
        <v>0</v>
      </c>
      <c r="CE11" s="139">
        <v>0</v>
      </c>
      <c r="CF11" s="139">
        <v>0</v>
      </c>
      <c r="CG11" s="139">
        <v>0</v>
      </c>
      <c r="CH11" s="139">
        <v>0</v>
      </c>
      <c r="CI11" s="139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4759768</v>
      </c>
      <c r="CO11" s="139">
        <v>4759768</v>
      </c>
      <c r="CP11" s="139">
        <v>0</v>
      </c>
      <c r="CQ11" s="139">
        <v>0</v>
      </c>
      <c r="CR11" s="139">
        <v>0</v>
      </c>
      <c r="CS11" s="139">
        <v>0</v>
      </c>
      <c r="CT11" s="139">
        <v>1399962</v>
      </c>
      <c r="CU11" s="139">
        <v>1399962</v>
      </c>
      <c r="CV11" s="139">
        <v>475000</v>
      </c>
      <c r="CW11" s="139">
        <v>0</v>
      </c>
      <c r="CX11" s="139">
        <v>0</v>
      </c>
      <c r="CY11" s="139">
        <v>0</v>
      </c>
      <c r="CZ11" s="139">
        <v>1424703</v>
      </c>
      <c r="DA11" s="139">
        <v>1899703</v>
      </c>
      <c r="DB11" s="139">
        <v>0</v>
      </c>
      <c r="DC11" s="139">
        <v>0</v>
      </c>
      <c r="DD11" s="139">
        <v>0</v>
      </c>
      <c r="DE11" s="139">
        <v>0</v>
      </c>
      <c r="DF11" s="139">
        <v>6267</v>
      </c>
      <c r="DG11" s="139">
        <v>6267</v>
      </c>
      <c r="DH11" s="139">
        <v>68748</v>
      </c>
      <c r="DI11" s="139">
        <v>21799</v>
      </c>
      <c r="DJ11" s="139">
        <v>3349</v>
      </c>
      <c r="DK11" s="139">
        <v>2911</v>
      </c>
      <c r="DL11" s="139">
        <v>11681</v>
      </c>
      <c r="DM11" s="139">
        <v>108488</v>
      </c>
      <c r="DN11" s="139">
        <v>0</v>
      </c>
      <c r="DO11" s="139">
        <v>0</v>
      </c>
      <c r="DP11" s="139">
        <v>0</v>
      </c>
      <c r="DQ11" s="139">
        <v>0</v>
      </c>
      <c r="DR11" s="139">
        <v>721138</v>
      </c>
      <c r="DS11" s="139">
        <v>721138</v>
      </c>
      <c r="DT11" s="139">
        <v>40007</v>
      </c>
      <c r="DU11" s="139">
        <v>19645</v>
      </c>
      <c r="DV11" s="139">
        <v>78537</v>
      </c>
      <c r="DW11" s="139">
        <v>251507</v>
      </c>
      <c r="DX11" s="139">
        <v>-3737</v>
      </c>
      <c r="DY11" s="139">
        <v>385959</v>
      </c>
      <c r="DZ11" s="139">
        <v>0</v>
      </c>
      <c r="EA11" s="139">
        <v>0</v>
      </c>
      <c r="EB11" s="139">
        <v>0</v>
      </c>
      <c r="EC11" s="139">
        <v>0</v>
      </c>
      <c r="ED11" s="139">
        <v>0</v>
      </c>
      <c r="EE11" s="139">
        <v>0</v>
      </c>
      <c r="EF11" s="139">
        <v>0</v>
      </c>
      <c r="EG11" s="139">
        <v>0</v>
      </c>
      <c r="EH11" s="139">
        <v>0</v>
      </c>
      <c r="EI11" s="139">
        <v>0</v>
      </c>
      <c r="EJ11" s="139">
        <v>250271</v>
      </c>
      <c r="EK11" s="139">
        <v>250271</v>
      </c>
      <c r="EL11" s="139">
        <v>2304285</v>
      </c>
      <c r="EM11" s="139">
        <v>376833</v>
      </c>
      <c r="EN11" s="139">
        <v>103716</v>
      </c>
      <c r="EO11" s="139">
        <v>499515</v>
      </c>
      <c r="EP11" s="139">
        <v>20140010</v>
      </c>
      <c r="EQ11" s="139">
        <v>23424359</v>
      </c>
      <c r="ER11" s="139">
        <v>2693930</v>
      </c>
      <c r="ES11" s="139">
        <v>439969</v>
      </c>
      <c r="ET11" s="139">
        <v>468465</v>
      </c>
      <c r="EU11" s="139">
        <v>3395941</v>
      </c>
      <c r="EV11" s="139">
        <v>0</v>
      </c>
      <c r="EW11" s="139">
        <v>6998305</v>
      </c>
      <c r="EX11" s="139">
        <v>150000</v>
      </c>
      <c r="EY11" s="139">
        <v>13000</v>
      </c>
      <c r="EZ11" s="139">
        <v>1500</v>
      </c>
      <c r="FA11" s="139">
        <v>0</v>
      </c>
      <c r="FB11" s="139">
        <v>0</v>
      </c>
      <c r="FC11" s="139">
        <v>164500</v>
      </c>
      <c r="FD11" s="139">
        <v>1698141</v>
      </c>
      <c r="FE11" s="139">
        <v>667592</v>
      </c>
      <c r="FF11" s="139">
        <v>491932</v>
      </c>
      <c r="FG11" s="139">
        <v>1957239</v>
      </c>
      <c r="FH11" s="139">
        <v>0</v>
      </c>
      <c r="FI11" s="139">
        <v>4814904</v>
      </c>
      <c r="FJ11" s="139">
        <v>0</v>
      </c>
      <c r="FK11" s="139">
        <v>0</v>
      </c>
      <c r="FL11" s="139">
        <v>0</v>
      </c>
      <c r="FM11" s="139">
        <v>0</v>
      </c>
      <c r="FN11" s="139">
        <v>0</v>
      </c>
      <c r="FO11" s="139">
        <v>0</v>
      </c>
      <c r="FP11" s="139">
        <v>500119</v>
      </c>
      <c r="FQ11" s="139">
        <v>60040</v>
      </c>
      <c r="FR11" s="139">
        <v>90409</v>
      </c>
      <c r="FS11" s="139">
        <v>0</v>
      </c>
      <c r="FT11" s="139">
        <v>2995176</v>
      </c>
      <c r="FU11" s="139">
        <v>3645744</v>
      </c>
      <c r="FV11" s="139">
        <v>0</v>
      </c>
      <c r="FW11" s="139">
        <v>0</v>
      </c>
      <c r="FX11" s="139">
        <v>0</v>
      </c>
      <c r="FY11" s="139">
        <v>0</v>
      </c>
      <c r="FZ11" s="139">
        <v>0</v>
      </c>
      <c r="GA11" s="139">
        <v>0</v>
      </c>
      <c r="GB11" s="139">
        <v>0</v>
      </c>
      <c r="GC11" s="139">
        <v>131016</v>
      </c>
      <c r="GD11" s="139">
        <v>0</v>
      </c>
      <c r="GE11" s="139">
        <v>0</v>
      </c>
      <c r="GF11" s="139">
        <v>0</v>
      </c>
      <c r="GG11" s="139">
        <v>131016</v>
      </c>
      <c r="GH11" s="139">
        <v>120394</v>
      </c>
      <c r="GI11" s="139">
        <v>82869</v>
      </c>
      <c r="GJ11" s="139">
        <v>58892</v>
      </c>
      <c r="GK11" s="139">
        <v>129169</v>
      </c>
      <c r="GL11" s="139">
        <v>5152</v>
      </c>
      <c r="GM11" s="139">
        <v>396476</v>
      </c>
      <c r="GN11" s="139">
        <v>1033643</v>
      </c>
      <c r="GO11" s="139">
        <v>193986</v>
      </c>
      <c r="GP11" s="139">
        <v>177934</v>
      </c>
      <c r="GQ11" s="139">
        <v>1002693</v>
      </c>
      <c r="GR11" s="139">
        <v>24754</v>
      </c>
      <c r="GS11" s="139">
        <v>2433010</v>
      </c>
      <c r="GT11" s="139">
        <v>301287</v>
      </c>
      <c r="GU11" s="139">
        <v>31723</v>
      </c>
      <c r="GV11" s="139">
        <v>18623</v>
      </c>
      <c r="GW11" s="139">
        <v>271279</v>
      </c>
      <c r="GX11" s="139">
        <v>1535766</v>
      </c>
      <c r="GY11" s="139">
        <v>2158678</v>
      </c>
      <c r="GZ11" s="139">
        <v>65241</v>
      </c>
      <c r="HA11" s="139">
        <v>80805</v>
      </c>
      <c r="HB11" s="139">
        <v>54195</v>
      </c>
      <c r="HC11" s="139">
        <v>108010</v>
      </c>
      <c r="HD11" s="139">
        <v>286206</v>
      </c>
      <c r="HE11" s="139">
        <v>594457</v>
      </c>
      <c r="HF11" s="139">
        <v>1750</v>
      </c>
      <c r="HG11" s="139">
        <v>0</v>
      </c>
      <c r="HH11" s="139">
        <v>495</v>
      </c>
      <c r="HI11" s="139">
        <v>2170</v>
      </c>
      <c r="HJ11" s="139">
        <v>267205</v>
      </c>
      <c r="HK11" s="139">
        <v>271620</v>
      </c>
      <c r="HL11" s="139">
        <v>21165</v>
      </c>
      <c r="HM11" s="139">
        <v>10834</v>
      </c>
      <c r="HN11" s="139">
        <v>8809</v>
      </c>
      <c r="HO11" s="139">
        <v>19365</v>
      </c>
      <c r="HP11" s="139">
        <v>85896</v>
      </c>
      <c r="HQ11" s="139">
        <v>146069</v>
      </c>
      <c r="HR11" s="139">
        <v>15921</v>
      </c>
      <c r="HS11" s="139">
        <v>4478</v>
      </c>
      <c r="HT11" s="139">
        <v>202</v>
      </c>
      <c r="HU11" s="139">
        <v>6829</v>
      </c>
      <c r="HV11" s="139">
        <v>48587</v>
      </c>
      <c r="HW11" s="139">
        <v>76017</v>
      </c>
      <c r="HX11" s="139">
        <v>0</v>
      </c>
      <c r="HY11" s="139">
        <v>0</v>
      </c>
      <c r="HZ11" s="139">
        <v>0</v>
      </c>
      <c r="IA11" s="139">
        <v>0</v>
      </c>
      <c r="IB11" s="139">
        <v>25812</v>
      </c>
      <c r="IC11" s="139">
        <v>25812</v>
      </c>
      <c r="ID11" s="139">
        <v>0</v>
      </c>
      <c r="IE11" s="139">
        <v>0</v>
      </c>
      <c r="IF11" s="139">
        <v>0</v>
      </c>
      <c r="IG11" s="139">
        <v>0</v>
      </c>
      <c r="IH11" s="139">
        <v>1399962</v>
      </c>
      <c r="II11" s="139">
        <v>1399962</v>
      </c>
      <c r="IJ11" s="139">
        <v>175902</v>
      </c>
      <c r="IK11" s="139">
        <v>19851</v>
      </c>
      <c r="IL11" s="139">
        <v>7948</v>
      </c>
      <c r="IM11" s="139">
        <v>102580</v>
      </c>
      <c r="IN11" s="139">
        <v>436764</v>
      </c>
      <c r="IO11" s="139">
        <v>743045</v>
      </c>
      <c r="IP11" s="139">
        <v>3028</v>
      </c>
      <c r="IQ11" s="139">
        <v>2665</v>
      </c>
      <c r="IR11" s="139">
        <v>800</v>
      </c>
      <c r="IS11" s="139">
        <v>7359</v>
      </c>
      <c r="IT11" s="139">
        <v>266414</v>
      </c>
      <c r="IU11" s="139">
        <v>280266</v>
      </c>
      <c r="IV11" s="139">
        <v>53091</v>
      </c>
      <c r="IW11" s="139">
        <v>102461</v>
      </c>
      <c r="IX11" s="139">
        <v>47762</v>
      </c>
      <c r="IY11" s="139">
        <v>118602</v>
      </c>
      <c r="IZ11" s="139">
        <v>643653</v>
      </c>
      <c r="JA11" s="139">
        <v>965569</v>
      </c>
      <c r="JB11" s="139">
        <v>6833612</v>
      </c>
      <c r="JC11" s="139">
        <v>1841289</v>
      </c>
      <c r="JD11" s="139">
        <v>1427966</v>
      </c>
      <c r="JE11" s="139">
        <v>7121236</v>
      </c>
      <c r="JF11" s="139">
        <v>8021347</v>
      </c>
      <c r="JG11" s="139">
        <v>25245450</v>
      </c>
      <c r="JH11" s="139">
        <v>0</v>
      </c>
      <c r="JI11" s="139">
        <v>0</v>
      </c>
      <c r="JJ11" s="139">
        <v>0</v>
      </c>
      <c r="JK11" s="139">
        <v>0</v>
      </c>
      <c r="JL11" s="139">
        <v>0</v>
      </c>
      <c r="JM11" s="139">
        <v>0</v>
      </c>
      <c r="JN11" s="139">
        <v>6833612</v>
      </c>
      <c r="JO11" s="139">
        <v>1841289</v>
      </c>
      <c r="JP11" s="139">
        <v>1427966</v>
      </c>
      <c r="JQ11" s="139">
        <v>7121236</v>
      </c>
      <c r="JR11" s="139">
        <v>8021347</v>
      </c>
      <c r="JS11" s="139">
        <v>25245450</v>
      </c>
      <c r="JU11" s="70">
        <f t="shared" si="0"/>
        <v>1018482</v>
      </c>
      <c r="JV11" s="70">
        <f t="shared" si="1"/>
        <v>0</v>
      </c>
      <c r="JW11" s="70">
        <f t="shared" si="2"/>
        <v>11237600</v>
      </c>
      <c r="JX11" s="70">
        <f t="shared" si="3"/>
        <v>0</v>
      </c>
      <c r="JY11" s="70">
        <f t="shared" si="4"/>
        <v>939120</v>
      </c>
      <c r="JZ11" s="70">
        <f t="shared" si="5"/>
        <v>0</v>
      </c>
      <c r="KA11" s="70">
        <f t="shared" si="6"/>
        <v>697601</v>
      </c>
      <c r="KB11" s="70">
        <f t="shared" si="7"/>
        <v>0</v>
      </c>
      <c r="KC11" s="70">
        <f t="shared" si="8"/>
        <v>0</v>
      </c>
      <c r="KD11" s="70">
        <f t="shared" si="9"/>
        <v>0</v>
      </c>
      <c r="KE11" s="70">
        <f t="shared" si="10"/>
        <v>0</v>
      </c>
      <c r="KF11" s="70">
        <f t="shared" si="11"/>
        <v>0</v>
      </c>
      <c r="KG11" s="70">
        <f t="shared" si="12"/>
        <v>4759768</v>
      </c>
      <c r="KH11" s="70">
        <f t="shared" si="13"/>
        <v>0</v>
      </c>
      <c r="KI11" s="70">
        <f t="shared" si="14"/>
        <v>1399962</v>
      </c>
      <c r="KJ11" s="70">
        <f t="shared" si="15"/>
        <v>0</v>
      </c>
      <c r="KK11" s="70">
        <f t="shared" si="16"/>
        <v>1899703</v>
      </c>
      <c r="KL11" s="70">
        <f t="shared" si="17"/>
        <v>0</v>
      </c>
      <c r="KM11" s="70">
        <f t="shared" si="18"/>
        <v>6267</v>
      </c>
      <c r="KN11" s="70">
        <f t="shared" si="19"/>
        <v>0</v>
      </c>
      <c r="KO11" s="70">
        <f t="shared" si="20"/>
        <v>108488</v>
      </c>
      <c r="KP11" s="70">
        <f t="shared" si="21"/>
        <v>0</v>
      </c>
      <c r="KQ11" s="70">
        <f t="shared" si="22"/>
        <v>721138</v>
      </c>
      <c r="KR11" s="70">
        <f t="shared" si="23"/>
        <v>0</v>
      </c>
      <c r="KS11" s="70">
        <f t="shared" si="24"/>
        <v>385959</v>
      </c>
      <c r="KT11" s="70">
        <f t="shared" si="25"/>
        <v>0</v>
      </c>
      <c r="KU11" s="70">
        <f t="shared" si="26"/>
        <v>0</v>
      </c>
      <c r="KV11" s="70">
        <f t="shared" si="27"/>
        <v>0</v>
      </c>
      <c r="KW11" s="70">
        <f t="shared" si="28"/>
        <v>250271</v>
      </c>
      <c r="KX11" s="70">
        <f t="shared" si="29"/>
        <v>0</v>
      </c>
      <c r="KY11" s="70">
        <f t="shared" si="30"/>
        <v>23424359</v>
      </c>
      <c r="KZ11" s="70">
        <f t="shared" si="31"/>
        <v>0</v>
      </c>
      <c r="LA11" s="70">
        <f t="shared" si="32"/>
        <v>6998305</v>
      </c>
      <c r="LB11" s="70">
        <f t="shared" si="33"/>
        <v>0</v>
      </c>
      <c r="LC11" s="70">
        <f t="shared" si="34"/>
        <v>164500</v>
      </c>
      <c r="LD11" s="70">
        <f t="shared" si="35"/>
        <v>0</v>
      </c>
      <c r="LE11" s="70">
        <f t="shared" si="36"/>
        <v>4814904</v>
      </c>
      <c r="LF11" s="70">
        <f t="shared" si="37"/>
        <v>0</v>
      </c>
      <c r="LG11" s="70">
        <f t="shared" si="38"/>
        <v>0</v>
      </c>
      <c r="LH11" s="70">
        <f t="shared" si="39"/>
        <v>0</v>
      </c>
      <c r="LI11" s="70">
        <f t="shared" si="40"/>
        <v>3645744</v>
      </c>
      <c r="LJ11" s="70">
        <f t="shared" si="41"/>
        <v>0</v>
      </c>
      <c r="LK11" s="70">
        <f t="shared" si="42"/>
        <v>0</v>
      </c>
      <c r="LL11" s="70">
        <f t="shared" si="43"/>
        <v>0</v>
      </c>
      <c r="LM11" s="70">
        <f t="shared" si="44"/>
        <v>131016</v>
      </c>
      <c r="LN11" s="70">
        <f t="shared" si="45"/>
        <v>0</v>
      </c>
      <c r="LO11" s="70">
        <f t="shared" si="46"/>
        <v>396476</v>
      </c>
      <c r="LP11" s="70">
        <f t="shared" si="47"/>
        <v>0</v>
      </c>
      <c r="LQ11" s="70">
        <f t="shared" si="48"/>
        <v>2433010</v>
      </c>
      <c r="LR11" s="70">
        <f t="shared" si="49"/>
        <v>0</v>
      </c>
      <c r="LS11" s="70">
        <f t="shared" si="50"/>
        <v>2158678</v>
      </c>
      <c r="LT11" s="70">
        <f t="shared" si="51"/>
        <v>0</v>
      </c>
      <c r="LU11" s="70">
        <f t="shared" si="52"/>
        <v>594457</v>
      </c>
      <c r="LV11" s="70">
        <f t="shared" si="53"/>
        <v>0</v>
      </c>
      <c r="LW11" s="70">
        <f t="shared" si="54"/>
        <v>271620</v>
      </c>
      <c r="LX11" s="70">
        <f t="shared" si="55"/>
        <v>0</v>
      </c>
      <c r="LY11" s="70">
        <f t="shared" si="56"/>
        <v>146069</v>
      </c>
      <c r="LZ11" s="70">
        <f t="shared" si="57"/>
        <v>0</v>
      </c>
      <c r="MA11" s="70">
        <f t="shared" si="58"/>
        <v>76017</v>
      </c>
      <c r="MB11" s="70">
        <f t="shared" si="59"/>
        <v>0</v>
      </c>
      <c r="MC11" s="70">
        <f t="shared" si="60"/>
        <v>25812</v>
      </c>
      <c r="MD11" s="70">
        <f t="shared" si="61"/>
        <v>0</v>
      </c>
      <c r="ME11" s="70">
        <f t="shared" si="62"/>
        <v>1399962</v>
      </c>
      <c r="MF11" s="70">
        <f t="shared" si="63"/>
        <v>0</v>
      </c>
      <c r="MG11" s="70">
        <f t="shared" si="64"/>
        <v>743045</v>
      </c>
      <c r="MH11" s="70">
        <f t="shared" si="65"/>
        <v>0</v>
      </c>
      <c r="MI11" s="70">
        <f t="shared" si="66"/>
        <v>280266</v>
      </c>
      <c r="MJ11" s="70">
        <f t="shared" si="67"/>
        <v>0</v>
      </c>
      <c r="MK11" s="70">
        <f t="shared" si="68"/>
        <v>965569</v>
      </c>
      <c r="ML11" s="70">
        <f t="shared" si="69"/>
        <v>0</v>
      </c>
      <c r="MM11" s="70">
        <f t="shared" si="70"/>
        <v>25245450</v>
      </c>
      <c r="MN11" s="70">
        <f t="shared" si="71"/>
        <v>0</v>
      </c>
      <c r="MO11" s="70">
        <f t="shared" si="72"/>
        <v>0</v>
      </c>
      <c r="MP11" s="70">
        <f t="shared" si="73"/>
        <v>0</v>
      </c>
      <c r="MQ11" s="70">
        <f t="shared" si="74"/>
        <v>25245450</v>
      </c>
      <c r="MR11" s="70">
        <f t="shared" si="75"/>
        <v>0</v>
      </c>
      <c r="MT11" s="70">
        <f t="shared" si="76"/>
        <v>0</v>
      </c>
      <c r="MV11" s="68">
        <f t="shared" si="77"/>
        <v>0</v>
      </c>
    </row>
    <row r="12" spans="1:360" x14ac:dyDescent="0.15">
      <c r="A12" s="182" t="s">
        <v>295</v>
      </c>
      <c r="B12" s="76" t="s">
        <v>421</v>
      </c>
      <c r="C12" s="90">
        <v>142115</v>
      </c>
      <c r="D12" s="90">
        <v>2014</v>
      </c>
      <c r="E12" s="90">
        <v>1</v>
      </c>
      <c r="F12" s="91">
        <v>10</v>
      </c>
      <c r="G12" s="92">
        <v>6023</v>
      </c>
      <c r="H12" s="92">
        <v>6404</v>
      </c>
      <c r="I12" s="93">
        <v>330277822</v>
      </c>
      <c r="J12" s="93">
        <v>319371835</v>
      </c>
      <c r="K12" s="93">
        <v>4166475</v>
      </c>
      <c r="L12" s="93">
        <v>4225386</v>
      </c>
      <c r="M12" s="93">
        <v>18439677</v>
      </c>
      <c r="N12" s="93">
        <v>18294686</v>
      </c>
      <c r="O12" s="93">
        <v>53257111</v>
      </c>
      <c r="P12" s="93">
        <v>55096585</v>
      </c>
      <c r="Q12" s="93">
        <v>229734174</v>
      </c>
      <c r="R12" s="93">
        <v>237851435</v>
      </c>
      <c r="S12" s="93">
        <v>263982000</v>
      </c>
      <c r="T12" s="93">
        <v>252804000</v>
      </c>
      <c r="U12" s="93">
        <v>16796</v>
      </c>
      <c r="V12" s="93">
        <v>16242</v>
      </c>
      <c r="W12" s="93">
        <v>29396</v>
      </c>
      <c r="X12" s="93">
        <v>27682</v>
      </c>
      <c r="Y12" s="93">
        <v>20390</v>
      </c>
      <c r="Z12" s="93">
        <v>19796</v>
      </c>
      <c r="AA12" s="93">
        <v>33444</v>
      </c>
      <c r="AB12" s="93">
        <v>31702</v>
      </c>
      <c r="AC12" s="114">
        <v>8</v>
      </c>
      <c r="AD12" s="114">
        <v>12</v>
      </c>
      <c r="AE12" s="114">
        <v>0</v>
      </c>
      <c r="AF12" s="115">
        <v>3347715</v>
      </c>
      <c r="AG12" s="115">
        <v>3122643</v>
      </c>
      <c r="AH12" s="115">
        <v>422588</v>
      </c>
      <c r="AI12" s="115">
        <v>166381</v>
      </c>
      <c r="AJ12" s="115">
        <v>510475</v>
      </c>
      <c r="AK12" s="116">
        <v>5.5</v>
      </c>
      <c r="AL12" s="115">
        <v>467935</v>
      </c>
      <c r="AM12" s="116">
        <v>6</v>
      </c>
      <c r="AN12" s="115">
        <v>114578</v>
      </c>
      <c r="AO12" s="116">
        <v>9.5</v>
      </c>
      <c r="AP12" s="115">
        <v>98952</v>
      </c>
      <c r="AQ12" s="116">
        <v>11</v>
      </c>
      <c r="AR12" s="115">
        <v>224240</v>
      </c>
      <c r="AS12" s="116">
        <v>16.940000000000001</v>
      </c>
      <c r="AT12" s="115">
        <v>199927</v>
      </c>
      <c r="AU12" s="116">
        <v>19</v>
      </c>
      <c r="AV12" s="115">
        <v>64726</v>
      </c>
      <c r="AW12" s="116">
        <v>14.75</v>
      </c>
      <c r="AX12" s="115">
        <v>53039</v>
      </c>
      <c r="AY12" s="116">
        <v>18</v>
      </c>
      <c r="AZ12" s="139">
        <v>7470941</v>
      </c>
      <c r="BA12" s="139">
        <v>895406</v>
      </c>
      <c r="BB12" s="139">
        <v>8923</v>
      </c>
      <c r="BC12" s="139">
        <v>52614</v>
      </c>
      <c r="BD12" s="139">
        <v>0</v>
      </c>
      <c r="BE12" s="139">
        <v>8427884</v>
      </c>
      <c r="BF12" s="139">
        <v>0</v>
      </c>
      <c r="BG12" s="139">
        <v>0</v>
      </c>
      <c r="BH12" s="139">
        <v>0</v>
      </c>
      <c r="BI12" s="139">
        <v>0</v>
      </c>
      <c r="BJ12" s="139">
        <v>3416104</v>
      </c>
      <c r="BK12" s="139">
        <v>3416104</v>
      </c>
      <c r="BL12" s="139">
        <v>575000</v>
      </c>
      <c r="BM12" s="139">
        <v>90000</v>
      </c>
      <c r="BN12" s="139">
        <v>0</v>
      </c>
      <c r="BO12" s="139">
        <v>2000</v>
      </c>
      <c r="BP12" s="139">
        <v>0</v>
      </c>
      <c r="BQ12" s="139">
        <v>667000</v>
      </c>
      <c r="BR12" s="139">
        <v>8480298</v>
      </c>
      <c r="BS12" s="139">
        <v>532623</v>
      </c>
      <c r="BT12" s="139">
        <v>94908</v>
      </c>
      <c r="BU12" s="139">
        <v>159182</v>
      </c>
      <c r="BV12" s="139">
        <v>1783323</v>
      </c>
      <c r="BW12" s="139">
        <v>11050334</v>
      </c>
      <c r="BX12" s="139">
        <v>0</v>
      </c>
      <c r="BY12" s="139">
        <v>0</v>
      </c>
      <c r="BZ12" s="139">
        <v>0</v>
      </c>
      <c r="CA12" s="139">
        <v>0</v>
      </c>
      <c r="CB12" s="139">
        <v>0</v>
      </c>
      <c r="CC12" s="139">
        <v>0</v>
      </c>
      <c r="CD12" s="139">
        <v>0</v>
      </c>
      <c r="CE12" s="139">
        <v>84096</v>
      </c>
      <c r="CF12" s="139">
        <v>351306</v>
      </c>
      <c r="CG12" s="139">
        <v>1240740</v>
      </c>
      <c r="CH12" s="139">
        <v>839658</v>
      </c>
      <c r="CI12" s="139">
        <v>2515800</v>
      </c>
      <c r="CJ12" s="139">
        <v>793800</v>
      </c>
      <c r="CK12" s="139">
        <v>151200</v>
      </c>
      <c r="CL12" s="139">
        <v>170100</v>
      </c>
      <c r="CM12" s="139">
        <v>1071754</v>
      </c>
      <c r="CN12" s="139">
        <v>1705912</v>
      </c>
      <c r="CO12" s="139">
        <v>3892766</v>
      </c>
      <c r="CP12" s="139">
        <v>0</v>
      </c>
      <c r="CQ12" s="139">
        <v>0</v>
      </c>
      <c r="CR12" s="139">
        <v>0</v>
      </c>
      <c r="CS12" s="139">
        <v>0</v>
      </c>
      <c r="CT12" s="139">
        <v>1974714</v>
      </c>
      <c r="CU12" s="139">
        <v>1974714</v>
      </c>
      <c r="CV12" s="139">
        <v>2091699</v>
      </c>
      <c r="CW12" s="139">
        <v>803408</v>
      </c>
      <c r="CX12" s="139">
        <v>141778</v>
      </c>
      <c r="CY12" s="139">
        <v>1701336</v>
      </c>
      <c r="CZ12" s="139">
        <v>25110</v>
      </c>
      <c r="DA12" s="139">
        <v>4763331</v>
      </c>
      <c r="DB12" s="139">
        <v>1353</v>
      </c>
      <c r="DC12" s="139">
        <v>338</v>
      </c>
      <c r="DD12" s="139">
        <v>0</v>
      </c>
      <c r="DE12" s="139">
        <v>0</v>
      </c>
      <c r="DF12" s="139">
        <v>0</v>
      </c>
      <c r="DG12" s="139">
        <v>1691</v>
      </c>
      <c r="DH12" s="139">
        <v>918339</v>
      </c>
      <c r="DI12" s="139">
        <v>118466</v>
      </c>
      <c r="DJ12" s="139">
        <v>9498</v>
      </c>
      <c r="DK12" s="139">
        <v>6468</v>
      </c>
      <c r="DL12" s="139">
        <v>0</v>
      </c>
      <c r="DM12" s="139">
        <v>1052771</v>
      </c>
      <c r="DN12" s="139">
        <v>4080208</v>
      </c>
      <c r="DO12" s="139">
        <v>526347</v>
      </c>
      <c r="DP12" s="139">
        <v>42199</v>
      </c>
      <c r="DQ12" s="139">
        <v>28736</v>
      </c>
      <c r="DR12" s="139">
        <v>0</v>
      </c>
      <c r="DS12" s="139">
        <v>4677490</v>
      </c>
      <c r="DT12" s="139">
        <v>299300</v>
      </c>
      <c r="DU12" s="139">
        <v>17658</v>
      </c>
      <c r="DV12" s="139">
        <v>11803</v>
      </c>
      <c r="DW12" s="139">
        <v>355745</v>
      </c>
      <c r="DX12" s="139">
        <v>0</v>
      </c>
      <c r="DY12" s="139">
        <v>684506</v>
      </c>
      <c r="DZ12" s="139">
        <v>0</v>
      </c>
      <c r="EA12" s="139">
        <v>0</v>
      </c>
      <c r="EB12" s="139">
        <v>0</v>
      </c>
      <c r="EC12" s="139">
        <v>0</v>
      </c>
      <c r="ED12" s="139">
        <v>0</v>
      </c>
      <c r="EE12" s="139">
        <v>0</v>
      </c>
      <c r="EF12" s="139">
        <v>1531614</v>
      </c>
      <c r="EG12" s="139">
        <v>0</v>
      </c>
      <c r="EH12" s="139">
        <v>0</v>
      </c>
      <c r="EI12" s="139">
        <v>32396</v>
      </c>
      <c r="EJ12" s="139">
        <v>1017935</v>
      </c>
      <c r="EK12" s="139">
        <v>2581945</v>
      </c>
      <c r="EL12" s="139">
        <v>26242552</v>
      </c>
      <c r="EM12" s="139">
        <v>3219542</v>
      </c>
      <c r="EN12" s="139">
        <v>830515</v>
      </c>
      <c r="EO12" s="139">
        <v>4650971</v>
      </c>
      <c r="EP12" s="139">
        <v>10762756</v>
      </c>
      <c r="EQ12" s="139">
        <v>45706336</v>
      </c>
      <c r="ER12" s="139">
        <v>2199155</v>
      </c>
      <c r="ES12" s="139">
        <v>405743</v>
      </c>
      <c r="ET12" s="139">
        <v>443033</v>
      </c>
      <c r="EU12" s="139">
        <v>3422427</v>
      </c>
      <c r="EV12" s="139">
        <v>456017</v>
      </c>
      <c r="EW12" s="139">
        <v>6926375</v>
      </c>
      <c r="EX12" s="139">
        <v>625000</v>
      </c>
      <c r="EY12" s="139">
        <v>95000</v>
      </c>
      <c r="EZ12" s="139">
        <v>45573</v>
      </c>
      <c r="FA12" s="139">
        <v>5373</v>
      </c>
      <c r="FB12" s="139">
        <v>0</v>
      </c>
      <c r="FC12" s="139">
        <v>770946</v>
      </c>
      <c r="FD12" s="139">
        <v>4891141</v>
      </c>
      <c r="FE12" s="139">
        <v>1070012</v>
      </c>
      <c r="FF12" s="139">
        <v>496052</v>
      </c>
      <c r="FG12" s="139">
        <v>2192212</v>
      </c>
      <c r="FH12" s="139">
        <v>0</v>
      </c>
      <c r="FI12" s="139">
        <v>8649417</v>
      </c>
      <c r="FJ12" s="139">
        <v>0</v>
      </c>
      <c r="FK12" s="139">
        <v>0</v>
      </c>
      <c r="FL12" s="139">
        <v>0</v>
      </c>
      <c r="FM12" s="139">
        <v>0</v>
      </c>
      <c r="FN12" s="139">
        <v>0</v>
      </c>
      <c r="FO12" s="139">
        <v>0</v>
      </c>
      <c r="FP12" s="139">
        <v>825014</v>
      </c>
      <c r="FQ12" s="139">
        <v>67470</v>
      </c>
      <c r="FR12" s="139">
        <v>57374</v>
      </c>
      <c r="FS12" s="139">
        <v>0</v>
      </c>
      <c r="FT12" s="139">
        <v>5204499</v>
      </c>
      <c r="FU12" s="139">
        <v>6154357</v>
      </c>
      <c r="FV12" s="139">
        <v>0</v>
      </c>
      <c r="FW12" s="139">
        <v>0</v>
      </c>
      <c r="FX12" s="139">
        <v>0</v>
      </c>
      <c r="FY12" s="139">
        <v>0</v>
      </c>
      <c r="FZ12" s="139">
        <v>0</v>
      </c>
      <c r="GA12" s="139">
        <v>0</v>
      </c>
      <c r="GB12" s="139">
        <v>0</v>
      </c>
      <c r="GC12" s="139">
        <v>0</v>
      </c>
      <c r="GD12" s="139">
        <v>0</v>
      </c>
      <c r="GE12" s="139">
        <v>0</v>
      </c>
      <c r="GF12" s="139">
        <v>0</v>
      </c>
      <c r="GG12" s="139">
        <v>0</v>
      </c>
      <c r="GH12" s="139">
        <v>286511</v>
      </c>
      <c r="GI12" s="139">
        <v>104524</v>
      </c>
      <c r="GJ12" s="139">
        <v>63459</v>
      </c>
      <c r="GK12" s="139">
        <v>134475</v>
      </c>
      <c r="GL12" s="139">
        <v>0</v>
      </c>
      <c r="GM12" s="139">
        <v>588969</v>
      </c>
      <c r="GN12" s="139">
        <v>681073</v>
      </c>
      <c r="GO12" s="139">
        <v>214159</v>
      </c>
      <c r="GP12" s="139">
        <v>208989</v>
      </c>
      <c r="GQ12" s="139">
        <v>1123685</v>
      </c>
      <c r="GR12" s="139">
        <v>14311</v>
      </c>
      <c r="GS12" s="139">
        <v>2242217</v>
      </c>
      <c r="GT12" s="139">
        <v>720209</v>
      </c>
      <c r="GU12" s="139">
        <v>82130</v>
      </c>
      <c r="GV12" s="139">
        <v>30169</v>
      </c>
      <c r="GW12" s="139">
        <v>304746</v>
      </c>
      <c r="GX12" s="139">
        <v>595345</v>
      </c>
      <c r="GY12" s="139">
        <v>1732599</v>
      </c>
      <c r="GZ12" s="139">
        <v>0</v>
      </c>
      <c r="HA12" s="139">
        <v>0</v>
      </c>
      <c r="HB12" s="139">
        <v>0</v>
      </c>
      <c r="HC12" s="139">
        <v>0</v>
      </c>
      <c r="HD12" s="139">
        <v>1548458</v>
      </c>
      <c r="HE12" s="139">
        <v>1548458</v>
      </c>
      <c r="HF12" s="139">
        <v>0</v>
      </c>
      <c r="HG12" s="139">
        <v>0</v>
      </c>
      <c r="HH12" s="139">
        <v>0</v>
      </c>
      <c r="HI12" s="139">
        <v>0</v>
      </c>
      <c r="HJ12" s="139">
        <v>335124</v>
      </c>
      <c r="HK12" s="139">
        <v>335124</v>
      </c>
      <c r="HL12" s="139">
        <v>209847</v>
      </c>
      <c r="HM12" s="139">
        <v>10353</v>
      </c>
      <c r="HN12" s="139">
        <v>7371</v>
      </c>
      <c r="HO12" s="139">
        <v>255401</v>
      </c>
      <c r="HP12" s="139">
        <v>0</v>
      </c>
      <c r="HQ12" s="139">
        <v>482972</v>
      </c>
      <c r="HR12" s="139">
        <v>6861197</v>
      </c>
      <c r="HS12" s="139">
        <v>168973</v>
      </c>
      <c r="HT12" s="139">
        <v>95204</v>
      </c>
      <c r="HU12" s="139">
        <v>400188</v>
      </c>
      <c r="HV12" s="139">
        <v>2163449</v>
      </c>
      <c r="HW12" s="139">
        <v>9689011</v>
      </c>
      <c r="HX12" s="139">
        <v>0</v>
      </c>
      <c r="HY12" s="139">
        <v>0</v>
      </c>
      <c r="HZ12" s="139">
        <v>0</v>
      </c>
      <c r="IA12" s="139">
        <v>0</v>
      </c>
      <c r="IB12" s="139">
        <v>175748</v>
      </c>
      <c r="IC12" s="139">
        <v>175748</v>
      </c>
      <c r="ID12" s="139">
        <v>0</v>
      </c>
      <c r="IE12" s="139">
        <v>0</v>
      </c>
      <c r="IF12" s="139">
        <v>0</v>
      </c>
      <c r="IG12" s="139">
        <v>0</v>
      </c>
      <c r="IH12" s="139">
        <v>1974714</v>
      </c>
      <c r="II12" s="139">
        <v>1974714</v>
      </c>
      <c r="IJ12" s="139">
        <v>0</v>
      </c>
      <c r="IK12" s="139">
        <v>0</v>
      </c>
      <c r="IL12" s="139">
        <v>0</v>
      </c>
      <c r="IM12" s="139">
        <v>0</v>
      </c>
      <c r="IN12" s="139">
        <v>750743</v>
      </c>
      <c r="IO12" s="139">
        <v>750743</v>
      </c>
      <c r="IP12" s="139" t="s">
        <v>298</v>
      </c>
      <c r="IQ12" s="139">
        <v>176</v>
      </c>
      <c r="IR12" s="139">
        <v>18</v>
      </c>
      <c r="IS12" s="139">
        <v>9520</v>
      </c>
      <c r="IT12" s="139">
        <v>657043</v>
      </c>
      <c r="IU12" s="139">
        <v>666757</v>
      </c>
      <c r="IV12" s="139">
        <v>1766394</v>
      </c>
      <c r="IW12" s="139">
        <v>6995</v>
      </c>
      <c r="IX12" s="139">
        <v>6224</v>
      </c>
      <c r="IY12" s="139">
        <v>9476</v>
      </c>
      <c r="IZ12" s="139">
        <v>1203305</v>
      </c>
      <c r="JA12" s="139">
        <v>2992394</v>
      </c>
      <c r="JB12" s="139">
        <v>19065541</v>
      </c>
      <c r="JC12" s="139">
        <v>2225535</v>
      </c>
      <c r="JD12" s="139">
        <v>1453466</v>
      </c>
      <c r="JE12" s="139">
        <v>7857503</v>
      </c>
      <c r="JF12" s="139">
        <v>15078756</v>
      </c>
      <c r="JG12" s="139">
        <v>45680801</v>
      </c>
      <c r="JH12" s="139">
        <v>0</v>
      </c>
      <c r="JI12" s="139">
        <v>0</v>
      </c>
      <c r="JJ12" s="139">
        <v>0</v>
      </c>
      <c r="JK12" s="139">
        <v>0</v>
      </c>
      <c r="JL12" s="139">
        <v>0</v>
      </c>
      <c r="JM12" s="139">
        <v>0</v>
      </c>
      <c r="JN12" s="139">
        <v>19065541</v>
      </c>
      <c r="JO12" s="139">
        <v>2225535</v>
      </c>
      <c r="JP12" s="139">
        <v>1453466</v>
      </c>
      <c r="JQ12" s="139">
        <v>7857503</v>
      </c>
      <c r="JR12" s="139">
        <v>15078756</v>
      </c>
      <c r="JS12" s="139">
        <v>45680801</v>
      </c>
      <c r="JU12" s="70">
        <f t="shared" si="0"/>
        <v>8427884</v>
      </c>
      <c r="JV12" s="70">
        <f t="shared" si="1"/>
        <v>0</v>
      </c>
      <c r="JW12" s="70">
        <f t="shared" si="2"/>
        <v>3416104</v>
      </c>
      <c r="JX12" s="70">
        <f t="shared" si="3"/>
        <v>0</v>
      </c>
      <c r="JY12" s="70">
        <f t="shared" si="4"/>
        <v>667000</v>
      </c>
      <c r="JZ12" s="70">
        <f t="shared" si="5"/>
        <v>0</v>
      </c>
      <c r="KA12" s="70">
        <f t="shared" si="6"/>
        <v>11050334</v>
      </c>
      <c r="KB12" s="70">
        <f t="shared" si="7"/>
        <v>0</v>
      </c>
      <c r="KC12" s="70">
        <f t="shared" si="8"/>
        <v>0</v>
      </c>
      <c r="KD12" s="70">
        <f t="shared" si="9"/>
        <v>0</v>
      </c>
      <c r="KE12" s="70">
        <f t="shared" si="10"/>
        <v>2515800</v>
      </c>
      <c r="KF12" s="70">
        <f t="shared" si="11"/>
        <v>0</v>
      </c>
      <c r="KG12" s="70">
        <f t="shared" si="12"/>
        <v>3892766</v>
      </c>
      <c r="KH12" s="70">
        <f t="shared" si="13"/>
        <v>0</v>
      </c>
      <c r="KI12" s="70">
        <f t="shared" si="14"/>
        <v>1974714</v>
      </c>
      <c r="KJ12" s="70">
        <f t="shared" si="15"/>
        <v>0</v>
      </c>
      <c r="KK12" s="70">
        <f t="shared" si="16"/>
        <v>4763331</v>
      </c>
      <c r="KL12" s="70">
        <f t="shared" si="17"/>
        <v>0</v>
      </c>
      <c r="KM12" s="70">
        <f t="shared" si="18"/>
        <v>1691</v>
      </c>
      <c r="KN12" s="70">
        <f t="shared" si="19"/>
        <v>0</v>
      </c>
      <c r="KO12" s="70">
        <f t="shared" si="20"/>
        <v>1052771</v>
      </c>
      <c r="KP12" s="70">
        <f t="shared" si="21"/>
        <v>0</v>
      </c>
      <c r="KQ12" s="70">
        <f t="shared" si="22"/>
        <v>4677490</v>
      </c>
      <c r="KR12" s="70">
        <f t="shared" si="23"/>
        <v>0</v>
      </c>
      <c r="KS12" s="70">
        <f t="shared" si="24"/>
        <v>684506</v>
      </c>
      <c r="KT12" s="70">
        <f t="shared" si="25"/>
        <v>0</v>
      </c>
      <c r="KU12" s="70">
        <f t="shared" si="26"/>
        <v>0</v>
      </c>
      <c r="KV12" s="70">
        <f t="shared" si="27"/>
        <v>0</v>
      </c>
      <c r="KW12" s="70">
        <f t="shared" si="28"/>
        <v>2581945</v>
      </c>
      <c r="KX12" s="70">
        <f t="shared" si="29"/>
        <v>0</v>
      </c>
      <c r="KY12" s="70">
        <f t="shared" si="30"/>
        <v>45706336</v>
      </c>
      <c r="KZ12" s="70">
        <f t="shared" si="31"/>
        <v>0</v>
      </c>
      <c r="LA12" s="70">
        <f t="shared" si="32"/>
        <v>6926375</v>
      </c>
      <c r="LB12" s="70">
        <f t="shared" si="33"/>
        <v>0</v>
      </c>
      <c r="LC12" s="70">
        <f t="shared" si="34"/>
        <v>770946</v>
      </c>
      <c r="LD12" s="70">
        <f t="shared" si="35"/>
        <v>0</v>
      </c>
      <c r="LE12" s="70">
        <f t="shared" si="36"/>
        <v>8649417</v>
      </c>
      <c r="LF12" s="70">
        <f t="shared" si="37"/>
        <v>0</v>
      </c>
      <c r="LG12" s="70">
        <f t="shared" si="38"/>
        <v>0</v>
      </c>
      <c r="LH12" s="70">
        <f t="shared" si="39"/>
        <v>0</v>
      </c>
      <c r="LI12" s="70">
        <f t="shared" si="40"/>
        <v>6154357</v>
      </c>
      <c r="LJ12" s="70">
        <f t="shared" si="41"/>
        <v>0</v>
      </c>
      <c r="LK12" s="70">
        <f t="shared" si="42"/>
        <v>0</v>
      </c>
      <c r="LL12" s="70">
        <f t="shared" si="43"/>
        <v>0</v>
      </c>
      <c r="LM12" s="70">
        <f t="shared" si="44"/>
        <v>0</v>
      </c>
      <c r="LN12" s="70">
        <f t="shared" si="45"/>
        <v>0</v>
      </c>
      <c r="LO12" s="70">
        <f t="shared" si="46"/>
        <v>588969</v>
      </c>
      <c r="LP12" s="70">
        <f t="shared" si="47"/>
        <v>0</v>
      </c>
      <c r="LQ12" s="70">
        <f t="shared" si="48"/>
        <v>2242217</v>
      </c>
      <c r="LR12" s="70">
        <f t="shared" si="49"/>
        <v>0</v>
      </c>
      <c r="LS12" s="70">
        <f t="shared" si="50"/>
        <v>1732599</v>
      </c>
      <c r="LT12" s="70">
        <f t="shared" si="51"/>
        <v>0</v>
      </c>
      <c r="LU12" s="70">
        <f t="shared" si="52"/>
        <v>1548458</v>
      </c>
      <c r="LV12" s="70">
        <f t="shared" si="53"/>
        <v>0</v>
      </c>
      <c r="LW12" s="70">
        <f t="shared" si="54"/>
        <v>335124</v>
      </c>
      <c r="LX12" s="70">
        <f t="shared" si="55"/>
        <v>0</v>
      </c>
      <c r="LY12" s="70">
        <f t="shared" si="56"/>
        <v>482972</v>
      </c>
      <c r="LZ12" s="70">
        <f t="shared" si="57"/>
        <v>0</v>
      </c>
      <c r="MA12" s="70">
        <f t="shared" si="58"/>
        <v>9689011</v>
      </c>
      <c r="MB12" s="70">
        <f t="shared" si="59"/>
        <v>0</v>
      </c>
      <c r="MC12" s="70">
        <f t="shared" si="60"/>
        <v>175748</v>
      </c>
      <c r="MD12" s="70">
        <f t="shared" si="61"/>
        <v>0</v>
      </c>
      <c r="ME12" s="70">
        <f t="shared" si="62"/>
        <v>1974714</v>
      </c>
      <c r="MF12" s="70">
        <f t="shared" si="63"/>
        <v>0</v>
      </c>
      <c r="MG12" s="70">
        <f t="shared" si="64"/>
        <v>750743</v>
      </c>
      <c r="MH12" s="70">
        <f t="shared" si="65"/>
        <v>0</v>
      </c>
      <c r="MI12" s="70">
        <f t="shared" si="66"/>
        <v>666757</v>
      </c>
      <c r="MJ12" s="70">
        <f t="shared" si="67"/>
        <v>0</v>
      </c>
      <c r="MK12" s="70">
        <f t="shared" si="68"/>
        <v>2992394</v>
      </c>
      <c r="ML12" s="70">
        <f t="shared" si="69"/>
        <v>0</v>
      </c>
      <c r="MM12" s="70">
        <f t="shared" si="70"/>
        <v>45680801</v>
      </c>
      <c r="MN12" s="70">
        <f t="shared" si="71"/>
        <v>0</v>
      </c>
      <c r="MO12" s="70">
        <f t="shared" si="72"/>
        <v>0</v>
      </c>
      <c r="MP12" s="70">
        <f t="shared" si="73"/>
        <v>0</v>
      </c>
      <c r="MQ12" s="70">
        <f t="shared" si="74"/>
        <v>45680801</v>
      </c>
      <c r="MR12" s="70">
        <f t="shared" si="75"/>
        <v>0</v>
      </c>
      <c r="MT12" s="70">
        <f t="shared" si="76"/>
        <v>0</v>
      </c>
      <c r="MV12" s="68">
        <f t="shared" si="77"/>
        <v>0</v>
      </c>
    </row>
    <row r="13" spans="1:360" x14ac:dyDescent="0.15">
      <c r="A13" s="182" t="s">
        <v>296</v>
      </c>
      <c r="B13" s="76" t="s">
        <v>421</v>
      </c>
      <c r="C13" s="90">
        <v>201441</v>
      </c>
      <c r="D13" s="90">
        <v>2014</v>
      </c>
      <c r="E13" s="90">
        <v>1</v>
      </c>
      <c r="F13" s="91">
        <v>9</v>
      </c>
      <c r="G13" s="92">
        <v>6370</v>
      </c>
      <c r="H13" s="92">
        <v>8107</v>
      </c>
      <c r="I13" s="93">
        <v>350242619</v>
      </c>
      <c r="J13" s="93">
        <v>35221734</v>
      </c>
      <c r="K13" s="93">
        <v>2157287</v>
      </c>
      <c r="L13" s="93">
        <v>2201922</v>
      </c>
      <c r="M13" s="93">
        <v>15344858</v>
      </c>
      <c r="N13" s="93">
        <v>15220604</v>
      </c>
      <c r="O13" s="93">
        <v>52392737</v>
      </c>
      <c r="P13" s="93">
        <v>33684360</v>
      </c>
      <c r="Q13" s="93">
        <v>184222233</v>
      </c>
      <c r="R13" s="93">
        <v>114215000</v>
      </c>
      <c r="S13" s="93">
        <v>249337563</v>
      </c>
      <c r="T13" s="93">
        <v>273071207</v>
      </c>
      <c r="U13" s="93">
        <v>21454</v>
      </c>
      <c r="V13" s="93">
        <v>20311</v>
      </c>
      <c r="W13" s="93">
        <v>28762</v>
      </c>
      <c r="X13" s="93">
        <v>27619</v>
      </c>
      <c r="Y13" s="93">
        <v>25778</v>
      </c>
      <c r="Z13" s="93">
        <v>24437</v>
      </c>
      <c r="AA13" s="93">
        <v>33086</v>
      </c>
      <c r="AB13" s="93">
        <v>31636</v>
      </c>
      <c r="AC13" s="114">
        <v>7</v>
      </c>
      <c r="AD13" s="114">
        <v>11</v>
      </c>
      <c r="AE13" s="114">
        <v>0</v>
      </c>
      <c r="AF13" s="115">
        <v>3582188</v>
      </c>
      <c r="AG13" s="115">
        <v>2181043</v>
      </c>
      <c r="AH13" s="115">
        <v>222774</v>
      </c>
      <c r="AI13" s="115">
        <v>138043</v>
      </c>
      <c r="AJ13" s="115">
        <v>218324</v>
      </c>
      <c r="AK13" s="116">
        <v>6.3</v>
      </c>
      <c r="AL13" s="115">
        <v>196492</v>
      </c>
      <c r="AM13" s="116">
        <v>7</v>
      </c>
      <c r="AN13" s="115">
        <v>94112</v>
      </c>
      <c r="AO13" s="116">
        <v>8.6999999999999993</v>
      </c>
      <c r="AP13" s="115">
        <v>90975</v>
      </c>
      <c r="AQ13" s="116">
        <v>9</v>
      </c>
      <c r="AR13" s="115">
        <v>100269</v>
      </c>
      <c r="AS13" s="116">
        <v>18.399999999999999</v>
      </c>
      <c r="AT13" s="115">
        <v>92248</v>
      </c>
      <c r="AU13" s="116">
        <v>20</v>
      </c>
      <c r="AV13" s="115">
        <v>45461</v>
      </c>
      <c r="AW13" s="116">
        <v>15</v>
      </c>
      <c r="AX13" s="115">
        <v>40113</v>
      </c>
      <c r="AY13" s="116">
        <v>17</v>
      </c>
      <c r="AZ13" s="139">
        <v>1471323</v>
      </c>
      <c r="BA13" s="139">
        <v>143352</v>
      </c>
      <c r="BB13" s="139">
        <v>117421</v>
      </c>
      <c r="BC13" s="139">
        <v>180696</v>
      </c>
      <c r="BD13" s="139">
        <v>0</v>
      </c>
      <c r="BE13" s="139">
        <v>1912792</v>
      </c>
      <c r="BF13" s="139">
        <v>0</v>
      </c>
      <c r="BG13" s="139">
        <v>0</v>
      </c>
      <c r="BH13" s="139">
        <v>0</v>
      </c>
      <c r="BI13" s="139">
        <v>0</v>
      </c>
      <c r="BJ13" s="139">
        <v>12718603</v>
      </c>
      <c r="BK13" s="139">
        <v>12718603</v>
      </c>
      <c r="BL13" s="139">
        <v>1000000</v>
      </c>
      <c r="BM13" s="139">
        <v>175055</v>
      </c>
      <c r="BN13" s="139">
        <v>15000</v>
      </c>
      <c r="BO13" s="139">
        <v>15000</v>
      </c>
      <c r="BP13" s="139">
        <v>0</v>
      </c>
      <c r="BQ13" s="139">
        <v>1205055</v>
      </c>
      <c r="BR13" s="139">
        <v>143951</v>
      </c>
      <c r="BS13" s="139">
        <v>195959</v>
      </c>
      <c r="BT13" s="139">
        <v>112586</v>
      </c>
      <c r="BU13" s="139">
        <v>655529</v>
      </c>
      <c r="BV13" s="139">
        <v>344731</v>
      </c>
      <c r="BW13" s="139">
        <v>1452756</v>
      </c>
      <c r="BX13" s="139">
        <v>0</v>
      </c>
      <c r="BY13" s="139">
        <v>0</v>
      </c>
      <c r="BZ13" s="139">
        <v>0</v>
      </c>
      <c r="CA13" s="139">
        <v>0</v>
      </c>
      <c r="CB13" s="139">
        <v>0</v>
      </c>
      <c r="CC13" s="139">
        <v>0</v>
      </c>
      <c r="CD13" s="139">
        <v>0</v>
      </c>
      <c r="CE13" s="139">
        <v>0</v>
      </c>
      <c r="CF13" s="139">
        <v>0</v>
      </c>
      <c r="CG13" s="139">
        <v>0</v>
      </c>
      <c r="CH13" s="139">
        <v>0</v>
      </c>
      <c r="CI13" s="139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2003838</v>
      </c>
      <c r="CU13" s="139">
        <v>2003838</v>
      </c>
      <c r="CV13" s="139">
        <v>175000</v>
      </c>
      <c r="CW13" s="139">
        <v>115431</v>
      </c>
      <c r="CX13" s="139">
        <v>0</v>
      </c>
      <c r="CY13" s="139">
        <v>8035</v>
      </c>
      <c r="CZ13" s="139">
        <v>1659236</v>
      </c>
      <c r="DA13" s="139">
        <v>1957702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118882</v>
      </c>
      <c r="DI13" s="139">
        <v>25681</v>
      </c>
      <c r="DJ13" s="139">
        <v>36374</v>
      </c>
      <c r="DK13" s="139">
        <v>52521</v>
      </c>
      <c r="DL13" s="139">
        <v>205027</v>
      </c>
      <c r="DM13" s="139">
        <v>438485</v>
      </c>
      <c r="DN13" s="139">
        <v>0</v>
      </c>
      <c r="DO13" s="139">
        <v>0</v>
      </c>
      <c r="DP13" s="139">
        <v>0</v>
      </c>
      <c r="DQ13" s="139">
        <v>0</v>
      </c>
      <c r="DR13" s="139">
        <v>661333</v>
      </c>
      <c r="DS13" s="139">
        <v>661333</v>
      </c>
      <c r="DT13" s="139">
        <v>28809</v>
      </c>
      <c r="DU13" s="139">
        <v>3190</v>
      </c>
      <c r="DV13" s="139">
        <v>0</v>
      </c>
      <c r="DW13" s="139">
        <v>203407</v>
      </c>
      <c r="DX13" s="139">
        <v>174519</v>
      </c>
      <c r="DY13" s="139">
        <v>409925</v>
      </c>
      <c r="DZ13" s="139">
        <v>0</v>
      </c>
      <c r="EA13" s="139">
        <v>0</v>
      </c>
      <c r="EB13" s="139">
        <v>0</v>
      </c>
      <c r="EC13" s="139">
        <v>0</v>
      </c>
      <c r="ED13" s="139">
        <v>204494</v>
      </c>
      <c r="EE13" s="139">
        <v>204494</v>
      </c>
      <c r="EF13" s="139">
        <v>383405</v>
      </c>
      <c r="EG13" s="139">
        <v>0</v>
      </c>
      <c r="EH13" s="139">
        <v>0</v>
      </c>
      <c r="EI13" s="139">
        <v>39314</v>
      </c>
      <c r="EJ13" s="139">
        <v>81962</v>
      </c>
      <c r="EK13" s="139">
        <v>504681</v>
      </c>
      <c r="EL13" s="139">
        <v>3321370</v>
      </c>
      <c r="EM13" s="139">
        <v>658668</v>
      </c>
      <c r="EN13" s="139">
        <v>281381</v>
      </c>
      <c r="EO13" s="139">
        <v>1154502</v>
      </c>
      <c r="EP13" s="139">
        <v>18053743</v>
      </c>
      <c r="EQ13" s="139">
        <v>23469664</v>
      </c>
      <c r="ER13" s="139">
        <v>2185887</v>
      </c>
      <c r="ES13" s="139">
        <v>414862</v>
      </c>
      <c r="ET13" s="139">
        <v>305777</v>
      </c>
      <c r="EU13" s="139">
        <v>2856705</v>
      </c>
      <c r="EV13" s="139">
        <v>5174</v>
      </c>
      <c r="EW13" s="139">
        <v>5768405</v>
      </c>
      <c r="EX13" s="139">
        <v>460000</v>
      </c>
      <c r="EY13" s="139">
        <v>78000</v>
      </c>
      <c r="EZ13" s="139">
        <v>4000</v>
      </c>
      <c r="FA13" s="139">
        <v>7500</v>
      </c>
      <c r="FB13" s="139">
        <v>0</v>
      </c>
      <c r="FC13" s="139">
        <v>549500</v>
      </c>
      <c r="FD13" s="139">
        <v>1809392</v>
      </c>
      <c r="FE13" s="139">
        <v>553187</v>
      </c>
      <c r="FF13" s="139">
        <v>459955</v>
      </c>
      <c r="FG13" s="139">
        <v>1898552</v>
      </c>
      <c r="FH13" s="139">
        <v>0</v>
      </c>
      <c r="FI13" s="139">
        <v>4721086</v>
      </c>
      <c r="FJ13" s="139">
        <v>0</v>
      </c>
      <c r="FK13" s="139">
        <v>0</v>
      </c>
      <c r="FL13" s="139">
        <v>0</v>
      </c>
      <c r="FM13" s="139">
        <v>0</v>
      </c>
      <c r="FN13" s="139">
        <v>0</v>
      </c>
      <c r="FO13" s="139">
        <v>0</v>
      </c>
      <c r="FP13" s="139">
        <v>346248</v>
      </c>
      <c r="FQ13" s="139">
        <v>41214</v>
      </c>
      <c r="FR13" s="139">
        <v>43737</v>
      </c>
      <c r="FS13" s="139">
        <v>57892</v>
      </c>
      <c r="FT13" s="139">
        <v>2533659</v>
      </c>
      <c r="FU13" s="139">
        <v>3022750</v>
      </c>
      <c r="FV13" s="139">
        <v>0</v>
      </c>
      <c r="FW13" s="139">
        <v>0</v>
      </c>
      <c r="FX13" s="139">
        <v>0</v>
      </c>
      <c r="FY13" s="139">
        <v>0</v>
      </c>
      <c r="FZ13" s="139">
        <v>0</v>
      </c>
      <c r="GA13" s="139">
        <v>0</v>
      </c>
      <c r="GB13" s="139">
        <v>0</v>
      </c>
      <c r="GC13" s="139">
        <v>0</v>
      </c>
      <c r="GD13" s="139">
        <v>0</v>
      </c>
      <c r="GE13" s="139">
        <v>0</v>
      </c>
      <c r="GF13" s="139">
        <v>0</v>
      </c>
      <c r="GG13" s="139">
        <v>0</v>
      </c>
      <c r="GH13" s="139">
        <v>84553</v>
      </c>
      <c r="GI13" s="139">
        <v>63389</v>
      </c>
      <c r="GJ13" s="139">
        <v>56366</v>
      </c>
      <c r="GK13" s="139">
        <v>156509</v>
      </c>
      <c r="GL13" s="139">
        <v>600</v>
      </c>
      <c r="GM13" s="139">
        <v>361417</v>
      </c>
      <c r="GN13" s="139">
        <v>655491</v>
      </c>
      <c r="GO13" s="139">
        <v>156136</v>
      </c>
      <c r="GP13" s="139">
        <v>120924</v>
      </c>
      <c r="GQ13" s="139">
        <v>910811</v>
      </c>
      <c r="GR13" s="139">
        <v>553</v>
      </c>
      <c r="GS13" s="139">
        <v>1843915</v>
      </c>
      <c r="GT13" s="139">
        <v>317313</v>
      </c>
      <c r="GU13" s="139">
        <v>47091</v>
      </c>
      <c r="GV13" s="139">
        <v>46818</v>
      </c>
      <c r="GW13" s="139">
        <v>500625</v>
      </c>
      <c r="GX13" s="139">
        <v>137242</v>
      </c>
      <c r="GY13" s="139">
        <v>1049089</v>
      </c>
      <c r="GZ13" s="139">
        <v>0</v>
      </c>
      <c r="HA13" s="139">
        <v>36620</v>
      </c>
      <c r="HB13" s="139">
        <v>48913</v>
      </c>
      <c r="HC13" s="139">
        <v>70272</v>
      </c>
      <c r="HD13" s="139">
        <v>166737</v>
      </c>
      <c r="HE13" s="139">
        <v>322542</v>
      </c>
      <c r="HF13" s="139">
        <v>0</v>
      </c>
      <c r="HG13" s="139">
        <v>0</v>
      </c>
      <c r="HH13" s="139">
        <v>0</v>
      </c>
      <c r="HI13" s="139">
        <v>0</v>
      </c>
      <c r="HJ13" s="139">
        <v>187096</v>
      </c>
      <c r="HK13" s="139">
        <v>187096</v>
      </c>
      <c r="HL13" s="139">
        <v>35460</v>
      </c>
      <c r="HM13" s="139">
        <v>8495</v>
      </c>
      <c r="HN13" s="139">
        <v>0</v>
      </c>
      <c r="HO13" s="139">
        <v>122837</v>
      </c>
      <c r="HP13" s="139">
        <v>155319</v>
      </c>
      <c r="HQ13" s="139">
        <v>322111</v>
      </c>
      <c r="HR13" s="139">
        <v>0</v>
      </c>
      <c r="HS13" s="139">
        <v>0</v>
      </c>
      <c r="HT13" s="139">
        <v>0</v>
      </c>
      <c r="HU13" s="139">
        <v>0</v>
      </c>
      <c r="HV13" s="139">
        <v>691483</v>
      </c>
      <c r="HW13" s="139">
        <v>691483</v>
      </c>
      <c r="HX13" s="139">
        <v>0</v>
      </c>
      <c r="HY13" s="139">
        <v>0</v>
      </c>
      <c r="HZ13" s="139">
        <v>0</v>
      </c>
      <c r="IA13" s="139">
        <v>0</v>
      </c>
      <c r="IB13" s="139">
        <v>0</v>
      </c>
      <c r="IC13" s="139">
        <v>0</v>
      </c>
      <c r="ID13" s="139">
        <v>0</v>
      </c>
      <c r="IE13" s="139">
        <v>0</v>
      </c>
      <c r="IF13" s="139">
        <v>0</v>
      </c>
      <c r="IG13" s="139">
        <v>0</v>
      </c>
      <c r="IH13" s="139">
        <v>2003838</v>
      </c>
      <c r="II13" s="139">
        <v>2003838</v>
      </c>
      <c r="IJ13" s="139">
        <v>0</v>
      </c>
      <c r="IK13" s="139">
        <v>0</v>
      </c>
      <c r="IL13" s="139">
        <v>0</v>
      </c>
      <c r="IM13" s="139">
        <v>0</v>
      </c>
      <c r="IN13" s="139">
        <v>141932</v>
      </c>
      <c r="IO13" s="139">
        <v>141932</v>
      </c>
      <c r="IP13" s="139">
        <v>0</v>
      </c>
      <c r="IQ13" s="139">
        <v>0</v>
      </c>
      <c r="IR13" s="139">
        <v>0</v>
      </c>
      <c r="IS13" s="139">
        <v>0</v>
      </c>
      <c r="IT13" s="139">
        <v>290939</v>
      </c>
      <c r="IU13" s="139">
        <v>290939</v>
      </c>
      <c r="IV13" s="139">
        <v>0</v>
      </c>
      <c r="IW13" s="139">
        <v>0</v>
      </c>
      <c r="IX13" s="139">
        <v>0</v>
      </c>
      <c r="IY13" s="139">
        <v>0</v>
      </c>
      <c r="IZ13" s="139">
        <v>2030862</v>
      </c>
      <c r="JA13" s="139">
        <v>2030862</v>
      </c>
      <c r="JB13" s="139">
        <v>5894344</v>
      </c>
      <c r="JC13" s="139">
        <v>1398994</v>
      </c>
      <c r="JD13" s="139">
        <v>1086490</v>
      </c>
      <c r="JE13" s="139">
        <v>6581703</v>
      </c>
      <c r="JF13" s="139">
        <v>8345434</v>
      </c>
      <c r="JG13" s="139">
        <v>23306965</v>
      </c>
      <c r="JH13" s="139">
        <v>0</v>
      </c>
      <c r="JI13" s="139">
        <v>0</v>
      </c>
      <c r="JJ13" s="139">
        <v>0</v>
      </c>
      <c r="JK13" s="139">
        <v>0</v>
      </c>
      <c r="JL13" s="139">
        <v>0</v>
      </c>
      <c r="JM13" s="139">
        <v>0</v>
      </c>
      <c r="JN13" s="139">
        <v>5894344</v>
      </c>
      <c r="JO13" s="139">
        <v>1398994</v>
      </c>
      <c r="JP13" s="139">
        <v>1086490</v>
      </c>
      <c r="JQ13" s="139">
        <v>6581703</v>
      </c>
      <c r="JR13" s="139">
        <v>8345434</v>
      </c>
      <c r="JS13" s="139">
        <v>23306965</v>
      </c>
      <c r="JU13" s="70">
        <f t="shared" si="0"/>
        <v>1912792</v>
      </c>
      <c r="JV13" s="70">
        <f t="shared" si="1"/>
        <v>0</v>
      </c>
      <c r="JW13" s="70">
        <f t="shared" si="2"/>
        <v>12718603</v>
      </c>
      <c r="JX13" s="70">
        <f t="shared" si="3"/>
        <v>0</v>
      </c>
      <c r="JY13" s="70">
        <f t="shared" si="4"/>
        <v>1205055</v>
      </c>
      <c r="JZ13" s="70">
        <f t="shared" si="5"/>
        <v>0</v>
      </c>
      <c r="KA13" s="70">
        <f t="shared" si="6"/>
        <v>1452756</v>
      </c>
      <c r="KB13" s="70">
        <f t="shared" si="7"/>
        <v>0</v>
      </c>
      <c r="KC13" s="70">
        <f t="shared" si="8"/>
        <v>0</v>
      </c>
      <c r="KD13" s="70">
        <f t="shared" si="9"/>
        <v>0</v>
      </c>
      <c r="KE13" s="70">
        <f t="shared" si="10"/>
        <v>0</v>
      </c>
      <c r="KF13" s="70">
        <f t="shared" si="11"/>
        <v>0</v>
      </c>
      <c r="KG13" s="70">
        <f t="shared" si="12"/>
        <v>0</v>
      </c>
      <c r="KH13" s="70">
        <f t="shared" si="13"/>
        <v>0</v>
      </c>
      <c r="KI13" s="70">
        <f t="shared" si="14"/>
        <v>2003838</v>
      </c>
      <c r="KJ13" s="70">
        <f t="shared" si="15"/>
        <v>0</v>
      </c>
      <c r="KK13" s="70">
        <f t="shared" si="16"/>
        <v>1957702</v>
      </c>
      <c r="KL13" s="70">
        <f t="shared" si="17"/>
        <v>0</v>
      </c>
      <c r="KM13" s="70">
        <f t="shared" si="18"/>
        <v>0</v>
      </c>
      <c r="KN13" s="70">
        <f t="shared" si="19"/>
        <v>0</v>
      </c>
      <c r="KO13" s="70">
        <f t="shared" si="20"/>
        <v>438485</v>
      </c>
      <c r="KP13" s="70">
        <f t="shared" si="21"/>
        <v>0</v>
      </c>
      <c r="KQ13" s="70">
        <f t="shared" si="22"/>
        <v>661333</v>
      </c>
      <c r="KR13" s="70">
        <f t="shared" si="23"/>
        <v>0</v>
      </c>
      <c r="KS13" s="70">
        <f t="shared" si="24"/>
        <v>409925</v>
      </c>
      <c r="KT13" s="70">
        <f t="shared" si="25"/>
        <v>0</v>
      </c>
      <c r="KU13" s="70">
        <f t="shared" si="26"/>
        <v>204494</v>
      </c>
      <c r="KV13" s="70">
        <f t="shared" si="27"/>
        <v>0</v>
      </c>
      <c r="KW13" s="70">
        <f t="shared" si="28"/>
        <v>504681</v>
      </c>
      <c r="KX13" s="70">
        <f t="shared" si="29"/>
        <v>0</v>
      </c>
      <c r="KY13" s="70">
        <f t="shared" si="30"/>
        <v>23469664</v>
      </c>
      <c r="KZ13" s="70">
        <f t="shared" si="31"/>
        <v>0</v>
      </c>
      <c r="LA13" s="70">
        <f t="shared" si="32"/>
        <v>5768405</v>
      </c>
      <c r="LB13" s="70">
        <f t="shared" si="33"/>
        <v>0</v>
      </c>
      <c r="LC13" s="70">
        <f t="shared" si="34"/>
        <v>549500</v>
      </c>
      <c r="LD13" s="70">
        <f t="shared" si="35"/>
        <v>0</v>
      </c>
      <c r="LE13" s="70">
        <f t="shared" si="36"/>
        <v>4721086</v>
      </c>
      <c r="LF13" s="70">
        <f t="shared" si="37"/>
        <v>0</v>
      </c>
      <c r="LG13" s="70">
        <f t="shared" si="38"/>
        <v>0</v>
      </c>
      <c r="LH13" s="70">
        <f t="shared" si="39"/>
        <v>0</v>
      </c>
      <c r="LI13" s="70">
        <f t="shared" si="40"/>
        <v>3022750</v>
      </c>
      <c r="LJ13" s="70">
        <f t="shared" si="41"/>
        <v>0</v>
      </c>
      <c r="LK13" s="70">
        <f t="shared" si="42"/>
        <v>0</v>
      </c>
      <c r="LL13" s="70">
        <f t="shared" si="43"/>
        <v>0</v>
      </c>
      <c r="LM13" s="70">
        <f t="shared" si="44"/>
        <v>0</v>
      </c>
      <c r="LN13" s="70">
        <f t="shared" si="45"/>
        <v>0</v>
      </c>
      <c r="LO13" s="70">
        <f t="shared" si="46"/>
        <v>361417</v>
      </c>
      <c r="LP13" s="70">
        <f t="shared" si="47"/>
        <v>0</v>
      </c>
      <c r="LQ13" s="70">
        <f t="shared" si="48"/>
        <v>1843915</v>
      </c>
      <c r="LR13" s="70">
        <f t="shared" si="49"/>
        <v>0</v>
      </c>
      <c r="LS13" s="70">
        <f t="shared" si="50"/>
        <v>1049089</v>
      </c>
      <c r="LT13" s="70">
        <f t="shared" si="51"/>
        <v>0</v>
      </c>
      <c r="LU13" s="70">
        <f t="shared" si="52"/>
        <v>322542</v>
      </c>
      <c r="LV13" s="70">
        <f t="shared" si="53"/>
        <v>0</v>
      </c>
      <c r="LW13" s="70">
        <f t="shared" si="54"/>
        <v>187096</v>
      </c>
      <c r="LX13" s="70">
        <f t="shared" si="55"/>
        <v>0</v>
      </c>
      <c r="LY13" s="70">
        <f t="shared" si="56"/>
        <v>322111</v>
      </c>
      <c r="LZ13" s="70">
        <f t="shared" si="57"/>
        <v>0</v>
      </c>
      <c r="MA13" s="70">
        <f t="shared" si="58"/>
        <v>691483</v>
      </c>
      <c r="MB13" s="70">
        <f t="shared" si="59"/>
        <v>0</v>
      </c>
      <c r="MC13" s="70">
        <f t="shared" si="60"/>
        <v>0</v>
      </c>
      <c r="MD13" s="70">
        <f t="shared" si="61"/>
        <v>0</v>
      </c>
      <c r="ME13" s="70">
        <f t="shared" si="62"/>
        <v>2003838</v>
      </c>
      <c r="MF13" s="70">
        <f t="shared" si="63"/>
        <v>0</v>
      </c>
      <c r="MG13" s="70">
        <f t="shared" si="64"/>
        <v>141932</v>
      </c>
      <c r="MH13" s="70">
        <f t="shared" si="65"/>
        <v>0</v>
      </c>
      <c r="MI13" s="70">
        <f t="shared" si="66"/>
        <v>290939</v>
      </c>
      <c r="MJ13" s="70">
        <f t="shared" si="67"/>
        <v>0</v>
      </c>
      <c r="MK13" s="70">
        <f t="shared" si="68"/>
        <v>2030862</v>
      </c>
      <c r="ML13" s="70">
        <f t="shared" si="69"/>
        <v>0</v>
      </c>
      <c r="MM13" s="70">
        <f t="shared" si="70"/>
        <v>23306965</v>
      </c>
      <c r="MN13" s="70">
        <f t="shared" si="71"/>
        <v>0</v>
      </c>
      <c r="MO13" s="70">
        <f t="shared" si="72"/>
        <v>0</v>
      </c>
      <c r="MP13" s="70">
        <f t="shared" si="73"/>
        <v>0</v>
      </c>
      <c r="MQ13" s="70">
        <f t="shared" si="74"/>
        <v>23306965</v>
      </c>
      <c r="MR13" s="70">
        <f t="shared" si="75"/>
        <v>0</v>
      </c>
      <c r="MT13" s="70">
        <f t="shared" si="76"/>
        <v>0</v>
      </c>
      <c r="MV13" s="68">
        <f t="shared" si="77"/>
        <v>0</v>
      </c>
    </row>
    <row r="14" spans="1:360" x14ac:dyDescent="0.15">
      <c r="A14" s="183" t="s">
        <v>297</v>
      </c>
      <c r="B14" s="76" t="s">
        <v>421</v>
      </c>
      <c r="C14" s="90">
        <v>196088</v>
      </c>
      <c r="D14" s="90">
        <v>2014</v>
      </c>
      <c r="E14" s="90">
        <v>1</v>
      </c>
      <c r="F14" s="91">
        <v>9</v>
      </c>
      <c r="G14" s="92"/>
      <c r="H14" s="92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14"/>
      <c r="AD14" s="114"/>
      <c r="AE14" s="114"/>
      <c r="AF14" s="115"/>
      <c r="AG14" s="115"/>
      <c r="AH14" s="115"/>
      <c r="AI14" s="115"/>
      <c r="AJ14" s="115"/>
      <c r="AK14" s="116"/>
      <c r="AL14" s="115"/>
      <c r="AM14" s="116"/>
      <c r="AN14" s="115"/>
      <c r="AO14" s="116"/>
      <c r="AP14" s="115"/>
      <c r="AQ14" s="116"/>
      <c r="AR14" s="115"/>
      <c r="AS14" s="116"/>
      <c r="AT14" s="115"/>
      <c r="AU14" s="116"/>
      <c r="AV14" s="115"/>
      <c r="AW14" s="116"/>
      <c r="AX14" s="115"/>
      <c r="AY14" s="116"/>
      <c r="AZ14" s="139">
        <v>902461</v>
      </c>
      <c r="BA14" s="139">
        <v>185176</v>
      </c>
      <c r="BB14" s="139">
        <v>184813</v>
      </c>
      <c r="BC14" s="139">
        <v>7580</v>
      </c>
      <c r="BD14" s="139">
        <v>5748</v>
      </c>
      <c r="BE14" s="139">
        <v>1285778</v>
      </c>
      <c r="BF14" s="139">
        <v>1396787</v>
      </c>
      <c r="BG14" s="139">
        <v>331166</v>
      </c>
      <c r="BH14" s="139">
        <v>675109</v>
      </c>
      <c r="BI14" s="139">
        <v>4407640</v>
      </c>
      <c r="BJ14" s="139">
        <v>1358025</v>
      </c>
      <c r="BK14" s="139">
        <v>8168727</v>
      </c>
      <c r="BL14" s="139">
        <v>1150000</v>
      </c>
      <c r="BM14" s="139">
        <v>75000</v>
      </c>
      <c r="BN14" s="139">
        <v>0</v>
      </c>
      <c r="BO14" s="139">
        <v>14655</v>
      </c>
      <c r="BP14" s="139">
        <v>0</v>
      </c>
      <c r="BQ14" s="139">
        <v>1239655</v>
      </c>
      <c r="BR14" s="139">
        <v>63510</v>
      </c>
      <c r="BS14" s="139">
        <v>1975</v>
      </c>
      <c r="BT14" s="139">
        <v>3849</v>
      </c>
      <c r="BU14" s="139">
        <v>70131</v>
      </c>
      <c r="BV14" s="139">
        <v>460787</v>
      </c>
      <c r="BW14" s="139">
        <v>600252</v>
      </c>
      <c r="BX14" s="139">
        <v>4707</v>
      </c>
      <c r="BY14" s="139">
        <v>22381</v>
      </c>
      <c r="BZ14" s="139">
        <v>4005</v>
      </c>
      <c r="CA14" s="139">
        <v>137910</v>
      </c>
      <c r="CB14" s="139">
        <v>0</v>
      </c>
      <c r="CC14" s="139">
        <v>169003</v>
      </c>
      <c r="CD14" s="139">
        <v>0</v>
      </c>
      <c r="CE14" s="139">
        <v>0</v>
      </c>
      <c r="CF14" s="139">
        <v>0</v>
      </c>
      <c r="CG14" s="139">
        <v>0</v>
      </c>
      <c r="CH14" s="139">
        <v>0</v>
      </c>
      <c r="CI14" s="139">
        <v>0</v>
      </c>
      <c r="CJ14" s="139">
        <v>2792087</v>
      </c>
      <c r="CK14" s="139">
        <v>1025027</v>
      </c>
      <c r="CL14" s="139">
        <v>234175</v>
      </c>
      <c r="CM14" s="139">
        <v>3255337</v>
      </c>
      <c r="CN14" s="139">
        <v>6275086</v>
      </c>
      <c r="CO14" s="139">
        <v>13581712</v>
      </c>
      <c r="CP14" s="139">
        <v>0</v>
      </c>
      <c r="CQ14" s="139">
        <v>0</v>
      </c>
      <c r="CR14" s="139">
        <v>0</v>
      </c>
      <c r="CS14" s="139">
        <v>0</v>
      </c>
      <c r="CT14" s="139">
        <v>2228622</v>
      </c>
      <c r="CU14" s="139">
        <v>2228622</v>
      </c>
      <c r="CV14" s="139">
        <v>0</v>
      </c>
      <c r="CW14" s="139">
        <v>0</v>
      </c>
      <c r="CX14" s="139">
        <v>0</v>
      </c>
      <c r="CY14" s="139">
        <v>0</v>
      </c>
      <c r="CZ14" s="139">
        <v>2505034</v>
      </c>
      <c r="DA14" s="139">
        <v>2505034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35656</v>
      </c>
      <c r="DI14" s="139">
        <v>10063</v>
      </c>
      <c r="DJ14" s="139">
        <v>6462</v>
      </c>
      <c r="DK14" s="139">
        <v>3002</v>
      </c>
      <c r="DL14" s="139">
        <v>43316</v>
      </c>
      <c r="DM14" s="139">
        <v>98499</v>
      </c>
      <c r="DN14" s="139">
        <v>259321</v>
      </c>
      <c r="DO14" s="139">
        <v>128241</v>
      </c>
      <c r="DP14" s="139">
        <v>125146</v>
      </c>
      <c r="DQ14" s="139">
        <v>17653</v>
      </c>
      <c r="DR14" s="140">
        <v>263324</v>
      </c>
      <c r="DS14" s="140">
        <v>793685</v>
      </c>
      <c r="DT14" s="139">
        <v>13151</v>
      </c>
      <c r="DU14" s="139">
        <v>27772</v>
      </c>
      <c r="DV14" s="139">
        <v>2757</v>
      </c>
      <c r="DW14" s="139">
        <v>181738</v>
      </c>
      <c r="DX14" s="139">
        <v>24490</v>
      </c>
      <c r="DY14" s="139">
        <v>249908</v>
      </c>
      <c r="DZ14" s="139">
        <v>80119</v>
      </c>
      <c r="EA14" s="139">
        <v>63801</v>
      </c>
      <c r="EB14" s="139">
        <v>0</v>
      </c>
      <c r="EC14" s="139">
        <v>12487</v>
      </c>
      <c r="ED14" s="139">
        <v>0</v>
      </c>
      <c r="EE14" s="139">
        <v>156407</v>
      </c>
      <c r="EF14" s="139">
        <v>1586</v>
      </c>
      <c r="EG14" s="139">
        <v>483</v>
      </c>
      <c r="EH14" s="139">
        <v>2659</v>
      </c>
      <c r="EI14" s="139">
        <v>7936</v>
      </c>
      <c r="EJ14" s="139">
        <v>188034</v>
      </c>
      <c r="EK14" s="139">
        <v>200698</v>
      </c>
      <c r="EL14" s="139">
        <v>6699385</v>
      </c>
      <c r="EM14" s="139">
        <v>1871085</v>
      </c>
      <c r="EN14" s="139">
        <v>1238975</v>
      </c>
      <c r="EO14" s="139">
        <v>8116069</v>
      </c>
      <c r="EP14" s="139">
        <v>13352466</v>
      </c>
      <c r="EQ14" s="139">
        <v>31277980</v>
      </c>
      <c r="ER14" s="139">
        <v>2760455</v>
      </c>
      <c r="ES14" s="139">
        <v>428731</v>
      </c>
      <c r="ET14" s="139">
        <v>430928</v>
      </c>
      <c r="EU14" s="139">
        <v>4015067</v>
      </c>
      <c r="EV14" s="139">
        <v>0</v>
      </c>
      <c r="EW14" s="139">
        <v>7635181</v>
      </c>
      <c r="EX14" s="139">
        <v>429450</v>
      </c>
      <c r="EY14" s="139">
        <v>138858</v>
      </c>
      <c r="EZ14" s="139">
        <v>2250</v>
      </c>
      <c r="FA14" s="139">
        <v>8529</v>
      </c>
      <c r="FB14" s="139">
        <v>0</v>
      </c>
      <c r="FC14" s="139">
        <v>579087</v>
      </c>
      <c r="FD14" s="139">
        <v>1401996</v>
      </c>
      <c r="FE14" s="139">
        <v>569621</v>
      </c>
      <c r="FF14" s="139">
        <v>420484</v>
      </c>
      <c r="FG14" s="139">
        <v>1593588</v>
      </c>
      <c r="FH14" s="139">
        <v>0</v>
      </c>
      <c r="FI14" s="139">
        <v>3985689</v>
      </c>
      <c r="FJ14" s="139">
        <v>4707</v>
      </c>
      <c r="FK14" s="139">
        <v>22382</v>
      </c>
      <c r="FL14" s="139">
        <v>4005</v>
      </c>
      <c r="FM14" s="139">
        <v>137909</v>
      </c>
      <c r="FN14" s="139">
        <v>0</v>
      </c>
      <c r="FO14" s="139">
        <v>169003</v>
      </c>
      <c r="FP14" s="139">
        <v>0</v>
      </c>
      <c r="FQ14" s="139">
        <v>0</v>
      </c>
      <c r="FR14" s="139">
        <v>0</v>
      </c>
      <c r="FS14" s="139">
        <v>0</v>
      </c>
      <c r="FT14" s="139">
        <v>4987646</v>
      </c>
      <c r="FU14" s="139">
        <v>4987646</v>
      </c>
      <c r="FV14" s="139">
        <v>0</v>
      </c>
      <c r="FW14" s="139">
        <v>0</v>
      </c>
      <c r="FX14" s="139">
        <v>0</v>
      </c>
      <c r="FY14" s="139">
        <v>0</v>
      </c>
      <c r="FZ14" s="139">
        <v>0</v>
      </c>
      <c r="GA14" s="139">
        <v>0</v>
      </c>
      <c r="GB14" s="139">
        <v>32150</v>
      </c>
      <c r="GC14" s="139">
        <v>190485</v>
      </c>
      <c r="GD14" s="139">
        <v>19344</v>
      </c>
      <c r="GE14" s="139">
        <v>257685</v>
      </c>
      <c r="GF14" s="139">
        <v>8688</v>
      </c>
      <c r="GG14" s="139">
        <v>508352</v>
      </c>
      <c r="GH14" s="139">
        <v>164403</v>
      </c>
      <c r="GI14" s="139">
        <v>144257</v>
      </c>
      <c r="GJ14" s="139">
        <v>50517</v>
      </c>
      <c r="GK14" s="139">
        <v>167358</v>
      </c>
      <c r="GL14" s="139">
        <v>594</v>
      </c>
      <c r="GM14" s="139">
        <v>527129</v>
      </c>
      <c r="GN14" s="139">
        <v>904018</v>
      </c>
      <c r="GO14" s="139">
        <v>171246</v>
      </c>
      <c r="GP14" s="139">
        <v>157967</v>
      </c>
      <c r="GQ14" s="139">
        <v>1131703</v>
      </c>
      <c r="GR14" s="139">
        <v>766548</v>
      </c>
      <c r="GS14" s="139">
        <v>3131482</v>
      </c>
      <c r="GT14" s="139">
        <v>416129</v>
      </c>
      <c r="GU14" s="139">
        <v>26320</v>
      </c>
      <c r="GV14" s="139">
        <v>46024</v>
      </c>
      <c r="GW14" s="139">
        <v>325849</v>
      </c>
      <c r="GX14" s="139">
        <v>64628</v>
      </c>
      <c r="GY14" s="139">
        <v>878950</v>
      </c>
      <c r="GZ14" s="139">
        <v>351568</v>
      </c>
      <c r="HA14" s="139">
        <v>112881</v>
      </c>
      <c r="HB14" s="139">
        <v>78731</v>
      </c>
      <c r="HC14" s="139">
        <v>72732</v>
      </c>
      <c r="HD14" s="139">
        <v>181704</v>
      </c>
      <c r="HE14" s="139">
        <v>797616</v>
      </c>
      <c r="HF14" s="139">
        <v>0</v>
      </c>
      <c r="HG14" s="139">
        <v>0</v>
      </c>
      <c r="HH14" s="139">
        <v>0</v>
      </c>
      <c r="HI14" s="139">
        <v>476</v>
      </c>
      <c r="HJ14" s="139">
        <v>1263901</v>
      </c>
      <c r="HK14" s="139">
        <v>1264377</v>
      </c>
      <c r="HL14" s="139">
        <v>13151</v>
      </c>
      <c r="HM14" s="139">
        <v>27772</v>
      </c>
      <c r="HN14" s="139">
        <v>2757</v>
      </c>
      <c r="HO14" s="139">
        <v>181738</v>
      </c>
      <c r="HP14" s="139">
        <v>24490</v>
      </c>
      <c r="HQ14" s="139">
        <v>249908</v>
      </c>
      <c r="HR14" s="139">
        <v>55290</v>
      </c>
      <c r="HS14" s="139">
        <v>0</v>
      </c>
      <c r="HT14" s="139">
        <v>450</v>
      </c>
      <c r="HU14" s="139">
        <v>54658</v>
      </c>
      <c r="HV14" s="139">
        <v>1211490</v>
      </c>
      <c r="HW14" s="139">
        <v>1321888</v>
      </c>
      <c r="HX14" s="139">
        <v>0</v>
      </c>
      <c r="HY14" s="139">
        <v>0</v>
      </c>
      <c r="HZ14" s="139">
        <v>0</v>
      </c>
      <c r="IA14" s="139">
        <v>0</v>
      </c>
      <c r="IB14" s="139">
        <v>14782</v>
      </c>
      <c r="IC14" s="139">
        <v>14782</v>
      </c>
      <c r="ID14" s="139">
        <v>0</v>
      </c>
      <c r="IE14" s="139">
        <v>0</v>
      </c>
      <c r="IF14" s="139">
        <v>0</v>
      </c>
      <c r="IG14" s="139">
        <v>0</v>
      </c>
      <c r="IH14" s="139">
        <v>2228622</v>
      </c>
      <c r="II14" s="139">
        <v>2228622</v>
      </c>
      <c r="IJ14" s="139">
        <v>65243</v>
      </c>
      <c r="IK14" s="139">
        <v>19997</v>
      </c>
      <c r="IL14" s="139">
        <v>10831</v>
      </c>
      <c r="IM14" s="139">
        <v>60810</v>
      </c>
      <c r="IN14" s="139">
        <v>440536</v>
      </c>
      <c r="IO14" s="139">
        <v>597417</v>
      </c>
      <c r="IP14" s="139">
        <v>2380</v>
      </c>
      <c r="IQ14" s="139">
        <v>2210</v>
      </c>
      <c r="IR14" s="139">
        <v>1465</v>
      </c>
      <c r="IS14" s="139">
        <v>8953</v>
      </c>
      <c r="IT14" s="139">
        <v>415974</v>
      </c>
      <c r="IU14" s="139">
        <v>430982</v>
      </c>
      <c r="IV14" s="139">
        <v>98445</v>
      </c>
      <c r="IW14" s="139">
        <v>16325</v>
      </c>
      <c r="IX14" s="139">
        <v>13222</v>
      </c>
      <c r="IY14" s="139">
        <v>99014</v>
      </c>
      <c r="IZ14" s="139">
        <v>1599032</v>
      </c>
      <c r="JA14" s="139">
        <v>1826038</v>
      </c>
      <c r="JB14" s="139">
        <v>6699385</v>
      </c>
      <c r="JC14" s="139">
        <v>1871085</v>
      </c>
      <c r="JD14" s="139">
        <v>1238975</v>
      </c>
      <c r="JE14" s="139">
        <v>8116069</v>
      </c>
      <c r="JF14" s="139">
        <v>13208635</v>
      </c>
      <c r="JG14" s="139">
        <v>31134149</v>
      </c>
      <c r="JH14" s="139">
        <v>0</v>
      </c>
      <c r="JI14" s="139">
        <v>0</v>
      </c>
      <c r="JJ14" s="139">
        <v>0</v>
      </c>
      <c r="JK14" s="139">
        <v>0</v>
      </c>
      <c r="JL14" s="139">
        <v>0</v>
      </c>
      <c r="JM14" s="139">
        <v>0</v>
      </c>
      <c r="JN14" s="139">
        <v>6699385</v>
      </c>
      <c r="JO14" s="139">
        <v>1871085</v>
      </c>
      <c r="JP14" s="139">
        <v>1238975</v>
      </c>
      <c r="JQ14" s="139">
        <v>8116069</v>
      </c>
      <c r="JR14" s="139">
        <v>13208635</v>
      </c>
      <c r="JS14" s="139">
        <v>31134149</v>
      </c>
      <c r="JU14" s="70">
        <f t="shared" si="0"/>
        <v>1285778</v>
      </c>
      <c r="JV14" s="70">
        <f t="shared" si="1"/>
        <v>0</v>
      </c>
      <c r="JW14" s="70">
        <f t="shared" si="2"/>
        <v>8168727</v>
      </c>
      <c r="JX14" s="70">
        <f t="shared" si="3"/>
        <v>0</v>
      </c>
      <c r="JY14" s="70">
        <f t="shared" si="4"/>
        <v>1239655</v>
      </c>
      <c r="JZ14" s="70">
        <f t="shared" si="5"/>
        <v>0</v>
      </c>
      <c r="KA14" s="70">
        <f t="shared" si="6"/>
        <v>600252</v>
      </c>
      <c r="KB14" s="70">
        <f t="shared" si="7"/>
        <v>0</v>
      </c>
      <c r="KC14" s="70">
        <f t="shared" si="8"/>
        <v>169003</v>
      </c>
      <c r="KD14" s="70">
        <f t="shared" si="9"/>
        <v>0</v>
      </c>
      <c r="KE14" s="70">
        <f t="shared" si="10"/>
        <v>0</v>
      </c>
      <c r="KF14" s="70">
        <f t="shared" si="11"/>
        <v>0</v>
      </c>
      <c r="KG14" s="70">
        <f t="shared" si="12"/>
        <v>13581712</v>
      </c>
      <c r="KH14" s="70">
        <f t="shared" si="13"/>
        <v>0</v>
      </c>
      <c r="KI14" s="70">
        <f t="shared" si="14"/>
        <v>2228622</v>
      </c>
      <c r="KJ14" s="70">
        <f t="shared" si="15"/>
        <v>0</v>
      </c>
      <c r="KK14" s="70">
        <f t="shared" si="16"/>
        <v>2505034</v>
      </c>
      <c r="KL14" s="70">
        <f t="shared" si="17"/>
        <v>0</v>
      </c>
      <c r="KM14" s="70">
        <f t="shared" si="18"/>
        <v>0</v>
      </c>
      <c r="KN14" s="70">
        <f t="shared" si="19"/>
        <v>0</v>
      </c>
      <c r="KO14" s="70">
        <f t="shared" si="20"/>
        <v>98499</v>
      </c>
      <c r="KP14" s="70">
        <f t="shared" si="21"/>
        <v>0</v>
      </c>
      <c r="KQ14" s="70">
        <f t="shared" si="22"/>
        <v>793685</v>
      </c>
      <c r="KR14" s="70">
        <f t="shared" si="23"/>
        <v>0</v>
      </c>
      <c r="KS14" s="70">
        <f t="shared" si="24"/>
        <v>249908</v>
      </c>
      <c r="KT14" s="70">
        <f t="shared" si="25"/>
        <v>0</v>
      </c>
      <c r="KU14" s="70">
        <f t="shared" si="26"/>
        <v>156407</v>
      </c>
      <c r="KV14" s="70">
        <f t="shared" si="27"/>
        <v>0</v>
      </c>
      <c r="KW14" s="70">
        <f t="shared" si="28"/>
        <v>200698</v>
      </c>
      <c r="KX14" s="70">
        <f t="shared" si="29"/>
        <v>0</v>
      </c>
      <c r="KY14" s="70">
        <f t="shared" si="30"/>
        <v>31277980</v>
      </c>
      <c r="KZ14" s="70">
        <f t="shared" si="31"/>
        <v>0</v>
      </c>
      <c r="LA14" s="70">
        <f t="shared" si="32"/>
        <v>7635181</v>
      </c>
      <c r="LB14" s="70">
        <f t="shared" si="33"/>
        <v>0</v>
      </c>
      <c r="LC14" s="70">
        <f t="shared" si="34"/>
        <v>579087</v>
      </c>
      <c r="LD14" s="70">
        <f t="shared" si="35"/>
        <v>0</v>
      </c>
      <c r="LE14" s="70">
        <f t="shared" si="36"/>
        <v>3985689</v>
      </c>
      <c r="LF14" s="70">
        <f t="shared" si="37"/>
        <v>0</v>
      </c>
      <c r="LG14" s="70">
        <f t="shared" si="38"/>
        <v>169003</v>
      </c>
      <c r="LH14" s="70">
        <f t="shared" si="39"/>
        <v>0</v>
      </c>
      <c r="LI14" s="70">
        <f t="shared" si="40"/>
        <v>4987646</v>
      </c>
      <c r="LJ14" s="70">
        <f t="shared" si="41"/>
        <v>0</v>
      </c>
      <c r="LK14" s="70">
        <f t="shared" si="42"/>
        <v>0</v>
      </c>
      <c r="LL14" s="70">
        <f t="shared" si="43"/>
        <v>0</v>
      </c>
      <c r="LM14" s="70">
        <f t="shared" si="44"/>
        <v>508352</v>
      </c>
      <c r="LN14" s="70">
        <f t="shared" si="45"/>
        <v>0</v>
      </c>
      <c r="LO14" s="70">
        <f t="shared" si="46"/>
        <v>527129</v>
      </c>
      <c r="LP14" s="70">
        <f t="shared" si="47"/>
        <v>0</v>
      </c>
      <c r="LQ14" s="70">
        <f t="shared" si="48"/>
        <v>3131482</v>
      </c>
      <c r="LR14" s="70">
        <f t="shared" si="49"/>
        <v>0</v>
      </c>
      <c r="LS14" s="70">
        <f t="shared" si="50"/>
        <v>878950</v>
      </c>
      <c r="LT14" s="70">
        <f t="shared" si="51"/>
        <v>0</v>
      </c>
      <c r="LU14" s="70">
        <f t="shared" si="52"/>
        <v>797616</v>
      </c>
      <c r="LV14" s="70">
        <f t="shared" si="53"/>
        <v>0</v>
      </c>
      <c r="LW14" s="70">
        <f t="shared" si="54"/>
        <v>1264377</v>
      </c>
      <c r="LX14" s="70">
        <f t="shared" si="55"/>
        <v>0</v>
      </c>
      <c r="LY14" s="70">
        <f t="shared" si="56"/>
        <v>249908</v>
      </c>
      <c r="LZ14" s="70">
        <f t="shared" si="57"/>
        <v>0</v>
      </c>
      <c r="MA14" s="70">
        <f t="shared" si="58"/>
        <v>1321888</v>
      </c>
      <c r="MB14" s="70">
        <f t="shared" si="59"/>
        <v>0</v>
      </c>
      <c r="MC14" s="70">
        <f t="shared" si="60"/>
        <v>14782</v>
      </c>
      <c r="MD14" s="70">
        <f t="shared" si="61"/>
        <v>0</v>
      </c>
      <c r="ME14" s="70">
        <f t="shared" si="62"/>
        <v>2228622</v>
      </c>
      <c r="MF14" s="70">
        <f t="shared" si="63"/>
        <v>0</v>
      </c>
      <c r="MG14" s="70">
        <f t="shared" si="64"/>
        <v>597417</v>
      </c>
      <c r="MH14" s="70">
        <f t="shared" si="65"/>
        <v>0</v>
      </c>
      <c r="MI14" s="70">
        <f t="shared" si="66"/>
        <v>430982</v>
      </c>
      <c r="MJ14" s="70">
        <f t="shared" si="67"/>
        <v>0</v>
      </c>
      <c r="MK14" s="70">
        <f t="shared" si="68"/>
        <v>1826038</v>
      </c>
      <c r="ML14" s="70">
        <f t="shared" si="69"/>
        <v>0</v>
      </c>
      <c r="MM14" s="70">
        <f t="shared" si="70"/>
        <v>31134149</v>
      </c>
      <c r="MN14" s="70">
        <f t="shared" si="71"/>
        <v>0</v>
      </c>
      <c r="MO14" s="70">
        <f t="shared" si="72"/>
        <v>0</v>
      </c>
      <c r="MP14" s="70">
        <f t="shared" si="73"/>
        <v>0</v>
      </c>
      <c r="MQ14" s="70">
        <f t="shared" si="74"/>
        <v>31134149</v>
      </c>
      <c r="MR14" s="70">
        <f t="shared" si="75"/>
        <v>0</v>
      </c>
      <c r="MT14" s="70">
        <f t="shared" si="76"/>
        <v>0</v>
      </c>
      <c r="MV14" s="68">
        <f t="shared" si="77"/>
        <v>0</v>
      </c>
    </row>
    <row r="15" spans="1:360" x14ac:dyDescent="0.15">
      <c r="A15" s="183" t="s">
        <v>299</v>
      </c>
      <c r="B15" s="76" t="s">
        <v>421</v>
      </c>
      <c r="C15" s="90">
        <v>110635</v>
      </c>
      <c r="D15" s="90">
        <v>2014</v>
      </c>
      <c r="E15" s="90">
        <v>1</v>
      </c>
      <c r="F15" s="91">
        <v>4</v>
      </c>
      <c r="G15" s="92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14"/>
      <c r="AD15" s="114"/>
      <c r="AE15" s="114"/>
      <c r="AF15" s="115"/>
      <c r="AG15" s="115"/>
      <c r="AH15" s="115"/>
      <c r="AI15" s="115"/>
      <c r="AJ15" s="115"/>
      <c r="AK15" s="116"/>
      <c r="AL15" s="115"/>
      <c r="AM15" s="116"/>
      <c r="AN15" s="115"/>
      <c r="AO15" s="116"/>
      <c r="AP15" s="115"/>
      <c r="AQ15" s="116"/>
      <c r="AR15" s="115"/>
      <c r="AS15" s="116"/>
      <c r="AT15" s="115"/>
      <c r="AU15" s="116"/>
      <c r="AV15" s="115"/>
      <c r="AW15" s="116"/>
      <c r="AX15" s="115"/>
      <c r="AY15" s="116"/>
      <c r="AZ15" s="139">
        <v>10340902</v>
      </c>
      <c r="BA15" s="139">
        <v>2507220</v>
      </c>
      <c r="BB15" s="139">
        <v>164965</v>
      </c>
      <c r="BC15" s="139">
        <v>295762</v>
      </c>
      <c r="BD15" s="139">
        <v>910875</v>
      </c>
      <c r="BE15" s="139">
        <v>14219724</v>
      </c>
      <c r="BF15" s="139">
        <v>0</v>
      </c>
      <c r="BG15" s="139">
        <v>0</v>
      </c>
      <c r="BH15" s="139">
        <v>0</v>
      </c>
      <c r="BI15" s="139">
        <v>0</v>
      </c>
      <c r="BJ15" s="139">
        <v>1444374</v>
      </c>
      <c r="BK15" s="139">
        <v>1444374</v>
      </c>
      <c r="BL15" s="139">
        <v>0</v>
      </c>
      <c r="BM15" s="139">
        <v>0</v>
      </c>
      <c r="BN15" s="139">
        <v>0</v>
      </c>
      <c r="BO15" s="139">
        <v>43800</v>
      </c>
      <c r="BP15" s="139">
        <v>0</v>
      </c>
      <c r="BQ15" s="139">
        <v>43800</v>
      </c>
      <c r="BR15" s="139">
        <v>1353325</v>
      </c>
      <c r="BS15" s="139">
        <v>594087</v>
      </c>
      <c r="BT15" s="139">
        <v>133064</v>
      </c>
      <c r="BU15" s="139">
        <v>3568522</v>
      </c>
      <c r="BV15" s="139">
        <v>17044207</v>
      </c>
      <c r="BW15" s="139">
        <v>22693205</v>
      </c>
      <c r="BX15" s="139">
        <v>0</v>
      </c>
      <c r="BY15" s="139">
        <v>0</v>
      </c>
      <c r="BZ15" s="139">
        <v>0</v>
      </c>
      <c r="CA15" s="139">
        <v>0</v>
      </c>
      <c r="CB15" s="139">
        <v>0</v>
      </c>
      <c r="CC15" s="139">
        <v>0</v>
      </c>
      <c r="CD15" s="139">
        <v>0</v>
      </c>
      <c r="CE15" s="139">
        <v>0</v>
      </c>
      <c r="CF15" s="139">
        <v>0</v>
      </c>
      <c r="CG15" s="139">
        <v>0</v>
      </c>
      <c r="CH15" s="139">
        <v>0</v>
      </c>
      <c r="CI15" s="139">
        <v>0</v>
      </c>
      <c r="CJ15" s="139">
        <v>1007</v>
      </c>
      <c r="CK15" s="139">
        <v>0</v>
      </c>
      <c r="CL15" s="139">
        <v>0</v>
      </c>
      <c r="CM15" s="139">
        <v>0</v>
      </c>
      <c r="CN15" s="139">
        <v>3536792</v>
      </c>
      <c r="CO15" s="139">
        <v>3537799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14928246</v>
      </c>
      <c r="CW15" s="139">
        <v>4487475</v>
      </c>
      <c r="CX15" s="139">
        <v>61605</v>
      </c>
      <c r="CY15" s="139">
        <v>149091</v>
      </c>
      <c r="CZ15" s="139">
        <v>2967085</v>
      </c>
      <c r="DA15" s="139">
        <v>22593502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1217936</v>
      </c>
      <c r="DI15" s="139">
        <v>62088</v>
      </c>
      <c r="DJ15" s="139">
        <v>28838</v>
      </c>
      <c r="DK15" s="139">
        <v>16462</v>
      </c>
      <c r="DL15" s="139" t="s">
        <v>298</v>
      </c>
      <c r="DM15" s="139">
        <v>1325324</v>
      </c>
      <c r="DN15" s="139">
        <v>4964488</v>
      </c>
      <c r="DO15" s="139">
        <v>1833964</v>
      </c>
      <c r="DP15" s="139">
        <v>757772</v>
      </c>
      <c r="DQ15" s="139">
        <v>1703627</v>
      </c>
      <c r="DR15" s="139">
        <v>208713</v>
      </c>
      <c r="DS15" s="139">
        <v>9468564</v>
      </c>
      <c r="DT15" s="139">
        <v>0</v>
      </c>
      <c r="DU15" s="139">
        <v>15233</v>
      </c>
      <c r="DV15" s="139">
        <v>4419</v>
      </c>
      <c r="DW15" s="139">
        <v>615246</v>
      </c>
      <c r="DX15" s="139">
        <v>3380</v>
      </c>
      <c r="DY15" s="139">
        <v>638278</v>
      </c>
      <c r="DZ15" s="139">
        <v>360519</v>
      </c>
      <c r="EA15" s="139">
        <v>150463</v>
      </c>
      <c r="EB15" s="139">
        <v>46629</v>
      </c>
      <c r="EC15" s="139">
        <v>3356822</v>
      </c>
      <c r="ED15" s="139">
        <v>9444366</v>
      </c>
      <c r="EE15" s="139">
        <v>13358799</v>
      </c>
      <c r="EF15" s="139">
        <v>98881</v>
      </c>
      <c r="EG15" s="139">
        <v>7834</v>
      </c>
      <c r="EH15" s="139">
        <v>17208</v>
      </c>
      <c r="EI15" s="139">
        <v>141055</v>
      </c>
      <c r="EJ15" s="139">
        <v>673795</v>
      </c>
      <c r="EK15" s="139">
        <v>938773</v>
      </c>
      <c r="EL15" s="139">
        <v>33265304</v>
      </c>
      <c r="EM15" s="139">
        <v>9658364</v>
      </c>
      <c r="EN15" s="139">
        <v>1214500</v>
      </c>
      <c r="EO15" s="139">
        <v>9890387</v>
      </c>
      <c r="EP15" s="139">
        <v>36233587</v>
      </c>
      <c r="EQ15" s="139">
        <v>90262142</v>
      </c>
      <c r="ER15" s="139">
        <v>2935010</v>
      </c>
      <c r="ES15" s="139">
        <v>471582</v>
      </c>
      <c r="ET15" s="139">
        <v>429391</v>
      </c>
      <c r="EU15" s="139">
        <v>5981881</v>
      </c>
      <c r="EV15" s="139">
        <v>47009</v>
      </c>
      <c r="EW15" s="139">
        <v>9864873</v>
      </c>
      <c r="EX15" s="139">
        <v>925000</v>
      </c>
      <c r="EY15" s="139">
        <v>491500</v>
      </c>
      <c r="EZ15" s="139">
        <v>25000</v>
      </c>
      <c r="FA15" s="139">
        <v>75655</v>
      </c>
      <c r="FB15" s="139">
        <v>0</v>
      </c>
      <c r="FC15" s="139">
        <v>1517155</v>
      </c>
      <c r="FD15" s="139">
        <v>4510260</v>
      </c>
      <c r="FE15" s="139">
        <v>2365656</v>
      </c>
      <c r="FF15" s="139">
        <v>1102183</v>
      </c>
      <c r="FG15" s="139">
        <v>6671291</v>
      </c>
      <c r="FH15" s="139">
        <v>19664</v>
      </c>
      <c r="FI15" s="139">
        <v>14669054</v>
      </c>
      <c r="FJ15" s="139">
        <v>0</v>
      </c>
      <c r="FK15" s="139">
        <v>0</v>
      </c>
      <c r="FL15" s="139">
        <v>0</v>
      </c>
      <c r="FM15" s="139">
        <v>0</v>
      </c>
      <c r="FN15" s="139">
        <v>0</v>
      </c>
      <c r="FO15" s="139">
        <v>0</v>
      </c>
      <c r="FP15" s="139">
        <v>1540947</v>
      </c>
      <c r="FQ15" s="139">
        <v>396006</v>
      </c>
      <c r="FR15" s="139">
        <v>272190</v>
      </c>
      <c r="FS15" s="139">
        <v>554480</v>
      </c>
      <c r="FT15" s="139">
        <v>14486575</v>
      </c>
      <c r="FU15" s="139">
        <v>17250198</v>
      </c>
      <c r="FV15" s="139">
        <v>0</v>
      </c>
      <c r="FW15" s="139">
        <v>0</v>
      </c>
      <c r="FX15" s="139">
        <v>0</v>
      </c>
      <c r="FY15" s="139">
        <v>0</v>
      </c>
      <c r="FZ15" s="139">
        <v>0</v>
      </c>
      <c r="GA15" s="139">
        <v>0</v>
      </c>
      <c r="GB15" s="139">
        <v>2131995</v>
      </c>
      <c r="GC15" s="139">
        <v>41243</v>
      </c>
      <c r="GD15" s="139">
        <v>0</v>
      </c>
      <c r="GE15" s="139">
        <v>0</v>
      </c>
      <c r="GF15" s="139">
        <v>230042</v>
      </c>
      <c r="GG15" s="139">
        <v>2403280</v>
      </c>
      <c r="GH15" s="139">
        <v>447999</v>
      </c>
      <c r="GI15" s="139">
        <v>116868</v>
      </c>
      <c r="GJ15" s="139">
        <v>101962</v>
      </c>
      <c r="GK15" s="139">
        <v>387842</v>
      </c>
      <c r="GL15" s="139">
        <v>87912</v>
      </c>
      <c r="GM15" s="139">
        <v>1142583</v>
      </c>
      <c r="GN15" s="139">
        <v>1493533</v>
      </c>
      <c r="GO15" s="139">
        <v>543626</v>
      </c>
      <c r="GP15" s="139">
        <v>412756</v>
      </c>
      <c r="GQ15" s="139">
        <v>3476354</v>
      </c>
      <c r="GR15" s="139">
        <v>190668</v>
      </c>
      <c r="GS15" s="139">
        <v>6116937</v>
      </c>
      <c r="GT15" s="139">
        <v>1213223</v>
      </c>
      <c r="GU15" s="139">
        <v>141153</v>
      </c>
      <c r="GV15" s="139">
        <v>101935</v>
      </c>
      <c r="GW15" s="139">
        <v>1680697</v>
      </c>
      <c r="GX15" s="139">
        <v>66079</v>
      </c>
      <c r="GY15" s="139">
        <v>3203087</v>
      </c>
      <c r="GZ15" s="139">
        <v>2548475</v>
      </c>
      <c r="HA15" s="139">
        <v>330899</v>
      </c>
      <c r="HB15" s="139">
        <v>179561</v>
      </c>
      <c r="HC15" s="139">
        <v>537904</v>
      </c>
      <c r="HD15" s="139">
        <v>5996</v>
      </c>
      <c r="HE15" s="139">
        <v>3602835</v>
      </c>
      <c r="HF15" s="139">
        <v>1278732</v>
      </c>
      <c r="HG15" s="139">
        <v>517845</v>
      </c>
      <c r="HH15" s="139">
        <v>137303</v>
      </c>
      <c r="HI15" s="139">
        <v>296143</v>
      </c>
      <c r="HJ15" s="139">
        <v>1941592</v>
      </c>
      <c r="HK15" s="139">
        <v>4171615</v>
      </c>
      <c r="HL15" s="139">
        <v>0</v>
      </c>
      <c r="HM15" s="139">
        <v>0</v>
      </c>
      <c r="HN15" s="139">
        <v>0</v>
      </c>
      <c r="HO15" s="139">
        <v>331339</v>
      </c>
      <c r="HP15" s="139">
        <v>18537</v>
      </c>
      <c r="HQ15" s="139">
        <v>349876</v>
      </c>
      <c r="HR15" s="139">
        <v>108972</v>
      </c>
      <c r="HS15" s="139">
        <v>49235</v>
      </c>
      <c r="HT15" s="139">
        <v>8760</v>
      </c>
      <c r="HU15" s="139">
        <v>530836</v>
      </c>
      <c r="HV15" s="139">
        <v>3748337</v>
      </c>
      <c r="HW15" s="139">
        <v>4446140</v>
      </c>
      <c r="HX15" s="139">
        <v>14497</v>
      </c>
      <c r="HY15" s="139">
        <v>1044</v>
      </c>
      <c r="HZ15" s="139">
        <v>14803</v>
      </c>
      <c r="IA15" s="139">
        <v>0</v>
      </c>
      <c r="IB15" s="139">
        <v>118868</v>
      </c>
      <c r="IC15" s="139">
        <v>149212</v>
      </c>
      <c r="ID15" s="139">
        <v>0</v>
      </c>
      <c r="IE15" s="139">
        <v>0</v>
      </c>
      <c r="IF15" s="139">
        <v>0</v>
      </c>
      <c r="IG15" s="139">
        <v>0</v>
      </c>
      <c r="IH15" s="139">
        <v>0</v>
      </c>
      <c r="II15" s="139">
        <v>0</v>
      </c>
      <c r="IJ15" s="139">
        <v>223655</v>
      </c>
      <c r="IK15" s="139">
        <v>12529</v>
      </c>
      <c r="IL15" s="139">
        <v>19140</v>
      </c>
      <c r="IM15" s="139">
        <v>559431</v>
      </c>
      <c r="IN15" s="139">
        <v>614761</v>
      </c>
      <c r="IO15" s="139">
        <v>1429516</v>
      </c>
      <c r="IP15" s="139">
        <v>920</v>
      </c>
      <c r="IQ15" s="139">
        <v>250</v>
      </c>
      <c r="IR15" s="139">
        <v>787</v>
      </c>
      <c r="IS15" s="139">
        <v>31740</v>
      </c>
      <c r="IT15" s="139">
        <v>15398</v>
      </c>
      <c r="IU15" s="139">
        <v>49095</v>
      </c>
      <c r="IV15" s="139">
        <v>823693</v>
      </c>
      <c r="IW15" s="139">
        <v>225423</v>
      </c>
      <c r="IX15" s="139">
        <v>143470</v>
      </c>
      <c r="IY15" s="139">
        <v>281856</v>
      </c>
      <c r="IZ15" s="139">
        <v>1122886</v>
      </c>
      <c r="JA15" s="139">
        <v>2597328</v>
      </c>
      <c r="JB15" s="139">
        <v>22176916</v>
      </c>
      <c r="JC15" s="139">
        <v>6287360</v>
      </c>
      <c r="JD15" s="139">
        <v>2999691</v>
      </c>
      <c r="JE15" s="139">
        <v>21520664</v>
      </c>
      <c r="JF15" s="139">
        <v>23461640</v>
      </c>
      <c r="JG15" s="139">
        <v>76446271</v>
      </c>
      <c r="JH15" s="139">
        <v>1980005</v>
      </c>
      <c r="JI15" s="139">
        <v>582501</v>
      </c>
      <c r="JJ15" s="139">
        <v>50450</v>
      </c>
      <c r="JK15" s="139">
        <v>123215</v>
      </c>
      <c r="JL15" s="139">
        <v>747316</v>
      </c>
      <c r="JM15" s="139">
        <v>3483487</v>
      </c>
      <c r="JN15" s="141">
        <v>22176916</v>
      </c>
      <c r="JO15" s="141">
        <v>6287360</v>
      </c>
      <c r="JP15" s="141">
        <v>2999691</v>
      </c>
      <c r="JQ15" s="141">
        <v>21520664</v>
      </c>
      <c r="JR15" s="141">
        <v>23461640</v>
      </c>
      <c r="JS15" s="141">
        <v>76446271</v>
      </c>
      <c r="JU15" s="70">
        <f t="shared" si="0"/>
        <v>14219724</v>
      </c>
      <c r="JV15" s="70">
        <f t="shared" si="1"/>
        <v>0</v>
      </c>
      <c r="JW15" s="70">
        <f t="shared" si="2"/>
        <v>1444374</v>
      </c>
      <c r="JX15" s="70">
        <f t="shared" si="3"/>
        <v>0</v>
      </c>
      <c r="JY15" s="70">
        <f t="shared" si="4"/>
        <v>43800</v>
      </c>
      <c r="JZ15" s="70">
        <f t="shared" si="5"/>
        <v>0</v>
      </c>
      <c r="KA15" s="70">
        <f t="shared" si="6"/>
        <v>22693205</v>
      </c>
      <c r="KB15" s="70">
        <f t="shared" si="7"/>
        <v>0</v>
      </c>
      <c r="KC15" s="70">
        <f t="shared" si="8"/>
        <v>0</v>
      </c>
      <c r="KD15" s="70">
        <f t="shared" si="9"/>
        <v>0</v>
      </c>
      <c r="KE15" s="70">
        <f t="shared" si="10"/>
        <v>0</v>
      </c>
      <c r="KF15" s="70">
        <f t="shared" si="11"/>
        <v>0</v>
      </c>
      <c r="KG15" s="70">
        <f t="shared" si="12"/>
        <v>3537799</v>
      </c>
      <c r="KH15" s="70">
        <f t="shared" si="13"/>
        <v>0</v>
      </c>
      <c r="KI15" s="70">
        <f t="shared" si="14"/>
        <v>0</v>
      </c>
      <c r="KJ15" s="70">
        <f t="shared" si="15"/>
        <v>0</v>
      </c>
      <c r="KK15" s="70">
        <f t="shared" si="16"/>
        <v>22593502</v>
      </c>
      <c r="KL15" s="70">
        <f t="shared" si="17"/>
        <v>0</v>
      </c>
      <c r="KM15" s="70">
        <f t="shared" si="18"/>
        <v>0</v>
      </c>
      <c r="KN15" s="70">
        <f t="shared" si="19"/>
        <v>0</v>
      </c>
      <c r="KO15" s="70">
        <f t="shared" si="20"/>
        <v>1325324</v>
      </c>
      <c r="KP15" s="70">
        <f t="shared" si="21"/>
        <v>0</v>
      </c>
      <c r="KQ15" s="70">
        <f t="shared" si="22"/>
        <v>9468564</v>
      </c>
      <c r="KR15" s="70">
        <f t="shared" si="23"/>
        <v>0</v>
      </c>
      <c r="KS15" s="70">
        <f t="shared" si="24"/>
        <v>638278</v>
      </c>
      <c r="KT15" s="70">
        <f t="shared" si="25"/>
        <v>0</v>
      </c>
      <c r="KU15" s="70">
        <f t="shared" si="26"/>
        <v>13358799</v>
      </c>
      <c r="KV15" s="70">
        <f t="shared" si="27"/>
        <v>0</v>
      </c>
      <c r="KW15" s="70">
        <f t="shared" si="28"/>
        <v>938773</v>
      </c>
      <c r="KX15" s="70">
        <f t="shared" si="29"/>
        <v>0</v>
      </c>
      <c r="KY15" s="70">
        <f t="shared" si="30"/>
        <v>90262142</v>
      </c>
      <c r="KZ15" s="70">
        <f t="shared" si="31"/>
        <v>0</v>
      </c>
      <c r="LA15" s="70">
        <f t="shared" si="32"/>
        <v>9864873</v>
      </c>
      <c r="LB15" s="70">
        <f t="shared" si="33"/>
        <v>0</v>
      </c>
      <c r="LC15" s="70">
        <f t="shared" si="34"/>
        <v>1517155</v>
      </c>
      <c r="LD15" s="70">
        <f t="shared" si="35"/>
        <v>0</v>
      </c>
      <c r="LE15" s="70">
        <f t="shared" si="36"/>
        <v>14669054</v>
      </c>
      <c r="LF15" s="70">
        <f t="shared" si="37"/>
        <v>0</v>
      </c>
      <c r="LG15" s="70">
        <f>SUM(FP15:FT15)</f>
        <v>17250198</v>
      </c>
      <c r="LH15" s="70">
        <f>FU15-LG15</f>
        <v>0</v>
      </c>
      <c r="LI15" s="70">
        <f t="shared" si="40"/>
        <v>17250198</v>
      </c>
      <c r="LJ15" s="70">
        <f t="shared" si="41"/>
        <v>0</v>
      </c>
      <c r="LK15" s="70">
        <f t="shared" si="42"/>
        <v>0</v>
      </c>
      <c r="LL15" s="70">
        <f t="shared" si="43"/>
        <v>0</v>
      </c>
      <c r="LM15" s="70">
        <f t="shared" si="44"/>
        <v>2403280</v>
      </c>
      <c r="LN15" s="70">
        <f t="shared" si="45"/>
        <v>0</v>
      </c>
      <c r="LO15" s="70">
        <f t="shared" si="46"/>
        <v>1142583</v>
      </c>
      <c r="LP15" s="70">
        <f t="shared" si="47"/>
        <v>0</v>
      </c>
      <c r="LQ15" s="70">
        <f t="shared" si="48"/>
        <v>6116937</v>
      </c>
      <c r="LR15" s="70">
        <f t="shared" si="49"/>
        <v>0</v>
      </c>
      <c r="LS15" s="70">
        <f t="shared" si="50"/>
        <v>3203087</v>
      </c>
      <c r="LT15" s="70">
        <f t="shared" si="51"/>
        <v>0</v>
      </c>
      <c r="LU15" s="70">
        <f t="shared" si="52"/>
        <v>3602835</v>
      </c>
      <c r="LV15" s="70">
        <f t="shared" si="53"/>
        <v>0</v>
      </c>
      <c r="LW15" s="70">
        <f t="shared" si="54"/>
        <v>4171615</v>
      </c>
      <c r="LX15" s="70">
        <f t="shared" si="55"/>
        <v>0</v>
      </c>
      <c r="LY15" s="70">
        <f t="shared" si="56"/>
        <v>349876</v>
      </c>
      <c r="LZ15" s="70">
        <f t="shared" si="57"/>
        <v>0</v>
      </c>
      <c r="MA15" s="70">
        <f t="shared" si="58"/>
        <v>4446140</v>
      </c>
      <c r="MB15" s="70">
        <f t="shared" si="59"/>
        <v>0</v>
      </c>
      <c r="MC15" s="70">
        <f t="shared" si="60"/>
        <v>149212</v>
      </c>
      <c r="MD15" s="70">
        <f t="shared" si="61"/>
        <v>0</v>
      </c>
      <c r="ME15" s="70">
        <f t="shared" si="62"/>
        <v>0</v>
      </c>
      <c r="MF15" s="70">
        <f t="shared" si="63"/>
        <v>0</v>
      </c>
      <c r="MG15" s="70">
        <f t="shared" si="64"/>
        <v>1429516</v>
      </c>
      <c r="MH15" s="70">
        <f t="shared" si="65"/>
        <v>0</v>
      </c>
      <c r="MI15" s="70">
        <f t="shared" si="66"/>
        <v>49095</v>
      </c>
      <c r="MJ15" s="70">
        <f t="shared" si="67"/>
        <v>0</v>
      </c>
      <c r="MK15" s="70">
        <f t="shared" si="68"/>
        <v>2597328</v>
      </c>
      <c r="ML15" s="70">
        <f t="shared" si="69"/>
        <v>0</v>
      </c>
      <c r="MM15" s="70">
        <f t="shared" si="70"/>
        <v>76446271</v>
      </c>
      <c r="MN15" s="70">
        <f t="shared" si="71"/>
        <v>0</v>
      </c>
      <c r="MO15" s="70">
        <f t="shared" si="72"/>
        <v>3483487</v>
      </c>
      <c r="MP15" s="70">
        <f t="shared" si="73"/>
        <v>0</v>
      </c>
      <c r="MQ15" s="70">
        <f t="shared" si="74"/>
        <v>76446271</v>
      </c>
      <c r="MR15" s="70">
        <f t="shared" si="75"/>
        <v>0</v>
      </c>
      <c r="MT15" s="70">
        <f t="shared" si="76"/>
        <v>0</v>
      </c>
      <c r="MV15" s="68">
        <f t="shared" si="77"/>
        <v>0</v>
      </c>
    </row>
    <row r="16" spans="1:360" x14ac:dyDescent="0.15">
      <c r="A16" s="182" t="s">
        <v>277</v>
      </c>
      <c r="B16" s="76" t="s">
        <v>422</v>
      </c>
      <c r="C16" s="90">
        <v>169248</v>
      </c>
      <c r="D16" s="90">
        <v>2014</v>
      </c>
      <c r="E16" s="90">
        <v>1</v>
      </c>
      <c r="F16" s="91">
        <v>9</v>
      </c>
      <c r="G16" s="92">
        <v>8974</v>
      </c>
      <c r="H16" s="92">
        <v>10394</v>
      </c>
      <c r="I16" s="93">
        <v>439118087</v>
      </c>
      <c r="J16" s="93">
        <v>417668905</v>
      </c>
      <c r="K16" s="93">
        <v>1841235</v>
      </c>
      <c r="L16" s="93">
        <v>1842315</v>
      </c>
      <c r="M16" s="93">
        <v>13126293</v>
      </c>
      <c r="N16" s="93">
        <v>13702817</v>
      </c>
      <c r="O16" s="93">
        <v>17985068</v>
      </c>
      <c r="P16" s="93">
        <v>20398914</v>
      </c>
      <c r="Q16" s="93">
        <v>133354929</v>
      </c>
      <c r="R16" s="93">
        <v>142881234</v>
      </c>
      <c r="S16" s="93">
        <v>302475944</v>
      </c>
      <c r="T16" s="93">
        <v>84572670</v>
      </c>
      <c r="U16" s="93">
        <v>20564</v>
      </c>
      <c r="V16" s="93">
        <v>20126</v>
      </c>
      <c r="W16" s="93">
        <v>33014</v>
      </c>
      <c r="X16" s="93">
        <v>32846</v>
      </c>
      <c r="Y16" s="93">
        <v>22004</v>
      </c>
      <c r="Z16" s="93">
        <v>21568</v>
      </c>
      <c r="AA16" s="93">
        <v>35444</v>
      </c>
      <c r="AB16" s="93">
        <v>34288</v>
      </c>
      <c r="AC16" s="114">
        <v>7</v>
      </c>
      <c r="AD16" s="114">
        <v>10</v>
      </c>
      <c r="AE16" s="114">
        <v>0</v>
      </c>
      <c r="AF16" s="115">
        <v>2982712</v>
      </c>
      <c r="AG16" s="115">
        <v>2526972</v>
      </c>
      <c r="AH16" s="115">
        <v>350148</v>
      </c>
      <c r="AI16" s="115">
        <v>173303</v>
      </c>
      <c r="AJ16" s="115">
        <v>231081</v>
      </c>
      <c r="AK16" s="116">
        <v>5</v>
      </c>
      <c r="AL16" s="115">
        <v>231081</v>
      </c>
      <c r="AM16" s="116">
        <v>5</v>
      </c>
      <c r="AN16" s="115">
        <v>137424</v>
      </c>
      <c r="AO16" s="116">
        <v>8</v>
      </c>
      <c r="AP16" s="115">
        <v>137424</v>
      </c>
      <c r="AQ16" s="116">
        <v>8</v>
      </c>
      <c r="AR16" s="115">
        <v>104031</v>
      </c>
      <c r="AS16" s="116">
        <v>21</v>
      </c>
      <c r="AT16" s="115">
        <v>104031</v>
      </c>
      <c r="AU16" s="116">
        <v>21</v>
      </c>
      <c r="AV16" s="115">
        <v>64400</v>
      </c>
      <c r="AW16" s="116">
        <v>14</v>
      </c>
      <c r="AX16" s="115">
        <v>64400</v>
      </c>
      <c r="AY16" s="116">
        <v>14</v>
      </c>
      <c r="AZ16" s="142">
        <v>499226</v>
      </c>
      <c r="BA16" s="142">
        <v>56394</v>
      </c>
      <c r="BB16" s="142">
        <v>20421</v>
      </c>
      <c r="BC16" s="142">
        <v>51931</v>
      </c>
      <c r="BD16" s="142">
        <v>63201</v>
      </c>
      <c r="BE16" s="142">
        <v>691173</v>
      </c>
      <c r="BF16" s="139">
        <v>0</v>
      </c>
      <c r="BG16" s="139">
        <v>0</v>
      </c>
      <c r="BH16" s="139">
        <v>0</v>
      </c>
      <c r="BI16" s="139">
        <v>0</v>
      </c>
      <c r="BJ16" s="139">
        <v>0</v>
      </c>
      <c r="BK16" s="139">
        <v>0</v>
      </c>
      <c r="BL16" s="142">
        <v>2625000</v>
      </c>
      <c r="BM16" s="142">
        <v>120000</v>
      </c>
      <c r="BN16" s="142">
        <v>25000</v>
      </c>
      <c r="BO16" s="142">
        <v>59750</v>
      </c>
      <c r="BP16" s="142">
        <v>0</v>
      </c>
      <c r="BQ16" s="142">
        <v>2829750</v>
      </c>
      <c r="BR16" s="142">
        <v>488670</v>
      </c>
      <c r="BS16" s="142">
        <v>69752</v>
      </c>
      <c r="BT16" s="142">
        <v>46750</v>
      </c>
      <c r="BU16" s="142">
        <v>384269</v>
      </c>
      <c r="BV16" s="142">
        <v>264192</v>
      </c>
      <c r="BW16" s="142">
        <v>1253633</v>
      </c>
      <c r="BX16" s="139">
        <v>0</v>
      </c>
      <c r="BY16" s="139">
        <v>0</v>
      </c>
      <c r="BZ16" s="139">
        <v>0</v>
      </c>
      <c r="CA16" s="139">
        <v>0</v>
      </c>
      <c r="CB16" s="139">
        <v>0</v>
      </c>
      <c r="CC16" s="139">
        <v>0</v>
      </c>
      <c r="CD16" s="139">
        <v>0</v>
      </c>
      <c r="CE16" s="139">
        <v>0</v>
      </c>
      <c r="CF16" s="139">
        <v>0</v>
      </c>
      <c r="CG16" s="139">
        <v>0</v>
      </c>
      <c r="CH16" s="139">
        <v>0</v>
      </c>
      <c r="CI16" s="139">
        <v>0</v>
      </c>
      <c r="CJ16" s="142">
        <v>35797</v>
      </c>
      <c r="CK16" s="142">
        <v>8549</v>
      </c>
      <c r="CL16" s="142">
        <v>11383</v>
      </c>
      <c r="CM16" s="142">
        <v>47245</v>
      </c>
      <c r="CN16" s="142">
        <v>21502639</v>
      </c>
      <c r="CO16" s="142">
        <v>21605613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42">
        <v>3691</v>
      </c>
      <c r="CW16" s="142">
        <v>0</v>
      </c>
      <c r="CX16" s="142">
        <v>0</v>
      </c>
      <c r="CY16" s="142">
        <v>0</v>
      </c>
      <c r="CZ16" s="142">
        <v>928873</v>
      </c>
      <c r="DA16" s="142">
        <v>932564</v>
      </c>
      <c r="DB16" s="139">
        <v>0</v>
      </c>
      <c r="DC16" s="139">
        <v>0</v>
      </c>
      <c r="DD16" s="139">
        <v>0</v>
      </c>
      <c r="DE16" s="139">
        <v>0</v>
      </c>
      <c r="DF16" s="139">
        <v>29379</v>
      </c>
      <c r="DG16" s="139">
        <v>29379</v>
      </c>
      <c r="DH16" s="142">
        <v>92707</v>
      </c>
      <c r="DI16" s="142">
        <v>4285</v>
      </c>
      <c r="DJ16" s="142">
        <v>2366</v>
      </c>
      <c r="DK16" s="142">
        <v>35190</v>
      </c>
      <c r="DL16" s="142">
        <v>23066</v>
      </c>
      <c r="DM16" s="142">
        <v>157614</v>
      </c>
      <c r="DN16" s="142">
        <v>0</v>
      </c>
      <c r="DO16" s="142">
        <v>0</v>
      </c>
      <c r="DP16" s="142">
        <v>0</v>
      </c>
      <c r="DQ16" s="142">
        <v>0</v>
      </c>
      <c r="DR16" s="142">
        <v>265700</v>
      </c>
      <c r="DS16" s="142">
        <v>265700</v>
      </c>
      <c r="DT16" s="142">
        <v>41873</v>
      </c>
      <c r="DU16" s="142">
        <v>153463</v>
      </c>
      <c r="DV16" s="142">
        <v>67813</v>
      </c>
      <c r="DW16" s="142">
        <v>414045</v>
      </c>
      <c r="DX16" s="142">
        <v>-43717</v>
      </c>
      <c r="DY16" s="142">
        <v>633477</v>
      </c>
      <c r="DZ16" s="142">
        <v>92721</v>
      </c>
      <c r="EA16" s="142">
        <v>0</v>
      </c>
      <c r="EB16" s="142">
        <v>20865</v>
      </c>
      <c r="EC16" s="142">
        <v>270222</v>
      </c>
      <c r="ED16" s="142">
        <v>475361</v>
      </c>
      <c r="EE16" s="142">
        <v>859169</v>
      </c>
      <c r="EF16" s="142">
        <v>20243</v>
      </c>
      <c r="EG16" s="142">
        <v>0</v>
      </c>
      <c r="EH16" s="142">
        <v>0</v>
      </c>
      <c r="EI16" s="142">
        <v>1093</v>
      </c>
      <c r="EJ16" s="142">
        <v>2369</v>
      </c>
      <c r="EK16" s="142">
        <v>23705</v>
      </c>
      <c r="EL16" s="142">
        <v>3899928</v>
      </c>
      <c r="EM16" s="142">
        <v>412443</v>
      </c>
      <c r="EN16" s="142">
        <v>194598</v>
      </c>
      <c r="EO16" s="142">
        <v>1126123</v>
      </c>
      <c r="EP16" s="142">
        <v>23648685</v>
      </c>
      <c r="EQ16" s="142">
        <v>29281777</v>
      </c>
      <c r="ER16" s="142">
        <v>1816113</v>
      </c>
      <c r="ES16" s="142">
        <v>327409</v>
      </c>
      <c r="ET16" s="142">
        <v>346934</v>
      </c>
      <c r="EU16" s="142">
        <v>2845091</v>
      </c>
      <c r="EV16" s="142">
        <v>174137</v>
      </c>
      <c r="EW16" s="142">
        <v>5509684</v>
      </c>
      <c r="EX16" s="142">
        <v>345000</v>
      </c>
      <c r="EY16" s="142">
        <v>68500</v>
      </c>
      <c r="EZ16" s="142">
        <v>0</v>
      </c>
      <c r="FA16" s="142">
        <v>0</v>
      </c>
      <c r="FB16" s="142">
        <v>0</v>
      </c>
      <c r="FC16" s="142">
        <v>413500</v>
      </c>
      <c r="FD16" s="142">
        <v>1483658</v>
      </c>
      <c r="FE16" s="142">
        <v>752232</v>
      </c>
      <c r="FF16" s="142">
        <v>557245</v>
      </c>
      <c r="FG16" s="142">
        <v>2550741</v>
      </c>
      <c r="FH16" s="142">
        <v>0</v>
      </c>
      <c r="FI16" s="142">
        <v>5343876</v>
      </c>
      <c r="FJ16" s="139">
        <v>0</v>
      </c>
      <c r="FK16" s="139">
        <v>0</v>
      </c>
      <c r="FL16" s="139">
        <v>0</v>
      </c>
      <c r="FM16" s="139">
        <v>0</v>
      </c>
      <c r="FN16" s="139">
        <v>0</v>
      </c>
      <c r="FO16" s="139">
        <v>0</v>
      </c>
      <c r="FP16" s="142">
        <v>318337</v>
      </c>
      <c r="FQ16" s="142">
        <v>78937</v>
      </c>
      <c r="FR16" s="142">
        <v>61984</v>
      </c>
      <c r="FS16" s="142">
        <v>240431</v>
      </c>
      <c r="FT16" s="142">
        <v>3551040</v>
      </c>
      <c r="FU16" s="142">
        <v>4250729</v>
      </c>
      <c r="FV16" s="139">
        <v>0</v>
      </c>
      <c r="FW16" s="139">
        <v>0</v>
      </c>
      <c r="FX16" s="139">
        <v>0</v>
      </c>
      <c r="FY16" s="139">
        <v>0</v>
      </c>
      <c r="FZ16" s="139">
        <v>0</v>
      </c>
      <c r="GA16" s="139">
        <v>0</v>
      </c>
      <c r="GB16" s="139">
        <v>0</v>
      </c>
      <c r="GC16" s="139">
        <v>0</v>
      </c>
      <c r="GD16" s="139">
        <v>0</v>
      </c>
      <c r="GE16" s="139">
        <v>0</v>
      </c>
      <c r="GF16" s="139">
        <v>0</v>
      </c>
      <c r="GG16" s="139">
        <v>0</v>
      </c>
      <c r="GH16" s="139">
        <v>199220</v>
      </c>
      <c r="GI16" s="139">
        <v>76071</v>
      </c>
      <c r="GJ16" s="139">
        <v>52768</v>
      </c>
      <c r="GK16" s="139">
        <v>195428</v>
      </c>
      <c r="GL16" s="139">
        <v>143301</v>
      </c>
      <c r="GM16" s="139">
        <v>666788</v>
      </c>
      <c r="GN16" s="139">
        <v>572730</v>
      </c>
      <c r="GO16" s="139">
        <v>170740</v>
      </c>
      <c r="GP16" s="139">
        <v>211949</v>
      </c>
      <c r="GQ16" s="139">
        <v>879031</v>
      </c>
      <c r="GR16" s="139">
        <v>113079</v>
      </c>
      <c r="GS16" s="139">
        <v>1947529</v>
      </c>
      <c r="GT16" s="139">
        <v>241748</v>
      </c>
      <c r="GU16" s="139">
        <v>29708</v>
      </c>
      <c r="GV16" s="139">
        <v>31007</v>
      </c>
      <c r="GW16" s="139">
        <v>261328</v>
      </c>
      <c r="GX16" s="139">
        <v>788353</v>
      </c>
      <c r="GY16" s="139">
        <v>1352144</v>
      </c>
      <c r="GZ16" s="139">
        <v>205497</v>
      </c>
      <c r="HA16" s="139">
        <v>129331</v>
      </c>
      <c r="HB16" s="139">
        <v>47336</v>
      </c>
      <c r="HC16" s="139">
        <v>101835</v>
      </c>
      <c r="HD16" s="139">
        <v>351570</v>
      </c>
      <c r="HE16" s="139">
        <v>835569</v>
      </c>
      <c r="HF16" s="139">
        <v>61122</v>
      </c>
      <c r="HG16" s="139">
        <v>6165</v>
      </c>
      <c r="HH16" s="139">
        <v>7184</v>
      </c>
      <c r="HI16" s="139">
        <v>28538</v>
      </c>
      <c r="HJ16" s="139">
        <v>303221</v>
      </c>
      <c r="HK16" s="139">
        <v>406230</v>
      </c>
      <c r="HL16" s="139">
        <v>0</v>
      </c>
      <c r="HM16" s="139">
        <v>0</v>
      </c>
      <c r="HN16" s="139">
        <v>0</v>
      </c>
      <c r="HO16" s="139">
        <v>0</v>
      </c>
      <c r="HP16" s="139">
        <v>0</v>
      </c>
      <c r="HQ16" s="139">
        <v>0</v>
      </c>
      <c r="HR16" s="139">
        <v>96680</v>
      </c>
      <c r="HS16" s="139">
        <v>3732</v>
      </c>
      <c r="HT16" s="139">
        <v>28790</v>
      </c>
      <c r="HU16" s="139">
        <v>256036</v>
      </c>
      <c r="HV16" s="139">
        <v>4693766</v>
      </c>
      <c r="HW16" s="139">
        <v>5079004</v>
      </c>
      <c r="HX16" s="139">
        <v>0</v>
      </c>
      <c r="HY16" s="139">
        <v>0</v>
      </c>
      <c r="HZ16" s="139">
        <v>0</v>
      </c>
      <c r="IA16" s="139">
        <v>0</v>
      </c>
      <c r="IB16" s="139">
        <v>0</v>
      </c>
      <c r="IC16" s="139">
        <v>0</v>
      </c>
      <c r="ID16" s="139">
        <v>0</v>
      </c>
      <c r="IE16" s="139">
        <v>0</v>
      </c>
      <c r="IF16" s="139">
        <v>0</v>
      </c>
      <c r="IG16" s="139">
        <v>0</v>
      </c>
      <c r="IH16" s="139">
        <v>0</v>
      </c>
      <c r="II16" s="139">
        <v>0</v>
      </c>
      <c r="IJ16" s="139">
        <v>64987</v>
      </c>
      <c r="IK16" s="139">
        <v>0</v>
      </c>
      <c r="IL16" s="139">
        <v>0</v>
      </c>
      <c r="IM16" s="139">
        <v>5000</v>
      </c>
      <c r="IN16" s="139">
        <v>329692</v>
      </c>
      <c r="IO16" s="139">
        <v>399679</v>
      </c>
      <c r="IP16" s="139">
        <v>1460</v>
      </c>
      <c r="IQ16" s="139">
        <v>1201</v>
      </c>
      <c r="IR16" s="139">
        <v>1980</v>
      </c>
      <c r="IS16" s="139">
        <v>8687</v>
      </c>
      <c r="IT16" s="139">
        <v>149227</v>
      </c>
      <c r="IU16" s="139">
        <v>162555</v>
      </c>
      <c r="IV16" s="139">
        <v>249473</v>
      </c>
      <c r="IW16" s="139">
        <v>40568</v>
      </c>
      <c r="IX16" s="139">
        <v>23032</v>
      </c>
      <c r="IY16" s="139">
        <v>2345317</v>
      </c>
      <c r="IZ16" s="139">
        <v>256100</v>
      </c>
      <c r="JA16" s="139">
        <v>2914490</v>
      </c>
      <c r="JB16" s="139">
        <v>5995025</v>
      </c>
      <c r="JC16" s="139">
        <v>1754614</v>
      </c>
      <c r="JD16" s="139">
        <v>1370209</v>
      </c>
      <c r="JE16" s="139">
        <v>20161929</v>
      </c>
      <c r="JF16" s="139">
        <v>0</v>
      </c>
      <c r="JG16" s="139">
        <v>29281777</v>
      </c>
      <c r="JH16" s="139">
        <v>0</v>
      </c>
      <c r="JI16" s="139">
        <v>0</v>
      </c>
      <c r="JJ16" s="139">
        <v>0</v>
      </c>
      <c r="JK16" s="139">
        <v>0</v>
      </c>
      <c r="JL16" s="139">
        <v>0</v>
      </c>
      <c r="JM16" s="139">
        <v>0</v>
      </c>
      <c r="JN16" s="139">
        <v>5995025</v>
      </c>
      <c r="JO16" s="139">
        <v>1754614</v>
      </c>
      <c r="JP16" s="139">
        <v>1370209</v>
      </c>
      <c r="JQ16" s="139">
        <v>7220331</v>
      </c>
      <c r="JR16" s="139">
        <v>12941598</v>
      </c>
      <c r="JS16" s="139">
        <v>29281777</v>
      </c>
      <c r="JU16" s="70">
        <f t="shared" si="0"/>
        <v>691173</v>
      </c>
      <c r="JV16" s="70">
        <f t="shared" si="1"/>
        <v>0</v>
      </c>
      <c r="JW16" s="70">
        <f t="shared" si="2"/>
        <v>0</v>
      </c>
      <c r="JX16" s="70">
        <f t="shared" si="3"/>
        <v>0</v>
      </c>
      <c r="JY16" s="70">
        <f t="shared" si="4"/>
        <v>2829750</v>
      </c>
      <c r="JZ16" s="70">
        <f t="shared" si="5"/>
        <v>0</v>
      </c>
      <c r="KA16" s="70">
        <f t="shared" si="6"/>
        <v>1253633</v>
      </c>
      <c r="KB16" s="70">
        <f t="shared" si="7"/>
        <v>0</v>
      </c>
      <c r="KC16" s="70">
        <f t="shared" si="8"/>
        <v>0</v>
      </c>
      <c r="KD16" s="70">
        <f t="shared" si="9"/>
        <v>0</v>
      </c>
      <c r="KE16" s="70">
        <f t="shared" si="10"/>
        <v>0</v>
      </c>
      <c r="KF16" s="70">
        <f t="shared" si="11"/>
        <v>0</v>
      </c>
      <c r="KG16" s="70">
        <f t="shared" si="12"/>
        <v>21605613</v>
      </c>
      <c r="KH16" s="70">
        <f t="shared" si="13"/>
        <v>0</v>
      </c>
      <c r="KI16" s="70">
        <f t="shared" si="14"/>
        <v>0</v>
      </c>
      <c r="KJ16" s="70">
        <f t="shared" si="15"/>
        <v>0</v>
      </c>
      <c r="KK16" s="70">
        <f t="shared" si="16"/>
        <v>932564</v>
      </c>
      <c r="KL16" s="70">
        <f t="shared" si="17"/>
        <v>0</v>
      </c>
      <c r="KM16" s="70">
        <f t="shared" si="18"/>
        <v>29379</v>
      </c>
      <c r="KN16" s="70">
        <f t="shared" si="19"/>
        <v>0</v>
      </c>
      <c r="KO16" s="70">
        <f t="shared" si="20"/>
        <v>157614</v>
      </c>
      <c r="KP16" s="70">
        <f t="shared" si="21"/>
        <v>0</v>
      </c>
      <c r="KQ16" s="70">
        <f t="shared" si="22"/>
        <v>265700</v>
      </c>
      <c r="KR16" s="70">
        <f t="shared" si="23"/>
        <v>0</v>
      </c>
      <c r="KS16" s="70">
        <f t="shared" si="24"/>
        <v>633477</v>
      </c>
      <c r="KT16" s="70">
        <f t="shared" si="25"/>
        <v>0</v>
      </c>
      <c r="KU16" s="70">
        <f t="shared" si="26"/>
        <v>859169</v>
      </c>
      <c r="KV16" s="70">
        <f t="shared" si="27"/>
        <v>0</v>
      </c>
      <c r="KW16" s="70">
        <f t="shared" si="28"/>
        <v>23705</v>
      </c>
      <c r="KX16" s="70">
        <f t="shared" si="29"/>
        <v>0</v>
      </c>
      <c r="KY16" s="70">
        <f t="shared" si="30"/>
        <v>29281777</v>
      </c>
      <c r="KZ16" s="70">
        <f t="shared" si="31"/>
        <v>0</v>
      </c>
      <c r="LA16" s="70">
        <f t="shared" si="32"/>
        <v>5509684</v>
      </c>
      <c r="LB16" s="70">
        <f t="shared" si="33"/>
        <v>0</v>
      </c>
      <c r="LC16" s="70">
        <f t="shared" si="34"/>
        <v>413500</v>
      </c>
      <c r="LD16" s="70">
        <f t="shared" si="35"/>
        <v>0</v>
      </c>
      <c r="LE16" s="70">
        <f t="shared" si="36"/>
        <v>5343876</v>
      </c>
      <c r="LF16" s="70">
        <f t="shared" si="37"/>
        <v>0</v>
      </c>
      <c r="LG16" s="70">
        <f t="shared" ref="LG16:LG46" si="78">SUM(FJ16:FN16)</f>
        <v>0</v>
      </c>
      <c r="LH16" s="70">
        <f t="shared" ref="LH16:LH46" si="79">FO16-LG16</f>
        <v>0</v>
      </c>
      <c r="LI16" s="70">
        <f t="shared" si="40"/>
        <v>4250729</v>
      </c>
      <c r="LJ16" s="70">
        <f t="shared" si="41"/>
        <v>0</v>
      </c>
      <c r="LK16" s="70">
        <f t="shared" si="42"/>
        <v>0</v>
      </c>
      <c r="LL16" s="70">
        <f t="shared" si="43"/>
        <v>0</v>
      </c>
      <c r="LM16" s="70">
        <f t="shared" si="44"/>
        <v>0</v>
      </c>
      <c r="LN16" s="70">
        <f t="shared" si="45"/>
        <v>0</v>
      </c>
      <c r="LO16" s="70">
        <f t="shared" si="46"/>
        <v>666788</v>
      </c>
      <c r="LP16" s="70">
        <f t="shared" si="47"/>
        <v>0</v>
      </c>
      <c r="LQ16" s="70">
        <f t="shared" si="48"/>
        <v>1947529</v>
      </c>
      <c r="LR16" s="70">
        <f t="shared" si="49"/>
        <v>0</v>
      </c>
      <c r="LS16" s="70">
        <f t="shared" si="50"/>
        <v>1352144</v>
      </c>
      <c r="LT16" s="70">
        <f t="shared" si="51"/>
        <v>0</v>
      </c>
      <c r="LU16" s="70">
        <f t="shared" si="52"/>
        <v>835569</v>
      </c>
      <c r="LV16" s="70">
        <f t="shared" si="53"/>
        <v>0</v>
      </c>
      <c r="LW16" s="70">
        <f t="shared" si="54"/>
        <v>406230</v>
      </c>
      <c r="LX16" s="70">
        <f t="shared" si="55"/>
        <v>0</v>
      </c>
      <c r="LY16" s="70">
        <f t="shared" si="56"/>
        <v>0</v>
      </c>
      <c r="LZ16" s="70">
        <f t="shared" si="57"/>
        <v>0</v>
      </c>
      <c r="MA16" s="70">
        <f t="shared" si="58"/>
        <v>5079004</v>
      </c>
      <c r="MB16" s="70">
        <f t="shared" si="59"/>
        <v>0</v>
      </c>
      <c r="MC16" s="70">
        <f t="shared" si="60"/>
        <v>0</v>
      </c>
      <c r="MD16" s="70">
        <f t="shared" si="61"/>
        <v>0</v>
      </c>
      <c r="ME16" s="70">
        <f t="shared" si="62"/>
        <v>0</v>
      </c>
      <c r="MF16" s="70">
        <f t="shared" si="63"/>
        <v>0</v>
      </c>
      <c r="MG16" s="70">
        <f t="shared" si="64"/>
        <v>399679</v>
      </c>
      <c r="MH16" s="70">
        <f t="shared" si="65"/>
        <v>0</v>
      </c>
      <c r="MI16" s="70">
        <f t="shared" si="66"/>
        <v>162555</v>
      </c>
      <c r="MJ16" s="70">
        <f t="shared" si="67"/>
        <v>0</v>
      </c>
      <c r="MK16" s="70">
        <f t="shared" si="68"/>
        <v>2914490</v>
      </c>
      <c r="ML16" s="70">
        <f t="shared" si="69"/>
        <v>0</v>
      </c>
      <c r="MM16" s="70">
        <f t="shared" si="70"/>
        <v>29281777</v>
      </c>
      <c r="MN16" s="70">
        <f t="shared" si="71"/>
        <v>0</v>
      </c>
      <c r="MO16" s="70">
        <f t="shared" si="72"/>
        <v>0</v>
      </c>
      <c r="MP16" s="70">
        <f t="shared" si="73"/>
        <v>0</v>
      </c>
      <c r="MQ16" s="70">
        <f t="shared" si="74"/>
        <v>29281777</v>
      </c>
      <c r="MR16" s="70">
        <f t="shared" si="75"/>
        <v>0</v>
      </c>
      <c r="MT16" s="70">
        <f t="shared" si="76"/>
        <v>0</v>
      </c>
      <c r="MV16" s="68">
        <f t="shared" si="77"/>
        <v>0</v>
      </c>
    </row>
    <row r="17" spans="1:360" x14ac:dyDescent="0.15">
      <c r="A17" s="182" t="s">
        <v>278</v>
      </c>
      <c r="B17" s="76" t="s">
        <v>422</v>
      </c>
      <c r="C17" s="90">
        <v>217882</v>
      </c>
      <c r="D17" s="90">
        <v>2014</v>
      </c>
      <c r="E17" s="90">
        <v>1</v>
      </c>
      <c r="F17" s="91">
        <v>1</v>
      </c>
      <c r="G17" s="92">
        <v>9156</v>
      </c>
      <c r="H17" s="92">
        <v>7775</v>
      </c>
      <c r="I17" s="93">
        <v>780873000</v>
      </c>
      <c r="J17" s="93">
        <v>722853000</v>
      </c>
      <c r="K17" s="93">
        <v>2310533</v>
      </c>
      <c r="L17" s="93">
        <v>1450000</v>
      </c>
      <c r="M17" s="93">
        <v>17903013</v>
      </c>
      <c r="N17" s="93">
        <v>9925000</v>
      </c>
      <c r="O17" s="93">
        <v>22680000</v>
      </c>
      <c r="P17" s="93">
        <v>24150000</v>
      </c>
      <c r="Q17" s="93">
        <v>166035000</v>
      </c>
      <c r="R17" s="93">
        <v>120770000</v>
      </c>
      <c r="S17" s="93">
        <v>552024958</v>
      </c>
      <c r="T17" s="93">
        <v>517793019</v>
      </c>
      <c r="U17" s="93">
        <v>25030</v>
      </c>
      <c r="V17" s="93">
        <v>43046</v>
      </c>
      <c r="W17" s="93">
        <v>43046</v>
      </c>
      <c r="X17" s="93">
        <v>40070</v>
      </c>
      <c r="Y17" s="93">
        <v>28638</v>
      </c>
      <c r="Z17" s="93">
        <v>28044</v>
      </c>
      <c r="AA17" s="93">
        <v>46654</v>
      </c>
      <c r="AB17" s="93">
        <v>45468</v>
      </c>
      <c r="AC17" s="114">
        <v>9</v>
      </c>
      <c r="AD17" s="114">
        <v>10</v>
      </c>
      <c r="AE17" s="114">
        <v>0</v>
      </c>
      <c r="AF17" s="115">
        <v>6741145</v>
      </c>
      <c r="AG17" s="115">
        <v>5047681</v>
      </c>
      <c r="AH17" s="115">
        <v>1072940</v>
      </c>
      <c r="AI17" s="115">
        <v>400544</v>
      </c>
      <c r="AJ17" s="115">
        <v>885248</v>
      </c>
      <c r="AK17" s="116">
        <v>6.5</v>
      </c>
      <c r="AL17" s="115">
        <v>822016</v>
      </c>
      <c r="AM17" s="116">
        <v>7</v>
      </c>
      <c r="AN17" s="115">
        <v>196988</v>
      </c>
      <c r="AO17" s="116">
        <v>6.5</v>
      </c>
      <c r="AP17" s="115">
        <v>182918</v>
      </c>
      <c r="AQ17" s="116">
        <v>7</v>
      </c>
      <c r="AR17" s="115">
        <v>358928</v>
      </c>
      <c r="AS17" s="116">
        <v>20</v>
      </c>
      <c r="AT17" s="115">
        <v>326299</v>
      </c>
      <c r="AU17" s="116">
        <v>22</v>
      </c>
      <c r="AV17" s="115">
        <v>90080</v>
      </c>
      <c r="AW17" s="116">
        <v>14</v>
      </c>
      <c r="AX17" s="115">
        <v>78820</v>
      </c>
      <c r="AY17" s="116">
        <v>16</v>
      </c>
      <c r="AZ17" s="142">
        <v>17949873</v>
      </c>
      <c r="BA17" s="142">
        <v>1458414</v>
      </c>
      <c r="BB17" s="142">
        <v>6648</v>
      </c>
      <c r="BC17" s="142">
        <v>569580</v>
      </c>
      <c r="BD17" s="142">
        <v>0</v>
      </c>
      <c r="BE17" s="142">
        <v>19984515</v>
      </c>
      <c r="BF17" s="139">
        <v>0</v>
      </c>
      <c r="BG17" s="139">
        <v>0</v>
      </c>
      <c r="BH17" s="139">
        <v>0</v>
      </c>
      <c r="BI17" s="139">
        <v>0</v>
      </c>
      <c r="BJ17" s="139">
        <v>0</v>
      </c>
      <c r="BK17" s="139">
        <v>0</v>
      </c>
      <c r="BL17" s="142">
        <v>250000</v>
      </c>
      <c r="BM17" s="142">
        <v>0</v>
      </c>
      <c r="BN17" s="142">
        <v>0</v>
      </c>
      <c r="BO17" s="142">
        <v>4000</v>
      </c>
      <c r="BP17" s="142">
        <v>0</v>
      </c>
      <c r="BQ17" s="142">
        <v>254000</v>
      </c>
      <c r="BR17" s="142">
        <v>5964661</v>
      </c>
      <c r="BS17" s="142">
        <v>473156</v>
      </c>
      <c r="BT17" s="142">
        <v>459440</v>
      </c>
      <c r="BU17" s="142">
        <v>4079355</v>
      </c>
      <c r="BV17" s="142">
        <v>8287696</v>
      </c>
      <c r="BW17" s="142">
        <v>19264308</v>
      </c>
      <c r="BX17" s="142">
        <v>0</v>
      </c>
      <c r="BY17" s="142">
        <v>0</v>
      </c>
      <c r="BZ17" s="142">
        <v>0</v>
      </c>
      <c r="CA17" s="142">
        <v>0</v>
      </c>
      <c r="CB17" s="142">
        <v>0</v>
      </c>
      <c r="CC17" s="142">
        <v>0</v>
      </c>
      <c r="CD17" s="139">
        <v>0</v>
      </c>
      <c r="CE17" s="139">
        <v>0</v>
      </c>
      <c r="CF17" s="139">
        <v>0</v>
      </c>
      <c r="CG17" s="139">
        <v>0</v>
      </c>
      <c r="CH17" s="139">
        <v>0</v>
      </c>
      <c r="CI17" s="139">
        <v>0</v>
      </c>
      <c r="CJ17" s="142">
        <v>1281455</v>
      </c>
      <c r="CK17" s="142">
        <v>221489</v>
      </c>
      <c r="CL17" s="142">
        <v>286735</v>
      </c>
      <c r="CM17" s="142">
        <v>2582396</v>
      </c>
      <c r="CN17" s="142">
        <v>3670</v>
      </c>
      <c r="CO17" s="142">
        <v>4375745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42">
        <v>15629982</v>
      </c>
      <c r="CW17" s="142">
        <v>4526269</v>
      </c>
      <c r="CX17" s="142">
        <v>0</v>
      </c>
      <c r="CY17" s="142">
        <v>0</v>
      </c>
      <c r="CZ17" s="142">
        <v>269683</v>
      </c>
      <c r="DA17" s="142">
        <v>20425934</v>
      </c>
      <c r="DB17" s="142">
        <v>555000</v>
      </c>
      <c r="DC17" s="142">
        <v>175000</v>
      </c>
      <c r="DD17" s="142">
        <v>0</v>
      </c>
      <c r="DE17" s="142">
        <v>0</v>
      </c>
      <c r="DF17" s="142">
        <v>1960000</v>
      </c>
      <c r="DG17" s="142">
        <v>2690000</v>
      </c>
      <c r="DH17" s="142">
        <v>1703267</v>
      </c>
      <c r="DI17" s="142">
        <v>124239</v>
      </c>
      <c r="DJ17" s="142">
        <v>6499</v>
      </c>
      <c r="DK17" s="142">
        <v>112189</v>
      </c>
      <c r="DL17" s="142">
        <v>123166</v>
      </c>
      <c r="DM17" s="142">
        <v>2069360</v>
      </c>
      <c r="DN17" s="142">
        <v>468311</v>
      </c>
      <c r="DO17" s="142">
        <v>123591</v>
      </c>
      <c r="DP17" s="142">
        <v>55928</v>
      </c>
      <c r="DQ17" s="142">
        <v>159886</v>
      </c>
      <c r="DR17" s="142">
        <v>3969574</v>
      </c>
      <c r="DS17" s="142">
        <v>4777290</v>
      </c>
      <c r="DT17" s="142">
        <v>0</v>
      </c>
      <c r="DU17" s="142">
        <v>0</v>
      </c>
      <c r="DV17" s="142">
        <v>0</v>
      </c>
      <c r="DW17" s="142">
        <v>0</v>
      </c>
      <c r="DX17" s="142">
        <v>0</v>
      </c>
      <c r="DY17" s="142">
        <v>0</v>
      </c>
      <c r="DZ17" s="142">
        <v>0</v>
      </c>
      <c r="EA17" s="142">
        <v>0</v>
      </c>
      <c r="EB17" s="142">
        <v>0</v>
      </c>
      <c r="EC17" s="142">
        <v>0</v>
      </c>
      <c r="ED17" s="142">
        <v>162146</v>
      </c>
      <c r="EE17" s="142">
        <v>162146</v>
      </c>
      <c r="EF17" s="142">
        <v>60</v>
      </c>
      <c r="EG17" s="142">
        <v>0</v>
      </c>
      <c r="EH17" s="142">
        <v>0</v>
      </c>
      <c r="EI17" s="142">
        <v>27690</v>
      </c>
      <c r="EJ17" s="142">
        <v>762274</v>
      </c>
      <c r="EK17" s="142">
        <v>790024</v>
      </c>
      <c r="EL17" s="142">
        <v>43802609</v>
      </c>
      <c r="EM17" s="142">
        <v>7102158</v>
      </c>
      <c r="EN17" s="142">
        <v>815250</v>
      </c>
      <c r="EO17" s="142">
        <v>7535096</v>
      </c>
      <c r="EP17" s="142">
        <v>15538209</v>
      </c>
      <c r="EQ17" s="142">
        <v>74793322</v>
      </c>
      <c r="ER17" s="142">
        <v>4108962</v>
      </c>
      <c r="ES17" s="142">
        <v>652767</v>
      </c>
      <c r="ET17" s="142">
        <v>723545</v>
      </c>
      <c r="EU17" s="142">
        <v>6303552</v>
      </c>
      <c r="EV17" s="142">
        <v>1217461</v>
      </c>
      <c r="EW17" s="142">
        <v>13006287</v>
      </c>
      <c r="EX17" s="142">
        <v>850000</v>
      </c>
      <c r="EY17" s="142">
        <v>368354</v>
      </c>
      <c r="EZ17" s="142">
        <v>88184</v>
      </c>
      <c r="FA17" s="142">
        <v>48237</v>
      </c>
      <c r="FB17" s="142">
        <v>0</v>
      </c>
      <c r="FC17" s="142">
        <v>1354775</v>
      </c>
      <c r="FD17" s="142">
        <v>8656812</v>
      </c>
      <c r="FE17" s="142">
        <v>2216032</v>
      </c>
      <c r="FF17" s="142">
        <v>835141</v>
      </c>
      <c r="FG17" s="142">
        <v>3766269</v>
      </c>
      <c r="FH17" s="142">
        <v>0</v>
      </c>
      <c r="FI17" s="142">
        <v>15474254</v>
      </c>
      <c r="FJ17" s="142">
        <v>0</v>
      </c>
      <c r="FK17" s="142">
        <v>0</v>
      </c>
      <c r="FL17" s="142">
        <v>0</v>
      </c>
      <c r="FM17" s="142">
        <v>0</v>
      </c>
      <c r="FN17" s="142">
        <v>0</v>
      </c>
      <c r="FO17" s="142">
        <v>0</v>
      </c>
      <c r="FP17" s="142">
        <v>2479771</v>
      </c>
      <c r="FQ17" s="142">
        <v>256701</v>
      </c>
      <c r="FR17" s="142">
        <v>178593</v>
      </c>
      <c r="FS17" s="142">
        <v>150034</v>
      </c>
      <c r="FT17" s="142">
        <v>11420900</v>
      </c>
      <c r="FU17" s="142">
        <v>14485999</v>
      </c>
      <c r="FV17" s="142">
        <v>0</v>
      </c>
      <c r="FW17" s="142">
        <v>0</v>
      </c>
      <c r="FX17" s="142">
        <v>0</v>
      </c>
      <c r="FY17" s="142">
        <v>0</v>
      </c>
      <c r="FZ17" s="142">
        <v>0</v>
      </c>
      <c r="GA17" s="142">
        <v>0</v>
      </c>
      <c r="GB17" s="142">
        <v>209117</v>
      </c>
      <c r="GC17" s="142">
        <v>0</v>
      </c>
      <c r="GD17" s="142">
        <v>93472</v>
      </c>
      <c r="GE17" s="142">
        <v>0</v>
      </c>
      <c r="GF17" s="142">
        <v>0</v>
      </c>
      <c r="GG17" s="142">
        <v>302589</v>
      </c>
      <c r="GH17" s="142">
        <v>694135</v>
      </c>
      <c r="GI17" s="142">
        <v>193064</v>
      </c>
      <c r="GJ17" s="142">
        <v>139028</v>
      </c>
      <c r="GK17" s="142">
        <v>447257</v>
      </c>
      <c r="GL17" s="142">
        <v>0</v>
      </c>
      <c r="GM17" s="142">
        <v>1473484</v>
      </c>
      <c r="GN17" s="142">
        <v>2758253</v>
      </c>
      <c r="GO17" s="142">
        <v>991050</v>
      </c>
      <c r="GP17" s="142">
        <v>455747</v>
      </c>
      <c r="GQ17" s="142">
        <v>1814431</v>
      </c>
      <c r="GR17" s="142">
        <v>0</v>
      </c>
      <c r="GS17" s="142">
        <v>6019481</v>
      </c>
      <c r="GT17" s="142">
        <v>1017936</v>
      </c>
      <c r="GU17" s="142">
        <v>150757</v>
      </c>
      <c r="GV17" s="142">
        <v>107766</v>
      </c>
      <c r="GW17" s="142">
        <v>957118</v>
      </c>
      <c r="GX17" s="142">
        <v>1273079</v>
      </c>
      <c r="GY17" s="142">
        <v>3506656</v>
      </c>
      <c r="GZ17" s="142">
        <v>2960876</v>
      </c>
      <c r="HA17" s="142">
        <v>359743</v>
      </c>
      <c r="HB17" s="142">
        <v>263213</v>
      </c>
      <c r="HC17" s="142">
        <v>458750</v>
      </c>
      <c r="HD17" s="142">
        <v>0</v>
      </c>
      <c r="HE17" s="142">
        <v>4042582</v>
      </c>
      <c r="HF17" s="142">
        <v>0</v>
      </c>
      <c r="HG17" s="142">
        <v>0</v>
      </c>
      <c r="HH17" s="142">
        <v>0</v>
      </c>
      <c r="HI17" s="142">
        <v>0</v>
      </c>
      <c r="HJ17" s="142">
        <v>3002968</v>
      </c>
      <c r="HK17" s="142">
        <v>3002968</v>
      </c>
      <c r="HL17" s="142">
        <v>0</v>
      </c>
      <c r="HM17" s="142">
        <v>0</v>
      </c>
      <c r="HN17" s="142">
        <v>0</v>
      </c>
      <c r="HO17" s="142">
        <v>0</v>
      </c>
      <c r="HP17" s="142">
        <v>0</v>
      </c>
      <c r="HQ17" s="142">
        <v>0</v>
      </c>
      <c r="HR17" s="142">
        <v>1308913</v>
      </c>
      <c r="HS17" s="142">
        <v>86075</v>
      </c>
      <c r="HT17" s="142">
        <v>86074</v>
      </c>
      <c r="HU17" s="142">
        <v>448931</v>
      </c>
      <c r="HV17" s="142">
        <v>2145901</v>
      </c>
      <c r="HW17" s="142">
        <v>4075894</v>
      </c>
      <c r="HX17" s="142">
        <v>0</v>
      </c>
      <c r="HY17" s="142">
        <v>0</v>
      </c>
      <c r="HZ17" s="142">
        <v>0</v>
      </c>
      <c r="IA17" s="142">
        <v>0</v>
      </c>
      <c r="IB17" s="142">
        <v>392909</v>
      </c>
      <c r="IC17" s="142">
        <v>392909</v>
      </c>
      <c r="ID17" s="142">
        <v>0</v>
      </c>
      <c r="IE17" s="142">
        <v>0</v>
      </c>
      <c r="IF17" s="142">
        <v>0</v>
      </c>
      <c r="IG17" s="142">
        <v>0</v>
      </c>
      <c r="IH17" s="142">
        <v>0</v>
      </c>
      <c r="II17" s="142">
        <v>0</v>
      </c>
      <c r="IJ17" s="142">
        <v>207276</v>
      </c>
      <c r="IK17" s="142">
        <v>35719</v>
      </c>
      <c r="IL17" s="142">
        <v>11151</v>
      </c>
      <c r="IM17" s="142">
        <v>216461</v>
      </c>
      <c r="IN17" s="142">
        <v>162703</v>
      </c>
      <c r="IO17" s="142">
        <v>633310</v>
      </c>
      <c r="IP17" s="142">
        <v>1875</v>
      </c>
      <c r="IQ17" s="142">
        <v>1120</v>
      </c>
      <c r="IR17" s="142">
        <v>956</v>
      </c>
      <c r="IS17" s="142">
        <v>6541</v>
      </c>
      <c r="IT17" s="142">
        <v>37204</v>
      </c>
      <c r="IU17" s="142">
        <v>47696</v>
      </c>
      <c r="IV17" s="142">
        <v>1722912</v>
      </c>
      <c r="IW17" s="142">
        <v>173923</v>
      </c>
      <c r="IX17" s="142">
        <v>132364</v>
      </c>
      <c r="IY17" s="142">
        <v>622670</v>
      </c>
      <c r="IZ17" s="142">
        <v>2985468</v>
      </c>
      <c r="JA17" s="142">
        <v>5637337</v>
      </c>
      <c r="JB17" s="142">
        <v>26976828</v>
      </c>
      <c r="JC17" s="142">
        <v>5485305</v>
      </c>
      <c r="JD17" s="142">
        <v>3115234</v>
      </c>
      <c r="JE17" s="142">
        <v>15240261</v>
      </c>
      <c r="JF17" s="142">
        <v>22638593</v>
      </c>
      <c r="JG17" s="142">
        <v>73456221</v>
      </c>
      <c r="JH17" s="142">
        <v>0</v>
      </c>
      <c r="JI17" s="142">
        <v>0</v>
      </c>
      <c r="JJ17" s="142">
        <v>0</v>
      </c>
      <c r="JK17" s="142">
        <v>0</v>
      </c>
      <c r="JL17" s="142">
        <v>1262770</v>
      </c>
      <c r="JM17" s="142">
        <v>1262770</v>
      </c>
      <c r="JN17" s="142">
        <v>26976828</v>
      </c>
      <c r="JO17" s="142">
        <v>5485305</v>
      </c>
      <c r="JP17" s="142">
        <v>3115234</v>
      </c>
      <c r="JQ17" s="142">
        <v>15240261</v>
      </c>
      <c r="JR17" s="142">
        <v>23901363</v>
      </c>
      <c r="JS17" s="142">
        <v>74718991</v>
      </c>
      <c r="JU17" s="70">
        <f t="shared" si="0"/>
        <v>19984515</v>
      </c>
      <c r="JV17" s="70">
        <f t="shared" si="1"/>
        <v>0</v>
      </c>
      <c r="JW17" s="70">
        <f t="shared" si="2"/>
        <v>0</v>
      </c>
      <c r="JX17" s="70">
        <f t="shared" si="3"/>
        <v>0</v>
      </c>
      <c r="JY17" s="70">
        <f t="shared" si="4"/>
        <v>254000</v>
      </c>
      <c r="JZ17" s="70">
        <f t="shared" si="5"/>
        <v>0</v>
      </c>
      <c r="KA17" s="70">
        <f t="shared" si="6"/>
        <v>19264308</v>
      </c>
      <c r="KB17" s="70">
        <f t="shared" si="7"/>
        <v>0</v>
      </c>
      <c r="KC17" s="70">
        <f t="shared" si="8"/>
        <v>0</v>
      </c>
      <c r="KD17" s="70">
        <f t="shared" si="9"/>
        <v>0</v>
      </c>
      <c r="KE17" s="70">
        <f t="shared" si="10"/>
        <v>0</v>
      </c>
      <c r="KF17" s="70">
        <f t="shared" si="11"/>
        <v>0</v>
      </c>
      <c r="KG17" s="70">
        <f t="shared" si="12"/>
        <v>4375745</v>
      </c>
      <c r="KH17" s="70">
        <f t="shared" si="13"/>
        <v>0</v>
      </c>
      <c r="KI17" s="70">
        <f t="shared" si="14"/>
        <v>0</v>
      </c>
      <c r="KJ17" s="70">
        <f t="shared" si="15"/>
        <v>0</v>
      </c>
      <c r="KK17" s="70">
        <f t="shared" si="16"/>
        <v>20425934</v>
      </c>
      <c r="KL17" s="70">
        <f t="shared" si="17"/>
        <v>0</v>
      </c>
      <c r="KM17" s="70">
        <f t="shared" si="18"/>
        <v>2690000</v>
      </c>
      <c r="KN17" s="70">
        <f t="shared" si="19"/>
        <v>0</v>
      </c>
      <c r="KO17" s="70">
        <f t="shared" si="20"/>
        <v>2069360</v>
      </c>
      <c r="KP17" s="70">
        <f t="shared" si="21"/>
        <v>0</v>
      </c>
      <c r="KQ17" s="70">
        <f t="shared" si="22"/>
        <v>4777290</v>
      </c>
      <c r="KR17" s="70">
        <f t="shared" si="23"/>
        <v>0</v>
      </c>
      <c r="KS17" s="70">
        <f t="shared" si="24"/>
        <v>0</v>
      </c>
      <c r="KT17" s="70">
        <f t="shared" si="25"/>
        <v>0</v>
      </c>
      <c r="KU17" s="70">
        <f t="shared" si="26"/>
        <v>162146</v>
      </c>
      <c r="KV17" s="70">
        <f t="shared" si="27"/>
        <v>0</v>
      </c>
      <c r="KW17" s="70">
        <f t="shared" si="28"/>
        <v>790024</v>
      </c>
      <c r="KX17" s="70">
        <f t="shared" si="29"/>
        <v>0</v>
      </c>
      <c r="KY17" s="70">
        <f t="shared" si="30"/>
        <v>74793322</v>
      </c>
      <c r="KZ17" s="70">
        <f t="shared" si="31"/>
        <v>0</v>
      </c>
      <c r="LA17" s="70">
        <f t="shared" si="32"/>
        <v>13006287</v>
      </c>
      <c r="LB17" s="70">
        <f t="shared" si="33"/>
        <v>0</v>
      </c>
      <c r="LC17" s="70">
        <f t="shared" si="34"/>
        <v>1354775</v>
      </c>
      <c r="LD17" s="70">
        <f t="shared" si="35"/>
        <v>0</v>
      </c>
      <c r="LE17" s="70">
        <f t="shared" si="36"/>
        <v>15474254</v>
      </c>
      <c r="LF17" s="70">
        <f t="shared" si="37"/>
        <v>0</v>
      </c>
      <c r="LG17" s="70">
        <f t="shared" si="78"/>
        <v>0</v>
      </c>
      <c r="LH17" s="70">
        <f t="shared" si="79"/>
        <v>0</v>
      </c>
      <c r="LI17" s="70">
        <f t="shared" si="40"/>
        <v>14485999</v>
      </c>
      <c r="LJ17" s="70">
        <f t="shared" si="41"/>
        <v>0</v>
      </c>
      <c r="LK17" s="70">
        <f t="shared" si="42"/>
        <v>0</v>
      </c>
      <c r="LL17" s="70">
        <f t="shared" si="43"/>
        <v>0</v>
      </c>
      <c r="LM17" s="70">
        <f t="shared" si="44"/>
        <v>302589</v>
      </c>
      <c r="LN17" s="70">
        <f t="shared" si="45"/>
        <v>0</v>
      </c>
      <c r="LO17" s="70">
        <f t="shared" si="46"/>
        <v>1473484</v>
      </c>
      <c r="LP17" s="70">
        <f t="shared" si="47"/>
        <v>0</v>
      </c>
      <c r="LQ17" s="70">
        <f t="shared" si="48"/>
        <v>6019481</v>
      </c>
      <c r="LR17" s="70">
        <f t="shared" si="49"/>
        <v>0</v>
      </c>
      <c r="LS17" s="70">
        <f t="shared" si="50"/>
        <v>3506656</v>
      </c>
      <c r="LT17" s="70">
        <f t="shared" si="51"/>
        <v>0</v>
      </c>
      <c r="LU17" s="70">
        <f t="shared" si="52"/>
        <v>4042582</v>
      </c>
      <c r="LV17" s="70">
        <f t="shared" si="53"/>
        <v>0</v>
      </c>
      <c r="LW17" s="70">
        <f t="shared" si="54"/>
        <v>3002968</v>
      </c>
      <c r="LX17" s="70">
        <f t="shared" si="55"/>
        <v>0</v>
      </c>
      <c r="LY17" s="70">
        <f t="shared" si="56"/>
        <v>0</v>
      </c>
      <c r="LZ17" s="70">
        <f t="shared" si="57"/>
        <v>0</v>
      </c>
      <c r="MA17" s="70">
        <f t="shared" si="58"/>
        <v>4075894</v>
      </c>
      <c r="MB17" s="70">
        <f t="shared" si="59"/>
        <v>0</v>
      </c>
      <c r="MC17" s="70">
        <f t="shared" si="60"/>
        <v>392909</v>
      </c>
      <c r="MD17" s="70">
        <f t="shared" si="61"/>
        <v>0</v>
      </c>
      <c r="ME17" s="70">
        <f t="shared" si="62"/>
        <v>0</v>
      </c>
      <c r="MF17" s="70">
        <f t="shared" si="63"/>
        <v>0</v>
      </c>
      <c r="MG17" s="70">
        <f t="shared" si="64"/>
        <v>633310</v>
      </c>
      <c r="MH17" s="70">
        <f t="shared" si="65"/>
        <v>0</v>
      </c>
      <c r="MI17" s="70">
        <f t="shared" si="66"/>
        <v>47696</v>
      </c>
      <c r="MJ17" s="70">
        <f t="shared" si="67"/>
        <v>0</v>
      </c>
      <c r="MK17" s="70">
        <f t="shared" si="68"/>
        <v>5637337</v>
      </c>
      <c r="ML17" s="70">
        <f t="shared" si="69"/>
        <v>0</v>
      </c>
      <c r="MM17" s="70">
        <f t="shared" si="70"/>
        <v>73456221</v>
      </c>
      <c r="MN17" s="70">
        <f t="shared" si="71"/>
        <v>0</v>
      </c>
      <c r="MO17" s="70">
        <f t="shared" si="72"/>
        <v>1262770</v>
      </c>
      <c r="MP17" s="70">
        <f t="shared" si="73"/>
        <v>0</v>
      </c>
      <c r="MQ17" s="70">
        <f t="shared" si="74"/>
        <v>74718991</v>
      </c>
      <c r="MR17" s="70">
        <f t="shared" si="75"/>
        <v>0</v>
      </c>
      <c r="MT17" s="70">
        <f t="shared" si="76"/>
        <v>0</v>
      </c>
      <c r="MV17" s="68">
        <f t="shared" si="77"/>
        <v>0</v>
      </c>
    </row>
    <row r="18" spans="1:360" x14ac:dyDescent="0.15">
      <c r="A18" s="76" t="s">
        <v>279</v>
      </c>
      <c r="B18" s="76" t="s">
        <v>422</v>
      </c>
      <c r="C18" s="90">
        <v>126614</v>
      </c>
      <c r="D18" s="90">
        <v>2014</v>
      </c>
      <c r="E18" s="90">
        <v>1</v>
      </c>
      <c r="F18" s="91">
        <v>4</v>
      </c>
      <c r="G18" s="92">
        <v>13396</v>
      </c>
      <c r="H18" s="92">
        <v>11022</v>
      </c>
      <c r="I18" s="93">
        <v>1175871896</v>
      </c>
      <c r="J18" s="93">
        <v>1115849685</v>
      </c>
      <c r="K18" s="93">
        <v>6149984</v>
      </c>
      <c r="L18" s="93">
        <v>6183304</v>
      </c>
      <c r="M18" s="93">
        <v>63179631</v>
      </c>
      <c r="N18" s="93">
        <v>78962112</v>
      </c>
      <c r="O18" s="93">
        <v>51832133</v>
      </c>
      <c r="P18" s="93">
        <v>55717936</v>
      </c>
      <c r="Q18" s="93">
        <v>692526017</v>
      </c>
      <c r="R18" s="93">
        <v>686103012</v>
      </c>
      <c r="S18" s="93">
        <v>937779294</v>
      </c>
      <c r="T18" s="93">
        <v>883303022</v>
      </c>
      <c r="U18" s="93">
        <v>23727</v>
      </c>
      <c r="V18" s="93">
        <v>22277</v>
      </c>
      <c r="W18" s="93">
        <v>45555</v>
      </c>
      <c r="X18" s="93">
        <v>44173</v>
      </c>
      <c r="Y18" s="93">
        <v>25502</v>
      </c>
      <c r="Z18" s="93">
        <v>25024</v>
      </c>
      <c r="AA18" s="93">
        <v>47952</v>
      </c>
      <c r="AB18" s="93">
        <v>47466</v>
      </c>
      <c r="AC18" s="114">
        <v>7</v>
      </c>
      <c r="AD18" s="114">
        <v>10</v>
      </c>
      <c r="AE18" s="114">
        <v>0</v>
      </c>
      <c r="AF18" s="115">
        <v>5803067</v>
      </c>
      <c r="AG18" s="115">
        <v>3689774</v>
      </c>
      <c r="AH18" s="115">
        <v>607407</v>
      </c>
      <c r="AI18" s="115">
        <v>293411</v>
      </c>
      <c r="AJ18" s="115">
        <v>1443872</v>
      </c>
      <c r="AK18" s="116">
        <v>4</v>
      </c>
      <c r="AL18" s="115">
        <v>1155097</v>
      </c>
      <c r="AM18" s="116">
        <v>5</v>
      </c>
      <c r="AN18" s="115">
        <v>204579</v>
      </c>
      <c r="AO18" s="116">
        <v>7</v>
      </c>
      <c r="AP18" s="115">
        <v>179006</v>
      </c>
      <c r="AQ18" s="116">
        <v>8</v>
      </c>
      <c r="AR18" s="115">
        <v>244682</v>
      </c>
      <c r="AS18" s="116">
        <v>17</v>
      </c>
      <c r="AT18" s="115">
        <v>198076</v>
      </c>
      <c r="AU18" s="116">
        <v>21</v>
      </c>
      <c r="AV18" s="115">
        <v>82585</v>
      </c>
      <c r="AW18" s="116">
        <v>15</v>
      </c>
      <c r="AX18" s="115">
        <v>65119</v>
      </c>
      <c r="AY18" s="116">
        <v>19</v>
      </c>
      <c r="AZ18" s="143">
        <v>10101155</v>
      </c>
      <c r="BA18" s="143">
        <v>1761810</v>
      </c>
      <c r="BB18" s="143">
        <v>163750</v>
      </c>
      <c r="BC18" s="143">
        <v>35545</v>
      </c>
      <c r="BD18" s="143">
        <v>0</v>
      </c>
      <c r="BE18" s="143">
        <v>12062260</v>
      </c>
      <c r="BF18" s="143">
        <v>0</v>
      </c>
      <c r="BG18" s="143">
        <v>0</v>
      </c>
      <c r="BH18" s="143">
        <v>0</v>
      </c>
      <c r="BI18" s="143">
        <v>0</v>
      </c>
      <c r="BJ18" s="143">
        <v>1519708</v>
      </c>
      <c r="BK18" s="143">
        <v>1519708</v>
      </c>
      <c r="BL18" s="143">
        <v>60000</v>
      </c>
      <c r="BM18" s="143">
        <v>0</v>
      </c>
      <c r="BN18" s="143">
        <v>0</v>
      </c>
      <c r="BO18" s="143">
        <v>0</v>
      </c>
      <c r="BP18" s="143">
        <v>0</v>
      </c>
      <c r="BQ18" s="143">
        <v>60000</v>
      </c>
      <c r="BR18" s="139">
        <v>2747415</v>
      </c>
      <c r="BS18" s="139">
        <v>980397</v>
      </c>
      <c r="BT18" s="139">
        <v>218760</v>
      </c>
      <c r="BU18" s="139">
        <v>189289</v>
      </c>
      <c r="BV18" s="139">
        <v>6364976</v>
      </c>
      <c r="BW18" s="139">
        <v>10500837</v>
      </c>
      <c r="BX18" s="143">
        <v>0</v>
      </c>
      <c r="BY18" s="143">
        <v>0</v>
      </c>
      <c r="BZ18" s="143">
        <v>0</v>
      </c>
      <c r="CA18" s="143">
        <v>0</v>
      </c>
      <c r="CB18" s="143">
        <v>0</v>
      </c>
      <c r="CC18" s="143">
        <v>0</v>
      </c>
      <c r="CD18" s="143">
        <v>0</v>
      </c>
      <c r="CE18" s="143">
        <v>0</v>
      </c>
      <c r="CF18" s="144">
        <v>0</v>
      </c>
      <c r="CG18" s="143">
        <v>0</v>
      </c>
      <c r="CH18" s="143">
        <v>0</v>
      </c>
      <c r="CI18" s="143">
        <v>0</v>
      </c>
      <c r="CJ18" s="139">
        <v>0</v>
      </c>
      <c r="CK18" s="143">
        <v>0</v>
      </c>
      <c r="CL18" s="143">
        <v>0</v>
      </c>
      <c r="CM18" s="143">
        <v>0</v>
      </c>
      <c r="CN18" s="143">
        <v>8931483</v>
      </c>
      <c r="CO18" s="143">
        <v>8931483</v>
      </c>
      <c r="CP18" s="139">
        <v>0</v>
      </c>
      <c r="CQ18" s="143">
        <v>0</v>
      </c>
      <c r="CR18" s="143">
        <v>0</v>
      </c>
      <c r="CS18" s="143">
        <v>0</v>
      </c>
      <c r="CT18" s="143">
        <v>1758282</v>
      </c>
      <c r="CU18" s="143">
        <v>1758282</v>
      </c>
      <c r="CV18" s="139">
        <v>14071732</v>
      </c>
      <c r="CW18" s="139">
        <v>2524872</v>
      </c>
      <c r="CX18" s="139">
        <v>0</v>
      </c>
      <c r="CY18" s="139">
        <v>77670</v>
      </c>
      <c r="CZ18" s="139">
        <v>4786847</v>
      </c>
      <c r="DA18" s="139">
        <v>21461121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43">
        <v>553814</v>
      </c>
      <c r="DI18" s="143">
        <v>140900</v>
      </c>
      <c r="DJ18" s="143">
        <v>25403</v>
      </c>
      <c r="DK18" s="143">
        <v>10981</v>
      </c>
      <c r="DL18" s="142">
        <v>578034</v>
      </c>
      <c r="DM18" s="143">
        <v>1309132</v>
      </c>
      <c r="DN18" s="143">
        <v>0</v>
      </c>
      <c r="DO18" s="143">
        <v>0</v>
      </c>
      <c r="DP18" s="143">
        <v>0</v>
      </c>
      <c r="DQ18" s="143">
        <v>0</v>
      </c>
      <c r="DR18" s="142">
        <v>3996973</v>
      </c>
      <c r="DS18" s="143">
        <v>3996973</v>
      </c>
      <c r="DT18" s="143">
        <v>47280</v>
      </c>
      <c r="DU18" s="139">
        <v>173003</v>
      </c>
      <c r="DV18" s="139">
        <v>106846</v>
      </c>
      <c r="DW18" s="139">
        <v>406915</v>
      </c>
      <c r="DX18" s="139">
        <v>0</v>
      </c>
      <c r="DY18" s="139">
        <v>734044</v>
      </c>
      <c r="DZ18" s="143">
        <v>322300</v>
      </c>
      <c r="EA18" s="143">
        <v>12025</v>
      </c>
      <c r="EB18" s="143">
        <v>33625</v>
      </c>
      <c r="EC18" s="143">
        <v>126452</v>
      </c>
      <c r="ED18" s="143">
        <v>114884</v>
      </c>
      <c r="EE18" s="143">
        <v>609286</v>
      </c>
      <c r="EF18" s="143">
        <v>586576</v>
      </c>
      <c r="EG18" s="143">
        <v>150</v>
      </c>
      <c r="EH18" s="143">
        <v>10632</v>
      </c>
      <c r="EI18" s="143">
        <v>33241</v>
      </c>
      <c r="EJ18" s="143">
        <v>653033</v>
      </c>
      <c r="EK18" s="143">
        <v>1283632</v>
      </c>
      <c r="EL18" s="139">
        <v>28430272</v>
      </c>
      <c r="EM18" s="143">
        <v>5653157</v>
      </c>
      <c r="EN18" s="143">
        <v>559016</v>
      </c>
      <c r="EO18" s="143">
        <v>880093</v>
      </c>
      <c r="EP18" s="143">
        <v>28704220</v>
      </c>
      <c r="EQ18" s="143">
        <v>64226758</v>
      </c>
      <c r="ER18" s="139">
        <v>4179567</v>
      </c>
      <c r="ES18" s="142">
        <v>604692</v>
      </c>
      <c r="ET18" s="142">
        <v>667687</v>
      </c>
      <c r="EU18" s="142">
        <v>4040895</v>
      </c>
      <c r="EV18" s="142">
        <v>0</v>
      </c>
      <c r="EW18" s="142">
        <v>9492841</v>
      </c>
      <c r="EX18" s="139">
        <v>913859</v>
      </c>
      <c r="EY18" s="143">
        <v>475000</v>
      </c>
      <c r="EZ18" s="143">
        <v>72000</v>
      </c>
      <c r="FA18" s="143">
        <v>13483</v>
      </c>
      <c r="FB18" s="143">
        <v>0</v>
      </c>
      <c r="FC18" s="143">
        <v>1474342</v>
      </c>
      <c r="FD18" s="139">
        <v>6432181</v>
      </c>
      <c r="FE18" s="143">
        <v>2968687</v>
      </c>
      <c r="FF18" s="143">
        <v>988593</v>
      </c>
      <c r="FG18" s="143">
        <v>2216471</v>
      </c>
      <c r="FH18" s="143">
        <v>0</v>
      </c>
      <c r="FI18" s="143">
        <v>12605932</v>
      </c>
      <c r="FJ18" s="139">
        <v>0</v>
      </c>
      <c r="FK18" s="142">
        <v>0</v>
      </c>
      <c r="FL18" s="142">
        <v>0</v>
      </c>
      <c r="FM18" s="142">
        <v>0</v>
      </c>
      <c r="FN18" s="142">
        <v>0</v>
      </c>
      <c r="FO18" s="142">
        <v>0</v>
      </c>
      <c r="FP18" s="139">
        <v>822291</v>
      </c>
      <c r="FQ18" s="143">
        <v>358637</v>
      </c>
      <c r="FR18" s="143">
        <v>266852</v>
      </c>
      <c r="FS18" s="143">
        <v>400263</v>
      </c>
      <c r="FT18" s="143">
        <v>8225081</v>
      </c>
      <c r="FU18" s="145">
        <v>10073124</v>
      </c>
      <c r="FV18" s="139">
        <v>0</v>
      </c>
      <c r="FW18" s="139">
        <v>0</v>
      </c>
      <c r="FX18" s="139">
        <v>0</v>
      </c>
      <c r="FY18" s="139">
        <v>0</v>
      </c>
      <c r="FZ18" s="139">
        <v>0</v>
      </c>
      <c r="GA18" s="139">
        <v>0</v>
      </c>
      <c r="GB18" s="139">
        <v>0</v>
      </c>
      <c r="GC18" s="139">
        <v>0</v>
      </c>
      <c r="GD18" s="139">
        <v>0</v>
      </c>
      <c r="GE18" s="139">
        <v>0</v>
      </c>
      <c r="GF18" s="139">
        <v>0</v>
      </c>
      <c r="GG18" s="139">
        <v>0</v>
      </c>
      <c r="GH18" s="143">
        <v>476570</v>
      </c>
      <c r="GI18" s="143">
        <v>100360</v>
      </c>
      <c r="GJ18" s="143">
        <v>125324</v>
      </c>
      <c r="GK18" s="145">
        <v>198564</v>
      </c>
      <c r="GL18" s="143">
        <v>0</v>
      </c>
      <c r="GM18" s="143">
        <v>900818</v>
      </c>
      <c r="GN18" s="139">
        <v>653365</v>
      </c>
      <c r="GO18" s="139">
        <v>453961</v>
      </c>
      <c r="GP18" s="139">
        <v>437765</v>
      </c>
      <c r="GQ18" s="139">
        <v>1291127</v>
      </c>
      <c r="GR18" s="139">
        <v>0</v>
      </c>
      <c r="GS18" s="139">
        <v>2836218</v>
      </c>
      <c r="GT18" s="143">
        <v>498537</v>
      </c>
      <c r="GU18" s="143">
        <v>82704</v>
      </c>
      <c r="GV18" s="143">
        <v>54101</v>
      </c>
      <c r="GW18" s="143">
        <v>523798</v>
      </c>
      <c r="GX18" s="143">
        <v>57888</v>
      </c>
      <c r="GY18" s="143">
        <v>1217028</v>
      </c>
      <c r="GZ18" s="143">
        <v>2039824</v>
      </c>
      <c r="HA18" s="146">
        <v>758890</v>
      </c>
      <c r="HB18" s="143">
        <v>387884</v>
      </c>
      <c r="HC18" s="143">
        <v>178233</v>
      </c>
      <c r="HD18" s="143">
        <v>0</v>
      </c>
      <c r="HE18" s="143">
        <v>3364831</v>
      </c>
      <c r="HF18" s="143">
        <v>24134</v>
      </c>
      <c r="HG18" s="143">
        <v>0</v>
      </c>
      <c r="HH18" s="143">
        <v>447</v>
      </c>
      <c r="HI18" s="143">
        <v>48609</v>
      </c>
      <c r="HJ18" s="143">
        <v>1651875</v>
      </c>
      <c r="HK18" s="143">
        <v>1725065</v>
      </c>
      <c r="HL18" s="139">
        <v>20737</v>
      </c>
      <c r="HM18" s="139">
        <v>72621</v>
      </c>
      <c r="HN18" s="139">
        <v>32756</v>
      </c>
      <c r="HO18" s="139">
        <v>212885</v>
      </c>
      <c r="HP18" s="139">
        <v>0</v>
      </c>
      <c r="HQ18" s="139">
        <v>338999</v>
      </c>
      <c r="HR18" s="146">
        <v>131497</v>
      </c>
      <c r="HS18" s="143">
        <v>24023</v>
      </c>
      <c r="HT18" s="143">
        <v>1674</v>
      </c>
      <c r="HU18" s="143">
        <v>70201</v>
      </c>
      <c r="HV18" s="143">
        <v>11271556</v>
      </c>
      <c r="HW18" s="143">
        <v>11498951</v>
      </c>
      <c r="HX18" s="143">
        <v>0</v>
      </c>
      <c r="HY18" s="143">
        <v>0</v>
      </c>
      <c r="HZ18" s="143">
        <v>0</v>
      </c>
      <c r="IA18" s="143">
        <v>0</v>
      </c>
      <c r="IB18" s="142">
        <v>376733</v>
      </c>
      <c r="IC18" s="143">
        <v>376733</v>
      </c>
      <c r="ID18" s="143">
        <v>0</v>
      </c>
      <c r="IE18" s="143">
        <v>0</v>
      </c>
      <c r="IF18" s="143">
        <v>0</v>
      </c>
      <c r="IG18" s="143">
        <v>0</v>
      </c>
      <c r="IH18" s="143">
        <v>1758282</v>
      </c>
      <c r="II18" s="143">
        <v>1758282</v>
      </c>
      <c r="IJ18" s="142">
        <v>138811</v>
      </c>
      <c r="IK18" s="142">
        <v>34914</v>
      </c>
      <c r="IL18" s="142">
        <v>31963</v>
      </c>
      <c r="IM18" s="142">
        <v>139653</v>
      </c>
      <c r="IN18" s="142">
        <v>261650</v>
      </c>
      <c r="IO18" s="142">
        <v>606991</v>
      </c>
      <c r="IP18" s="143">
        <v>340</v>
      </c>
      <c r="IQ18" s="143">
        <v>1175</v>
      </c>
      <c r="IR18" s="143">
        <v>1180</v>
      </c>
      <c r="IS18" s="143">
        <v>7970</v>
      </c>
      <c r="IT18" s="143">
        <v>35286</v>
      </c>
      <c r="IU18" s="145">
        <v>45951</v>
      </c>
      <c r="IV18" s="143">
        <v>1017208</v>
      </c>
      <c r="IW18" s="143">
        <v>113917</v>
      </c>
      <c r="IX18" s="143">
        <v>160558</v>
      </c>
      <c r="IY18" s="143">
        <v>473138</v>
      </c>
      <c r="IZ18" s="143">
        <v>4222173</v>
      </c>
      <c r="JA18" s="145">
        <v>5986994</v>
      </c>
      <c r="JB18" s="143">
        <v>17348921</v>
      </c>
      <c r="JC18" s="143">
        <v>6049581</v>
      </c>
      <c r="JD18" s="143">
        <v>3228784</v>
      </c>
      <c r="JE18" s="143">
        <v>9815290</v>
      </c>
      <c r="JF18" s="143">
        <v>27860524</v>
      </c>
      <c r="JG18" s="143">
        <v>64303100</v>
      </c>
      <c r="JH18" s="139">
        <v>0</v>
      </c>
      <c r="JI18" s="139">
        <v>0</v>
      </c>
      <c r="JJ18" s="139">
        <v>0</v>
      </c>
      <c r="JK18" s="139">
        <v>0</v>
      </c>
      <c r="JL18" s="139">
        <v>0</v>
      </c>
      <c r="JM18" s="139">
        <v>0</v>
      </c>
      <c r="JN18" s="143">
        <v>17348921</v>
      </c>
      <c r="JO18" s="143">
        <v>6049581</v>
      </c>
      <c r="JP18" s="143">
        <v>3228784</v>
      </c>
      <c r="JQ18" s="143">
        <v>9815290</v>
      </c>
      <c r="JR18" s="143">
        <v>27860524</v>
      </c>
      <c r="JS18" s="143">
        <v>64303100</v>
      </c>
      <c r="JU18" s="70">
        <f t="shared" si="0"/>
        <v>12062260</v>
      </c>
      <c r="JV18" s="70">
        <f t="shared" si="1"/>
        <v>0</v>
      </c>
      <c r="JW18" s="70">
        <f t="shared" si="2"/>
        <v>1519708</v>
      </c>
      <c r="JX18" s="70">
        <f t="shared" si="3"/>
        <v>0</v>
      </c>
      <c r="JY18" s="70">
        <f t="shared" si="4"/>
        <v>60000</v>
      </c>
      <c r="JZ18" s="70">
        <f t="shared" si="5"/>
        <v>0</v>
      </c>
      <c r="KA18" s="70">
        <f t="shared" si="6"/>
        <v>10500837</v>
      </c>
      <c r="KB18" s="70">
        <f t="shared" si="7"/>
        <v>0</v>
      </c>
      <c r="KC18" s="70">
        <f t="shared" si="8"/>
        <v>0</v>
      </c>
      <c r="KD18" s="70">
        <f t="shared" si="9"/>
        <v>0</v>
      </c>
      <c r="KE18" s="70">
        <f t="shared" si="10"/>
        <v>0</v>
      </c>
      <c r="KF18" s="70">
        <f t="shared" si="11"/>
        <v>0</v>
      </c>
      <c r="KG18" s="70">
        <f t="shared" si="12"/>
        <v>8931483</v>
      </c>
      <c r="KH18" s="70">
        <f t="shared" si="13"/>
        <v>0</v>
      </c>
      <c r="KI18" s="70">
        <f t="shared" si="14"/>
        <v>1758282</v>
      </c>
      <c r="KJ18" s="70">
        <f t="shared" si="15"/>
        <v>0</v>
      </c>
      <c r="KK18" s="70">
        <f t="shared" si="16"/>
        <v>21461121</v>
      </c>
      <c r="KL18" s="70">
        <f t="shared" si="17"/>
        <v>0</v>
      </c>
      <c r="KM18" s="70">
        <f t="shared" si="18"/>
        <v>0</v>
      </c>
      <c r="KN18" s="70">
        <f t="shared" si="19"/>
        <v>0</v>
      </c>
      <c r="KO18" s="70">
        <f t="shared" si="20"/>
        <v>1309132</v>
      </c>
      <c r="KP18" s="70">
        <f t="shared" si="21"/>
        <v>0</v>
      </c>
      <c r="KQ18" s="70">
        <f t="shared" si="22"/>
        <v>3996973</v>
      </c>
      <c r="KR18" s="70">
        <f t="shared" si="23"/>
        <v>0</v>
      </c>
      <c r="KS18" s="70">
        <f t="shared" si="24"/>
        <v>734044</v>
      </c>
      <c r="KT18" s="70">
        <f t="shared" si="25"/>
        <v>0</v>
      </c>
      <c r="KU18" s="70">
        <f t="shared" si="26"/>
        <v>609286</v>
      </c>
      <c r="KV18" s="70">
        <f t="shared" si="27"/>
        <v>0</v>
      </c>
      <c r="KW18" s="70">
        <f t="shared" si="28"/>
        <v>1283632</v>
      </c>
      <c r="KX18" s="70">
        <f t="shared" si="29"/>
        <v>0</v>
      </c>
      <c r="KY18" s="70">
        <f t="shared" si="30"/>
        <v>64226758</v>
      </c>
      <c r="KZ18" s="70">
        <f t="shared" si="31"/>
        <v>0</v>
      </c>
      <c r="LA18" s="70">
        <f t="shared" si="32"/>
        <v>9492841</v>
      </c>
      <c r="LB18" s="70">
        <f t="shared" si="33"/>
        <v>0</v>
      </c>
      <c r="LC18" s="70">
        <f t="shared" si="34"/>
        <v>1474342</v>
      </c>
      <c r="LD18" s="70">
        <f t="shared" si="35"/>
        <v>0</v>
      </c>
      <c r="LE18" s="70">
        <f t="shared" si="36"/>
        <v>12605932</v>
      </c>
      <c r="LF18" s="70">
        <f t="shared" si="37"/>
        <v>0</v>
      </c>
      <c r="LG18" s="70">
        <f t="shared" si="78"/>
        <v>0</v>
      </c>
      <c r="LH18" s="70">
        <f t="shared" si="79"/>
        <v>0</v>
      </c>
      <c r="LI18" s="70">
        <f t="shared" si="40"/>
        <v>10073124</v>
      </c>
      <c r="LJ18" s="70">
        <f t="shared" si="41"/>
        <v>0</v>
      </c>
      <c r="LK18" s="70">
        <f t="shared" si="42"/>
        <v>0</v>
      </c>
      <c r="LL18" s="70">
        <f t="shared" si="43"/>
        <v>0</v>
      </c>
      <c r="LM18" s="70">
        <f t="shared" si="44"/>
        <v>0</v>
      </c>
      <c r="LN18" s="70">
        <f t="shared" si="45"/>
        <v>0</v>
      </c>
      <c r="LO18" s="70">
        <f t="shared" si="46"/>
        <v>900818</v>
      </c>
      <c r="LP18" s="70">
        <f t="shared" si="47"/>
        <v>0</v>
      </c>
      <c r="LQ18" s="70">
        <f t="shared" si="48"/>
        <v>2836218</v>
      </c>
      <c r="LR18" s="70">
        <f t="shared" si="49"/>
        <v>0</v>
      </c>
      <c r="LS18" s="70">
        <f t="shared" si="50"/>
        <v>1217028</v>
      </c>
      <c r="LT18" s="70">
        <f t="shared" si="51"/>
        <v>0</v>
      </c>
      <c r="LU18" s="70">
        <f t="shared" si="52"/>
        <v>3364831</v>
      </c>
      <c r="LV18" s="70">
        <f t="shared" si="53"/>
        <v>0</v>
      </c>
      <c r="LW18" s="70">
        <f t="shared" si="54"/>
        <v>1725065</v>
      </c>
      <c r="LX18" s="70">
        <f t="shared" si="55"/>
        <v>0</v>
      </c>
      <c r="LY18" s="70">
        <f t="shared" si="56"/>
        <v>338999</v>
      </c>
      <c r="LZ18" s="70">
        <f t="shared" si="57"/>
        <v>0</v>
      </c>
      <c r="MA18" s="70">
        <f t="shared" si="58"/>
        <v>11498951</v>
      </c>
      <c r="MB18" s="70">
        <f t="shared" si="59"/>
        <v>0</v>
      </c>
      <c r="MC18" s="70">
        <f t="shared" si="60"/>
        <v>376733</v>
      </c>
      <c r="MD18" s="70">
        <f t="shared" si="61"/>
        <v>0</v>
      </c>
      <c r="ME18" s="70">
        <f t="shared" si="62"/>
        <v>1758282</v>
      </c>
      <c r="MF18" s="70">
        <f t="shared" si="63"/>
        <v>0</v>
      </c>
      <c r="MG18" s="70">
        <f t="shared" si="64"/>
        <v>606991</v>
      </c>
      <c r="MH18" s="70">
        <f t="shared" si="65"/>
        <v>0</v>
      </c>
      <c r="MI18" s="70">
        <f t="shared" si="66"/>
        <v>45951</v>
      </c>
      <c r="MJ18" s="70">
        <f t="shared" si="67"/>
        <v>0</v>
      </c>
      <c r="MK18" s="70">
        <f t="shared" si="68"/>
        <v>5986994</v>
      </c>
      <c r="ML18" s="70">
        <f t="shared" si="69"/>
        <v>0</v>
      </c>
      <c r="MM18" s="70">
        <f t="shared" si="70"/>
        <v>64303100</v>
      </c>
      <c r="MN18" s="70">
        <f t="shared" si="71"/>
        <v>0</v>
      </c>
      <c r="MO18" s="70">
        <f t="shared" si="72"/>
        <v>0</v>
      </c>
      <c r="MP18" s="70">
        <f t="shared" si="73"/>
        <v>0</v>
      </c>
      <c r="MQ18" s="70">
        <f t="shared" si="74"/>
        <v>64303100</v>
      </c>
      <c r="MR18" s="70">
        <f t="shared" si="75"/>
        <v>0</v>
      </c>
      <c r="MT18" s="70">
        <f t="shared" si="76"/>
        <v>0</v>
      </c>
      <c r="MV18" s="68">
        <f t="shared" si="77"/>
        <v>0</v>
      </c>
    </row>
    <row r="19" spans="1:360" x14ac:dyDescent="0.15">
      <c r="A19" s="182" t="s">
        <v>280</v>
      </c>
      <c r="B19" s="76" t="s">
        <v>422</v>
      </c>
      <c r="C19" s="95">
        <v>126818</v>
      </c>
      <c r="D19" s="95">
        <v>2014</v>
      </c>
      <c r="E19" s="95">
        <v>1</v>
      </c>
      <c r="F19" s="91">
        <v>10</v>
      </c>
      <c r="G19" s="96">
        <v>11067</v>
      </c>
      <c r="H19" s="96">
        <v>11489</v>
      </c>
      <c r="I19" s="94">
        <v>950546479</v>
      </c>
      <c r="J19" s="94">
        <v>879033361</v>
      </c>
      <c r="K19" s="94">
        <v>377668</v>
      </c>
      <c r="L19" s="94">
        <v>377669</v>
      </c>
      <c r="M19" s="94">
        <v>41508137</v>
      </c>
      <c r="N19" s="94">
        <v>37022861</v>
      </c>
      <c r="O19" s="94">
        <v>1650000</v>
      </c>
      <c r="P19" s="94">
        <v>1940000</v>
      </c>
      <c r="Q19" s="94">
        <v>650438292</v>
      </c>
      <c r="R19" s="94">
        <v>527247686</v>
      </c>
      <c r="S19" s="94">
        <v>449470407</v>
      </c>
      <c r="T19" s="94">
        <v>412101511</v>
      </c>
      <c r="U19" s="94">
        <v>21502</v>
      </c>
      <c r="V19" s="94">
        <v>20324</v>
      </c>
      <c r="W19" s="94">
        <v>37365</v>
      </c>
      <c r="X19" s="94">
        <v>36118</v>
      </c>
      <c r="Y19" s="94">
        <v>23204</v>
      </c>
      <c r="Z19" s="94">
        <v>21964</v>
      </c>
      <c r="AA19" s="94">
        <v>39057</v>
      </c>
      <c r="AB19" s="94">
        <v>38456</v>
      </c>
      <c r="AC19" s="117">
        <v>6</v>
      </c>
      <c r="AD19" s="117">
        <v>10</v>
      </c>
      <c r="AE19" s="117">
        <v>0</v>
      </c>
      <c r="AF19" s="118">
        <v>4342395</v>
      </c>
      <c r="AG19" s="118">
        <v>2897770</v>
      </c>
      <c r="AH19" s="118">
        <v>562436</v>
      </c>
      <c r="AI19" s="118">
        <v>247845</v>
      </c>
      <c r="AJ19" s="118">
        <v>822444</v>
      </c>
      <c r="AK19" s="119">
        <v>4</v>
      </c>
      <c r="AL19" s="118">
        <v>657955</v>
      </c>
      <c r="AM19" s="119">
        <v>5</v>
      </c>
      <c r="AN19" s="118">
        <v>139972</v>
      </c>
      <c r="AO19" s="119">
        <v>8</v>
      </c>
      <c r="AP19" s="118">
        <v>124419</v>
      </c>
      <c r="AQ19" s="119">
        <v>9</v>
      </c>
      <c r="AR19" s="118">
        <v>215073</v>
      </c>
      <c r="AS19" s="119">
        <v>14.5</v>
      </c>
      <c r="AT19" s="118">
        <v>194910</v>
      </c>
      <c r="AU19" s="119">
        <v>16</v>
      </c>
      <c r="AV19" s="118">
        <v>68620</v>
      </c>
      <c r="AW19" s="119">
        <v>13</v>
      </c>
      <c r="AX19" s="118">
        <v>59470</v>
      </c>
      <c r="AY19" s="119">
        <v>15</v>
      </c>
      <c r="AZ19" s="140">
        <v>2519614</v>
      </c>
      <c r="BA19" s="140">
        <v>576951</v>
      </c>
      <c r="BB19" s="140">
        <v>76528</v>
      </c>
      <c r="BC19" s="140">
        <v>169725</v>
      </c>
      <c r="BD19" s="140">
        <v>0</v>
      </c>
      <c r="BE19" s="140">
        <v>3342818</v>
      </c>
      <c r="BF19" s="140">
        <v>0</v>
      </c>
      <c r="BG19" s="140">
        <v>0</v>
      </c>
      <c r="BH19" s="140">
        <v>0</v>
      </c>
      <c r="BI19" s="140">
        <v>0</v>
      </c>
      <c r="BJ19" s="140">
        <v>5264541</v>
      </c>
      <c r="BK19" s="140">
        <v>5264541</v>
      </c>
      <c r="BL19" s="140">
        <v>1505745</v>
      </c>
      <c r="BM19" s="140">
        <v>70000</v>
      </c>
      <c r="BN19" s="140">
        <v>0</v>
      </c>
      <c r="BO19" s="140">
        <v>9856</v>
      </c>
      <c r="BP19" s="140">
        <v>0</v>
      </c>
      <c r="BQ19" s="140">
        <v>1585601</v>
      </c>
      <c r="BR19" s="140">
        <v>207513</v>
      </c>
      <c r="BS19" s="140">
        <v>110791</v>
      </c>
      <c r="BT19" s="140">
        <v>8430</v>
      </c>
      <c r="BU19" s="140">
        <v>141755</v>
      </c>
      <c r="BV19" s="140">
        <v>5629241</v>
      </c>
      <c r="BW19" s="140">
        <v>6097730</v>
      </c>
      <c r="BX19" s="140">
        <v>25000</v>
      </c>
      <c r="BY19" s="140">
        <v>11600</v>
      </c>
      <c r="BZ19" s="140">
        <v>1200</v>
      </c>
      <c r="CA19" s="140">
        <v>0</v>
      </c>
      <c r="CB19" s="140">
        <v>0</v>
      </c>
      <c r="CC19" s="140">
        <v>37800</v>
      </c>
      <c r="CD19" s="140">
        <v>0</v>
      </c>
      <c r="CE19" s="140">
        <v>0</v>
      </c>
      <c r="CF19" s="140">
        <v>0</v>
      </c>
      <c r="CG19" s="140">
        <v>0</v>
      </c>
      <c r="CH19" s="140">
        <v>0</v>
      </c>
      <c r="CI19" s="140">
        <v>0</v>
      </c>
      <c r="CJ19" s="140">
        <v>0</v>
      </c>
      <c r="CK19" s="140">
        <v>0</v>
      </c>
      <c r="CL19" s="140">
        <v>0</v>
      </c>
      <c r="CM19" s="140">
        <v>0</v>
      </c>
      <c r="CN19" s="140">
        <v>12360358</v>
      </c>
      <c r="CO19" s="140">
        <v>12360358</v>
      </c>
      <c r="CP19" s="140">
        <v>569085</v>
      </c>
      <c r="CQ19" s="140">
        <v>262201</v>
      </c>
      <c r="CR19" s="140">
        <v>242073</v>
      </c>
      <c r="CS19" s="140">
        <v>421979</v>
      </c>
      <c r="CT19" s="140">
        <v>909127</v>
      </c>
      <c r="CU19" s="140">
        <v>2404465</v>
      </c>
      <c r="CV19" s="140">
        <v>278873</v>
      </c>
      <c r="CW19" s="140">
        <v>0</v>
      </c>
      <c r="CX19" s="140">
        <v>0</v>
      </c>
      <c r="CY19" s="140">
        <v>5548</v>
      </c>
      <c r="CZ19" s="140">
        <v>2946354</v>
      </c>
      <c r="DA19" s="140">
        <v>3230775</v>
      </c>
      <c r="DB19" s="140">
        <v>0</v>
      </c>
      <c r="DC19" s="140">
        <v>0</v>
      </c>
      <c r="DD19" s="140">
        <v>0</v>
      </c>
      <c r="DE19" s="140">
        <v>0</v>
      </c>
      <c r="DF19" s="140">
        <v>0</v>
      </c>
      <c r="DG19" s="140">
        <v>0</v>
      </c>
      <c r="DH19" s="140">
        <v>320515</v>
      </c>
      <c r="DI19" s="140">
        <v>77554</v>
      </c>
      <c r="DJ19" s="140">
        <v>20721</v>
      </c>
      <c r="DK19" s="140">
        <v>39147</v>
      </c>
      <c r="DL19" s="140">
        <v>51969</v>
      </c>
      <c r="DM19" s="140">
        <v>509906</v>
      </c>
      <c r="DN19" s="140">
        <v>0</v>
      </c>
      <c r="DO19" s="140">
        <v>0</v>
      </c>
      <c r="DP19" s="140">
        <v>0</v>
      </c>
      <c r="DQ19" s="140">
        <v>0</v>
      </c>
      <c r="DR19" s="140">
        <v>2330419</v>
      </c>
      <c r="DS19" s="140">
        <v>2330419</v>
      </c>
      <c r="DT19" s="140">
        <v>236453</v>
      </c>
      <c r="DU19" s="140">
        <v>140709</v>
      </c>
      <c r="DV19" s="140">
        <v>58555</v>
      </c>
      <c r="DW19" s="140">
        <v>365159</v>
      </c>
      <c r="DX19" s="140">
        <v>86738</v>
      </c>
      <c r="DY19" s="140">
        <v>887614</v>
      </c>
      <c r="DZ19" s="140">
        <v>50974</v>
      </c>
      <c r="EA19" s="140">
        <v>1243</v>
      </c>
      <c r="EB19" s="140">
        <v>11099</v>
      </c>
      <c r="EC19" s="140">
        <v>58497</v>
      </c>
      <c r="ED19" s="140">
        <v>-46218</v>
      </c>
      <c r="EE19" s="140">
        <v>75595</v>
      </c>
      <c r="EF19" s="140">
        <v>30231</v>
      </c>
      <c r="EG19" s="140">
        <v>2415</v>
      </c>
      <c r="EH19" s="140">
        <v>3455</v>
      </c>
      <c r="EI19" s="140">
        <v>121136</v>
      </c>
      <c r="EJ19" s="140">
        <v>454806</v>
      </c>
      <c r="EK19" s="140">
        <v>612043</v>
      </c>
      <c r="EL19" s="140">
        <v>5744003</v>
      </c>
      <c r="EM19" s="140">
        <v>1253464</v>
      </c>
      <c r="EN19" s="140">
        <v>422061</v>
      </c>
      <c r="EO19" s="140">
        <v>1332802</v>
      </c>
      <c r="EP19" s="140">
        <v>29987335</v>
      </c>
      <c r="EQ19" s="140">
        <v>38739665</v>
      </c>
      <c r="ER19" s="140">
        <v>3306510</v>
      </c>
      <c r="ES19" s="140">
        <v>522556</v>
      </c>
      <c r="ET19" s="140">
        <v>577485</v>
      </c>
      <c r="EU19" s="140">
        <v>2833614</v>
      </c>
      <c r="EV19" s="140">
        <v>341005</v>
      </c>
      <c r="EW19" s="140">
        <v>7581170</v>
      </c>
      <c r="EX19" s="140">
        <v>225000</v>
      </c>
      <c r="EY19" s="140">
        <v>428970</v>
      </c>
      <c r="EZ19" s="140">
        <v>31001</v>
      </c>
      <c r="FA19" s="140">
        <v>38991</v>
      </c>
      <c r="FB19" s="140">
        <v>0</v>
      </c>
      <c r="FC19" s="140">
        <v>723962</v>
      </c>
      <c r="FD19" s="140">
        <v>4122166</v>
      </c>
      <c r="FE19" s="140">
        <v>1892043</v>
      </c>
      <c r="FF19" s="140">
        <v>630145</v>
      </c>
      <c r="FG19" s="140">
        <v>1775814</v>
      </c>
      <c r="FH19" s="140">
        <v>0</v>
      </c>
      <c r="FI19" s="140">
        <v>8420168</v>
      </c>
      <c r="FJ19" s="140">
        <v>25000</v>
      </c>
      <c r="FK19" s="140">
        <v>11600</v>
      </c>
      <c r="FL19" s="140">
        <v>1200</v>
      </c>
      <c r="FM19" s="140">
        <v>0</v>
      </c>
      <c r="FN19" s="140">
        <v>0</v>
      </c>
      <c r="FO19" s="140">
        <v>37800</v>
      </c>
      <c r="FP19" s="140">
        <v>568134</v>
      </c>
      <c r="FQ19" s="140">
        <v>263432</v>
      </c>
      <c r="FR19" s="140">
        <v>164348</v>
      </c>
      <c r="FS19" s="140">
        <v>65145</v>
      </c>
      <c r="FT19" s="140">
        <v>4692820</v>
      </c>
      <c r="FU19" s="140">
        <v>5753879</v>
      </c>
      <c r="FV19" s="140">
        <v>0</v>
      </c>
      <c r="FW19" s="140">
        <v>0</v>
      </c>
      <c r="FX19" s="140">
        <v>0</v>
      </c>
      <c r="FY19" s="140">
        <v>0</v>
      </c>
      <c r="FZ19" s="140">
        <v>0</v>
      </c>
      <c r="GA19" s="140">
        <v>0</v>
      </c>
      <c r="GB19" s="140">
        <v>0</v>
      </c>
      <c r="GC19" s="140">
        <v>0</v>
      </c>
      <c r="GD19" s="140">
        <v>0</v>
      </c>
      <c r="GE19" s="140">
        <v>0</v>
      </c>
      <c r="GF19" s="140">
        <v>0</v>
      </c>
      <c r="GG19" s="140">
        <v>0</v>
      </c>
      <c r="GH19" s="140">
        <v>367085</v>
      </c>
      <c r="GI19" s="140">
        <v>150608</v>
      </c>
      <c r="GJ19" s="140">
        <v>125830</v>
      </c>
      <c r="GK19" s="140">
        <v>166758</v>
      </c>
      <c r="GL19" s="140">
        <v>0</v>
      </c>
      <c r="GM19" s="140">
        <v>810281</v>
      </c>
      <c r="GN19" s="140">
        <v>1334188</v>
      </c>
      <c r="GO19" s="140">
        <v>360474</v>
      </c>
      <c r="GP19" s="140">
        <v>346722</v>
      </c>
      <c r="GQ19" s="140">
        <v>820195</v>
      </c>
      <c r="GR19" s="140">
        <v>10000</v>
      </c>
      <c r="GS19" s="140">
        <v>2871579</v>
      </c>
      <c r="GT19" s="140">
        <v>707054</v>
      </c>
      <c r="GU19" s="140">
        <v>127240</v>
      </c>
      <c r="GV19" s="140">
        <v>84778</v>
      </c>
      <c r="GW19" s="140">
        <v>299895</v>
      </c>
      <c r="GX19" s="140">
        <v>80955</v>
      </c>
      <c r="GY19" s="140">
        <v>1299922</v>
      </c>
      <c r="GZ19" s="139">
        <v>687969</v>
      </c>
      <c r="HA19" s="140">
        <v>257016</v>
      </c>
      <c r="HB19" s="140">
        <v>149134</v>
      </c>
      <c r="HC19" s="140">
        <v>156550</v>
      </c>
      <c r="HD19" s="140">
        <v>0</v>
      </c>
      <c r="HE19" s="140">
        <v>1250669</v>
      </c>
      <c r="HF19" s="140">
        <v>76566</v>
      </c>
      <c r="HG19" s="140">
        <v>8464</v>
      </c>
      <c r="HH19" s="140">
        <v>12180</v>
      </c>
      <c r="HI19" s="140">
        <v>46541</v>
      </c>
      <c r="HJ19" s="140">
        <v>1567692</v>
      </c>
      <c r="HK19" s="140">
        <v>1711443</v>
      </c>
      <c r="HL19" s="140">
        <v>147290</v>
      </c>
      <c r="HM19" s="140">
        <v>89081</v>
      </c>
      <c r="HN19" s="140">
        <v>19581</v>
      </c>
      <c r="HO19" s="140">
        <v>195220</v>
      </c>
      <c r="HP19" s="140">
        <v>79033</v>
      </c>
      <c r="HQ19" s="140">
        <v>530205</v>
      </c>
      <c r="HR19" s="140">
        <v>31021</v>
      </c>
      <c r="HS19" s="140">
        <v>213</v>
      </c>
      <c r="HT19" s="140">
        <v>200</v>
      </c>
      <c r="HU19" s="140">
        <v>35566</v>
      </c>
      <c r="HV19" s="140">
        <v>133597</v>
      </c>
      <c r="HW19" s="140">
        <v>200597</v>
      </c>
      <c r="HX19" s="140">
        <v>0</v>
      </c>
      <c r="HY19" s="140">
        <v>0</v>
      </c>
      <c r="HZ19" s="140">
        <v>0</v>
      </c>
      <c r="IA19" s="140">
        <v>0</v>
      </c>
      <c r="IB19" s="140">
        <v>69925</v>
      </c>
      <c r="IC19" s="140">
        <v>69925</v>
      </c>
      <c r="ID19" s="140">
        <v>569085</v>
      </c>
      <c r="IE19" s="140">
        <v>262201</v>
      </c>
      <c r="IF19" s="140">
        <v>242073</v>
      </c>
      <c r="IG19" s="140">
        <v>421979</v>
      </c>
      <c r="IH19" s="140">
        <v>909127</v>
      </c>
      <c r="II19" s="140">
        <v>2404465</v>
      </c>
      <c r="IJ19" s="140">
        <v>42030</v>
      </c>
      <c r="IK19" s="140">
        <v>5519</v>
      </c>
      <c r="IL19" s="140">
        <v>8557</v>
      </c>
      <c r="IM19" s="140">
        <v>3374</v>
      </c>
      <c r="IN19" s="140">
        <v>565028</v>
      </c>
      <c r="IO19" s="140">
        <v>624508</v>
      </c>
      <c r="IP19" s="140">
        <v>4210</v>
      </c>
      <c r="IQ19" s="140">
        <v>1600</v>
      </c>
      <c r="IR19" s="140">
        <v>3660</v>
      </c>
      <c r="IS19" s="140">
        <v>5953</v>
      </c>
      <c r="IT19" s="140">
        <v>402275</v>
      </c>
      <c r="IU19" s="140">
        <v>417698</v>
      </c>
      <c r="IV19" s="140">
        <v>417884</v>
      </c>
      <c r="IW19" s="140">
        <v>182019</v>
      </c>
      <c r="IX19" s="140">
        <v>48722</v>
      </c>
      <c r="IY19" s="140">
        <v>131148</v>
      </c>
      <c r="IZ19" s="140">
        <v>1456113</v>
      </c>
      <c r="JA19" s="140">
        <v>2235886</v>
      </c>
      <c r="JB19" s="140">
        <v>12631192</v>
      </c>
      <c r="JC19" s="140">
        <v>4563036</v>
      </c>
      <c r="JD19" s="140">
        <v>2445616</v>
      </c>
      <c r="JE19" s="140">
        <v>6996743</v>
      </c>
      <c r="JF19" s="140">
        <v>10307570</v>
      </c>
      <c r="JG19" s="140">
        <v>36944157</v>
      </c>
      <c r="JH19" s="140">
        <v>0</v>
      </c>
      <c r="JI19" s="140">
        <v>0</v>
      </c>
      <c r="JJ19" s="140">
        <v>0</v>
      </c>
      <c r="JK19" s="140">
        <v>0</v>
      </c>
      <c r="JL19" s="140">
        <v>0</v>
      </c>
      <c r="JM19" s="140">
        <v>0</v>
      </c>
      <c r="JN19" s="140">
        <v>12631192</v>
      </c>
      <c r="JO19" s="140">
        <v>4563036</v>
      </c>
      <c r="JP19" s="140">
        <v>2445616</v>
      </c>
      <c r="JQ19" s="140">
        <v>6996743</v>
      </c>
      <c r="JR19" s="140">
        <v>10307570</v>
      </c>
      <c r="JS19" s="140">
        <v>36944157</v>
      </c>
      <c r="JT19" s="77"/>
      <c r="JU19" s="70">
        <f t="shared" si="0"/>
        <v>3342818</v>
      </c>
      <c r="JV19" s="70">
        <f t="shared" si="1"/>
        <v>0</v>
      </c>
      <c r="JW19" s="70">
        <f t="shared" si="2"/>
        <v>5264541</v>
      </c>
      <c r="JX19" s="70">
        <f t="shared" si="3"/>
        <v>0</v>
      </c>
      <c r="JY19" s="70">
        <f t="shared" si="4"/>
        <v>1585601</v>
      </c>
      <c r="JZ19" s="70">
        <f t="shared" si="5"/>
        <v>0</v>
      </c>
      <c r="KA19" s="70">
        <f t="shared" si="6"/>
        <v>6097730</v>
      </c>
      <c r="KB19" s="70">
        <f t="shared" si="7"/>
        <v>0</v>
      </c>
      <c r="KC19" s="70">
        <f t="shared" si="8"/>
        <v>37800</v>
      </c>
      <c r="KD19" s="70">
        <f t="shared" si="9"/>
        <v>0</v>
      </c>
      <c r="KE19" s="70">
        <f t="shared" si="10"/>
        <v>0</v>
      </c>
      <c r="KF19" s="70">
        <f t="shared" si="11"/>
        <v>0</v>
      </c>
      <c r="KG19" s="70">
        <f t="shared" si="12"/>
        <v>12360358</v>
      </c>
      <c r="KH19" s="70">
        <f t="shared" si="13"/>
        <v>0</v>
      </c>
      <c r="KI19" s="70">
        <f t="shared" si="14"/>
        <v>2404465</v>
      </c>
      <c r="KJ19" s="70">
        <f t="shared" si="15"/>
        <v>0</v>
      </c>
      <c r="KK19" s="70">
        <f t="shared" si="16"/>
        <v>3230775</v>
      </c>
      <c r="KL19" s="70">
        <f t="shared" si="17"/>
        <v>0</v>
      </c>
      <c r="KM19" s="70">
        <f t="shared" si="18"/>
        <v>0</v>
      </c>
      <c r="KN19" s="70">
        <f t="shared" si="19"/>
        <v>0</v>
      </c>
      <c r="KO19" s="70">
        <f t="shared" si="20"/>
        <v>509906</v>
      </c>
      <c r="KP19" s="70">
        <f t="shared" si="21"/>
        <v>0</v>
      </c>
      <c r="KQ19" s="70">
        <f t="shared" si="22"/>
        <v>2330419</v>
      </c>
      <c r="KR19" s="70">
        <f t="shared" si="23"/>
        <v>0</v>
      </c>
      <c r="KS19" s="70">
        <f t="shared" si="24"/>
        <v>887614</v>
      </c>
      <c r="KT19" s="70">
        <f t="shared" si="25"/>
        <v>0</v>
      </c>
      <c r="KU19" s="70">
        <f t="shared" si="26"/>
        <v>75595</v>
      </c>
      <c r="KV19" s="70">
        <f t="shared" si="27"/>
        <v>0</v>
      </c>
      <c r="KW19" s="70">
        <f t="shared" si="28"/>
        <v>612043</v>
      </c>
      <c r="KX19" s="70">
        <f t="shared" si="29"/>
        <v>0</v>
      </c>
      <c r="KY19" s="70">
        <f t="shared" si="30"/>
        <v>38739665</v>
      </c>
      <c r="KZ19" s="70">
        <f t="shared" si="31"/>
        <v>0</v>
      </c>
      <c r="LA19" s="70">
        <f t="shared" si="32"/>
        <v>7581170</v>
      </c>
      <c r="LB19" s="70">
        <f t="shared" si="33"/>
        <v>0</v>
      </c>
      <c r="LC19" s="70">
        <f t="shared" si="34"/>
        <v>723962</v>
      </c>
      <c r="LD19" s="70">
        <f t="shared" si="35"/>
        <v>0</v>
      </c>
      <c r="LE19" s="70">
        <f t="shared" si="36"/>
        <v>8420168</v>
      </c>
      <c r="LF19" s="70">
        <f t="shared" si="37"/>
        <v>0</v>
      </c>
      <c r="LG19" s="70">
        <f t="shared" si="78"/>
        <v>37800</v>
      </c>
      <c r="LH19" s="70">
        <f t="shared" si="79"/>
        <v>0</v>
      </c>
      <c r="LI19" s="70">
        <f t="shared" si="40"/>
        <v>5753879</v>
      </c>
      <c r="LJ19" s="70">
        <f t="shared" si="41"/>
        <v>0</v>
      </c>
      <c r="LK19" s="70">
        <f t="shared" si="42"/>
        <v>0</v>
      </c>
      <c r="LL19" s="70">
        <f t="shared" si="43"/>
        <v>0</v>
      </c>
      <c r="LM19" s="70">
        <f t="shared" si="44"/>
        <v>0</v>
      </c>
      <c r="LN19" s="70">
        <f t="shared" si="45"/>
        <v>0</v>
      </c>
      <c r="LO19" s="70">
        <f t="shared" si="46"/>
        <v>810281</v>
      </c>
      <c r="LP19" s="70">
        <f t="shared" si="47"/>
        <v>0</v>
      </c>
      <c r="LQ19" s="70">
        <f t="shared" si="48"/>
        <v>2871579</v>
      </c>
      <c r="LR19" s="70">
        <f t="shared" si="49"/>
        <v>0</v>
      </c>
      <c r="LS19" s="70">
        <f t="shared" si="50"/>
        <v>1299922</v>
      </c>
      <c r="LT19" s="70">
        <f t="shared" si="51"/>
        <v>0</v>
      </c>
      <c r="LU19" s="70">
        <f t="shared" si="52"/>
        <v>1250669</v>
      </c>
      <c r="LV19" s="70">
        <f t="shared" si="53"/>
        <v>0</v>
      </c>
      <c r="LW19" s="70">
        <f t="shared" si="54"/>
        <v>1711443</v>
      </c>
      <c r="LX19" s="70">
        <f t="shared" si="55"/>
        <v>0</v>
      </c>
      <c r="LY19" s="70">
        <f t="shared" si="56"/>
        <v>530205</v>
      </c>
      <c r="LZ19" s="70">
        <f t="shared" si="57"/>
        <v>0</v>
      </c>
      <c r="MA19" s="70">
        <f t="shared" si="58"/>
        <v>200597</v>
      </c>
      <c r="MB19" s="70">
        <f t="shared" si="59"/>
        <v>0</v>
      </c>
      <c r="MC19" s="70">
        <f t="shared" si="60"/>
        <v>69925</v>
      </c>
      <c r="MD19" s="70">
        <f t="shared" si="61"/>
        <v>0</v>
      </c>
      <c r="ME19" s="70">
        <f t="shared" si="62"/>
        <v>2404465</v>
      </c>
      <c r="MF19" s="70">
        <f t="shared" si="63"/>
        <v>0</v>
      </c>
      <c r="MG19" s="70">
        <f t="shared" si="64"/>
        <v>624508</v>
      </c>
      <c r="MH19" s="70">
        <f t="shared" si="65"/>
        <v>0</v>
      </c>
      <c r="MI19" s="70">
        <f t="shared" si="66"/>
        <v>417698</v>
      </c>
      <c r="MJ19" s="70">
        <f t="shared" si="67"/>
        <v>0</v>
      </c>
      <c r="MK19" s="70">
        <f t="shared" si="68"/>
        <v>2235886</v>
      </c>
      <c r="ML19" s="70">
        <f t="shared" si="69"/>
        <v>0</v>
      </c>
      <c r="MM19" s="70">
        <f t="shared" si="70"/>
        <v>36944157</v>
      </c>
      <c r="MN19" s="70">
        <f t="shared" si="71"/>
        <v>0</v>
      </c>
      <c r="MO19" s="70">
        <f t="shared" si="72"/>
        <v>0</v>
      </c>
      <c r="MP19" s="70">
        <f t="shared" si="73"/>
        <v>0</v>
      </c>
      <c r="MQ19" s="70">
        <f t="shared" si="74"/>
        <v>36944157</v>
      </c>
      <c r="MR19" s="70">
        <f t="shared" si="75"/>
        <v>0</v>
      </c>
      <c r="MT19" s="70">
        <f t="shared" si="76"/>
        <v>0</v>
      </c>
      <c r="MV19" s="68">
        <f t="shared" si="77"/>
        <v>0</v>
      </c>
    </row>
    <row r="20" spans="1:360" x14ac:dyDescent="0.15">
      <c r="A20" s="182" t="s">
        <v>281</v>
      </c>
      <c r="B20" s="76" t="s">
        <v>422</v>
      </c>
      <c r="C20" s="90">
        <v>129020</v>
      </c>
      <c r="D20" s="90">
        <v>2014</v>
      </c>
      <c r="E20" s="90">
        <v>1</v>
      </c>
      <c r="F20" s="91">
        <v>6</v>
      </c>
      <c r="G20" s="92">
        <v>8957</v>
      </c>
      <c r="H20" s="92">
        <v>8727</v>
      </c>
      <c r="I20" s="93">
        <v>1097736091</v>
      </c>
      <c r="J20" s="93">
        <v>998515347</v>
      </c>
      <c r="K20" s="93">
        <v>2790789</v>
      </c>
      <c r="L20" s="93">
        <v>2932814</v>
      </c>
      <c r="M20" s="93" t="s">
        <v>282</v>
      </c>
      <c r="N20" s="93">
        <v>130855338</v>
      </c>
      <c r="O20" s="93">
        <v>21381452</v>
      </c>
      <c r="P20" s="93" t="s">
        <v>283</v>
      </c>
      <c r="Q20" s="93" t="s">
        <v>284</v>
      </c>
      <c r="R20" s="93">
        <v>1081196163</v>
      </c>
      <c r="S20" s="93">
        <v>900801698</v>
      </c>
      <c r="T20" s="93">
        <v>831041628</v>
      </c>
      <c r="U20" s="93">
        <v>24544</v>
      </c>
      <c r="V20" s="93">
        <v>23.422000000000001</v>
      </c>
      <c r="W20" s="93">
        <v>43492</v>
      </c>
      <c r="X20" s="93">
        <v>41254</v>
      </c>
      <c r="Y20" s="93">
        <v>27654</v>
      </c>
      <c r="Z20" s="93" t="s">
        <v>285</v>
      </c>
      <c r="AA20" s="93">
        <v>45618</v>
      </c>
      <c r="AB20" s="93">
        <v>44614</v>
      </c>
      <c r="AC20" s="114">
        <v>11</v>
      </c>
      <c r="AD20" s="114">
        <v>13</v>
      </c>
      <c r="AE20" s="114">
        <v>0</v>
      </c>
      <c r="AF20" s="115">
        <v>6129008</v>
      </c>
      <c r="AG20" s="115">
        <v>5990830</v>
      </c>
      <c r="AH20" s="115">
        <v>511599</v>
      </c>
      <c r="AI20" s="115">
        <v>524050</v>
      </c>
      <c r="AJ20" s="115">
        <v>688488</v>
      </c>
      <c r="AK20" s="116">
        <v>8</v>
      </c>
      <c r="AL20" s="115">
        <v>611990</v>
      </c>
      <c r="AM20" s="116">
        <v>9</v>
      </c>
      <c r="AN20" s="115">
        <v>350544</v>
      </c>
      <c r="AO20" s="116">
        <v>10</v>
      </c>
      <c r="AP20" s="115">
        <v>318676</v>
      </c>
      <c r="AQ20" s="116">
        <v>11</v>
      </c>
      <c r="AR20" s="115">
        <v>208172</v>
      </c>
      <c r="AS20" s="116">
        <v>23.5</v>
      </c>
      <c r="AT20" s="115">
        <v>188155</v>
      </c>
      <c r="AU20" s="116">
        <v>26</v>
      </c>
      <c r="AV20" s="115">
        <v>99638</v>
      </c>
      <c r="AW20" s="116">
        <v>23</v>
      </c>
      <c r="AX20" s="115">
        <v>95487</v>
      </c>
      <c r="AY20" s="116">
        <v>24</v>
      </c>
      <c r="AZ20" s="139">
        <v>5248807</v>
      </c>
      <c r="BA20" s="139">
        <v>3545925</v>
      </c>
      <c r="BB20" s="139">
        <v>1794670</v>
      </c>
      <c r="BC20" s="139">
        <v>109909</v>
      </c>
      <c r="BD20" s="139">
        <v>0</v>
      </c>
      <c r="BE20" s="139">
        <v>10699311</v>
      </c>
      <c r="BF20" s="139">
        <v>0</v>
      </c>
      <c r="BG20" s="139">
        <v>0</v>
      </c>
      <c r="BH20" s="139">
        <v>0</v>
      </c>
      <c r="BI20" s="139">
        <v>0</v>
      </c>
      <c r="BJ20" s="139">
        <v>9929474</v>
      </c>
      <c r="BK20" s="139">
        <v>9929474</v>
      </c>
      <c r="BL20" s="139">
        <v>150000</v>
      </c>
      <c r="BM20" s="139">
        <v>208000</v>
      </c>
      <c r="BN20" s="139">
        <v>0</v>
      </c>
      <c r="BO20" s="139">
        <v>27000</v>
      </c>
      <c r="BP20" s="139">
        <v>0</v>
      </c>
      <c r="BQ20" s="139">
        <v>385000</v>
      </c>
      <c r="BR20" s="139">
        <v>2114235</v>
      </c>
      <c r="BS20" s="139">
        <v>196055</v>
      </c>
      <c r="BT20" s="139">
        <v>276173</v>
      </c>
      <c r="BU20" s="139">
        <v>983947</v>
      </c>
      <c r="BV20" s="139">
        <v>2708565</v>
      </c>
      <c r="BW20" s="139">
        <v>6278975</v>
      </c>
      <c r="BX20" s="139">
        <v>0</v>
      </c>
      <c r="BY20" s="139">
        <v>0</v>
      </c>
      <c r="BZ20" s="139">
        <v>0</v>
      </c>
      <c r="CA20" s="139">
        <v>0</v>
      </c>
      <c r="CB20" s="139">
        <v>0</v>
      </c>
      <c r="CC20" s="139">
        <v>0</v>
      </c>
      <c r="CD20" s="139">
        <v>0</v>
      </c>
      <c r="CE20" s="139">
        <v>0</v>
      </c>
      <c r="CF20" s="139">
        <v>0</v>
      </c>
      <c r="CG20" s="139">
        <v>0</v>
      </c>
      <c r="CH20" s="139">
        <v>0</v>
      </c>
      <c r="CI20" s="139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17273557</v>
      </c>
      <c r="CO20" s="139">
        <v>17273557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6907611</v>
      </c>
      <c r="CX20" s="139">
        <v>513995</v>
      </c>
      <c r="CY20" s="139">
        <v>84214</v>
      </c>
      <c r="CZ20" s="139">
        <v>4078228</v>
      </c>
      <c r="DA20" s="139">
        <v>11584048</v>
      </c>
      <c r="DB20" s="139">
        <v>0</v>
      </c>
      <c r="DC20" s="139">
        <v>0</v>
      </c>
      <c r="DD20" s="139">
        <v>1125000</v>
      </c>
      <c r="DE20" s="139">
        <v>435</v>
      </c>
      <c r="DF20" s="139">
        <v>0</v>
      </c>
      <c r="DG20" s="139">
        <v>1125435</v>
      </c>
      <c r="DH20" s="139">
        <v>1996</v>
      </c>
      <c r="DI20" s="139">
        <v>45448</v>
      </c>
      <c r="DJ20" s="139">
        <v>47652</v>
      </c>
      <c r="DK20" s="139">
        <v>23837</v>
      </c>
      <c r="DL20" s="139">
        <v>107845</v>
      </c>
      <c r="DM20" s="139">
        <v>226778</v>
      </c>
      <c r="DN20" s="139">
        <v>11639</v>
      </c>
      <c r="DO20" s="139">
        <v>0</v>
      </c>
      <c r="DP20" s="139">
        <v>0</v>
      </c>
      <c r="DQ20" s="139">
        <v>0</v>
      </c>
      <c r="DR20" s="139">
        <v>12587403</v>
      </c>
      <c r="DS20" s="139">
        <v>12599042</v>
      </c>
      <c r="DT20" s="139">
        <v>4582</v>
      </c>
      <c r="DU20" s="139">
        <v>8692</v>
      </c>
      <c r="DV20" s="139">
        <v>0</v>
      </c>
      <c r="DW20" s="139">
        <v>17530</v>
      </c>
      <c r="DX20" s="139">
        <v>0</v>
      </c>
      <c r="DY20" s="139">
        <v>30804</v>
      </c>
      <c r="DZ20" s="139">
        <v>36</v>
      </c>
      <c r="EA20" s="139">
        <v>3366</v>
      </c>
      <c r="EB20" s="139">
        <v>0</v>
      </c>
      <c r="EC20" s="139">
        <v>68441</v>
      </c>
      <c r="ED20" s="139">
        <v>77553</v>
      </c>
      <c r="EE20" s="139">
        <v>149396</v>
      </c>
      <c r="EF20" s="139">
        <v>22995</v>
      </c>
      <c r="EG20" s="139">
        <v>0</v>
      </c>
      <c r="EH20" s="139">
        <v>288209</v>
      </c>
      <c r="EI20" s="139">
        <v>46240</v>
      </c>
      <c r="EJ20" s="139">
        <v>880169</v>
      </c>
      <c r="EK20" s="139">
        <v>1237613</v>
      </c>
      <c r="EL20" s="139">
        <v>7554290</v>
      </c>
      <c r="EM20" s="139">
        <v>10915097</v>
      </c>
      <c r="EN20" s="139">
        <v>4045699</v>
      </c>
      <c r="EO20" s="139">
        <v>1361118</v>
      </c>
      <c r="EP20" s="139">
        <v>47643229</v>
      </c>
      <c r="EQ20" s="139">
        <v>71519433</v>
      </c>
      <c r="ER20" s="139">
        <v>3639588</v>
      </c>
      <c r="ES20" s="139">
        <v>621798</v>
      </c>
      <c r="ET20" s="139">
        <v>466562</v>
      </c>
      <c r="EU20" s="139">
        <v>7391890</v>
      </c>
      <c r="EV20" s="139">
        <v>310331</v>
      </c>
      <c r="EW20" s="139">
        <v>12430169</v>
      </c>
      <c r="EX20" s="139">
        <v>825000</v>
      </c>
      <c r="EY20" s="139">
        <v>448500</v>
      </c>
      <c r="EZ20" s="139">
        <v>72000</v>
      </c>
      <c r="FA20" s="139">
        <v>55012</v>
      </c>
      <c r="FB20" s="139">
        <v>0</v>
      </c>
      <c r="FC20" s="139">
        <v>1400512</v>
      </c>
      <c r="FD20" s="139">
        <v>4319009</v>
      </c>
      <c r="FE20" s="139">
        <v>3800878</v>
      </c>
      <c r="FF20" s="139">
        <v>3073240</v>
      </c>
      <c r="FG20" s="139">
        <v>5003935</v>
      </c>
      <c r="FH20" s="139">
        <v>0</v>
      </c>
      <c r="FI20" s="139">
        <v>16197062</v>
      </c>
      <c r="FJ20" s="139">
        <v>0</v>
      </c>
      <c r="FK20" s="139">
        <v>0</v>
      </c>
      <c r="FL20" s="139">
        <v>0</v>
      </c>
      <c r="FM20" s="139">
        <v>0</v>
      </c>
      <c r="FN20" s="139">
        <v>0</v>
      </c>
      <c r="FO20" s="139">
        <v>0</v>
      </c>
      <c r="FP20" s="139">
        <v>537403</v>
      </c>
      <c r="FQ20" s="139">
        <v>400646</v>
      </c>
      <c r="FR20" s="139">
        <v>283817</v>
      </c>
      <c r="FS20" s="139">
        <f>1005781+294653-FP20-FQ20-FR20</f>
        <v>78568</v>
      </c>
      <c r="FT20" s="139">
        <v>13153584</v>
      </c>
      <c r="FU20" s="139">
        <v>14454018</v>
      </c>
      <c r="FV20" s="139">
        <v>0</v>
      </c>
      <c r="FW20" s="139">
        <v>0</v>
      </c>
      <c r="FX20" s="139">
        <v>0</v>
      </c>
      <c r="FY20" s="139">
        <v>0</v>
      </c>
      <c r="FZ20" s="139">
        <v>0</v>
      </c>
      <c r="GA20" s="139">
        <v>0</v>
      </c>
      <c r="GB20" s="139">
        <v>1003574</v>
      </c>
      <c r="GC20" s="139">
        <v>0</v>
      </c>
      <c r="GD20" s="139">
        <v>0</v>
      </c>
      <c r="GE20" s="139">
        <f>1033928+195910-GB20-GC20-GD20</f>
        <v>226264</v>
      </c>
      <c r="GF20" s="139">
        <v>113194</v>
      </c>
      <c r="GG20" s="139">
        <v>1343032</v>
      </c>
      <c r="GH20" s="139">
        <v>171851</v>
      </c>
      <c r="GI20" s="139">
        <v>113835</v>
      </c>
      <c r="GJ20" s="139">
        <v>287077</v>
      </c>
      <c r="GK20" s="139">
        <f>511599+524050-GH20-GI20-GJ20</f>
        <v>462886</v>
      </c>
      <c r="GL20" s="139">
        <v>4500</v>
      </c>
      <c r="GM20" s="139">
        <v>1040149</v>
      </c>
      <c r="GN20" s="139">
        <v>1082529</v>
      </c>
      <c r="GO20" s="139">
        <v>1759392</v>
      </c>
      <c r="GP20" s="139">
        <v>1061641</v>
      </c>
      <c r="GQ20" s="139">
        <f>4329058+2580777-GN20-GO20-GP20</f>
        <v>3006273</v>
      </c>
      <c r="GR20" s="139">
        <v>0</v>
      </c>
      <c r="GS20" s="139">
        <v>6909835</v>
      </c>
      <c r="GT20" s="139">
        <v>159241</v>
      </c>
      <c r="GU20" s="139">
        <v>14479</v>
      </c>
      <c r="GV20" s="139">
        <v>3803</v>
      </c>
      <c r="GW20" s="139">
        <f>404658+183847-GT20-GU20-GV20</f>
        <v>410982</v>
      </c>
      <c r="GX20" s="139">
        <v>13781</v>
      </c>
      <c r="GY20" s="139">
        <v>602286</v>
      </c>
      <c r="GZ20" s="139">
        <v>3240896</v>
      </c>
      <c r="HA20" s="139">
        <v>989245</v>
      </c>
      <c r="HB20" s="139">
        <v>958950</v>
      </c>
      <c r="HC20" s="139">
        <f>4478306+1121751-GZ20-HA20-HB20</f>
        <v>410966</v>
      </c>
      <c r="HD20" s="139">
        <v>56248</v>
      </c>
      <c r="HE20" s="139">
        <v>5656305</v>
      </c>
      <c r="HF20" s="139">
        <v>0</v>
      </c>
      <c r="HG20" s="139">
        <v>0</v>
      </c>
      <c r="HH20" s="139">
        <v>0</v>
      </c>
      <c r="HI20" s="139">
        <v>0</v>
      </c>
      <c r="HJ20" s="139">
        <v>3090764</v>
      </c>
      <c r="HK20" s="139">
        <v>3090764</v>
      </c>
      <c r="HL20" s="139">
        <v>0</v>
      </c>
      <c r="HM20" s="139">
        <v>0</v>
      </c>
      <c r="HN20" s="139">
        <v>0</v>
      </c>
      <c r="HO20" s="139">
        <v>0</v>
      </c>
      <c r="HP20" s="139">
        <v>0</v>
      </c>
      <c r="HQ20" s="139">
        <v>0</v>
      </c>
      <c r="HR20" s="139">
        <v>111290</v>
      </c>
      <c r="HS20" s="139">
        <v>5374</v>
      </c>
      <c r="HT20" s="139">
        <v>10168</v>
      </c>
      <c r="HU20" s="139">
        <f>224261+48789-HR20-HS20-HT20</f>
        <v>146218</v>
      </c>
      <c r="HV20" s="139">
        <v>1989140</v>
      </c>
      <c r="HW20" s="139">
        <v>2262190</v>
      </c>
      <c r="HX20" s="139">
        <v>0</v>
      </c>
      <c r="HY20" s="139">
        <v>11795</v>
      </c>
      <c r="HZ20" s="139">
        <v>12039</v>
      </c>
      <c r="IA20" s="139">
        <v>0</v>
      </c>
      <c r="IB20" s="139">
        <v>4599</v>
      </c>
      <c r="IC20" s="139">
        <v>28433</v>
      </c>
      <c r="ID20" s="139">
        <v>0</v>
      </c>
      <c r="IE20" s="139">
        <v>0</v>
      </c>
      <c r="IF20" s="139">
        <v>0</v>
      </c>
      <c r="IG20" s="139">
        <v>0</v>
      </c>
      <c r="IH20" s="139">
        <v>0</v>
      </c>
      <c r="II20" s="139">
        <v>0</v>
      </c>
      <c r="IJ20" s="139">
        <v>25020</v>
      </c>
      <c r="IK20" s="139">
        <v>3876</v>
      </c>
      <c r="IL20" s="139">
        <v>10307</v>
      </c>
      <c r="IM20" s="139">
        <f>86854+93623-IJ20-IK20-IL20</f>
        <v>141274</v>
      </c>
      <c r="IN20" s="139">
        <v>535022</v>
      </c>
      <c r="IO20" s="139">
        <v>715499</v>
      </c>
      <c r="IP20" s="139">
        <v>2000</v>
      </c>
      <c r="IQ20" s="139">
        <v>55</v>
      </c>
      <c r="IR20" s="139">
        <v>640</v>
      </c>
      <c r="IS20" s="139">
        <f>30778+27935-IP20-IQ20-IR20</f>
        <v>56018</v>
      </c>
      <c r="IT20" s="139">
        <v>26891</v>
      </c>
      <c r="IU20" s="139">
        <v>85604</v>
      </c>
      <c r="IV20" s="139">
        <v>262956</v>
      </c>
      <c r="IW20" s="139">
        <v>394721</v>
      </c>
      <c r="IX20" s="139">
        <v>83610</v>
      </c>
      <c r="IY20" s="139">
        <f>940047+242104-IV20-IW20-IX20</f>
        <v>440864</v>
      </c>
      <c r="IZ20" s="139">
        <v>3998246</v>
      </c>
      <c r="JA20" s="139">
        <v>5180397</v>
      </c>
      <c r="JB20" s="139">
        <v>15380357</v>
      </c>
      <c r="JC20" s="139">
        <v>8564114</v>
      </c>
      <c r="JD20" s="139">
        <v>6323854</v>
      </c>
      <c r="JE20" s="139">
        <f>30907084+17192871-JB20-JC20-JD20</f>
        <v>17831630</v>
      </c>
      <c r="JF20" s="139">
        <v>23296300</v>
      </c>
      <c r="JG20" s="139">
        <v>71396255</v>
      </c>
      <c r="JH20" s="139">
        <v>0</v>
      </c>
      <c r="JI20" s="139">
        <v>0</v>
      </c>
      <c r="JJ20" s="139">
        <v>0</v>
      </c>
      <c r="JK20" s="139">
        <v>0</v>
      </c>
      <c r="JL20" s="139">
        <v>0</v>
      </c>
      <c r="JM20" s="139">
        <v>0</v>
      </c>
      <c r="JN20" s="139">
        <v>15380357</v>
      </c>
      <c r="JO20" s="139">
        <v>8564144</v>
      </c>
      <c r="JP20" s="139">
        <v>6323854</v>
      </c>
      <c r="JQ20" s="139">
        <f>30907084+17192871-JN20-JO20-JP20</f>
        <v>17831600</v>
      </c>
      <c r="JR20" s="139">
        <v>23296300</v>
      </c>
      <c r="JS20" s="139">
        <v>71396255</v>
      </c>
      <c r="JU20" s="70">
        <f t="shared" si="0"/>
        <v>10699311</v>
      </c>
      <c r="JV20" s="70">
        <f t="shared" si="1"/>
        <v>0</v>
      </c>
      <c r="JW20" s="70">
        <f t="shared" si="2"/>
        <v>9929474</v>
      </c>
      <c r="JX20" s="70">
        <f t="shared" si="3"/>
        <v>0</v>
      </c>
      <c r="JY20" s="70">
        <f t="shared" si="4"/>
        <v>385000</v>
      </c>
      <c r="JZ20" s="70">
        <f t="shared" si="5"/>
        <v>0</v>
      </c>
      <c r="KA20" s="70">
        <f t="shared" si="6"/>
        <v>6278975</v>
      </c>
      <c r="KB20" s="70">
        <f t="shared" si="7"/>
        <v>0</v>
      </c>
      <c r="KC20" s="70">
        <f t="shared" si="8"/>
        <v>0</v>
      </c>
      <c r="KD20" s="70">
        <f t="shared" si="9"/>
        <v>0</v>
      </c>
      <c r="KE20" s="70">
        <f t="shared" si="10"/>
        <v>0</v>
      </c>
      <c r="KF20" s="70">
        <f t="shared" si="11"/>
        <v>0</v>
      </c>
      <c r="KG20" s="70">
        <f t="shared" si="12"/>
        <v>17273557</v>
      </c>
      <c r="KH20" s="70">
        <f t="shared" si="13"/>
        <v>0</v>
      </c>
      <c r="KI20" s="70">
        <f t="shared" si="14"/>
        <v>0</v>
      </c>
      <c r="KJ20" s="70">
        <f t="shared" si="15"/>
        <v>0</v>
      </c>
      <c r="KK20" s="70">
        <f t="shared" si="16"/>
        <v>11584048</v>
      </c>
      <c r="KL20" s="70">
        <f t="shared" si="17"/>
        <v>0</v>
      </c>
      <c r="KM20" s="70">
        <f t="shared" si="18"/>
        <v>1125435</v>
      </c>
      <c r="KN20" s="70">
        <f t="shared" si="19"/>
        <v>0</v>
      </c>
      <c r="KO20" s="70">
        <f t="shared" si="20"/>
        <v>226778</v>
      </c>
      <c r="KP20" s="70">
        <f t="shared" si="21"/>
        <v>0</v>
      </c>
      <c r="KQ20" s="70">
        <f t="shared" si="22"/>
        <v>12599042</v>
      </c>
      <c r="KR20" s="70">
        <f t="shared" si="23"/>
        <v>0</v>
      </c>
      <c r="KS20" s="70">
        <f t="shared" si="24"/>
        <v>30804</v>
      </c>
      <c r="KT20" s="70">
        <f t="shared" si="25"/>
        <v>0</v>
      </c>
      <c r="KU20" s="70">
        <f t="shared" si="26"/>
        <v>149396</v>
      </c>
      <c r="KV20" s="70">
        <f t="shared" si="27"/>
        <v>0</v>
      </c>
      <c r="KW20" s="70">
        <f t="shared" si="28"/>
        <v>1237613</v>
      </c>
      <c r="KX20" s="70">
        <f t="shared" si="29"/>
        <v>0</v>
      </c>
      <c r="KY20" s="70">
        <f t="shared" si="30"/>
        <v>71519433</v>
      </c>
      <c r="KZ20" s="70">
        <f t="shared" si="31"/>
        <v>0</v>
      </c>
      <c r="LA20" s="70">
        <f t="shared" si="32"/>
        <v>12430169</v>
      </c>
      <c r="LB20" s="70">
        <f t="shared" si="33"/>
        <v>0</v>
      </c>
      <c r="LC20" s="70">
        <f t="shared" si="34"/>
        <v>1400512</v>
      </c>
      <c r="LD20" s="70">
        <f t="shared" si="35"/>
        <v>0</v>
      </c>
      <c r="LE20" s="70">
        <f t="shared" si="36"/>
        <v>16197062</v>
      </c>
      <c r="LF20" s="70">
        <f t="shared" si="37"/>
        <v>0</v>
      </c>
      <c r="LG20" s="70">
        <f t="shared" si="78"/>
        <v>0</v>
      </c>
      <c r="LH20" s="70">
        <f t="shared" si="79"/>
        <v>0</v>
      </c>
      <c r="LI20" s="70">
        <f t="shared" si="40"/>
        <v>14454018</v>
      </c>
      <c r="LJ20" s="70">
        <f t="shared" si="41"/>
        <v>0</v>
      </c>
      <c r="LK20" s="70">
        <f t="shared" si="42"/>
        <v>0</v>
      </c>
      <c r="LL20" s="70">
        <f t="shared" si="43"/>
        <v>0</v>
      </c>
      <c r="LM20" s="70">
        <f t="shared" si="44"/>
        <v>1343032</v>
      </c>
      <c r="LN20" s="70">
        <f t="shared" si="45"/>
        <v>0</v>
      </c>
      <c r="LO20" s="70">
        <f t="shared" si="46"/>
        <v>1040149</v>
      </c>
      <c r="LP20" s="70">
        <f t="shared" si="47"/>
        <v>0</v>
      </c>
      <c r="LQ20" s="70">
        <f t="shared" si="48"/>
        <v>6909835</v>
      </c>
      <c r="LR20" s="70">
        <f t="shared" si="49"/>
        <v>0</v>
      </c>
      <c r="LS20" s="70">
        <f t="shared" si="50"/>
        <v>602286</v>
      </c>
      <c r="LT20" s="70">
        <f t="shared" si="51"/>
        <v>0</v>
      </c>
      <c r="LU20" s="70">
        <f t="shared" si="52"/>
        <v>5656305</v>
      </c>
      <c r="LV20" s="70">
        <f t="shared" si="53"/>
        <v>0</v>
      </c>
      <c r="LW20" s="70">
        <f t="shared" si="54"/>
        <v>3090764</v>
      </c>
      <c r="LX20" s="70">
        <f t="shared" si="55"/>
        <v>0</v>
      </c>
      <c r="LY20" s="70">
        <f t="shared" si="56"/>
        <v>0</v>
      </c>
      <c r="LZ20" s="70">
        <f t="shared" si="57"/>
        <v>0</v>
      </c>
      <c r="MA20" s="70">
        <f t="shared" si="58"/>
        <v>2262190</v>
      </c>
      <c r="MB20" s="70">
        <f t="shared" si="59"/>
        <v>0</v>
      </c>
      <c r="MC20" s="70">
        <f t="shared" si="60"/>
        <v>28433</v>
      </c>
      <c r="MD20" s="70">
        <f t="shared" si="61"/>
        <v>0</v>
      </c>
      <c r="ME20" s="70">
        <f t="shared" si="62"/>
        <v>0</v>
      </c>
      <c r="MF20" s="70">
        <f t="shared" si="63"/>
        <v>0</v>
      </c>
      <c r="MG20" s="70">
        <f t="shared" si="64"/>
        <v>715499</v>
      </c>
      <c r="MH20" s="70">
        <f t="shared" si="65"/>
        <v>0</v>
      </c>
      <c r="MI20" s="70">
        <f t="shared" si="66"/>
        <v>85604</v>
      </c>
      <c r="MJ20" s="70">
        <f t="shared" si="67"/>
        <v>0</v>
      </c>
      <c r="MK20" s="70">
        <f t="shared" si="68"/>
        <v>5180397</v>
      </c>
      <c r="ML20" s="70">
        <f t="shared" si="69"/>
        <v>0</v>
      </c>
      <c r="MM20" s="70">
        <f t="shared" si="70"/>
        <v>71396255</v>
      </c>
      <c r="MN20" s="70">
        <f t="shared" si="71"/>
        <v>0</v>
      </c>
      <c r="MO20" s="70">
        <f t="shared" si="72"/>
        <v>0</v>
      </c>
      <c r="MP20" s="70">
        <f t="shared" si="73"/>
        <v>0</v>
      </c>
      <c r="MQ20" s="70">
        <f t="shared" si="74"/>
        <v>71396255</v>
      </c>
      <c r="MR20" s="70">
        <f t="shared" si="75"/>
        <v>0</v>
      </c>
      <c r="MT20" s="70">
        <f t="shared" si="76"/>
        <v>0</v>
      </c>
      <c r="MV20" s="68">
        <f t="shared" si="77"/>
        <v>0</v>
      </c>
    </row>
    <row r="21" spans="1:360" x14ac:dyDescent="0.15">
      <c r="A21" s="182" t="s">
        <v>552</v>
      </c>
      <c r="B21" s="76" t="s">
        <v>422</v>
      </c>
      <c r="C21" s="90">
        <v>198464</v>
      </c>
      <c r="D21" s="90">
        <v>2014</v>
      </c>
      <c r="E21" s="90">
        <v>1</v>
      </c>
      <c r="F21" s="91">
        <v>6</v>
      </c>
      <c r="G21" s="92">
        <v>8624</v>
      </c>
      <c r="H21" s="92">
        <v>12347</v>
      </c>
      <c r="I21" s="93">
        <v>820266769</v>
      </c>
      <c r="J21" s="93">
        <v>783350806</v>
      </c>
      <c r="K21" s="93">
        <v>5785038</v>
      </c>
      <c r="L21" s="93">
        <v>3257512</v>
      </c>
      <c r="M21" s="93">
        <v>17052017</v>
      </c>
      <c r="N21" s="93">
        <v>14555384</v>
      </c>
      <c r="O21" s="93">
        <v>47511547</v>
      </c>
      <c r="P21" s="93">
        <v>50951670</v>
      </c>
      <c r="Q21" s="93">
        <v>206128180</v>
      </c>
      <c r="R21" s="93">
        <v>145350498</v>
      </c>
      <c r="S21" s="93">
        <v>435376736</v>
      </c>
      <c r="T21" s="93">
        <v>431774165</v>
      </c>
      <c r="U21" s="93">
        <v>15738</v>
      </c>
      <c r="V21" s="93">
        <v>15294</v>
      </c>
      <c r="W21" s="93">
        <v>30935</v>
      </c>
      <c r="X21" s="93">
        <v>29108</v>
      </c>
      <c r="Y21" s="93">
        <v>21102</v>
      </c>
      <c r="Z21" s="93">
        <v>20096</v>
      </c>
      <c r="AA21" s="93">
        <v>36299</v>
      </c>
      <c r="AB21" s="93">
        <v>33910</v>
      </c>
      <c r="AC21" s="114">
        <v>9</v>
      </c>
      <c r="AD21" s="114">
        <v>10</v>
      </c>
      <c r="AE21" s="114">
        <v>0</v>
      </c>
      <c r="AF21" s="115">
        <v>3825386</v>
      </c>
      <c r="AG21" s="115">
        <v>2755109</v>
      </c>
      <c r="AH21" s="115">
        <v>412517</v>
      </c>
      <c r="AI21" s="115">
        <v>242527</v>
      </c>
      <c r="AJ21" s="115">
        <v>441478</v>
      </c>
      <c r="AK21" s="116">
        <v>6</v>
      </c>
      <c r="AL21" s="115">
        <v>378410</v>
      </c>
      <c r="AM21" s="116">
        <v>7</v>
      </c>
      <c r="AN21" s="115">
        <v>133117</v>
      </c>
      <c r="AO21" s="116">
        <v>7</v>
      </c>
      <c r="AP21" s="115">
        <v>116477</v>
      </c>
      <c r="AQ21" s="116">
        <v>8</v>
      </c>
      <c r="AR21" s="115">
        <v>126436</v>
      </c>
      <c r="AS21" s="116">
        <v>21</v>
      </c>
      <c r="AT21" s="115">
        <v>102121</v>
      </c>
      <c r="AU21" s="116">
        <v>26</v>
      </c>
      <c r="AV21" s="115">
        <v>60279</v>
      </c>
      <c r="AW21" s="116">
        <v>15</v>
      </c>
      <c r="AX21" s="115">
        <v>45209</v>
      </c>
      <c r="AY21" s="116">
        <v>20</v>
      </c>
      <c r="AZ21" s="147">
        <v>6015002</v>
      </c>
      <c r="BA21" s="147">
        <v>478677</v>
      </c>
      <c r="BB21" s="147">
        <v>10942</v>
      </c>
      <c r="BC21" s="147">
        <v>268202</v>
      </c>
      <c r="BD21" s="147">
        <v>0</v>
      </c>
      <c r="BE21" s="147">
        <v>6772823</v>
      </c>
      <c r="BF21" s="147">
        <v>0</v>
      </c>
      <c r="BG21" s="147">
        <v>0</v>
      </c>
      <c r="BH21" s="147">
        <v>0</v>
      </c>
      <c r="BI21" s="147">
        <v>0</v>
      </c>
      <c r="BJ21" s="147">
        <v>0</v>
      </c>
      <c r="BK21" s="147">
        <v>0</v>
      </c>
      <c r="BL21" s="147">
        <v>450000</v>
      </c>
      <c r="BM21" s="147">
        <v>80000</v>
      </c>
      <c r="BN21" s="147">
        <v>0</v>
      </c>
      <c r="BO21" s="147">
        <v>2000</v>
      </c>
      <c r="BP21" s="147">
        <v>0</v>
      </c>
      <c r="BQ21" s="147">
        <v>532000</v>
      </c>
      <c r="BR21" s="147">
        <v>0</v>
      </c>
      <c r="BS21" s="147">
        <v>0</v>
      </c>
      <c r="BT21" s="147">
        <v>0</v>
      </c>
      <c r="BU21" s="147">
        <v>0</v>
      </c>
      <c r="BV21" s="147">
        <v>6358202</v>
      </c>
      <c r="BW21" s="147">
        <v>6358202</v>
      </c>
      <c r="BX21" s="147">
        <v>0</v>
      </c>
      <c r="BY21" s="147">
        <v>0</v>
      </c>
      <c r="BZ21" s="147">
        <v>0</v>
      </c>
      <c r="CA21" s="147">
        <v>0</v>
      </c>
      <c r="CB21" s="147">
        <v>0</v>
      </c>
      <c r="CC21" s="147">
        <v>0</v>
      </c>
      <c r="CD21" s="147">
        <v>0</v>
      </c>
      <c r="CE21" s="147">
        <v>0</v>
      </c>
      <c r="CF21" s="147">
        <v>0</v>
      </c>
      <c r="CG21" s="147">
        <v>0</v>
      </c>
      <c r="CH21" s="147">
        <v>1202983</v>
      </c>
      <c r="CI21" s="147">
        <v>1202983</v>
      </c>
      <c r="CJ21" s="147">
        <v>0</v>
      </c>
      <c r="CK21" s="147">
        <v>0</v>
      </c>
      <c r="CL21" s="147">
        <v>0</v>
      </c>
      <c r="CM21" s="147">
        <v>0</v>
      </c>
      <c r="CN21" s="148">
        <v>360948</v>
      </c>
      <c r="CO21" s="147">
        <v>360948</v>
      </c>
      <c r="CP21" s="147">
        <v>0</v>
      </c>
      <c r="CQ21" s="147">
        <v>0</v>
      </c>
      <c r="CR21" s="147">
        <v>0</v>
      </c>
      <c r="CS21" s="147">
        <v>0</v>
      </c>
      <c r="CT21" s="147">
        <v>1046316</v>
      </c>
      <c r="CU21" s="147">
        <v>1046316</v>
      </c>
      <c r="CV21" s="139">
        <v>97015</v>
      </c>
      <c r="CW21" s="139">
        <v>26316</v>
      </c>
      <c r="CX21" s="139">
        <v>0</v>
      </c>
      <c r="CY21" s="139">
        <v>0</v>
      </c>
      <c r="CZ21" s="139">
        <v>3478023</v>
      </c>
      <c r="DA21" s="139">
        <v>3601354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40">
        <v>305069</v>
      </c>
      <c r="DI21" s="139">
        <v>87163</v>
      </c>
      <c r="DJ21" s="139">
        <v>0</v>
      </c>
      <c r="DK21" s="139">
        <v>43581</v>
      </c>
      <c r="DL21" s="139">
        <v>502334</v>
      </c>
      <c r="DM21" s="139">
        <v>938147</v>
      </c>
      <c r="DN21" s="139">
        <v>146000</v>
      </c>
      <c r="DO21" s="139">
        <v>42625</v>
      </c>
      <c r="DP21" s="139">
        <v>17730</v>
      </c>
      <c r="DQ21" s="139">
        <v>72800</v>
      </c>
      <c r="DR21" s="139">
        <v>1913682</v>
      </c>
      <c r="DS21" s="139">
        <v>2192837</v>
      </c>
      <c r="DT21" s="139">
        <v>16388</v>
      </c>
      <c r="DU21" s="147">
        <v>20121</v>
      </c>
      <c r="DV21" s="147">
        <v>7875</v>
      </c>
      <c r="DW21" s="147">
        <v>123789</v>
      </c>
      <c r="DX21" s="147">
        <v>40</v>
      </c>
      <c r="DY21" s="147">
        <v>168213</v>
      </c>
      <c r="DZ21" s="139">
        <v>0</v>
      </c>
      <c r="EA21" s="147">
        <v>0</v>
      </c>
      <c r="EB21" s="147">
        <v>0</v>
      </c>
      <c r="EC21" s="147">
        <v>0</v>
      </c>
      <c r="ED21" s="147">
        <v>3967</v>
      </c>
      <c r="EE21" s="147">
        <v>3967</v>
      </c>
      <c r="EF21" s="147">
        <v>1050</v>
      </c>
      <c r="EG21" s="147">
        <v>0</v>
      </c>
      <c r="EH21" s="147">
        <v>0</v>
      </c>
      <c r="EI21" s="142">
        <v>58084</v>
      </c>
      <c r="EJ21" s="147">
        <v>291658</v>
      </c>
      <c r="EK21" s="147">
        <v>350792</v>
      </c>
      <c r="EL21" s="147">
        <v>7030524</v>
      </c>
      <c r="EM21" s="147">
        <v>734902</v>
      </c>
      <c r="EN21" s="147">
        <v>36547</v>
      </c>
      <c r="EO21" s="147">
        <v>568456</v>
      </c>
      <c r="EP21" s="148">
        <v>27182037</v>
      </c>
      <c r="EQ21" s="147">
        <v>35552466</v>
      </c>
      <c r="ER21" s="147">
        <v>2284294</v>
      </c>
      <c r="ES21" s="147">
        <v>391648</v>
      </c>
      <c r="ET21" s="147">
        <v>447298</v>
      </c>
      <c r="EU21" s="147">
        <v>3457255</v>
      </c>
      <c r="EV21" s="147">
        <v>470345</v>
      </c>
      <c r="EW21" s="147">
        <v>7050840</v>
      </c>
      <c r="EX21" s="147">
        <v>500000</v>
      </c>
      <c r="EY21" s="147">
        <v>169500</v>
      </c>
      <c r="EZ21" s="147">
        <v>9500</v>
      </c>
      <c r="FA21" s="147">
        <v>35350</v>
      </c>
      <c r="FB21" s="147">
        <v>0</v>
      </c>
      <c r="FC21" s="147">
        <v>714350</v>
      </c>
      <c r="FD21" s="147">
        <v>3110833</v>
      </c>
      <c r="FE21" s="147">
        <v>1258104</v>
      </c>
      <c r="FF21" s="147">
        <v>596616</v>
      </c>
      <c r="FG21" s="147">
        <v>2174476</v>
      </c>
      <c r="FH21" s="147">
        <v>0</v>
      </c>
      <c r="FI21" s="147">
        <v>7140029</v>
      </c>
      <c r="FJ21" s="139">
        <v>0</v>
      </c>
      <c r="FK21" s="147">
        <v>0</v>
      </c>
      <c r="FL21" s="147">
        <v>0</v>
      </c>
      <c r="FM21" s="147">
        <v>0</v>
      </c>
      <c r="FN21" s="147">
        <v>0</v>
      </c>
      <c r="FO21" s="147">
        <v>0</v>
      </c>
      <c r="FP21" s="139">
        <v>623610</v>
      </c>
      <c r="FQ21" s="142">
        <v>248688</v>
      </c>
      <c r="FR21" s="142">
        <v>147808</v>
      </c>
      <c r="FS21" s="142">
        <v>197220</v>
      </c>
      <c r="FT21" s="142">
        <v>7198160</v>
      </c>
      <c r="FU21" s="142">
        <v>8415486</v>
      </c>
      <c r="FV21" s="139">
        <v>0</v>
      </c>
      <c r="FW21" s="142">
        <v>0</v>
      </c>
      <c r="FX21" s="142">
        <v>0</v>
      </c>
      <c r="FY21" s="142">
        <v>0</v>
      </c>
      <c r="FZ21" s="142">
        <v>0</v>
      </c>
      <c r="GA21" s="142">
        <v>0</v>
      </c>
      <c r="GB21" s="139">
        <v>0</v>
      </c>
      <c r="GC21" s="142">
        <v>0</v>
      </c>
      <c r="GD21" s="142">
        <v>0</v>
      </c>
      <c r="GE21" s="142">
        <v>0</v>
      </c>
      <c r="GF21" s="142">
        <v>0</v>
      </c>
      <c r="GG21" s="142">
        <v>0</v>
      </c>
      <c r="GH21" s="139">
        <v>254123</v>
      </c>
      <c r="GI21" s="147">
        <v>95225</v>
      </c>
      <c r="GJ21" s="147">
        <v>133972</v>
      </c>
      <c r="GK21" s="147">
        <v>171769</v>
      </c>
      <c r="GL21" s="147">
        <v>0</v>
      </c>
      <c r="GM21" s="147">
        <v>655089</v>
      </c>
      <c r="GN21" s="149">
        <v>1610500</v>
      </c>
      <c r="GO21" s="147">
        <v>385583</v>
      </c>
      <c r="GP21" s="147">
        <v>358097</v>
      </c>
      <c r="GQ21" s="147">
        <v>1389209</v>
      </c>
      <c r="GR21" s="147">
        <v>180725</v>
      </c>
      <c r="GS21" s="147">
        <v>3924114</v>
      </c>
      <c r="GT21" s="139">
        <v>452283</v>
      </c>
      <c r="GU21" s="147">
        <v>79594</v>
      </c>
      <c r="GV21" s="147">
        <v>50853</v>
      </c>
      <c r="GW21" s="147">
        <v>465822</v>
      </c>
      <c r="GX21" s="147">
        <v>347747</v>
      </c>
      <c r="GY21" s="147">
        <v>1396299</v>
      </c>
      <c r="GZ21" s="139">
        <v>819833</v>
      </c>
      <c r="HA21" s="142">
        <v>229101</v>
      </c>
      <c r="HB21" s="142">
        <v>105702</v>
      </c>
      <c r="HC21" s="142">
        <v>200015</v>
      </c>
      <c r="HD21" s="142">
        <v>2074</v>
      </c>
      <c r="HE21" s="142">
        <v>1356725</v>
      </c>
      <c r="HF21" s="139">
        <v>23928</v>
      </c>
      <c r="HG21" s="147">
        <v>5070</v>
      </c>
      <c r="HH21" s="147">
        <v>4544</v>
      </c>
      <c r="HI21" s="147">
        <v>27315</v>
      </c>
      <c r="HJ21" s="147">
        <v>162921</v>
      </c>
      <c r="HK21" s="147">
        <v>223778</v>
      </c>
      <c r="HL21" s="139">
        <v>33801</v>
      </c>
      <c r="HM21" s="139">
        <v>6642</v>
      </c>
      <c r="HN21" s="139">
        <v>6811</v>
      </c>
      <c r="HO21" s="139">
        <v>31184</v>
      </c>
      <c r="HP21" s="139">
        <v>0</v>
      </c>
      <c r="HQ21" s="139">
        <v>78438</v>
      </c>
      <c r="HR21" s="139">
        <v>301813</v>
      </c>
      <c r="HS21" s="147">
        <v>9606</v>
      </c>
      <c r="HT21" s="147">
        <v>3549</v>
      </c>
      <c r="HU21" s="147">
        <v>191939</v>
      </c>
      <c r="HV21" s="147">
        <v>1305001</v>
      </c>
      <c r="HW21" s="147">
        <v>1811908</v>
      </c>
      <c r="HX21" s="139">
        <v>0</v>
      </c>
      <c r="HY21" s="142">
        <v>0</v>
      </c>
      <c r="HZ21" s="142">
        <v>0</v>
      </c>
      <c r="IA21" s="142">
        <v>0</v>
      </c>
      <c r="IB21" s="142">
        <v>66530</v>
      </c>
      <c r="IC21" s="142">
        <v>66530</v>
      </c>
      <c r="ID21" s="139">
        <v>0</v>
      </c>
      <c r="IE21" s="139">
        <v>0</v>
      </c>
      <c r="IF21" s="139">
        <v>0</v>
      </c>
      <c r="IG21" s="139">
        <v>0</v>
      </c>
      <c r="IH21" s="139">
        <v>1046316</v>
      </c>
      <c r="II21" s="139">
        <v>1046316</v>
      </c>
      <c r="IJ21" s="139">
        <v>0</v>
      </c>
      <c r="IK21" s="139">
        <v>0</v>
      </c>
      <c r="IL21" s="139">
        <v>0</v>
      </c>
      <c r="IM21" s="139">
        <v>0</v>
      </c>
      <c r="IN21" s="139">
        <v>445084</v>
      </c>
      <c r="IO21" s="139">
        <v>445084</v>
      </c>
      <c r="IP21" s="139">
        <v>5413</v>
      </c>
      <c r="IQ21" s="139">
        <v>4150</v>
      </c>
      <c r="IR21" s="139">
        <v>3192</v>
      </c>
      <c r="IS21" s="139">
        <v>53117</v>
      </c>
      <c r="IT21" s="139">
        <v>1412266</v>
      </c>
      <c r="IU21" s="139">
        <v>1478138</v>
      </c>
      <c r="IV21" s="139">
        <v>347720</v>
      </c>
      <c r="IW21" s="139">
        <v>75541</v>
      </c>
      <c r="IX21" s="139">
        <v>66431</v>
      </c>
      <c r="IY21" s="139">
        <v>205420</v>
      </c>
      <c r="IZ21" s="139">
        <v>2225282</v>
      </c>
      <c r="JA21" s="139">
        <v>2920394</v>
      </c>
      <c r="JB21" s="139">
        <v>10368151</v>
      </c>
      <c r="JC21" s="139">
        <v>2931452</v>
      </c>
      <c r="JD21" s="139">
        <v>1934373</v>
      </c>
      <c r="JE21" s="139">
        <v>8627091</v>
      </c>
      <c r="JF21" s="139">
        <v>14862451</v>
      </c>
      <c r="JG21" s="139">
        <v>38723518</v>
      </c>
      <c r="JH21" s="139">
        <v>0</v>
      </c>
      <c r="JI21" s="139">
        <v>0</v>
      </c>
      <c r="JJ21" s="139">
        <v>0</v>
      </c>
      <c r="JK21" s="139">
        <v>0</v>
      </c>
      <c r="JL21" s="139">
        <v>0</v>
      </c>
      <c r="JM21" s="139">
        <v>0</v>
      </c>
      <c r="JN21" s="139">
        <v>10368151</v>
      </c>
      <c r="JO21" s="139">
        <v>2931452</v>
      </c>
      <c r="JP21" s="139">
        <v>1934373</v>
      </c>
      <c r="JQ21" s="139">
        <v>8627091</v>
      </c>
      <c r="JR21" s="139">
        <v>14862451</v>
      </c>
      <c r="JS21" s="139">
        <v>38723518</v>
      </c>
      <c r="JU21" s="70">
        <f t="shared" si="0"/>
        <v>6772823</v>
      </c>
      <c r="JV21" s="70">
        <f t="shared" si="1"/>
        <v>0</v>
      </c>
      <c r="JW21" s="70">
        <f t="shared" si="2"/>
        <v>0</v>
      </c>
      <c r="JX21" s="70">
        <f t="shared" si="3"/>
        <v>0</v>
      </c>
      <c r="JY21" s="70">
        <f t="shared" si="4"/>
        <v>532000</v>
      </c>
      <c r="JZ21" s="70">
        <f t="shared" si="5"/>
        <v>0</v>
      </c>
      <c r="KA21" s="70">
        <f t="shared" si="6"/>
        <v>6358202</v>
      </c>
      <c r="KB21" s="70">
        <f t="shared" si="7"/>
        <v>0</v>
      </c>
      <c r="KC21" s="70">
        <f t="shared" si="8"/>
        <v>0</v>
      </c>
      <c r="KD21" s="70">
        <f t="shared" si="9"/>
        <v>0</v>
      </c>
      <c r="KE21" s="70">
        <f t="shared" si="10"/>
        <v>1202983</v>
      </c>
      <c r="KF21" s="70">
        <f t="shared" si="11"/>
        <v>0</v>
      </c>
      <c r="KG21" s="70">
        <f t="shared" si="12"/>
        <v>360948</v>
      </c>
      <c r="KH21" s="70">
        <f t="shared" si="13"/>
        <v>0</v>
      </c>
      <c r="KI21" s="70">
        <f t="shared" si="14"/>
        <v>1046316</v>
      </c>
      <c r="KJ21" s="70">
        <f t="shared" si="15"/>
        <v>0</v>
      </c>
      <c r="KK21" s="70">
        <f t="shared" si="16"/>
        <v>3601354</v>
      </c>
      <c r="KL21" s="70">
        <f t="shared" si="17"/>
        <v>0</v>
      </c>
      <c r="KM21" s="70">
        <f t="shared" si="18"/>
        <v>0</v>
      </c>
      <c r="KN21" s="70">
        <f t="shared" si="19"/>
        <v>0</v>
      </c>
      <c r="KO21" s="70">
        <f t="shared" si="20"/>
        <v>938147</v>
      </c>
      <c r="KP21" s="70">
        <f t="shared" si="21"/>
        <v>0</v>
      </c>
      <c r="KQ21" s="70">
        <f t="shared" si="22"/>
        <v>2192837</v>
      </c>
      <c r="KR21" s="70">
        <f t="shared" si="23"/>
        <v>0</v>
      </c>
      <c r="KS21" s="70">
        <f t="shared" si="24"/>
        <v>168213</v>
      </c>
      <c r="KT21" s="70">
        <f t="shared" si="25"/>
        <v>0</v>
      </c>
      <c r="KU21" s="70">
        <f t="shared" si="26"/>
        <v>3967</v>
      </c>
      <c r="KV21" s="70">
        <f t="shared" si="27"/>
        <v>0</v>
      </c>
      <c r="KW21" s="70">
        <f t="shared" si="28"/>
        <v>350792</v>
      </c>
      <c r="KX21" s="70">
        <f t="shared" si="29"/>
        <v>0</v>
      </c>
      <c r="KY21" s="70">
        <f t="shared" si="30"/>
        <v>35552466</v>
      </c>
      <c r="KZ21" s="70">
        <f t="shared" si="31"/>
        <v>0</v>
      </c>
      <c r="LA21" s="70">
        <f t="shared" si="32"/>
        <v>7050840</v>
      </c>
      <c r="LB21" s="70">
        <f t="shared" si="33"/>
        <v>0</v>
      </c>
      <c r="LC21" s="70">
        <f t="shared" si="34"/>
        <v>714350</v>
      </c>
      <c r="LD21" s="70">
        <f t="shared" si="35"/>
        <v>0</v>
      </c>
      <c r="LE21" s="70">
        <f t="shared" si="36"/>
        <v>7140029</v>
      </c>
      <c r="LF21" s="70">
        <f t="shared" si="37"/>
        <v>0</v>
      </c>
      <c r="LG21" s="70">
        <f t="shared" si="78"/>
        <v>0</v>
      </c>
      <c r="LH21" s="70">
        <f t="shared" si="79"/>
        <v>0</v>
      </c>
      <c r="LI21" s="70">
        <f t="shared" si="40"/>
        <v>8415486</v>
      </c>
      <c r="LJ21" s="70">
        <f t="shared" si="41"/>
        <v>0</v>
      </c>
      <c r="LK21" s="70">
        <f t="shared" si="42"/>
        <v>0</v>
      </c>
      <c r="LL21" s="70">
        <f t="shared" si="43"/>
        <v>0</v>
      </c>
      <c r="LM21" s="70">
        <f t="shared" si="44"/>
        <v>0</v>
      </c>
      <c r="LN21" s="70">
        <f t="shared" si="45"/>
        <v>0</v>
      </c>
      <c r="LO21" s="70">
        <f t="shared" si="46"/>
        <v>655089</v>
      </c>
      <c r="LP21" s="70">
        <f t="shared" si="47"/>
        <v>0</v>
      </c>
      <c r="LQ21" s="70">
        <f t="shared" si="48"/>
        <v>3924114</v>
      </c>
      <c r="LR21" s="70">
        <f t="shared" si="49"/>
        <v>0</v>
      </c>
      <c r="LS21" s="70">
        <f t="shared" si="50"/>
        <v>1396299</v>
      </c>
      <c r="LT21" s="70">
        <f t="shared" si="51"/>
        <v>0</v>
      </c>
      <c r="LU21" s="70">
        <f t="shared" si="52"/>
        <v>1356725</v>
      </c>
      <c r="LV21" s="70">
        <f t="shared" si="53"/>
        <v>0</v>
      </c>
      <c r="LW21" s="70">
        <f t="shared" si="54"/>
        <v>223778</v>
      </c>
      <c r="LX21" s="70">
        <f t="shared" si="55"/>
        <v>0</v>
      </c>
      <c r="LY21" s="70">
        <f t="shared" si="56"/>
        <v>78438</v>
      </c>
      <c r="LZ21" s="70">
        <f t="shared" si="57"/>
        <v>0</v>
      </c>
      <c r="MA21" s="70">
        <f t="shared" si="58"/>
        <v>1811908</v>
      </c>
      <c r="MB21" s="70">
        <f t="shared" si="59"/>
        <v>0</v>
      </c>
      <c r="MC21" s="70">
        <f t="shared" si="60"/>
        <v>66530</v>
      </c>
      <c r="MD21" s="70">
        <f t="shared" si="61"/>
        <v>0</v>
      </c>
      <c r="ME21" s="70">
        <f t="shared" si="62"/>
        <v>1046316</v>
      </c>
      <c r="MF21" s="70">
        <f t="shared" si="63"/>
        <v>0</v>
      </c>
      <c r="MG21" s="70">
        <f t="shared" si="64"/>
        <v>445084</v>
      </c>
      <c r="MH21" s="70">
        <f t="shared" si="65"/>
        <v>0</v>
      </c>
      <c r="MI21" s="70">
        <f t="shared" si="66"/>
        <v>1478138</v>
      </c>
      <c r="MJ21" s="70">
        <f t="shared" si="67"/>
        <v>0</v>
      </c>
      <c r="MK21" s="70">
        <f t="shared" si="68"/>
        <v>2920394</v>
      </c>
      <c r="ML21" s="70">
        <f t="shared" si="69"/>
        <v>0</v>
      </c>
      <c r="MM21" s="70">
        <f t="shared" si="70"/>
        <v>38723518</v>
      </c>
      <c r="MN21" s="70">
        <f t="shared" si="71"/>
        <v>0</v>
      </c>
      <c r="MO21" s="70">
        <f t="shared" si="72"/>
        <v>0</v>
      </c>
      <c r="MP21" s="70">
        <f t="shared" si="73"/>
        <v>0</v>
      </c>
      <c r="MQ21" s="70">
        <f t="shared" si="74"/>
        <v>38723518</v>
      </c>
      <c r="MR21" s="70">
        <f t="shared" si="75"/>
        <v>0</v>
      </c>
      <c r="MT21" s="70">
        <f t="shared" si="76"/>
        <v>0</v>
      </c>
      <c r="MV21" s="68">
        <f t="shared" si="77"/>
        <v>0</v>
      </c>
    </row>
    <row r="22" spans="1:360" x14ac:dyDescent="0.15">
      <c r="A22" s="182" t="s">
        <v>553</v>
      </c>
      <c r="B22" s="76" t="s">
        <v>422</v>
      </c>
      <c r="C22" s="90">
        <v>169798</v>
      </c>
      <c r="D22" s="90">
        <v>2014</v>
      </c>
      <c r="E22" s="90">
        <v>1</v>
      </c>
      <c r="F22" s="91">
        <v>9</v>
      </c>
      <c r="G22" s="92">
        <v>9567</v>
      </c>
      <c r="H22" s="92">
        <v>13904</v>
      </c>
      <c r="I22" s="93">
        <v>339052093</v>
      </c>
      <c r="J22" s="93">
        <v>331187019</v>
      </c>
      <c r="K22" s="93">
        <v>1310738</v>
      </c>
      <c r="L22" s="93">
        <v>878828</v>
      </c>
      <c r="M22" s="93">
        <v>14637617</v>
      </c>
      <c r="N22" s="93">
        <v>17153334</v>
      </c>
      <c r="O22" s="93">
        <v>30451389</v>
      </c>
      <c r="P22" s="93">
        <v>30451389</v>
      </c>
      <c r="Q22" s="93">
        <v>237350000</v>
      </c>
      <c r="R22" s="93">
        <v>239680000</v>
      </c>
      <c r="S22" s="93">
        <v>263174972</v>
      </c>
      <c r="T22" s="93">
        <v>262053943</v>
      </c>
      <c r="U22" s="93">
        <v>19104</v>
      </c>
      <c r="V22" s="93">
        <v>17770</v>
      </c>
      <c r="W22" s="93">
        <v>34648</v>
      </c>
      <c r="X22" s="93">
        <v>32182</v>
      </c>
      <c r="Y22" s="93">
        <v>21606</v>
      </c>
      <c r="Z22" s="93">
        <v>19376</v>
      </c>
      <c r="AA22" s="93">
        <v>37150</v>
      </c>
      <c r="AB22" s="93">
        <v>34388</v>
      </c>
      <c r="AC22" s="114">
        <v>9</v>
      </c>
      <c r="AD22" s="114">
        <v>12</v>
      </c>
      <c r="AE22" s="114">
        <v>0</v>
      </c>
      <c r="AF22" s="115">
        <v>4279236</v>
      </c>
      <c r="AG22" s="115">
        <v>3730994</v>
      </c>
      <c r="AH22" s="115">
        <v>153510</v>
      </c>
      <c r="AI22" s="115">
        <v>36494</v>
      </c>
      <c r="AJ22" s="115">
        <v>156338</v>
      </c>
      <c r="AK22" s="116">
        <v>6.5</v>
      </c>
      <c r="AL22" s="115">
        <v>145171</v>
      </c>
      <c r="AM22" s="116">
        <v>7</v>
      </c>
      <c r="AN22" s="115">
        <v>101461</v>
      </c>
      <c r="AO22" s="116">
        <v>9.5</v>
      </c>
      <c r="AP22" s="115">
        <v>96388</v>
      </c>
      <c r="AQ22" s="116">
        <v>10</v>
      </c>
      <c r="AR22" s="115">
        <v>105277</v>
      </c>
      <c r="AS22" s="116">
        <v>16.5</v>
      </c>
      <c r="AT22" s="115">
        <v>96501</v>
      </c>
      <c r="AU22" s="116">
        <v>18</v>
      </c>
      <c r="AV22" s="115">
        <v>49445</v>
      </c>
      <c r="AW22" s="116">
        <v>12.5</v>
      </c>
      <c r="AX22" s="115">
        <v>44147</v>
      </c>
      <c r="AY22" s="116">
        <v>14</v>
      </c>
      <c r="AZ22" s="142">
        <v>79920</v>
      </c>
      <c r="BA22" s="142">
        <v>51889</v>
      </c>
      <c r="BB22" s="142">
        <v>12003</v>
      </c>
      <c r="BC22" s="142">
        <v>4926</v>
      </c>
      <c r="BD22" s="142">
        <v>0</v>
      </c>
      <c r="BE22" s="142">
        <v>148738</v>
      </c>
      <c r="BF22" s="142">
        <v>1572843</v>
      </c>
      <c r="BG22" s="142">
        <v>0</v>
      </c>
      <c r="BH22" s="142">
        <v>0</v>
      </c>
      <c r="BI22" s="142">
        <v>0</v>
      </c>
      <c r="BJ22" s="142">
        <v>0</v>
      </c>
      <c r="BK22" s="150">
        <v>1572843</v>
      </c>
      <c r="BL22" s="142">
        <v>1425000</v>
      </c>
      <c r="BM22" s="142">
        <v>225000</v>
      </c>
      <c r="BN22" s="142">
        <v>0</v>
      </c>
      <c r="BO22" s="142">
        <v>13750</v>
      </c>
      <c r="BP22" s="142">
        <v>0</v>
      </c>
      <c r="BQ22" s="142">
        <v>1663750</v>
      </c>
      <c r="BR22" s="142">
        <v>61342</v>
      </c>
      <c r="BS22" s="142">
        <v>212836</v>
      </c>
      <c r="BT22" s="142">
        <v>29106</v>
      </c>
      <c r="BU22" s="142">
        <v>212193</v>
      </c>
      <c r="BV22" s="142">
        <v>8334</v>
      </c>
      <c r="BW22" s="142">
        <v>523811</v>
      </c>
      <c r="BX22" s="139">
        <v>0</v>
      </c>
      <c r="BY22" s="139">
        <v>0</v>
      </c>
      <c r="BZ22" s="139">
        <v>0</v>
      </c>
      <c r="CA22" s="139">
        <v>0</v>
      </c>
      <c r="CB22" s="139">
        <v>0</v>
      </c>
      <c r="CC22" s="139">
        <v>0</v>
      </c>
      <c r="CD22" s="139">
        <v>0</v>
      </c>
      <c r="CE22" s="139">
        <v>0</v>
      </c>
      <c r="CF22" s="139">
        <v>0</v>
      </c>
      <c r="CG22" s="139">
        <v>0</v>
      </c>
      <c r="CH22" s="139">
        <v>0</v>
      </c>
      <c r="CI22" s="139">
        <v>0</v>
      </c>
      <c r="CJ22" s="139">
        <v>2392389</v>
      </c>
      <c r="CK22" s="139">
        <v>1465830</v>
      </c>
      <c r="CL22" s="139">
        <v>1150777</v>
      </c>
      <c r="CM22" s="139">
        <v>7969223</v>
      </c>
      <c r="CN22" s="139">
        <v>4157905</v>
      </c>
      <c r="CO22" s="139">
        <v>17136124</v>
      </c>
      <c r="CP22" s="139">
        <v>1461928</v>
      </c>
      <c r="CQ22" s="139">
        <v>556663</v>
      </c>
      <c r="CR22" s="139">
        <v>362093</v>
      </c>
      <c r="CS22" s="139">
        <v>1462290</v>
      </c>
      <c r="CT22" s="139">
        <v>2531767</v>
      </c>
      <c r="CU22" s="139">
        <v>6374741</v>
      </c>
      <c r="CV22" s="142">
        <v>0</v>
      </c>
      <c r="CW22" s="142">
        <v>0</v>
      </c>
      <c r="CX22" s="142">
        <v>0</v>
      </c>
      <c r="CY22" s="142">
        <v>0</v>
      </c>
      <c r="CZ22" s="142">
        <v>2250161</v>
      </c>
      <c r="DA22" s="142">
        <v>2250161</v>
      </c>
      <c r="DB22" s="142">
        <v>0</v>
      </c>
      <c r="DC22" s="142">
        <v>0</v>
      </c>
      <c r="DD22" s="142">
        <v>0</v>
      </c>
      <c r="DE22" s="142">
        <v>0</v>
      </c>
      <c r="DF22" s="142">
        <v>0</v>
      </c>
      <c r="DG22" s="142">
        <v>0</v>
      </c>
      <c r="DH22" s="142">
        <v>0</v>
      </c>
      <c r="DI22" s="142">
        <v>0</v>
      </c>
      <c r="DJ22" s="142">
        <v>0</v>
      </c>
      <c r="DK22" s="142">
        <v>0</v>
      </c>
      <c r="DL22" s="142">
        <v>1155</v>
      </c>
      <c r="DM22" s="142">
        <v>1155</v>
      </c>
      <c r="DN22" s="142">
        <v>0</v>
      </c>
      <c r="DO22" s="142">
        <v>0</v>
      </c>
      <c r="DP22" s="142">
        <v>0</v>
      </c>
      <c r="DQ22" s="142">
        <v>263</v>
      </c>
      <c r="DR22" s="142">
        <v>3100</v>
      </c>
      <c r="DS22" s="142">
        <v>3363</v>
      </c>
      <c r="DT22" s="139">
        <v>20919</v>
      </c>
      <c r="DU22" s="139">
        <v>11775</v>
      </c>
      <c r="DV22" s="139">
        <v>10293</v>
      </c>
      <c r="DW22" s="139">
        <v>143816</v>
      </c>
      <c r="DX22" s="139">
        <v>16990</v>
      </c>
      <c r="DY22" s="139">
        <v>203793</v>
      </c>
      <c r="DZ22" s="142">
        <v>867</v>
      </c>
      <c r="EA22" s="142">
        <v>0</v>
      </c>
      <c r="EB22" s="142">
        <v>0</v>
      </c>
      <c r="EC22" s="142">
        <v>26432</v>
      </c>
      <c r="ED22" s="142">
        <v>23302</v>
      </c>
      <c r="EE22" s="142">
        <v>50601</v>
      </c>
      <c r="EF22" s="142">
        <v>0</v>
      </c>
      <c r="EG22" s="142">
        <v>0</v>
      </c>
      <c r="EH22" s="142">
        <v>0</v>
      </c>
      <c r="EI22" s="142">
        <v>152204</v>
      </c>
      <c r="EJ22" s="142">
        <v>239</v>
      </c>
      <c r="EK22" s="142">
        <v>152443</v>
      </c>
      <c r="EL22" s="142">
        <v>7015208</v>
      </c>
      <c r="EM22" s="142">
        <v>2523993</v>
      </c>
      <c r="EN22" s="142">
        <v>1564272</v>
      </c>
      <c r="EO22" s="142">
        <v>9986252</v>
      </c>
      <c r="EP22" s="142">
        <v>8991798</v>
      </c>
      <c r="EQ22" s="142">
        <v>30081523</v>
      </c>
      <c r="ER22" s="142">
        <v>2392389</v>
      </c>
      <c r="ES22" s="142">
        <v>384250</v>
      </c>
      <c r="ET22" s="142">
        <v>396085</v>
      </c>
      <c r="EU22" s="142">
        <v>4837506</v>
      </c>
      <c r="EV22" s="142">
        <v>0</v>
      </c>
      <c r="EW22" s="142">
        <v>8010230</v>
      </c>
      <c r="EX22" s="142">
        <v>550000</v>
      </c>
      <c r="EY22" s="142">
        <v>11500</v>
      </c>
      <c r="EZ22" s="142">
        <v>4000</v>
      </c>
      <c r="FA22" s="142">
        <v>1000</v>
      </c>
      <c r="FB22" s="142">
        <v>0</v>
      </c>
      <c r="FC22" s="142">
        <v>566500</v>
      </c>
      <c r="FD22" s="142">
        <v>1359972</v>
      </c>
      <c r="FE22" s="142">
        <v>627902</v>
      </c>
      <c r="FF22" s="142">
        <v>511120</v>
      </c>
      <c r="FG22" s="142">
        <v>1836242</v>
      </c>
      <c r="FH22" s="142">
        <v>0</v>
      </c>
      <c r="FI22" s="142">
        <v>4335236</v>
      </c>
      <c r="FJ22" s="139">
        <v>0</v>
      </c>
      <c r="FK22" s="139">
        <v>0</v>
      </c>
      <c r="FL22" s="139">
        <v>0</v>
      </c>
      <c r="FM22" s="139">
        <v>0</v>
      </c>
      <c r="FN22" s="139">
        <v>0</v>
      </c>
      <c r="FO22" s="139">
        <v>0</v>
      </c>
      <c r="FP22" s="142">
        <v>122368</v>
      </c>
      <c r="FQ22" s="142">
        <v>174533</v>
      </c>
      <c r="FR22" s="142">
        <v>42850</v>
      </c>
      <c r="FS22" s="142">
        <v>279683</v>
      </c>
      <c r="FT22" s="142">
        <v>2318742</v>
      </c>
      <c r="FU22" s="142">
        <v>2938176</v>
      </c>
      <c r="FV22" s="139">
        <v>0</v>
      </c>
      <c r="FW22" s="139">
        <v>0</v>
      </c>
      <c r="FX22" s="139">
        <v>0</v>
      </c>
      <c r="FY22" s="139">
        <v>0</v>
      </c>
      <c r="FZ22" s="139">
        <v>0</v>
      </c>
      <c r="GA22" s="139">
        <v>0</v>
      </c>
      <c r="GB22" s="142">
        <v>251129</v>
      </c>
      <c r="GC22" s="142">
        <v>0</v>
      </c>
      <c r="GD22" s="142">
        <v>0</v>
      </c>
      <c r="GE22" s="142">
        <v>0</v>
      </c>
      <c r="GF22" s="142">
        <v>0</v>
      </c>
      <c r="GG22" s="142">
        <v>251129</v>
      </c>
      <c r="GH22" s="142">
        <v>80625</v>
      </c>
      <c r="GI22" s="142">
        <v>49333</v>
      </c>
      <c r="GJ22" s="142">
        <v>14145</v>
      </c>
      <c r="GK22" s="142">
        <v>45901</v>
      </c>
      <c r="GL22" s="142">
        <v>6</v>
      </c>
      <c r="GM22" s="142">
        <v>190010</v>
      </c>
      <c r="GN22" s="142">
        <v>385322</v>
      </c>
      <c r="GO22" s="142">
        <v>171557</v>
      </c>
      <c r="GP22" s="142">
        <v>56101</v>
      </c>
      <c r="GQ22" s="142">
        <v>541804</v>
      </c>
      <c r="GR22" s="142">
        <v>233239</v>
      </c>
      <c r="GS22" s="142">
        <v>1388023</v>
      </c>
      <c r="GT22" s="142">
        <v>442656</v>
      </c>
      <c r="GU22" s="142">
        <v>73164</v>
      </c>
      <c r="GV22" s="142">
        <v>39405</v>
      </c>
      <c r="GW22" s="142">
        <v>293271</v>
      </c>
      <c r="GX22" s="142">
        <v>249454</v>
      </c>
      <c r="GY22" s="142">
        <v>1097950</v>
      </c>
      <c r="GZ22" s="142">
        <v>208918</v>
      </c>
      <c r="HA22" s="142">
        <v>110287</v>
      </c>
      <c r="HB22" s="142">
        <v>52767</v>
      </c>
      <c r="HC22" s="142">
        <v>92983</v>
      </c>
      <c r="HD22" s="142">
        <v>0</v>
      </c>
      <c r="HE22" s="142">
        <v>464955</v>
      </c>
      <c r="HF22" s="142">
        <v>197214</v>
      </c>
      <c r="HG22" s="142">
        <v>67315</v>
      </c>
      <c r="HH22" s="142">
        <v>18149</v>
      </c>
      <c r="HI22" s="142">
        <v>85468</v>
      </c>
      <c r="HJ22" s="142">
        <v>770331</v>
      </c>
      <c r="HK22" s="142">
        <v>1138477</v>
      </c>
      <c r="HL22" s="139">
        <v>23315</v>
      </c>
      <c r="HM22" s="139">
        <v>10965</v>
      </c>
      <c r="HN22" s="139">
        <v>15479</v>
      </c>
      <c r="HO22" s="139">
        <v>53025</v>
      </c>
      <c r="HP22" s="139">
        <v>2430</v>
      </c>
      <c r="HQ22" s="139">
        <v>105214</v>
      </c>
      <c r="HR22" s="142">
        <v>147084</v>
      </c>
      <c r="HS22" s="142">
        <v>15548</v>
      </c>
      <c r="HT22" s="142">
        <v>24798</v>
      </c>
      <c r="HU22" s="150">
        <v>137076</v>
      </c>
      <c r="HV22" s="142">
        <v>441691</v>
      </c>
      <c r="HW22" s="142">
        <v>766197</v>
      </c>
      <c r="HX22" s="142">
        <v>0</v>
      </c>
      <c r="HY22" s="142">
        <v>0</v>
      </c>
      <c r="HZ22" s="142">
        <v>0</v>
      </c>
      <c r="IA22" s="142">
        <v>0</v>
      </c>
      <c r="IB22" s="142">
        <v>24566</v>
      </c>
      <c r="IC22" s="142">
        <v>24566</v>
      </c>
      <c r="ID22" s="139">
        <v>1461928</v>
      </c>
      <c r="IE22" s="139">
        <v>556663</v>
      </c>
      <c r="IF22" s="139">
        <v>362093</v>
      </c>
      <c r="IG22" s="139">
        <v>1462290</v>
      </c>
      <c r="IH22" s="139">
        <v>2531767</v>
      </c>
      <c r="II22" s="139">
        <v>6374741</v>
      </c>
      <c r="IJ22" s="142">
        <v>6776</v>
      </c>
      <c r="IK22" s="142">
        <v>2564</v>
      </c>
      <c r="IL22" s="142">
        <v>976</v>
      </c>
      <c r="IM22" s="142">
        <v>3331</v>
      </c>
      <c r="IN22" s="142">
        <v>697940</v>
      </c>
      <c r="IO22" s="142">
        <v>711587</v>
      </c>
      <c r="IP22" s="142">
        <v>11505</v>
      </c>
      <c r="IQ22" s="142">
        <v>8895</v>
      </c>
      <c r="IR22" s="142">
        <v>20091</v>
      </c>
      <c r="IS22" s="142">
        <v>14574</v>
      </c>
      <c r="IT22" s="142">
        <v>373563</v>
      </c>
      <c r="IU22" s="142">
        <v>428628</v>
      </c>
      <c r="IV22" s="142">
        <v>124655</v>
      </c>
      <c r="IW22" s="142">
        <v>41614</v>
      </c>
      <c r="IX22" s="142">
        <v>56449</v>
      </c>
      <c r="IY22" s="142">
        <v>336318</v>
      </c>
      <c r="IZ22" s="142">
        <v>730868</v>
      </c>
      <c r="JA22" s="142">
        <v>1289904</v>
      </c>
      <c r="JB22" s="142">
        <v>7765856</v>
      </c>
      <c r="JC22" s="142">
        <v>2306090</v>
      </c>
      <c r="JD22" s="142">
        <v>1614508</v>
      </c>
      <c r="JE22" s="142">
        <v>10020472</v>
      </c>
      <c r="JF22" s="142">
        <v>8374597</v>
      </c>
      <c r="JG22" s="142">
        <v>30081523</v>
      </c>
      <c r="JH22" s="142">
        <v>0</v>
      </c>
      <c r="JI22" s="142">
        <v>0</v>
      </c>
      <c r="JJ22" s="142">
        <v>0</v>
      </c>
      <c r="JK22" s="142">
        <v>0</v>
      </c>
      <c r="JL22" s="142">
        <v>0</v>
      </c>
      <c r="JM22" s="142">
        <v>0</v>
      </c>
      <c r="JN22" s="142">
        <v>7765856</v>
      </c>
      <c r="JO22" s="142">
        <v>2306090</v>
      </c>
      <c r="JP22" s="142">
        <v>1614508</v>
      </c>
      <c r="JQ22" s="142">
        <v>10020472</v>
      </c>
      <c r="JR22" s="142">
        <v>8374597</v>
      </c>
      <c r="JS22" s="142">
        <v>30081523</v>
      </c>
      <c r="JU22" s="70">
        <f t="shared" si="0"/>
        <v>148738</v>
      </c>
      <c r="JV22" s="70">
        <f t="shared" si="1"/>
        <v>0</v>
      </c>
      <c r="JW22" s="70">
        <f t="shared" si="2"/>
        <v>1572843</v>
      </c>
      <c r="JX22" s="70">
        <f t="shared" si="3"/>
        <v>0</v>
      </c>
      <c r="JY22" s="70">
        <f t="shared" si="4"/>
        <v>1663750</v>
      </c>
      <c r="JZ22" s="70">
        <f t="shared" si="5"/>
        <v>0</v>
      </c>
      <c r="KA22" s="70">
        <f t="shared" si="6"/>
        <v>523811</v>
      </c>
      <c r="KB22" s="70">
        <f t="shared" si="7"/>
        <v>0</v>
      </c>
      <c r="KC22" s="70">
        <f t="shared" si="8"/>
        <v>0</v>
      </c>
      <c r="KD22" s="70">
        <f t="shared" si="9"/>
        <v>0</v>
      </c>
      <c r="KE22" s="70">
        <f t="shared" si="10"/>
        <v>0</v>
      </c>
      <c r="KF22" s="70">
        <f t="shared" si="11"/>
        <v>0</v>
      </c>
      <c r="KG22" s="70">
        <f t="shared" si="12"/>
        <v>17136124</v>
      </c>
      <c r="KH22" s="70">
        <f t="shared" si="13"/>
        <v>0</v>
      </c>
      <c r="KI22" s="70">
        <f t="shared" si="14"/>
        <v>6374741</v>
      </c>
      <c r="KJ22" s="70">
        <f t="shared" si="15"/>
        <v>0</v>
      </c>
      <c r="KK22" s="70">
        <f t="shared" si="16"/>
        <v>2250161</v>
      </c>
      <c r="KL22" s="70">
        <f t="shared" si="17"/>
        <v>0</v>
      </c>
      <c r="KM22" s="70">
        <f t="shared" si="18"/>
        <v>0</v>
      </c>
      <c r="KN22" s="70">
        <f t="shared" si="19"/>
        <v>0</v>
      </c>
      <c r="KO22" s="70">
        <f t="shared" si="20"/>
        <v>1155</v>
      </c>
      <c r="KP22" s="70">
        <f t="shared" si="21"/>
        <v>0</v>
      </c>
      <c r="KQ22" s="70">
        <f t="shared" si="22"/>
        <v>3363</v>
      </c>
      <c r="KR22" s="70">
        <f t="shared" si="23"/>
        <v>0</v>
      </c>
      <c r="KS22" s="70">
        <f t="shared" si="24"/>
        <v>203793</v>
      </c>
      <c r="KT22" s="70">
        <f t="shared" si="25"/>
        <v>0</v>
      </c>
      <c r="KU22" s="70">
        <f t="shared" si="26"/>
        <v>50601</v>
      </c>
      <c r="KV22" s="70">
        <f t="shared" si="27"/>
        <v>0</v>
      </c>
      <c r="KW22" s="70">
        <f t="shared" si="28"/>
        <v>152443</v>
      </c>
      <c r="KX22" s="70">
        <f t="shared" si="29"/>
        <v>0</v>
      </c>
      <c r="KY22" s="70">
        <f t="shared" si="30"/>
        <v>30081523</v>
      </c>
      <c r="KZ22" s="70">
        <f t="shared" si="31"/>
        <v>0</v>
      </c>
      <c r="LA22" s="70">
        <f t="shared" si="32"/>
        <v>8010230</v>
      </c>
      <c r="LB22" s="70">
        <f t="shared" si="33"/>
        <v>0</v>
      </c>
      <c r="LC22" s="70">
        <f t="shared" si="34"/>
        <v>566500</v>
      </c>
      <c r="LD22" s="70">
        <f t="shared" si="35"/>
        <v>0</v>
      </c>
      <c r="LE22" s="70">
        <f t="shared" si="36"/>
        <v>4335236</v>
      </c>
      <c r="LF22" s="70">
        <f t="shared" si="37"/>
        <v>0</v>
      </c>
      <c r="LG22" s="70">
        <f t="shared" si="78"/>
        <v>0</v>
      </c>
      <c r="LH22" s="70">
        <f t="shared" si="79"/>
        <v>0</v>
      </c>
      <c r="LI22" s="70">
        <f t="shared" si="40"/>
        <v>2938176</v>
      </c>
      <c r="LJ22" s="70">
        <f t="shared" si="41"/>
        <v>0</v>
      </c>
      <c r="LK22" s="70">
        <f t="shared" si="42"/>
        <v>0</v>
      </c>
      <c r="LL22" s="70">
        <f t="shared" si="43"/>
        <v>0</v>
      </c>
      <c r="LM22" s="70">
        <f t="shared" si="44"/>
        <v>251129</v>
      </c>
      <c r="LN22" s="70">
        <f t="shared" si="45"/>
        <v>0</v>
      </c>
      <c r="LO22" s="70">
        <f t="shared" si="46"/>
        <v>190010</v>
      </c>
      <c r="LP22" s="70">
        <f t="shared" si="47"/>
        <v>0</v>
      </c>
      <c r="LQ22" s="70">
        <f t="shared" si="48"/>
        <v>1388023</v>
      </c>
      <c r="LR22" s="70">
        <f t="shared" si="49"/>
        <v>0</v>
      </c>
      <c r="LS22" s="70">
        <f t="shared" si="50"/>
        <v>1097950</v>
      </c>
      <c r="LT22" s="70">
        <f t="shared" si="51"/>
        <v>0</v>
      </c>
      <c r="LU22" s="70">
        <f t="shared" si="52"/>
        <v>464955</v>
      </c>
      <c r="LV22" s="70">
        <f t="shared" si="53"/>
        <v>0</v>
      </c>
      <c r="LW22" s="70">
        <f t="shared" si="54"/>
        <v>1138477</v>
      </c>
      <c r="LX22" s="70">
        <f t="shared" si="55"/>
        <v>0</v>
      </c>
      <c r="LY22" s="70">
        <f t="shared" si="56"/>
        <v>105214</v>
      </c>
      <c r="LZ22" s="70">
        <f t="shared" si="57"/>
        <v>0</v>
      </c>
      <c r="MA22" s="70">
        <f t="shared" si="58"/>
        <v>766197</v>
      </c>
      <c r="MB22" s="70">
        <f t="shared" si="59"/>
        <v>0</v>
      </c>
      <c r="MC22" s="70">
        <f t="shared" si="60"/>
        <v>24566</v>
      </c>
      <c r="MD22" s="70">
        <f t="shared" si="61"/>
        <v>0</v>
      </c>
      <c r="ME22" s="70">
        <f t="shared" si="62"/>
        <v>6374741</v>
      </c>
      <c r="MF22" s="70">
        <f t="shared" si="63"/>
        <v>0</v>
      </c>
      <c r="MG22" s="70">
        <f t="shared" si="64"/>
        <v>711587</v>
      </c>
      <c r="MH22" s="70">
        <f t="shared" si="65"/>
        <v>0</v>
      </c>
      <c r="MI22" s="70">
        <f t="shared" si="66"/>
        <v>428628</v>
      </c>
      <c r="MJ22" s="70">
        <f t="shared" si="67"/>
        <v>0</v>
      </c>
      <c r="MK22" s="70">
        <f t="shared" si="68"/>
        <v>1289904</v>
      </c>
      <c r="ML22" s="70">
        <f t="shared" si="69"/>
        <v>0</v>
      </c>
      <c r="MM22" s="70">
        <f t="shared" si="70"/>
        <v>30081523</v>
      </c>
      <c r="MN22" s="70">
        <f t="shared" si="71"/>
        <v>0</v>
      </c>
      <c r="MO22" s="70">
        <f t="shared" si="72"/>
        <v>0</v>
      </c>
      <c r="MP22" s="70">
        <f t="shared" si="73"/>
        <v>0</v>
      </c>
      <c r="MQ22" s="70">
        <f t="shared" si="74"/>
        <v>30081523</v>
      </c>
      <c r="MR22" s="70">
        <f t="shared" si="75"/>
        <v>0</v>
      </c>
      <c r="MT22" s="70">
        <f t="shared" si="76"/>
        <v>0</v>
      </c>
      <c r="MV22" s="68">
        <f t="shared" si="77"/>
        <v>0</v>
      </c>
    </row>
    <row r="23" spans="1:360" x14ac:dyDescent="0.15">
      <c r="A23" s="182" t="s">
        <v>554</v>
      </c>
      <c r="B23" s="76" t="s">
        <v>422</v>
      </c>
      <c r="C23" s="90">
        <v>134130</v>
      </c>
      <c r="D23" s="90">
        <v>2014</v>
      </c>
      <c r="E23" s="90">
        <v>1</v>
      </c>
      <c r="F23" s="91">
        <v>5</v>
      </c>
      <c r="G23" s="92">
        <v>13427</v>
      </c>
      <c r="H23" s="92">
        <v>16887</v>
      </c>
      <c r="I23" s="93">
        <v>2476758000</v>
      </c>
      <c r="J23" s="93">
        <v>2369315000</v>
      </c>
      <c r="K23" s="93">
        <v>5757117</v>
      </c>
      <c r="L23" s="93">
        <v>5950136</v>
      </c>
      <c r="M23" s="93">
        <v>10417743</v>
      </c>
      <c r="N23" s="93">
        <v>13486762</v>
      </c>
      <c r="O23" s="93">
        <v>84710000</v>
      </c>
      <c r="P23" s="93">
        <v>88795000</v>
      </c>
      <c r="Q23" s="93">
        <v>199358119</v>
      </c>
      <c r="R23" s="93">
        <v>129095011</v>
      </c>
      <c r="S23" s="93">
        <v>2343622941</v>
      </c>
      <c r="T23" s="93">
        <v>2237963000</v>
      </c>
      <c r="U23" s="93">
        <v>16400</v>
      </c>
      <c r="V23" s="93">
        <v>16310</v>
      </c>
      <c r="W23" s="93">
        <v>38678</v>
      </c>
      <c r="X23" s="93">
        <v>38588</v>
      </c>
      <c r="Y23" s="93">
        <v>20220</v>
      </c>
      <c r="Z23" s="93">
        <v>20580</v>
      </c>
      <c r="AA23" s="93">
        <v>42489</v>
      </c>
      <c r="AB23" s="93">
        <v>42858</v>
      </c>
      <c r="AC23" s="114">
        <v>9</v>
      </c>
      <c r="AD23" s="114">
        <v>12</v>
      </c>
      <c r="AE23" s="114">
        <v>0</v>
      </c>
      <c r="AF23" s="115">
        <v>4466409</v>
      </c>
      <c r="AG23" s="115">
        <v>4503341</v>
      </c>
      <c r="AH23" s="115">
        <v>1090107</v>
      </c>
      <c r="AI23" s="115">
        <v>575141</v>
      </c>
      <c r="AJ23" s="115">
        <v>1426146</v>
      </c>
      <c r="AK23" s="116">
        <v>6</v>
      </c>
      <c r="AL23" s="115">
        <v>1222411</v>
      </c>
      <c r="AM23" s="116">
        <v>7</v>
      </c>
      <c r="AN23" s="115">
        <v>321127</v>
      </c>
      <c r="AO23" s="116">
        <v>9</v>
      </c>
      <c r="AP23" s="115">
        <v>28914</v>
      </c>
      <c r="AQ23" s="116">
        <v>10</v>
      </c>
      <c r="AR23" s="115">
        <v>248842</v>
      </c>
      <c r="AS23" s="116">
        <v>23</v>
      </c>
      <c r="AT23" s="115">
        <v>190779</v>
      </c>
      <c r="AU23" s="116">
        <v>30</v>
      </c>
      <c r="AV23" s="115">
        <v>126874</v>
      </c>
      <c r="AW23" s="116">
        <v>20</v>
      </c>
      <c r="AX23" s="115">
        <v>101499</v>
      </c>
      <c r="AY23" s="116">
        <v>25</v>
      </c>
      <c r="AZ23" s="139">
        <v>19157883</v>
      </c>
      <c r="BA23" s="139">
        <v>2485027</v>
      </c>
      <c r="BB23" s="139">
        <v>38190</v>
      </c>
      <c r="BC23" s="139">
        <v>502490</v>
      </c>
      <c r="BD23" s="139">
        <v>792605</v>
      </c>
      <c r="BE23" s="139">
        <v>22976195</v>
      </c>
      <c r="BF23" s="139">
        <v>0</v>
      </c>
      <c r="BG23" s="139">
        <v>0</v>
      </c>
      <c r="BH23" s="139">
        <v>0</v>
      </c>
      <c r="BI23" s="139">
        <v>0</v>
      </c>
      <c r="BJ23" s="139">
        <v>2438135</v>
      </c>
      <c r="BK23" s="139">
        <v>2438135</v>
      </c>
      <c r="BL23" s="139">
        <v>463484</v>
      </c>
      <c r="BM23" s="139">
        <v>221925</v>
      </c>
      <c r="BN23" s="139">
        <v>0</v>
      </c>
      <c r="BO23" s="139">
        <v>35000</v>
      </c>
      <c r="BP23" s="139">
        <v>0</v>
      </c>
      <c r="BQ23" s="139">
        <v>720409</v>
      </c>
      <c r="BR23" s="139">
        <v>34044125</v>
      </c>
      <c r="BS23" s="139">
        <v>3045311</v>
      </c>
      <c r="BT23" s="139">
        <v>768602</v>
      </c>
      <c r="BU23" s="139">
        <v>2212667</v>
      </c>
      <c r="BV23" s="139">
        <v>2891663</v>
      </c>
      <c r="BW23" s="139">
        <v>42962368</v>
      </c>
      <c r="BX23" s="139">
        <v>200000</v>
      </c>
      <c r="BY23" s="139">
        <v>225000</v>
      </c>
      <c r="BZ23" s="139">
        <v>25000</v>
      </c>
      <c r="CA23" s="139">
        <v>49100</v>
      </c>
      <c r="CB23" s="139">
        <v>0</v>
      </c>
      <c r="CC23" s="139">
        <v>499100</v>
      </c>
      <c r="CD23" s="139">
        <v>0</v>
      </c>
      <c r="CE23" s="139">
        <v>0</v>
      </c>
      <c r="CF23" s="139">
        <v>0</v>
      </c>
      <c r="CG23" s="139">
        <v>0</v>
      </c>
      <c r="CH23" s="139">
        <v>1870307</v>
      </c>
      <c r="CI23" s="139">
        <v>1870307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14699415</v>
      </c>
      <c r="CW23" s="139">
        <v>5378835</v>
      </c>
      <c r="CX23" s="139">
        <v>-16762</v>
      </c>
      <c r="CY23" s="139">
        <v>131391</v>
      </c>
      <c r="CZ23" s="139">
        <v>445258</v>
      </c>
      <c r="DA23" s="139">
        <v>20638137</v>
      </c>
      <c r="DB23" s="139">
        <v>0</v>
      </c>
      <c r="DC23" s="139">
        <v>0</v>
      </c>
      <c r="DD23" s="139">
        <v>0</v>
      </c>
      <c r="DE23" s="139">
        <v>0</v>
      </c>
      <c r="DF23" s="139">
        <v>8433500</v>
      </c>
      <c r="DG23" s="139">
        <v>8433500</v>
      </c>
      <c r="DH23" s="139">
        <v>862435</v>
      </c>
      <c r="DI23" s="139">
        <v>57529</v>
      </c>
      <c r="DJ23" s="139">
        <v>5480</v>
      </c>
      <c r="DK23" s="139">
        <v>197975</v>
      </c>
      <c r="DL23" s="139">
        <v>0</v>
      </c>
      <c r="DM23" s="139">
        <v>1123419</v>
      </c>
      <c r="DN23" s="139">
        <v>807634</v>
      </c>
      <c r="DO23" s="139">
        <v>359000</v>
      </c>
      <c r="DP23" s="139">
        <v>34000</v>
      </c>
      <c r="DQ23" s="139">
        <v>370500</v>
      </c>
      <c r="DR23" s="139">
        <v>7658205</v>
      </c>
      <c r="DS23" s="139">
        <v>9229339</v>
      </c>
      <c r="DT23" s="139">
        <v>203377</v>
      </c>
      <c r="DU23" s="139">
        <v>209798</v>
      </c>
      <c r="DV23" s="139">
        <v>47398</v>
      </c>
      <c r="DW23" s="139">
        <v>1462122</v>
      </c>
      <c r="DX23" s="140">
        <v>107826</v>
      </c>
      <c r="DY23" s="139">
        <v>2030521</v>
      </c>
      <c r="DZ23" s="139">
        <v>0</v>
      </c>
      <c r="EA23" s="139">
        <v>0</v>
      </c>
      <c r="EB23" s="139">
        <v>0</v>
      </c>
      <c r="EC23" s="139">
        <v>0</v>
      </c>
      <c r="ED23" s="139">
        <v>1005552</v>
      </c>
      <c r="EE23" s="139">
        <v>1005552</v>
      </c>
      <c r="EF23" s="139">
        <v>1986</v>
      </c>
      <c r="EG23" s="139">
        <v>0</v>
      </c>
      <c r="EH23" s="139">
        <v>0</v>
      </c>
      <c r="EI23" s="139">
        <v>97596</v>
      </c>
      <c r="EJ23" s="139">
        <v>1534741</v>
      </c>
      <c r="EK23" s="139">
        <v>1634323</v>
      </c>
      <c r="EL23" s="139">
        <v>70440357</v>
      </c>
      <c r="EM23" s="139">
        <v>11982425</v>
      </c>
      <c r="EN23" s="139">
        <v>901908</v>
      </c>
      <c r="EO23" s="139">
        <v>9325527</v>
      </c>
      <c r="EP23" s="139">
        <v>31961088</v>
      </c>
      <c r="EQ23" s="139">
        <v>124611305</v>
      </c>
      <c r="ER23" s="139">
        <v>2629984</v>
      </c>
      <c r="ES23" s="139">
        <v>382304</v>
      </c>
      <c r="ET23" s="139">
        <v>344911</v>
      </c>
      <c r="EU23" s="139">
        <v>5612551</v>
      </c>
      <c r="EV23" s="139">
        <v>827845</v>
      </c>
      <c r="EW23" s="139">
        <v>9797595</v>
      </c>
      <c r="EX23" s="139">
        <v>1850000</v>
      </c>
      <c r="EY23" s="139">
        <v>480000</v>
      </c>
      <c r="EZ23" s="139">
        <v>82316</v>
      </c>
      <c r="FA23" s="139">
        <v>85585</v>
      </c>
      <c r="FB23" s="139">
        <v>0</v>
      </c>
      <c r="FC23" s="139">
        <v>2497901</v>
      </c>
      <c r="FD23" s="139">
        <v>6465031</v>
      </c>
      <c r="FE23" s="139">
        <v>5007670</v>
      </c>
      <c r="FF23" s="139">
        <v>911815</v>
      </c>
      <c r="FG23" s="139">
        <v>7323359</v>
      </c>
      <c r="FH23" s="139">
        <v>0</v>
      </c>
      <c r="FI23" s="139">
        <v>19707875</v>
      </c>
      <c r="FJ23" s="139">
        <v>200000</v>
      </c>
      <c r="FK23" s="139">
        <v>225000</v>
      </c>
      <c r="FL23" s="139">
        <v>25000</v>
      </c>
      <c r="FM23" s="139">
        <v>49100</v>
      </c>
      <c r="FN23" s="139">
        <v>0</v>
      </c>
      <c r="FO23" s="139">
        <v>499100</v>
      </c>
      <c r="FP23" s="139">
        <v>1472090</v>
      </c>
      <c r="FQ23" s="139">
        <v>365726</v>
      </c>
      <c r="FR23" s="139">
        <v>212784</v>
      </c>
      <c r="FS23" s="139">
        <v>743253</v>
      </c>
      <c r="FT23" s="139">
        <v>22095492</v>
      </c>
      <c r="FU23" s="139">
        <v>24889345</v>
      </c>
      <c r="FV23" s="139">
        <v>0</v>
      </c>
      <c r="FW23" s="139">
        <v>0</v>
      </c>
      <c r="FX23" s="139">
        <v>0</v>
      </c>
      <c r="FY23" s="139">
        <v>0</v>
      </c>
      <c r="FZ23" s="139">
        <v>0</v>
      </c>
      <c r="GA23" s="139">
        <v>0</v>
      </c>
      <c r="GB23" s="139">
        <v>964979</v>
      </c>
      <c r="GC23" s="139">
        <v>0</v>
      </c>
      <c r="GD23" s="139">
        <v>0</v>
      </c>
      <c r="GE23" s="139">
        <v>272612</v>
      </c>
      <c r="GF23" s="139">
        <v>56064</v>
      </c>
      <c r="GG23" s="139">
        <v>1293655</v>
      </c>
      <c r="GH23" s="139">
        <v>685460</v>
      </c>
      <c r="GI23" s="139">
        <v>218052</v>
      </c>
      <c r="GJ23" s="139">
        <v>187192</v>
      </c>
      <c r="GK23" s="139">
        <v>574580</v>
      </c>
      <c r="GL23" s="139">
        <v>0</v>
      </c>
      <c r="GM23" s="139">
        <v>1665284</v>
      </c>
      <c r="GN23" s="139">
        <v>1157646</v>
      </c>
      <c r="GO23" s="139">
        <v>1595109</v>
      </c>
      <c r="GP23" s="139">
        <v>556780</v>
      </c>
      <c r="GQ23" s="139">
        <v>3460283</v>
      </c>
      <c r="GR23" s="139">
        <v>0</v>
      </c>
      <c r="GS23" s="139">
        <v>6769818</v>
      </c>
      <c r="GT23" s="139">
        <v>603669</v>
      </c>
      <c r="GU23" s="139">
        <v>93246</v>
      </c>
      <c r="GV23" s="139">
        <v>89317</v>
      </c>
      <c r="GW23" s="139">
        <v>1175584</v>
      </c>
      <c r="GX23" s="139">
        <v>0</v>
      </c>
      <c r="GY23" s="139">
        <v>1961816</v>
      </c>
      <c r="GZ23" s="139">
        <v>3977671</v>
      </c>
      <c r="HA23" s="139">
        <v>565585</v>
      </c>
      <c r="HB23" s="139">
        <v>238142</v>
      </c>
      <c r="HC23" s="139">
        <v>891030</v>
      </c>
      <c r="HD23" s="139">
        <v>0</v>
      </c>
      <c r="HE23" s="139">
        <v>5672428</v>
      </c>
      <c r="HF23" s="139">
        <v>338259</v>
      </c>
      <c r="HG23" s="139">
        <v>217841</v>
      </c>
      <c r="HH23" s="139">
        <v>169538</v>
      </c>
      <c r="HI23" s="139">
        <v>602276</v>
      </c>
      <c r="HJ23" s="139">
        <v>2133572</v>
      </c>
      <c r="HK23" s="139">
        <v>3461486</v>
      </c>
      <c r="HL23" s="139">
        <v>190782</v>
      </c>
      <c r="HM23" s="139">
        <v>145960</v>
      </c>
      <c r="HN23" s="139">
        <v>47095</v>
      </c>
      <c r="HO23" s="139">
        <v>811962</v>
      </c>
      <c r="HP23" s="139">
        <v>123727</v>
      </c>
      <c r="HQ23" s="139">
        <v>1319526</v>
      </c>
      <c r="HR23" s="139">
        <v>754066</v>
      </c>
      <c r="HS23" s="139">
        <v>304027</v>
      </c>
      <c r="HT23" s="139">
        <v>69775</v>
      </c>
      <c r="HU23" s="139">
        <v>462498</v>
      </c>
      <c r="HV23" s="139">
        <v>16253242</v>
      </c>
      <c r="HW23" s="139">
        <v>17843608</v>
      </c>
      <c r="HX23" s="139">
        <v>745344</v>
      </c>
      <c r="HY23" s="139">
        <v>43554</v>
      </c>
      <c r="HZ23" s="139">
        <v>42900</v>
      </c>
      <c r="IA23" s="139">
        <v>39900</v>
      </c>
      <c r="IB23" s="139">
        <v>154165</v>
      </c>
      <c r="IC23" s="139">
        <v>1025863</v>
      </c>
      <c r="ID23" s="139">
        <v>0</v>
      </c>
      <c r="IE23" s="139">
        <v>0</v>
      </c>
      <c r="IF23" s="139">
        <v>0</v>
      </c>
      <c r="IG23" s="139">
        <v>0</v>
      </c>
      <c r="IH23" s="139">
        <v>0</v>
      </c>
      <c r="II23" s="139">
        <v>0</v>
      </c>
      <c r="IJ23" s="139">
        <v>349138</v>
      </c>
      <c r="IK23" s="139">
        <v>10683</v>
      </c>
      <c r="IL23" s="139">
        <v>32766</v>
      </c>
      <c r="IM23" s="139">
        <v>592408</v>
      </c>
      <c r="IN23" s="139">
        <v>1759816</v>
      </c>
      <c r="IO23" s="139">
        <v>2744811</v>
      </c>
      <c r="IP23" s="139">
        <v>0</v>
      </c>
      <c r="IQ23" s="139">
        <v>0</v>
      </c>
      <c r="IR23" s="139">
        <v>0</v>
      </c>
      <c r="IS23" s="139">
        <v>3000</v>
      </c>
      <c r="IT23" s="139">
        <v>15116</v>
      </c>
      <c r="IU23" s="139">
        <v>18116</v>
      </c>
      <c r="IV23" s="139">
        <v>855146</v>
      </c>
      <c r="IW23" s="139">
        <v>110826</v>
      </c>
      <c r="IX23" s="139">
        <v>73348</v>
      </c>
      <c r="IY23" s="139">
        <v>1409172</v>
      </c>
      <c r="IZ23" s="139">
        <v>6073247</v>
      </c>
      <c r="JA23" s="139">
        <v>8521739</v>
      </c>
      <c r="JB23" s="139">
        <v>23239283</v>
      </c>
      <c r="JC23" s="139">
        <v>9765547</v>
      </c>
      <c r="JD23" s="139">
        <v>3083679</v>
      </c>
      <c r="JE23" s="139">
        <v>67528260</v>
      </c>
      <c r="JF23" s="139">
        <v>6073247</v>
      </c>
      <c r="JG23" s="139">
        <v>109690016</v>
      </c>
      <c r="JH23" s="139">
        <v>0</v>
      </c>
      <c r="JI23" s="139">
        <v>0</v>
      </c>
      <c r="JJ23" s="139">
        <v>0</v>
      </c>
      <c r="JK23" s="139">
        <v>0</v>
      </c>
      <c r="JL23" s="139">
        <v>4305881</v>
      </c>
      <c r="JM23" s="139">
        <v>4305881</v>
      </c>
      <c r="JN23" s="139">
        <v>23239283</v>
      </c>
      <c r="JO23" s="139">
        <v>9765547</v>
      </c>
      <c r="JP23" s="139">
        <v>3083679</v>
      </c>
      <c r="JQ23" s="139">
        <v>23234528</v>
      </c>
      <c r="JR23" s="139">
        <v>54672860</v>
      </c>
      <c r="JS23" s="139">
        <v>113995897</v>
      </c>
      <c r="JU23" s="70">
        <f t="shared" si="0"/>
        <v>22976195</v>
      </c>
      <c r="JV23" s="70">
        <f t="shared" si="1"/>
        <v>0</v>
      </c>
      <c r="JW23" s="70">
        <f t="shared" si="2"/>
        <v>2438135</v>
      </c>
      <c r="JX23" s="70">
        <f t="shared" si="3"/>
        <v>0</v>
      </c>
      <c r="JY23" s="70">
        <f t="shared" si="4"/>
        <v>720409</v>
      </c>
      <c r="JZ23" s="70">
        <f t="shared" si="5"/>
        <v>0</v>
      </c>
      <c r="KA23" s="70">
        <f t="shared" si="6"/>
        <v>42962368</v>
      </c>
      <c r="KB23" s="70">
        <f t="shared" si="7"/>
        <v>0</v>
      </c>
      <c r="KC23" s="70">
        <f t="shared" si="8"/>
        <v>499100</v>
      </c>
      <c r="KD23" s="70">
        <f t="shared" si="9"/>
        <v>0</v>
      </c>
      <c r="KE23" s="70">
        <f t="shared" si="10"/>
        <v>1870307</v>
      </c>
      <c r="KF23" s="70">
        <f t="shared" si="11"/>
        <v>0</v>
      </c>
      <c r="KG23" s="70">
        <f t="shared" si="12"/>
        <v>0</v>
      </c>
      <c r="KH23" s="70">
        <f t="shared" si="13"/>
        <v>0</v>
      </c>
      <c r="KI23" s="70">
        <f t="shared" si="14"/>
        <v>0</v>
      </c>
      <c r="KJ23" s="70">
        <f t="shared" si="15"/>
        <v>0</v>
      </c>
      <c r="KK23" s="70">
        <f t="shared" si="16"/>
        <v>20638137</v>
      </c>
      <c r="KL23" s="70">
        <f t="shared" si="17"/>
        <v>0</v>
      </c>
      <c r="KM23" s="70">
        <f t="shared" si="18"/>
        <v>8433500</v>
      </c>
      <c r="KN23" s="70">
        <f t="shared" si="19"/>
        <v>0</v>
      </c>
      <c r="KO23" s="70">
        <f t="shared" si="20"/>
        <v>1123419</v>
      </c>
      <c r="KP23" s="70">
        <f t="shared" si="21"/>
        <v>0</v>
      </c>
      <c r="KQ23" s="70">
        <f t="shared" si="22"/>
        <v>9229339</v>
      </c>
      <c r="KR23" s="70">
        <f t="shared" si="23"/>
        <v>0</v>
      </c>
      <c r="KS23" s="70">
        <f t="shared" si="24"/>
        <v>2030521</v>
      </c>
      <c r="KT23" s="70">
        <f t="shared" si="25"/>
        <v>0</v>
      </c>
      <c r="KU23" s="70">
        <f t="shared" si="26"/>
        <v>1005552</v>
      </c>
      <c r="KV23" s="70">
        <f t="shared" si="27"/>
        <v>0</v>
      </c>
      <c r="KW23" s="70">
        <f t="shared" si="28"/>
        <v>1634323</v>
      </c>
      <c r="KX23" s="70">
        <f t="shared" si="29"/>
        <v>0</v>
      </c>
      <c r="KY23" s="70">
        <f t="shared" si="30"/>
        <v>124611305</v>
      </c>
      <c r="KZ23" s="70">
        <f t="shared" si="31"/>
        <v>0</v>
      </c>
      <c r="LA23" s="70">
        <f t="shared" si="32"/>
        <v>9797595</v>
      </c>
      <c r="LB23" s="70">
        <f t="shared" si="33"/>
        <v>0</v>
      </c>
      <c r="LC23" s="70">
        <f t="shared" si="34"/>
        <v>2497901</v>
      </c>
      <c r="LD23" s="70">
        <f t="shared" si="35"/>
        <v>0</v>
      </c>
      <c r="LE23" s="70">
        <f t="shared" si="36"/>
        <v>19707875</v>
      </c>
      <c r="LF23" s="70">
        <f t="shared" si="37"/>
        <v>0</v>
      </c>
      <c r="LG23" s="70">
        <f t="shared" si="78"/>
        <v>499100</v>
      </c>
      <c r="LH23" s="70">
        <f t="shared" si="79"/>
        <v>0</v>
      </c>
      <c r="LI23" s="70">
        <f t="shared" si="40"/>
        <v>24889345</v>
      </c>
      <c r="LJ23" s="70">
        <f t="shared" si="41"/>
        <v>0</v>
      </c>
      <c r="LK23" s="70">
        <f t="shared" si="42"/>
        <v>0</v>
      </c>
      <c r="LL23" s="70">
        <f t="shared" si="43"/>
        <v>0</v>
      </c>
      <c r="LM23" s="70">
        <f t="shared" si="44"/>
        <v>1293655</v>
      </c>
      <c r="LN23" s="70">
        <f t="shared" si="45"/>
        <v>0</v>
      </c>
      <c r="LO23" s="70">
        <f t="shared" si="46"/>
        <v>1665284</v>
      </c>
      <c r="LP23" s="70">
        <f t="shared" si="47"/>
        <v>0</v>
      </c>
      <c r="LQ23" s="70">
        <f t="shared" si="48"/>
        <v>6769818</v>
      </c>
      <c r="LR23" s="70">
        <f t="shared" si="49"/>
        <v>0</v>
      </c>
      <c r="LS23" s="70">
        <f t="shared" si="50"/>
        <v>1961816</v>
      </c>
      <c r="LT23" s="70">
        <f t="shared" si="51"/>
        <v>0</v>
      </c>
      <c r="LU23" s="70">
        <f t="shared" si="52"/>
        <v>5672428</v>
      </c>
      <c r="LV23" s="70">
        <f t="shared" si="53"/>
        <v>0</v>
      </c>
      <c r="LW23" s="70">
        <f t="shared" si="54"/>
        <v>3461486</v>
      </c>
      <c r="LX23" s="70">
        <f t="shared" si="55"/>
        <v>0</v>
      </c>
      <c r="LY23" s="70">
        <f t="shared" si="56"/>
        <v>1319526</v>
      </c>
      <c r="LZ23" s="70">
        <f t="shared" si="57"/>
        <v>0</v>
      </c>
      <c r="MA23" s="70">
        <f t="shared" si="58"/>
        <v>17843608</v>
      </c>
      <c r="MB23" s="70">
        <f t="shared" si="59"/>
        <v>0</v>
      </c>
      <c r="MC23" s="70">
        <f t="shared" si="60"/>
        <v>1025863</v>
      </c>
      <c r="MD23" s="70">
        <f t="shared" si="61"/>
        <v>0</v>
      </c>
      <c r="ME23" s="70">
        <f t="shared" si="62"/>
        <v>0</v>
      </c>
      <c r="MF23" s="70">
        <f t="shared" si="63"/>
        <v>0</v>
      </c>
      <c r="MG23" s="70">
        <f t="shared" si="64"/>
        <v>2744811</v>
      </c>
      <c r="MH23" s="70">
        <f t="shared" si="65"/>
        <v>0</v>
      </c>
      <c r="MI23" s="70">
        <f t="shared" si="66"/>
        <v>18116</v>
      </c>
      <c r="MJ23" s="70">
        <f t="shared" si="67"/>
        <v>0</v>
      </c>
      <c r="MK23" s="70">
        <f t="shared" si="68"/>
        <v>8521739</v>
      </c>
      <c r="ML23" s="70">
        <f t="shared" si="69"/>
        <v>0</v>
      </c>
      <c r="MM23" s="70">
        <f t="shared" si="70"/>
        <v>109690016</v>
      </c>
      <c r="MN23" s="70">
        <f t="shared" si="71"/>
        <v>0</v>
      </c>
      <c r="MO23" s="70">
        <f t="shared" si="72"/>
        <v>4305881</v>
      </c>
      <c r="MP23" s="70">
        <f t="shared" si="73"/>
        <v>0</v>
      </c>
      <c r="MQ23" s="70">
        <f t="shared" si="74"/>
        <v>113995897</v>
      </c>
      <c r="MR23" s="70">
        <f t="shared" si="75"/>
        <v>0</v>
      </c>
      <c r="MT23" s="70">
        <f t="shared" si="76"/>
        <v>0</v>
      </c>
      <c r="MV23" s="68">
        <f t="shared" si="77"/>
        <v>0</v>
      </c>
    </row>
    <row r="24" spans="1:360" s="79" customFormat="1" x14ac:dyDescent="0.15">
      <c r="A24" s="182" t="s">
        <v>555</v>
      </c>
      <c r="B24" s="76" t="s">
        <v>422</v>
      </c>
      <c r="C24" s="90">
        <v>134130</v>
      </c>
      <c r="D24" s="90">
        <v>2014</v>
      </c>
      <c r="E24" s="90">
        <v>1</v>
      </c>
      <c r="F24" s="91">
        <v>8</v>
      </c>
      <c r="G24" s="92">
        <v>7023</v>
      </c>
      <c r="H24" s="92">
        <v>8543</v>
      </c>
      <c r="I24" s="93">
        <v>464022563</v>
      </c>
      <c r="J24" s="93">
        <v>451009343</v>
      </c>
      <c r="K24" s="93">
        <v>3505497</v>
      </c>
      <c r="L24" s="93">
        <v>2614969</v>
      </c>
      <c r="M24" s="93">
        <v>22995369</v>
      </c>
      <c r="N24" s="93">
        <v>19848940</v>
      </c>
      <c r="O24" s="93">
        <v>83685789</v>
      </c>
      <c r="P24" s="93">
        <v>87191286</v>
      </c>
      <c r="Q24" s="93">
        <v>554596907</v>
      </c>
      <c r="R24" s="93">
        <v>578268995</v>
      </c>
      <c r="S24" s="93">
        <v>281970156</v>
      </c>
      <c r="T24" s="93">
        <v>249463487</v>
      </c>
      <c r="U24" s="93">
        <v>18075</v>
      </c>
      <c r="V24" s="93">
        <v>17196</v>
      </c>
      <c r="W24" s="93">
        <v>32076</v>
      </c>
      <c r="X24" s="93">
        <v>29640</v>
      </c>
      <c r="Y24" s="93">
        <v>21713</v>
      </c>
      <c r="Z24" s="93">
        <v>21359</v>
      </c>
      <c r="AA24" s="93">
        <v>36213</v>
      </c>
      <c r="AB24" s="93">
        <v>33832</v>
      </c>
      <c r="AC24" s="114">
        <v>8</v>
      </c>
      <c r="AD24" s="114">
        <v>11</v>
      </c>
      <c r="AE24" s="114">
        <v>0</v>
      </c>
      <c r="AF24" s="115">
        <v>2776320</v>
      </c>
      <c r="AG24" s="115">
        <v>1585101</v>
      </c>
      <c r="AH24" s="115">
        <v>279673</v>
      </c>
      <c r="AI24" s="115">
        <v>119606</v>
      </c>
      <c r="AJ24" s="115">
        <v>181942</v>
      </c>
      <c r="AK24" s="116">
        <v>6.75</v>
      </c>
      <c r="AL24" s="115">
        <v>122811</v>
      </c>
      <c r="AM24" s="116">
        <v>10</v>
      </c>
      <c r="AN24" s="115">
        <v>101280</v>
      </c>
      <c r="AO24" s="116">
        <v>7.25</v>
      </c>
      <c r="AP24" s="115">
        <v>81587</v>
      </c>
      <c r="AQ24" s="116">
        <v>9</v>
      </c>
      <c r="AR24" s="115">
        <v>114786</v>
      </c>
      <c r="AS24" s="116">
        <v>15.25</v>
      </c>
      <c r="AT24" s="115">
        <v>51485</v>
      </c>
      <c r="AU24" s="116">
        <v>34</v>
      </c>
      <c r="AV24" s="115">
        <v>58366</v>
      </c>
      <c r="AW24" s="116">
        <v>7.75</v>
      </c>
      <c r="AX24" s="115">
        <v>28271</v>
      </c>
      <c r="AY24" s="116">
        <v>16</v>
      </c>
      <c r="AZ24" s="142">
        <v>778396</v>
      </c>
      <c r="BA24" s="142">
        <v>124038</v>
      </c>
      <c r="BB24" s="142">
        <v>4735</v>
      </c>
      <c r="BC24" s="142">
        <v>49581</v>
      </c>
      <c r="BD24" s="142">
        <v>0</v>
      </c>
      <c r="BE24" s="142">
        <v>956750</v>
      </c>
      <c r="BF24" s="142">
        <v>2802731</v>
      </c>
      <c r="BG24" s="142">
        <v>372043</v>
      </c>
      <c r="BH24" s="142">
        <v>297635</v>
      </c>
      <c r="BI24" s="142">
        <v>8656214</v>
      </c>
      <c r="BJ24" s="142">
        <v>0</v>
      </c>
      <c r="BK24" s="142">
        <v>12128623</v>
      </c>
      <c r="BL24" s="142">
        <v>1650000</v>
      </c>
      <c r="BM24" s="142">
        <v>305000</v>
      </c>
      <c r="BN24" s="142">
        <v>25000</v>
      </c>
      <c r="BO24" s="150">
        <v>3500</v>
      </c>
      <c r="BP24" s="142">
        <v>0</v>
      </c>
      <c r="BQ24" s="142">
        <v>1983500</v>
      </c>
      <c r="BR24" s="142">
        <v>95644</v>
      </c>
      <c r="BS24" s="142">
        <v>31500</v>
      </c>
      <c r="BT24" s="142">
        <v>546</v>
      </c>
      <c r="BU24" s="142">
        <v>82659</v>
      </c>
      <c r="BV24" s="142">
        <v>2291668</v>
      </c>
      <c r="BW24" s="142">
        <v>2502017</v>
      </c>
      <c r="BX24" s="142">
        <v>0</v>
      </c>
      <c r="BY24" s="142">
        <v>0</v>
      </c>
      <c r="BZ24" s="142">
        <v>0</v>
      </c>
      <c r="CA24" s="142">
        <v>0</v>
      </c>
      <c r="CB24" s="142">
        <v>0</v>
      </c>
      <c r="CC24" s="142">
        <v>0</v>
      </c>
      <c r="CD24" s="139">
        <v>0</v>
      </c>
      <c r="CE24" s="139">
        <v>0</v>
      </c>
      <c r="CF24" s="139">
        <v>0</v>
      </c>
      <c r="CG24" s="139">
        <v>0</v>
      </c>
      <c r="CH24" s="139">
        <v>0</v>
      </c>
      <c r="CI24" s="139">
        <v>0</v>
      </c>
      <c r="CJ24" s="139">
        <v>237053</v>
      </c>
      <c r="CK24" s="139">
        <v>94821</v>
      </c>
      <c r="CL24" s="139">
        <v>71116</v>
      </c>
      <c r="CM24" s="139">
        <v>337801</v>
      </c>
      <c r="CN24" s="139">
        <v>2041280</v>
      </c>
      <c r="CO24" s="139">
        <v>2782071</v>
      </c>
      <c r="CP24" s="142">
        <v>0</v>
      </c>
      <c r="CQ24" s="142">
        <v>0</v>
      </c>
      <c r="CR24" s="142">
        <v>0</v>
      </c>
      <c r="CS24" s="142">
        <v>0</v>
      </c>
      <c r="CT24" s="142">
        <v>1447663</v>
      </c>
      <c r="CU24" s="142">
        <v>1447663</v>
      </c>
      <c r="CV24" s="142">
        <v>0</v>
      </c>
      <c r="CW24" s="142">
        <v>0</v>
      </c>
      <c r="CX24" s="142">
        <v>0</v>
      </c>
      <c r="CY24" s="142">
        <v>0</v>
      </c>
      <c r="CZ24" s="142">
        <v>976218</v>
      </c>
      <c r="DA24" s="142">
        <v>976218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42">
        <v>145017</v>
      </c>
      <c r="DI24" s="142">
        <v>8964</v>
      </c>
      <c r="DJ24" s="142">
        <v>0</v>
      </c>
      <c r="DK24" s="142">
        <v>0</v>
      </c>
      <c r="DL24" s="142">
        <v>51201</v>
      </c>
      <c r="DM24" s="142">
        <v>205182</v>
      </c>
      <c r="DN24" s="142">
        <v>0</v>
      </c>
      <c r="DO24" s="142">
        <v>0</v>
      </c>
      <c r="DP24" s="142">
        <v>0</v>
      </c>
      <c r="DQ24" s="142">
        <v>0</v>
      </c>
      <c r="DR24" s="142">
        <v>575495</v>
      </c>
      <c r="DS24" s="142">
        <v>575495</v>
      </c>
      <c r="DT24" s="142">
        <v>0</v>
      </c>
      <c r="DU24" s="142">
        <v>0</v>
      </c>
      <c r="DV24" s="142">
        <v>0</v>
      </c>
      <c r="DW24" s="142">
        <v>0</v>
      </c>
      <c r="DX24" s="142">
        <v>0</v>
      </c>
      <c r="DY24" s="142">
        <v>0</v>
      </c>
      <c r="DZ24" s="142">
        <v>0</v>
      </c>
      <c r="EA24" s="142">
        <v>0</v>
      </c>
      <c r="EB24" s="142">
        <v>0</v>
      </c>
      <c r="EC24" s="142">
        <v>2441</v>
      </c>
      <c r="ED24" s="142">
        <v>0</v>
      </c>
      <c r="EE24" s="142">
        <v>2441</v>
      </c>
      <c r="EF24" s="142">
        <v>0</v>
      </c>
      <c r="EG24" s="142">
        <v>0</v>
      </c>
      <c r="EH24" s="142">
        <v>0</v>
      </c>
      <c r="EI24" s="142">
        <v>53100</v>
      </c>
      <c r="EJ24" s="142">
        <v>739774</v>
      </c>
      <c r="EK24" s="142">
        <v>792874</v>
      </c>
      <c r="EL24" s="142">
        <v>5708841</v>
      </c>
      <c r="EM24" s="142">
        <v>936366</v>
      </c>
      <c r="EN24" s="142">
        <v>399032</v>
      </c>
      <c r="EO24" s="142">
        <v>9185296</v>
      </c>
      <c r="EP24" s="142">
        <v>8123283</v>
      </c>
      <c r="EQ24" s="142">
        <v>24352818</v>
      </c>
      <c r="ER24" s="142">
        <v>1989057</v>
      </c>
      <c r="ES24" s="142">
        <v>312707</v>
      </c>
      <c r="ET24" s="142">
        <v>311010</v>
      </c>
      <c r="EU24" s="142">
        <v>1748647</v>
      </c>
      <c r="EV24" s="142">
        <v>0</v>
      </c>
      <c r="EW24" s="142">
        <v>4361421</v>
      </c>
      <c r="EX24" s="142">
        <v>300000</v>
      </c>
      <c r="EY24" s="142">
        <v>8000</v>
      </c>
      <c r="EZ24" s="142">
        <v>1000</v>
      </c>
      <c r="FA24" s="142">
        <v>11100</v>
      </c>
      <c r="FB24" s="142">
        <v>0</v>
      </c>
      <c r="FC24" s="142">
        <v>320100</v>
      </c>
      <c r="FD24" s="142">
        <v>1812999</v>
      </c>
      <c r="FE24" s="142">
        <v>595316</v>
      </c>
      <c r="FF24" s="142">
        <v>398019</v>
      </c>
      <c r="FG24" s="142">
        <v>1358885</v>
      </c>
      <c r="FH24" s="142">
        <v>0</v>
      </c>
      <c r="FI24" s="142">
        <v>4165219</v>
      </c>
      <c r="FJ24" s="139">
        <v>0</v>
      </c>
      <c r="FK24" s="139">
        <v>0</v>
      </c>
      <c r="FL24" s="139">
        <v>0</v>
      </c>
      <c r="FM24" s="139">
        <v>0</v>
      </c>
      <c r="FN24" s="139">
        <v>0</v>
      </c>
      <c r="FO24" s="139">
        <v>0</v>
      </c>
      <c r="FP24" s="142">
        <v>213712</v>
      </c>
      <c r="FQ24" s="142">
        <v>38700</v>
      </c>
      <c r="FR24" s="142">
        <v>45850</v>
      </c>
      <c r="FS24" s="142">
        <v>0</v>
      </c>
      <c r="FT24" s="142">
        <v>2394633</v>
      </c>
      <c r="FU24" s="142">
        <v>2692895</v>
      </c>
      <c r="FV24" s="139">
        <v>0</v>
      </c>
      <c r="FW24" s="139">
        <v>0</v>
      </c>
      <c r="FX24" s="139">
        <v>0</v>
      </c>
      <c r="FY24" s="139">
        <v>0</v>
      </c>
      <c r="FZ24" s="139">
        <v>0</v>
      </c>
      <c r="GA24" s="139">
        <v>0</v>
      </c>
      <c r="GB24" s="139">
        <v>119018</v>
      </c>
      <c r="GC24" s="139">
        <v>72329</v>
      </c>
      <c r="GD24" s="139">
        <v>0</v>
      </c>
      <c r="GE24" s="139">
        <v>40294</v>
      </c>
      <c r="GF24" s="139">
        <v>24073</v>
      </c>
      <c r="GG24" s="139">
        <v>255714</v>
      </c>
      <c r="GH24" s="142">
        <v>146986</v>
      </c>
      <c r="GI24" s="142">
        <v>94732</v>
      </c>
      <c r="GJ24" s="142">
        <v>73501</v>
      </c>
      <c r="GK24" s="142">
        <v>83460</v>
      </c>
      <c r="GL24" s="142">
        <v>52823</v>
      </c>
      <c r="GM24" s="142">
        <v>451502</v>
      </c>
      <c r="GN24" s="142">
        <v>792448</v>
      </c>
      <c r="GO24" s="142">
        <v>275238</v>
      </c>
      <c r="GP24" s="142">
        <v>211538</v>
      </c>
      <c r="GQ24" s="142">
        <v>851823</v>
      </c>
      <c r="GR24" s="142">
        <v>0</v>
      </c>
      <c r="GS24" s="142">
        <v>2131047</v>
      </c>
      <c r="GT24" s="142">
        <v>401323</v>
      </c>
      <c r="GU24" s="142">
        <v>67110</v>
      </c>
      <c r="GV24" s="142">
        <v>30932</v>
      </c>
      <c r="GW24" s="142">
        <v>257736</v>
      </c>
      <c r="GX24" s="142">
        <v>117485</v>
      </c>
      <c r="GY24" s="142">
        <v>874586</v>
      </c>
      <c r="GZ24" s="142">
        <v>105005</v>
      </c>
      <c r="HA24" s="142">
        <v>116080</v>
      </c>
      <c r="HB24" s="142">
        <v>74948</v>
      </c>
      <c r="HC24" s="142">
        <v>137638</v>
      </c>
      <c r="HD24" s="142">
        <v>787295</v>
      </c>
      <c r="HE24" s="142">
        <v>1220966</v>
      </c>
      <c r="HF24" s="142">
        <v>0</v>
      </c>
      <c r="HG24" s="142">
        <v>0</v>
      </c>
      <c r="HH24" s="142">
        <v>0</v>
      </c>
      <c r="HI24" s="142">
        <v>6439</v>
      </c>
      <c r="HJ24" s="142">
        <v>483845</v>
      </c>
      <c r="HK24" s="142">
        <v>490284</v>
      </c>
      <c r="HL24" s="142">
        <v>0</v>
      </c>
      <c r="HM24" s="142">
        <v>0</v>
      </c>
      <c r="HN24" s="142">
        <v>0</v>
      </c>
      <c r="HO24" s="142">
        <v>0</v>
      </c>
      <c r="HP24" s="142">
        <v>0</v>
      </c>
      <c r="HQ24" s="142">
        <v>0</v>
      </c>
      <c r="HR24" s="142">
        <v>0</v>
      </c>
      <c r="HS24" s="142">
        <v>0</v>
      </c>
      <c r="HT24" s="142">
        <v>0</v>
      </c>
      <c r="HU24" s="142">
        <v>4210</v>
      </c>
      <c r="HV24" s="142">
        <v>3716606</v>
      </c>
      <c r="HW24" s="142">
        <v>3720816</v>
      </c>
      <c r="HX24" s="139">
        <v>0</v>
      </c>
      <c r="HY24" s="139">
        <v>0</v>
      </c>
      <c r="HZ24" s="139">
        <v>0</v>
      </c>
      <c r="IA24" s="139">
        <v>0</v>
      </c>
      <c r="IB24" s="139">
        <v>29608</v>
      </c>
      <c r="IC24" s="139">
        <v>29608</v>
      </c>
      <c r="ID24" s="142">
        <v>0</v>
      </c>
      <c r="IE24" s="142">
        <v>0</v>
      </c>
      <c r="IF24" s="142">
        <v>0</v>
      </c>
      <c r="IG24" s="142">
        <v>0</v>
      </c>
      <c r="IH24" s="142">
        <v>1447683</v>
      </c>
      <c r="II24" s="142">
        <v>1447683</v>
      </c>
      <c r="IJ24" s="142">
        <v>0</v>
      </c>
      <c r="IK24" s="142">
        <v>3500</v>
      </c>
      <c r="IL24" s="142">
        <v>0</v>
      </c>
      <c r="IM24" s="142">
        <v>1613</v>
      </c>
      <c r="IN24" s="142">
        <v>483235</v>
      </c>
      <c r="IO24" s="142">
        <v>488348</v>
      </c>
      <c r="IP24" s="142">
        <v>1230</v>
      </c>
      <c r="IQ24" s="142">
        <v>2490</v>
      </c>
      <c r="IR24" s="142">
        <v>800</v>
      </c>
      <c r="IS24" s="142">
        <v>4630</v>
      </c>
      <c r="IT24" s="142">
        <v>286636</v>
      </c>
      <c r="IU24" s="142">
        <v>295786</v>
      </c>
      <c r="IV24" s="142">
        <v>126281</v>
      </c>
      <c r="IW24" s="142">
        <v>66767</v>
      </c>
      <c r="IX24" s="142">
        <v>16423</v>
      </c>
      <c r="IY24" s="142">
        <v>33085</v>
      </c>
      <c r="IZ24" s="142">
        <v>844493</v>
      </c>
      <c r="JA24" s="142">
        <v>1087049</v>
      </c>
      <c r="JB24" s="142">
        <v>6008059</v>
      </c>
      <c r="JC24" s="142">
        <v>1652969</v>
      </c>
      <c r="JD24" s="142">
        <v>1164021</v>
      </c>
      <c r="JE24" s="142">
        <v>4539560</v>
      </c>
      <c r="JF24" s="142">
        <v>10668415</v>
      </c>
      <c r="JG24" s="142">
        <v>24033024</v>
      </c>
      <c r="JH24" s="139">
        <v>0</v>
      </c>
      <c r="JI24" s="139">
        <v>0</v>
      </c>
      <c r="JJ24" s="139">
        <v>0</v>
      </c>
      <c r="JK24" s="139">
        <v>0</v>
      </c>
      <c r="JL24" s="139">
        <v>0</v>
      </c>
      <c r="JM24" s="139">
        <v>0</v>
      </c>
      <c r="JN24" s="142">
        <v>6008059</v>
      </c>
      <c r="JO24" s="142">
        <v>1652969</v>
      </c>
      <c r="JP24" s="142">
        <v>1164021</v>
      </c>
      <c r="JQ24" s="142">
        <v>4539560</v>
      </c>
      <c r="JR24" s="142">
        <v>10668415</v>
      </c>
      <c r="JS24" s="142">
        <v>24033024</v>
      </c>
      <c r="JT24" s="70"/>
      <c r="JU24" s="70">
        <f t="shared" si="0"/>
        <v>956750</v>
      </c>
      <c r="JV24" s="70">
        <f t="shared" si="1"/>
        <v>0</v>
      </c>
      <c r="JW24" s="70">
        <f t="shared" si="2"/>
        <v>12128623</v>
      </c>
      <c r="JX24" s="70">
        <f t="shared" si="3"/>
        <v>0</v>
      </c>
      <c r="JY24" s="70">
        <f t="shared" si="4"/>
        <v>1983500</v>
      </c>
      <c r="JZ24" s="70">
        <f t="shared" si="5"/>
        <v>0</v>
      </c>
      <c r="KA24" s="70">
        <f t="shared" si="6"/>
        <v>2502017</v>
      </c>
      <c r="KB24" s="70">
        <f t="shared" si="7"/>
        <v>0</v>
      </c>
      <c r="KC24" s="70">
        <f t="shared" si="8"/>
        <v>0</v>
      </c>
      <c r="KD24" s="70">
        <f t="shared" si="9"/>
        <v>0</v>
      </c>
      <c r="KE24" s="70">
        <f t="shared" si="10"/>
        <v>0</v>
      </c>
      <c r="KF24" s="70">
        <f t="shared" si="11"/>
        <v>0</v>
      </c>
      <c r="KG24" s="70">
        <f t="shared" si="12"/>
        <v>2782071</v>
      </c>
      <c r="KH24" s="70">
        <f t="shared" si="13"/>
        <v>0</v>
      </c>
      <c r="KI24" s="70">
        <f t="shared" si="14"/>
        <v>1447663</v>
      </c>
      <c r="KJ24" s="70">
        <f t="shared" si="15"/>
        <v>0</v>
      </c>
      <c r="KK24" s="70">
        <f t="shared" si="16"/>
        <v>976218</v>
      </c>
      <c r="KL24" s="70">
        <f t="shared" si="17"/>
        <v>0</v>
      </c>
      <c r="KM24" s="70">
        <f t="shared" si="18"/>
        <v>0</v>
      </c>
      <c r="KN24" s="70">
        <f t="shared" si="19"/>
        <v>0</v>
      </c>
      <c r="KO24" s="70">
        <f t="shared" si="20"/>
        <v>205182</v>
      </c>
      <c r="KP24" s="70">
        <f t="shared" si="21"/>
        <v>0</v>
      </c>
      <c r="KQ24" s="70">
        <f t="shared" si="22"/>
        <v>575495</v>
      </c>
      <c r="KR24" s="70">
        <f t="shared" si="23"/>
        <v>0</v>
      </c>
      <c r="KS24" s="70">
        <f t="shared" si="24"/>
        <v>0</v>
      </c>
      <c r="KT24" s="70">
        <f t="shared" si="25"/>
        <v>0</v>
      </c>
      <c r="KU24" s="70">
        <f t="shared" si="26"/>
        <v>2441</v>
      </c>
      <c r="KV24" s="70">
        <f t="shared" si="27"/>
        <v>0</v>
      </c>
      <c r="KW24" s="70">
        <f t="shared" si="28"/>
        <v>792874</v>
      </c>
      <c r="KX24" s="70">
        <f t="shared" si="29"/>
        <v>0</v>
      </c>
      <c r="KY24" s="70">
        <f t="shared" si="30"/>
        <v>24352818</v>
      </c>
      <c r="KZ24" s="70">
        <f t="shared" si="31"/>
        <v>0</v>
      </c>
      <c r="LA24" s="70">
        <f t="shared" si="32"/>
        <v>4361421</v>
      </c>
      <c r="LB24" s="70">
        <f t="shared" si="33"/>
        <v>0</v>
      </c>
      <c r="LC24" s="70">
        <f t="shared" si="34"/>
        <v>320100</v>
      </c>
      <c r="LD24" s="70">
        <f t="shared" si="35"/>
        <v>0</v>
      </c>
      <c r="LE24" s="70">
        <f t="shared" si="36"/>
        <v>4165219</v>
      </c>
      <c r="LF24" s="70">
        <f t="shared" si="37"/>
        <v>0</v>
      </c>
      <c r="LG24" s="70">
        <f t="shared" si="78"/>
        <v>0</v>
      </c>
      <c r="LH24" s="70">
        <f t="shared" si="79"/>
        <v>0</v>
      </c>
      <c r="LI24" s="70">
        <f t="shared" si="40"/>
        <v>2692895</v>
      </c>
      <c r="LJ24" s="70">
        <f t="shared" si="41"/>
        <v>0</v>
      </c>
      <c r="LK24" s="70">
        <f t="shared" si="42"/>
        <v>0</v>
      </c>
      <c r="LL24" s="70">
        <f t="shared" si="43"/>
        <v>0</v>
      </c>
      <c r="LM24" s="70">
        <f t="shared" si="44"/>
        <v>255714</v>
      </c>
      <c r="LN24" s="70">
        <f t="shared" si="45"/>
        <v>0</v>
      </c>
      <c r="LO24" s="70">
        <f t="shared" si="46"/>
        <v>451502</v>
      </c>
      <c r="LP24" s="70">
        <f t="shared" si="47"/>
        <v>0</v>
      </c>
      <c r="LQ24" s="70">
        <f t="shared" si="48"/>
        <v>2131047</v>
      </c>
      <c r="LR24" s="70">
        <f t="shared" si="49"/>
        <v>0</v>
      </c>
      <c r="LS24" s="70">
        <f t="shared" si="50"/>
        <v>874586</v>
      </c>
      <c r="LT24" s="70">
        <f t="shared" si="51"/>
        <v>0</v>
      </c>
      <c r="LU24" s="70">
        <f t="shared" si="52"/>
        <v>1220966</v>
      </c>
      <c r="LV24" s="70">
        <f t="shared" si="53"/>
        <v>0</v>
      </c>
      <c r="LW24" s="70">
        <f t="shared" si="54"/>
        <v>490284</v>
      </c>
      <c r="LX24" s="70">
        <f t="shared" si="55"/>
        <v>0</v>
      </c>
      <c r="LY24" s="70">
        <f t="shared" si="56"/>
        <v>0</v>
      </c>
      <c r="LZ24" s="70">
        <f t="shared" si="57"/>
        <v>0</v>
      </c>
      <c r="MA24" s="70">
        <f t="shared" si="58"/>
        <v>3720816</v>
      </c>
      <c r="MB24" s="70">
        <f t="shared" si="59"/>
        <v>0</v>
      </c>
      <c r="MC24" s="70">
        <f t="shared" si="60"/>
        <v>29608</v>
      </c>
      <c r="MD24" s="70">
        <f t="shared" si="61"/>
        <v>0</v>
      </c>
      <c r="ME24" s="70">
        <f t="shared" si="62"/>
        <v>1447683</v>
      </c>
      <c r="MF24" s="70">
        <f t="shared" si="63"/>
        <v>0</v>
      </c>
      <c r="MG24" s="70">
        <f t="shared" si="64"/>
        <v>488348</v>
      </c>
      <c r="MH24" s="70">
        <f t="shared" si="65"/>
        <v>0</v>
      </c>
      <c r="MI24" s="70">
        <f t="shared" si="66"/>
        <v>295786</v>
      </c>
      <c r="MJ24" s="70">
        <f t="shared" si="67"/>
        <v>0</v>
      </c>
      <c r="MK24" s="70">
        <f t="shared" si="68"/>
        <v>1087049</v>
      </c>
      <c r="ML24" s="70">
        <f t="shared" si="69"/>
        <v>0</v>
      </c>
      <c r="MM24" s="70">
        <f t="shared" si="70"/>
        <v>24033024</v>
      </c>
      <c r="MN24" s="70">
        <f t="shared" si="71"/>
        <v>0</v>
      </c>
      <c r="MO24" s="70">
        <f t="shared" si="72"/>
        <v>0</v>
      </c>
      <c r="MP24" s="70">
        <f t="shared" si="73"/>
        <v>0</v>
      </c>
      <c r="MQ24" s="70">
        <f t="shared" si="74"/>
        <v>24033024</v>
      </c>
      <c r="MR24" s="70">
        <f t="shared" si="75"/>
        <v>0</v>
      </c>
      <c r="MS24" s="77"/>
      <c r="MT24" s="70">
        <f t="shared" si="76"/>
        <v>0</v>
      </c>
      <c r="MV24" s="68">
        <f t="shared" si="77"/>
        <v>0</v>
      </c>
    </row>
    <row r="25" spans="1:360" x14ac:dyDescent="0.15">
      <c r="A25" s="182" t="s">
        <v>613</v>
      </c>
      <c r="B25" s="76" t="s">
        <v>422</v>
      </c>
      <c r="C25" s="90">
        <v>133951</v>
      </c>
      <c r="D25" s="90">
        <v>2014</v>
      </c>
      <c r="E25" s="90">
        <v>1</v>
      </c>
      <c r="F25" s="91">
        <v>8</v>
      </c>
      <c r="G25" s="92">
        <v>17089</v>
      </c>
      <c r="H25" s="92">
        <v>21126</v>
      </c>
      <c r="I25" s="93">
        <v>848143150</v>
      </c>
      <c r="J25" s="93">
        <v>773070943</v>
      </c>
      <c r="K25" s="93">
        <v>2210956</v>
      </c>
      <c r="L25" s="93">
        <v>2223402</v>
      </c>
      <c r="M25" s="93">
        <v>17398740</v>
      </c>
      <c r="N25" s="93">
        <v>14246451</v>
      </c>
      <c r="O25" s="93">
        <v>32092444</v>
      </c>
      <c r="P25" s="93">
        <v>32748923</v>
      </c>
      <c r="Q25" s="93">
        <v>182480253</v>
      </c>
      <c r="R25" s="93">
        <v>158638325</v>
      </c>
      <c r="S25" s="93">
        <v>696261329</v>
      </c>
      <c r="T25" s="93">
        <v>628185954</v>
      </c>
      <c r="U25" s="93">
        <v>18010</v>
      </c>
      <c r="V25" s="93">
        <v>18558</v>
      </c>
      <c r="W25" s="93">
        <v>30410</v>
      </c>
      <c r="X25" s="93">
        <v>30956</v>
      </c>
      <c r="Y25" s="93">
        <v>22464</v>
      </c>
      <c r="Z25" s="93">
        <v>22938</v>
      </c>
      <c r="AA25" s="93">
        <v>34864</v>
      </c>
      <c r="AB25" s="93">
        <v>35336</v>
      </c>
      <c r="AC25" s="114">
        <v>7</v>
      </c>
      <c r="AD25" s="114">
        <v>11</v>
      </c>
      <c r="AE25" s="114">
        <v>0</v>
      </c>
      <c r="AF25" s="115">
        <v>3214548</v>
      </c>
      <c r="AG25" s="115">
        <v>3015312</v>
      </c>
      <c r="AH25" s="115">
        <v>296028</v>
      </c>
      <c r="AI25" s="115">
        <v>119336</v>
      </c>
      <c r="AJ25" s="115">
        <v>273989</v>
      </c>
      <c r="AK25" s="116">
        <v>4.5</v>
      </c>
      <c r="AL25" s="115">
        <v>246590</v>
      </c>
      <c r="AM25" s="116">
        <v>5</v>
      </c>
      <c r="AN25" s="115">
        <v>95824</v>
      </c>
      <c r="AO25" s="116">
        <v>7.5</v>
      </c>
      <c r="AP25" s="115">
        <v>79853</v>
      </c>
      <c r="AQ25" s="116">
        <v>9</v>
      </c>
      <c r="AR25" s="115">
        <v>111065</v>
      </c>
      <c r="AS25" s="116">
        <v>16.25</v>
      </c>
      <c r="AT25" s="115">
        <v>100267</v>
      </c>
      <c r="AU25" s="116">
        <v>18</v>
      </c>
      <c r="AV25" s="115">
        <v>49877</v>
      </c>
      <c r="AW25" s="116">
        <v>11.75</v>
      </c>
      <c r="AX25" s="115">
        <v>45081</v>
      </c>
      <c r="AY25" s="116">
        <v>13</v>
      </c>
      <c r="AZ25" s="142">
        <v>671888</v>
      </c>
      <c r="BA25" s="142">
        <v>44955</v>
      </c>
      <c r="BB25" s="142">
        <v>3694</v>
      </c>
      <c r="BC25" s="142">
        <v>23734</v>
      </c>
      <c r="BD25" s="142">
        <v>0</v>
      </c>
      <c r="BE25" s="142">
        <v>744271</v>
      </c>
      <c r="BF25" s="142">
        <v>4731427</v>
      </c>
      <c r="BG25" s="142">
        <v>1268944</v>
      </c>
      <c r="BH25" s="142">
        <v>1053838</v>
      </c>
      <c r="BI25" s="142">
        <v>4611414</v>
      </c>
      <c r="BJ25" s="142">
        <v>8361356</v>
      </c>
      <c r="BK25" s="142">
        <v>20026979</v>
      </c>
      <c r="BL25" s="142">
        <v>1300000</v>
      </c>
      <c r="BM25" s="142">
        <v>180000</v>
      </c>
      <c r="BN25" s="142">
        <v>22000</v>
      </c>
      <c r="BO25" s="142">
        <v>12500</v>
      </c>
      <c r="BP25" s="142">
        <v>0</v>
      </c>
      <c r="BQ25" s="142">
        <v>1514500</v>
      </c>
      <c r="BR25" s="142">
        <v>67747</v>
      </c>
      <c r="BS25" s="142">
        <v>109359</v>
      </c>
      <c r="BT25" s="142">
        <v>19127</v>
      </c>
      <c r="BU25" s="142">
        <v>107654</v>
      </c>
      <c r="BV25" s="142">
        <v>0</v>
      </c>
      <c r="BW25" s="142">
        <v>303887</v>
      </c>
      <c r="BX25" s="142">
        <v>0</v>
      </c>
      <c r="BY25" s="142">
        <v>0</v>
      </c>
      <c r="BZ25" s="142">
        <v>0</v>
      </c>
      <c r="CA25" s="142">
        <v>0</v>
      </c>
      <c r="CB25" s="142">
        <v>0</v>
      </c>
      <c r="CC25" s="142">
        <v>0</v>
      </c>
      <c r="CD25" s="139">
        <v>0</v>
      </c>
      <c r="CE25" s="139">
        <v>0</v>
      </c>
      <c r="CF25" s="139">
        <v>0</v>
      </c>
      <c r="CG25" s="139">
        <v>0</v>
      </c>
      <c r="CH25" s="139">
        <v>51746</v>
      </c>
      <c r="CI25" s="139">
        <v>51746</v>
      </c>
      <c r="CJ25" s="142">
        <v>220000</v>
      </c>
      <c r="CK25" s="142">
        <v>0</v>
      </c>
      <c r="CL25" s="142">
        <v>80000</v>
      </c>
      <c r="CM25" s="142">
        <v>486815</v>
      </c>
      <c r="CN25" s="142">
        <v>1617595</v>
      </c>
      <c r="CO25" s="142">
        <v>2404410</v>
      </c>
      <c r="CP25" s="142">
        <v>0</v>
      </c>
      <c r="CQ25" s="142">
        <v>9870</v>
      </c>
      <c r="CR25" s="142">
        <v>9030</v>
      </c>
      <c r="CS25" s="142">
        <v>38330</v>
      </c>
      <c r="CT25" s="142">
        <v>0</v>
      </c>
      <c r="CU25" s="142">
        <v>57230</v>
      </c>
      <c r="CV25" s="142">
        <v>62954</v>
      </c>
      <c r="CW25" s="142">
        <v>0</v>
      </c>
      <c r="CX25" s="142">
        <v>22429</v>
      </c>
      <c r="CY25" s="142">
        <v>123088</v>
      </c>
      <c r="CZ25" s="142">
        <v>2220697</v>
      </c>
      <c r="DA25" s="142">
        <v>2429168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42">
        <v>0</v>
      </c>
      <c r="DI25" s="142">
        <v>3084</v>
      </c>
      <c r="DJ25" s="142">
        <v>191</v>
      </c>
      <c r="DK25" s="142">
        <v>2367</v>
      </c>
      <c r="DL25" s="142">
        <v>22896</v>
      </c>
      <c r="DM25" s="142">
        <v>28538</v>
      </c>
      <c r="DN25" s="142">
        <v>0</v>
      </c>
      <c r="DO25" s="142">
        <v>0</v>
      </c>
      <c r="DP25" s="142">
        <v>0</v>
      </c>
      <c r="DQ25" s="142">
        <v>15788</v>
      </c>
      <c r="DR25" s="142">
        <v>354291</v>
      </c>
      <c r="DS25" s="142">
        <v>370079</v>
      </c>
      <c r="DT25" s="142">
        <v>0</v>
      </c>
      <c r="DU25" s="142">
        <v>0</v>
      </c>
      <c r="DV25" s="142">
        <v>0</v>
      </c>
      <c r="DW25" s="142">
        <v>0</v>
      </c>
      <c r="DX25" s="142">
        <v>0</v>
      </c>
      <c r="DY25" s="142">
        <v>0</v>
      </c>
      <c r="DZ25" s="142">
        <v>973</v>
      </c>
      <c r="EA25" s="142">
        <v>4699</v>
      </c>
      <c r="EB25" s="142">
        <v>3346</v>
      </c>
      <c r="EC25" s="142">
        <v>96760</v>
      </c>
      <c r="ED25" s="142">
        <v>1376</v>
      </c>
      <c r="EE25" s="142">
        <v>107154</v>
      </c>
      <c r="EF25" s="142">
        <v>0</v>
      </c>
      <c r="EG25" s="142">
        <v>0</v>
      </c>
      <c r="EH25" s="142">
        <v>0</v>
      </c>
      <c r="EI25" s="142">
        <v>0</v>
      </c>
      <c r="EJ25" s="142">
        <v>66100</v>
      </c>
      <c r="EK25" s="142">
        <v>66100</v>
      </c>
      <c r="EL25" s="142">
        <v>7054989</v>
      </c>
      <c r="EM25" s="142">
        <v>1620911</v>
      </c>
      <c r="EN25" s="142">
        <v>1213655</v>
      </c>
      <c r="EO25" s="142">
        <v>5518450</v>
      </c>
      <c r="EP25" s="142">
        <v>12696057</v>
      </c>
      <c r="EQ25" s="142">
        <v>28104062</v>
      </c>
      <c r="ER25" s="142">
        <v>2075913</v>
      </c>
      <c r="ES25" s="142">
        <v>420421</v>
      </c>
      <c r="ET25" s="142">
        <v>523525</v>
      </c>
      <c r="EU25" s="142">
        <v>3210037</v>
      </c>
      <c r="EV25" s="142">
        <v>348164</v>
      </c>
      <c r="EW25" s="142">
        <v>6578060</v>
      </c>
      <c r="EX25" s="142">
        <v>550000</v>
      </c>
      <c r="EY25" s="142">
        <v>4000</v>
      </c>
      <c r="EZ25" s="142">
        <v>33237</v>
      </c>
      <c r="FA25" s="142">
        <v>42490</v>
      </c>
      <c r="FB25" s="142">
        <v>0</v>
      </c>
      <c r="FC25" s="142">
        <v>629727</v>
      </c>
      <c r="FD25" s="142">
        <v>2021235</v>
      </c>
      <c r="FE25" s="142">
        <v>554850</v>
      </c>
      <c r="FF25" s="142">
        <v>441698</v>
      </c>
      <c r="FG25" s="142">
        <v>1324713</v>
      </c>
      <c r="FH25" s="142">
        <v>0</v>
      </c>
      <c r="FI25" s="142">
        <v>4342496</v>
      </c>
      <c r="FJ25" s="142">
        <v>0</v>
      </c>
      <c r="FK25" s="142">
        <v>0</v>
      </c>
      <c r="FL25" s="142">
        <v>0</v>
      </c>
      <c r="FM25" s="142">
        <v>0</v>
      </c>
      <c r="FN25" s="142">
        <v>0</v>
      </c>
      <c r="FO25" s="142">
        <v>0</v>
      </c>
      <c r="FP25" s="142">
        <v>480036</v>
      </c>
      <c r="FQ25" s="142">
        <v>89759</v>
      </c>
      <c r="FR25" s="142">
        <v>65486</v>
      </c>
      <c r="FS25" s="142">
        <v>135268</v>
      </c>
      <c r="FT25" s="142">
        <v>4091541</v>
      </c>
      <c r="FU25" s="142">
        <v>4862090</v>
      </c>
      <c r="FV25" s="139">
        <v>0</v>
      </c>
      <c r="FW25" s="139">
        <v>0</v>
      </c>
      <c r="FX25" s="139">
        <v>0</v>
      </c>
      <c r="FY25" s="139">
        <v>0</v>
      </c>
      <c r="FZ25" s="139">
        <v>0</v>
      </c>
      <c r="GA25" s="139">
        <v>0</v>
      </c>
      <c r="GB25" s="142">
        <v>10596</v>
      </c>
      <c r="GC25" s="142">
        <v>0</v>
      </c>
      <c r="GD25" s="142">
        <v>0</v>
      </c>
      <c r="GE25" s="142">
        <v>0</v>
      </c>
      <c r="GF25" s="142">
        <v>2515</v>
      </c>
      <c r="GG25" s="142">
        <v>13111</v>
      </c>
      <c r="GH25" s="142">
        <v>129659</v>
      </c>
      <c r="GI25" s="142">
        <v>99048</v>
      </c>
      <c r="GJ25" s="142">
        <v>26019</v>
      </c>
      <c r="GK25" s="142">
        <v>160638</v>
      </c>
      <c r="GL25" s="142">
        <v>0</v>
      </c>
      <c r="GM25" s="142">
        <v>415364</v>
      </c>
      <c r="GN25" s="142">
        <v>594931</v>
      </c>
      <c r="GO25" s="142">
        <v>283897</v>
      </c>
      <c r="GP25" s="142">
        <v>199830</v>
      </c>
      <c r="GQ25" s="142">
        <v>1067014</v>
      </c>
      <c r="GR25" s="142">
        <v>0</v>
      </c>
      <c r="GS25" s="142">
        <v>2145672</v>
      </c>
      <c r="GT25" s="142">
        <v>203197</v>
      </c>
      <c r="GU25" s="142">
        <v>66713</v>
      </c>
      <c r="GV25" s="142">
        <v>33902</v>
      </c>
      <c r="GW25" s="142">
        <v>243989</v>
      </c>
      <c r="GX25" s="142">
        <v>119794</v>
      </c>
      <c r="GY25" s="142">
        <v>667595</v>
      </c>
      <c r="GZ25" s="142">
        <v>600365</v>
      </c>
      <c r="HA25" s="142">
        <v>156755</v>
      </c>
      <c r="HB25" s="142">
        <v>104377</v>
      </c>
      <c r="HC25" s="142">
        <v>169705</v>
      </c>
      <c r="HD25" s="142">
        <v>0</v>
      </c>
      <c r="HE25" s="142">
        <v>1031202</v>
      </c>
      <c r="HF25" s="142">
        <v>108684</v>
      </c>
      <c r="HG25" s="142">
        <v>11857</v>
      </c>
      <c r="HH25" s="142">
        <v>5130</v>
      </c>
      <c r="HI25" s="142">
        <v>28572</v>
      </c>
      <c r="HJ25" s="142">
        <v>452849</v>
      </c>
      <c r="HK25" s="142">
        <v>607092</v>
      </c>
      <c r="HL25" s="142">
        <v>0</v>
      </c>
      <c r="HM25" s="142">
        <v>0</v>
      </c>
      <c r="HN25" s="142">
        <v>0</v>
      </c>
      <c r="HO25" s="142">
        <v>0</v>
      </c>
      <c r="HP25" s="142">
        <v>0</v>
      </c>
      <c r="HQ25" s="142">
        <v>0</v>
      </c>
      <c r="HR25" s="142">
        <v>34925</v>
      </c>
      <c r="HS25" s="142">
        <v>5275</v>
      </c>
      <c r="HT25" s="142">
        <v>3279</v>
      </c>
      <c r="HU25" s="142">
        <v>77538</v>
      </c>
      <c r="HV25" s="142">
        <v>2588303</v>
      </c>
      <c r="HW25" s="142">
        <v>2709320</v>
      </c>
      <c r="HX25" s="142">
        <v>0</v>
      </c>
      <c r="HY25" s="142">
        <v>0</v>
      </c>
      <c r="HZ25" s="142">
        <v>0</v>
      </c>
      <c r="IA25" s="142">
        <v>0</v>
      </c>
      <c r="IB25" s="142">
        <v>181116</v>
      </c>
      <c r="IC25" s="142">
        <v>181116</v>
      </c>
      <c r="ID25" s="142">
        <v>0</v>
      </c>
      <c r="IE25" s="142">
        <v>9870</v>
      </c>
      <c r="IF25" s="142">
        <v>9030</v>
      </c>
      <c r="IG25" s="142">
        <v>38330</v>
      </c>
      <c r="IH25" s="142">
        <v>0</v>
      </c>
      <c r="II25" s="142">
        <v>57230</v>
      </c>
      <c r="IJ25" s="142">
        <v>101351</v>
      </c>
      <c r="IK25" s="142">
        <v>4551</v>
      </c>
      <c r="IL25" s="142">
        <v>6111</v>
      </c>
      <c r="IM25" s="142">
        <v>85722</v>
      </c>
      <c r="IN25" s="142">
        <v>120021</v>
      </c>
      <c r="IO25" s="142">
        <v>317756</v>
      </c>
      <c r="IP25" s="142">
        <v>9295</v>
      </c>
      <c r="IQ25" s="142">
        <v>12886</v>
      </c>
      <c r="IR25" s="142">
        <v>1239</v>
      </c>
      <c r="IS25" s="142">
        <v>8733</v>
      </c>
      <c r="IT25" s="142">
        <v>1784760</v>
      </c>
      <c r="IU25" s="142">
        <v>1816913</v>
      </c>
      <c r="IV25" s="142">
        <v>234969</v>
      </c>
      <c r="IW25" s="142">
        <v>71928</v>
      </c>
      <c r="IX25" s="142">
        <v>31818</v>
      </c>
      <c r="IY25" s="142">
        <v>126644</v>
      </c>
      <c r="IZ25" s="142">
        <v>702807</v>
      </c>
      <c r="JA25" s="142">
        <v>1168166</v>
      </c>
      <c r="JB25" s="142">
        <v>7155156</v>
      </c>
      <c r="JC25" s="142">
        <v>1791810</v>
      </c>
      <c r="JD25" s="142">
        <v>1484681</v>
      </c>
      <c r="JE25" s="142">
        <v>6719393</v>
      </c>
      <c r="JF25" s="142">
        <v>10391870</v>
      </c>
      <c r="JG25" s="142">
        <v>27542910</v>
      </c>
      <c r="JH25" s="139">
        <v>0</v>
      </c>
      <c r="JI25" s="139">
        <v>0</v>
      </c>
      <c r="JJ25" s="139">
        <v>0</v>
      </c>
      <c r="JK25" s="139">
        <v>0</v>
      </c>
      <c r="JL25" s="139">
        <v>0</v>
      </c>
      <c r="JM25" s="139">
        <v>0</v>
      </c>
      <c r="JN25" s="142">
        <v>7155156</v>
      </c>
      <c r="JO25" s="142">
        <v>1791810</v>
      </c>
      <c r="JP25" s="142">
        <v>1484681</v>
      </c>
      <c r="JQ25" s="142">
        <v>6719393</v>
      </c>
      <c r="JR25" s="142">
        <v>10391870</v>
      </c>
      <c r="JS25" s="142">
        <v>27542910</v>
      </c>
      <c r="JU25" s="70">
        <f t="shared" si="0"/>
        <v>744271</v>
      </c>
      <c r="JV25" s="70">
        <f t="shared" si="1"/>
        <v>0</v>
      </c>
      <c r="JW25" s="70">
        <f t="shared" si="2"/>
        <v>20026979</v>
      </c>
      <c r="JX25" s="70">
        <f t="shared" si="3"/>
        <v>0</v>
      </c>
      <c r="JY25" s="70">
        <f t="shared" si="4"/>
        <v>1514500</v>
      </c>
      <c r="JZ25" s="70">
        <f t="shared" si="5"/>
        <v>0</v>
      </c>
      <c r="KA25" s="70">
        <f t="shared" si="6"/>
        <v>303887</v>
      </c>
      <c r="KB25" s="70">
        <f t="shared" si="7"/>
        <v>0</v>
      </c>
      <c r="KC25" s="70">
        <f t="shared" si="8"/>
        <v>0</v>
      </c>
      <c r="KD25" s="70">
        <f t="shared" si="9"/>
        <v>0</v>
      </c>
      <c r="KE25" s="70">
        <f t="shared" si="10"/>
        <v>51746</v>
      </c>
      <c r="KF25" s="70">
        <f t="shared" si="11"/>
        <v>0</v>
      </c>
      <c r="KG25" s="70">
        <f t="shared" si="12"/>
        <v>2404410</v>
      </c>
      <c r="KH25" s="70">
        <f t="shared" si="13"/>
        <v>0</v>
      </c>
      <c r="KI25" s="70">
        <f t="shared" si="14"/>
        <v>57230</v>
      </c>
      <c r="KJ25" s="70">
        <f t="shared" si="15"/>
        <v>0</v>
      </c>
      <c r="KK25" s="70">
        <f t="shared" si="16"/>
        <v>2429168</v>
      </c>
      <c r="KL25" s="70">
        <f t="shared" si="17"/>
        <v>0</v>
      </c>
      <c r="KM25" s="70">
        <f t="shared" si="18"/>
        <v>0</v>
      </c>
      <c r="KN25" s="70">
        <f t="shared" si="19"/>
        <v>0</v>
      </c>
      <c r="KO25" s="70">
        <f t="shared" si="20"/>
        <v>28538</v>
      </c>
      <c r="KP25" s="70">
        <f t="shared" si="21"/>
        <v>0</v>
      </c>
      <c r="KQ25" s="70">
        <f t="shared" si="22"/>
        <v>370079</v>
      </c>
      <c r="KR25" s="70">
        <f t="shared" si="23"/>
        <v>0</v>
      </c>
      <c r="KS25" s="70">
        <f t="shared" si="24"/>
        <v>0</v>
      </c>
      <c r="KT25" s="70">
        <f t="shared" si="25"/>
        <v>0</v>
      </c>
      <c r="KU25" s="70">
        <f t="shared" si="26"/>
        <v>107154</v>
      </c>
      <c r="KV25" s="70">
        <f t="shared" si="27"/>
        <v>0</v>
      </c>
      <c r="KW25" s="70">
        <f t="shared" si="28"/>
        <v>66100</v>
      </c>
      <c r="KX25" s="70">
        <f t="shared" si="29"/>
        <v>0</v>
      </c>
      <c r="KY25" s="70">
        <f t="shared" si="30"/>
        <v>28104062</v>
      </c>
      <c r="KZ25" s="70">
        <f t="shared" si="31"/>
        <v>0</v>
      </c>
      <c r="LA25" s="70">
        <f t="shared" si="32"/>
        <v>6578060</v>
      </c>
      <c r="LB25" s="70">
        <f t="shared" si="33"/>
        <v>0</v>
      </c>
      <c r="LC25" s="70">
        <f t="shared" si="34"/>
        <v>629727</v>
      </c>
      <c r="LD25" s="70">
        <f t="shared" si="35"/>
        <v>0</v>
      </c>
      <c r="LE25" s="70">
        <f t="shared" si="36"/>
        <v>4342496</v>
      </c>
      <c r="LF25" s="70">
        <f t="shared" si="37"/>
        <v>0</v>
      </c>
      <c r="LG25" s="70">
        <f t="shared" si="78"/>
        <v>0</v>
      </c>
      <c r="LH25" s="70">
        <f t="shared" si="79"/>
        <v>0</v>
      </c>
      <c r="LI25" s="70">
        <f t="shared" si="40"/>
        <v>4862090</v>
      </c>
      <c r="LJ25" s="70">
        <f t="shared" si="41"/>
        <v>0</v>
      </c>
      <c r="LK25" s="70">
        <f t="shared" si="42"/>
        <v>0</v>
      </c>
      <c r="LL25" s="70">
        <f t="shared" si="43"/>
        <v>0</v>
      </c>
      <c r="LM25" s="70">
        <f t="shared" si="44"/>
        <v>13111</v>
      </c>
      <c r="LN25" s="70">
        <f t="shared" si="45"/>
        <v>0</v>
      </c>
      <c r="LO25" s="70">
        <f t="shared" si="46"/>
        <v>415364</v>
      </c>
      <c r="LP25" s="70">
        <f t="shared" si="47"/>
        <v>0</v>
      </c>
      <c r="LQ25" s="70">
        <f t="shared" si="48"/>
        <v>2145672</v>
      </c>
      <c r="LR25" s="70">
        <f t="shared" si="49"/>
        <v>0</v>
      </c>
      <c r="LS25" s="70">
        <f t="shared" si="50"/>
        <v>667595</v>
      </c>
      <c r="LT25" s="70">
        <f t="shared" si="51"/>
        <v>0</v>
      </c>
      <c r="LU25" s="70">
        <f t="shared" si="52"/>
        <v>1031202</v>
      </c>
      <c r="LV25" s="70">
        <f t="shared" si="53"/>
        <v>0</v>
      </c>
      <c r="LW25" s="70">
        <f t="shared" si="54"/>
        <v>607092</v>
      </c>
      <c r="LX25" s="70">
        <f t="shared" si="55"/>
        <v>0</v>
      </c>
      <c r="LY25" s="70">
        <f t="shared" si="56"/>
        <v>0</v>
      </c>
      <c r="LZ25" s="70">
        <f t="shared" si="57"/>
        <v>0</v>
      </c>
      <c r="MA25" s="70">
        <f t="shared" si="58"/>
        <v>2709320</v>
      </c>
      <c r="MB25" s="70">
        <f t="shared" si="59"/>
        <v>0</v>
      </c>
      <c r="MC25" s="70">
        <f t="shared" si="60"/>
        <v>181116</v>
      </c>
      <c r="MD25" s="70">
        <f t="shared" si="61"/>
        <v>0</v>
      </c>
      <c r="ME25" s="70">
        <f t="shared" si="62"/>
        <v>57230</v>
      </c>
      <c r="MF25" s="70">
        <f t="shared" si="63"/>
        <v>0</v>
      </c>
      <c r="MG25" s="70">
        <f t="shared" si="64"/>
        <v>317756</v>
      </c>
      <c r="MH25" s="70">
        <f t="shared" si="65"/>
        <v>0</v>
      </c>
      <c r="MI25" s="70">
        <f t="shared" si="66"/>
        <v>1816913</v>
      </c>
      <c r="MJ25" s="70">
        <f t="shared" si="67"/>
        <v>0</v>
      </c>
      <c r="MK25" s="70">
        <f t="shared" si="68"/>
        <v>1168166</v>
      </c>
      <c r="ML25" s="70">
        <f t="shared" si="69"/>
        <v>0</v>
      </c>
      <c r="MM25" s="70">
        <f t="shared" si="70"/>
        <v>27542910</v>
      </c>
      <c r="MN25" s="70">
        <f t="shared" si="71"/>
        <v>0</v>
      </c>
      <c r="MO25" s="70">
        <f t="shared" si="72"/>
        <v>0</v>
      </c>
      <c r="MP25" s="70">
        <f t="shared" si="73"/>
        <v>0</v>
      </c>
      <c r="MQ25" s="70">
        <f t="shared" si="74"/>
        <v>27542910</v>
      </c>
      <c r="MR25" s="70">
        <f t="shared" si="75"/>
        <v>0</v>
      </c>
      <c r="MT25" s="70">
        <f t="shared" si="76"/>
        <v>0</v>
      </c>
      <c r="MV25" s="68">
        <f t="shared" si="77"/>
        <v>0</v>
      </c>
    </row>
    <row r="26" spans="1:360" x14ac:dyDescent="0.15">
      <c r="A26" s="182" t="s">
        <v>286</v>
      </c>
      <c r="B26" s="76" t="s">
        <v>422</v>
      </c>
      <c r="C26" s="90">
        <v>134097</v>
      </c>
      <c r="D26" s="90">
        <v>2014</v>
      </c>
      <c r="E26" s="90">
        <v>1</v>
      </c>
      <c r="F26" s="91">
        <v>1</v>
      </c>
      <c r="G26" s="92">
        <v>14513</v>
      </c>
      <c r="H26" s="92">
        <v>17763</v>
      </c>
      <c r="I26" s="93">
        <v>1057954466</v>
      </c>
      <c r="J26" s="93">
        <v>958395329</v>
      </c>
      <c r="K26" s="93">
        <v>0</v>
      </c>
      <c r="L26" s="93">
        <v>0</v>
      </c>
      <c r="M26" s="93">
        <v>19282746</v>
      </c>
      <c r="N26" s="93">
        <v>20083897</v>
      </c>
      <c r="O26" s="93">
        <v>0</v>
      </c>
      <c r="P26" s="93">
        <v>0</v>
      </c>
      <c r="Q26" s="93">
        <v>260909087</v>
      </c>
      <c r="R26" s="93">
        <v>220406913</v>
      </c>
      <c r="S26" s="93">
        <v>884220193</v>
      </c>
      <c r="T26" s="93">
        <v>758711467</v>
      </c>
      <c r="U26" s="93">
        <v>17219</v>
      </c>
      <c r="V26" s="93">
        <v>17221</v>
      </c>
      <c r="W26" s="93">
        <v>32285</v>
      </c>
      <c r="X26" s="93">
        <v>32287</v>
      </c>
      <c r="Y26" s="93">
        <v>21508</v>
      </c>
      <c r="Z26" s="93">
        <v>21345</v>
      </c>
      <c r="AA26" s="93">
        <v>38262</v>
      </c>
      <c r="AB26" s="93">
        <v>38101</v>
      </c>
      <c r="AC26" s="114">
        <v>9</v>
      </c>
      <c r="AD26" s="114">
        <v>11</v>
      </c>
      <c r="AE26" s="114">
        <v>0</v>
      </c>
      <c r="AF26" s="115">
        <v>5228565</v>
      </c>
      <c r="AG26" s="115">
        <v>3491435</v>
      </c>
      <c r="AH26" s="115">
        <v>1016977</v>
      </c>
      <c r="AI26" s="115">
        <v>431318</v>
      </c>
      <c r="AJ26" s="115">
        <v>1046609</v>
      </c>
      <c r="AK26" s="116">
        <v>7</v>
      </c>
      <c r="AL26" s="115">
        <v>1046609</v>
      </c>
      <c r="AM26" s="116">
        <v>7</v>
      </c>
      <c r="AN26" s="115">
        <v>256134</v>
      </c>
      <c r="AO26" s="116">
        <v>9</v>
      </c>
      <c r="AP26" s="115">
        <v>256134</v>
      </c>
      <c r="AQ26" s="116">
        <v>9</v>
      </c>
      <c r="AR26" s="115">
        <v>236240</v>
      </c>
      <c r="AS26" s="116">
        <v>24</v>
      </c>
      <c r="AT26" s="115">
        <v>236240</v>
      </c>
      <c r="AU26" s="116">
        <v>24</v>
      </c>
      <c r="AV26" s="115">
        <v>85970</v>
      </c>
      <c r="AW26" s="116">
        <v>20</v>
      </c>
      <c r="AX26" s="115">
        <v>85970</v>
      </c>
      <c r="AY26" s="116">
        <v>20</v>
      </c>
      <c r="AZ26" s="140">
        <v>23315974</v>
      </c>
      <c r="BA26" s="140">
        <v>1474172</v>
      </c>
      <c r="BB26" s="140">
        <v>39701</v>
      </c>
      <c r="BC26" s="139">
        <v>720906</v>
      </c>
      <c r="BD26" s="140">
        <v>0</v>
      </c>
      <c r="BE26" s="140">
        <v>25550753</v>
      </c>
      <c r="BF26" s="139">
        <v>0</v>
      </c>
      <c r="BG26" s="139">
        <v>0</v>
      </c>
      <c r="BH26" s="139">
        <v>2180897</v>
      </c>
      <c r="BI26" s="139">
        <v>5799469</v>
      </c>
      <c r="BJ26" s="140">
        <v>0</v>
      </c>
      <c r="BK26" s="140">
        <v>7980366</v>
      </c>
      <c r="BL26" s="139">
        <v>500000</v>
      </c>
      <c r="BM26" s="139">
        <v>49200</v>
      </c>
      <c r="BN26" s="139">
        <v>0</v>
      </c>
      <c r="BO26" s="139">
        <v>58907</v>
      </c>
      <c r="BP26" s="139">
        <v>0</v>
      </c>
      <c r="BQ26" s="139">
        <v>608107</v>
      </c>
      <c r="BR26" s="140">
        <v>15800140</v>
      </c>
      <c r="BS26" s="140">
        <v>4230223</v>
      </c>
      <c r="BT26" s="140">
        <v>248395</v>
      </c>
      <c r="BU26" s="139">
        <v>1500039</v>
      </c>
      <c r="BV26" s="140">
        <v>742756</v>
      </c>
      <c r="BW26" s="140">
        <v>22521553</v>
      </c>
      <c r="BX26" s="139">
        <v>0</v>
      </c>
      <c r="BY26" s="139">
        <v>0</v>
      </c>
      <c r="BZ26" s="139">
        <v>0</v>
      </c>
      <c r="CA26" s="139">
        <v>0</v>
      </c>
      <c r="CB26" s="139">
        <v>0</v>
      </c>
      <c r="CC26" s="139">
        <v>0</v>
      </c>
      <c r="CD26" s="140">
        <v>0</v>
      </c>
      <c r="CE26" s="139">
        <v>0</v>
      </c>
      <c r="CF26" s="139">
        <v>0</v>
      </c>
      <c r="CG26" s="139">
        <v>0</v>
      </c>
      <c r="CH26" s="140">
        <v>0</v>
      </c>
      <c r="CI26" s="140">
        <v>0</v>
      </c>
      <c r="CJ26" s="140">
        <v>0</v>
      </c>
      <c r="CK26" s="139">
        <v>0</v>
      </c>
      <c r="CL26" s="139">
        <v>0</v>
      </c>
      <c r="CM26" s="139">
        <v>0</v>
      </c>
      <c r="CN26" s="140">
        <v>0</v>
      </c>
      <c r="CO26" s="140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40">
        <v>14578080</v>
      </c>
      <c r="CW26" s="140">
        <v>4034570</v>
      </c>
      <c r="CX26" s="140">
        <v>166598</v>
      </c>
      <c r="CY26" s="140">
        <v>481219</v>
      </c>
      <c r="CZ26" s="140">
        <v>1499974</v>
      </c>
      <c r="DA26" s="140">
        <v>20760441</v>
      </c>
      <c r="DB26" s="139">
        <v>0</v>
      </c>
      <c r="DC26" s="139">
        <v>0</v>
      </c>
      <c r="DD26" s="139">
        <v>0</v>
      </c>
      <c r="DE26" s="139">
        <v>0</v>
      </c>
      <c r="DF26" s="139">
        <v>360000</v>
      </c>
      <c r="DG26" s="139">
        <v>360000</v>
      </c>
      <c r="DH26" s="140">
        <v>4343697</v>
      </c>
      <c r="DI26" s="140">
        <v>0</v>
      </c>
      <c r="DJ26" s="140">
        <v>0</v>
      </c>
      <c r="DK26" s="139">
        <v>156564</v>
      </c>
      <c r="DL26" s="139">
        <v>0</v>
      </c>
      <c r="DM26" s="140">
        <v>4500261</v>
      </c>
      <c r="DN26" s="140">
        <v>5372930</v>
      </c>
      <c r="DO26" s="140">
        <v>726957</v>
      </c>
      <c r="DP26" s="140">
        <v>196421</v>
      </c>
      <c r="DQ26" s="139">
        <v>1637351</v>
      </c>
      <c r="DR26" s="140">
        <v>6939561</v>
      </c>
      <c r="DS26" s="140">
        <v>14873220</v>
      </c>
      <c r="DT26" s="139">
        <v>0</v>
      </c>
      <c r="DU26" s="140">
        <v>0</v>
      </c>
      <c r="DV26" s="140">
        <v>0</v>
      </c>
      <c r="DW26" s="139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39">
        <v>0</v>
      </c>
      <c r="ED26" s="140">
        <v>3682634</v>
      </c>
      <c r="EE26" s="140">
        <v>3682634</v>
      </c>
      <c r="EF26" s="140">
        <v>241465</v>
      </c>
      <c r="EG26" s="140">
        <v>44658</v>
      </c>
      <c r="EH26" s="140">
        <v>4069</v>
      </c>
      <c r="EI26" s="139">
        <v>41658</v>
      </c>
      <c r="EJ26" s="140">
        <v>3605289</v>
      </c>
      <c r="EK26" s="140">
        <v>3937139</v>
      </c>
      <c r="EL26" s="140">
        <v>64152286</v>
      </c>
      <c r="EM26" s="140">
        <v>10559780</v>
      </c>
      <c r="EN26" s="140">
        <v>2836081</v>
      </c>
      <c r="EO26" s="139">
        <v>10396113</v>
      </c>
      <c r="EP26" s="140">
        <v>16830214</v>
      </c>
      <c r="EQ26" s="140">
        <v>104774474</v>
      </c>
      <c r="ER26" s="140">
        <v>2969042</v>
      </c>
      <c r="ES26" s="140">
        <v>527886</v>
      </c>
      <c r="ET26" s="140">
        <v>539547</v>
      </c>
      <c r="EU26" s="139">
        <v>4683449</v>
      </c>
      <c r="EV26" s="140">
        <v>752003</v>
      </c>
      <c r="EW26" s="140">
        <v>9471927</v>
      </c>
      <c r="EX26" s="140">
        <v>2025000</v>
      </c>
      <c r="EY26" s="140">
        <v>424006</v>
      </c>
      <c r="EZ26" s="140">
        <v>119000</v>
      </c>
      <c r="FA26" s="139">
        <v>164229</v>
      </c>
      <c r="FB26" s="139">
        <v>0</v>
      </c>
      <c r="FC26" s="140">
        <v>2732235</v>
      </c>
      <c r="FD26" s="140">
        <v>7637413</v>
      </c>
      <c r="FE26" s="140">
        <v>3266994</v>
      </c>
      <c r="FF26" s="140">
        <v>1418424</v>
      </c>
      <c r="FG26" s="139">
        <v>4697883</v>
      </c>
      <c r="FH26" s="140">
        <v>0</v>
      </c>
      <c r="FI26" s="140">
        <v>17020714</v>
      </c>
      <c r="FJ26" s="140">
        <v>0</v>
      </c>
      <c r="FK26" s="140">
        <v>0</v>
      </c>
      <c r="FL26" s="140">
        <v>0</v>
      </c>
      <c r="FM26" s="140">
        <v>0</v>
      </c>
      <c r="FN26" s="140">
        <v>0</v>
      </c>
      <c r="FO26" s="140">
        <v>0</v>
      </c>
      <c r="FP26" s="139">
        <v>1375654</v>
      </c>
      <c r="FQ26" s="139">
        <v>237892</v>
      </c>
      <c r="FR26" s="139">
        <v>237461</v>
      </c>
      <c r="FS26" s="139">
        <v>520748</v>
      </c>
      <c r="FT26" s="139">
        <v>13355904</v>
      </c>
      <c r="FU26" s="139">
        <v>15727659</v>
      </c>
      <c r="FV26" s="139">
        <v>0</v>
      </c>
      <c r="FW26" s="139">
        <v>0</v>
      </c>
      <c r="FX26" s="139">
        <v>0</v>
      </c>
      <c r="FY26" s="139">
        <v>0</v>
      </c>
      <c r="FZ26" s="139">
        <v>0</v>
      </c>
      <c r="GA26" s="139">
        <v>0</v>
      </c>
      <c r="GB26" s="140">
        <v>18835</v>
      </c>
      <c r="GC26" s="140">
        <v>43383</v>
      </c>
      <c r="GD26" s="139">
        <v>23770</v>
      </c>
      <c r="GE26" s="139">
        <v>33277</v>
      </c>
      <c r="GF26" s="140">
        <v>125203</v>
      </c>
      <c r="GG26" s="140">
        <v>244468</v>
      </c>
      <c r="GH26" s="140">
        <v>678382</v>
      </c>
      <c r="GI26" s="140">
        <v>179441</v>
      </c>
      <c r="GJ26" s="140">
        <v>137520</v>
      </c>
      <c r="GK26" s="139">
        <v>452952</v>
      </c>
      <c r="GL26" s="140">
        <v>0</v>
      </c>
      <c r="GM26" s="140">
        <v>1448295</v>
      </c>
      <c r="GN26" s="140">
        <v>3301882</v>
      </c>
      <c r="GO26" s="140">
        <v>527032</v>
      </c>
      <c r="GP26" s="140">
        <v>331176</v>
      </c>
      <c r="GQ26" s="139">
        <v>3004024</v>
      </c>
      <c r="GR26" s="140">
        <v>33040</v>
      </c>
      <c r="GS26" s="140">
        <v>7197154</v>
      </c>
      <c r="GT26" s="140">
        <v>1209476</v>
      </c>
      <c r="GU26" s="140">
        <v>175314</v>
      </c>
      <c r="GV26" s="140">
        <v>171803</v>
      </c>
      <c r="GW26" s="139">
        <v>1556714</v>
      </c>
      <c r="GX26" s="140">
        <v>1370917</v>
      </c>
      <c r="GY26" s="140">
        <v>4484224</v>
      </c>
      <c r="GZ26" s="140">
        <v>10723293</v>
      </c>
      <c r="HA26" s="140">
        <v>386657</v>
      </c>
      <c r="HB26" s="140">
        <v>141615</v>
      </c>
      <c r="HC26" s="139">
        <v>383251</v>
      </c>
      <c r="HD26" s="140">
        <v>902237</v>
      </c>
      <c r="HE26" s="140">
        <v>12537053</v>
      </c>
      <c r="HF26" s="140">
        <v>148255</v>
      </c>
      <c r="HG26" s="140">
        <v>16616</v>
      </c>
      <c r="HH26" s="140">
        <v>4554</v>
      </c>
      <c r="HI26" s="139">
        <v>111222</v>
      </c>
      <c r="HJ26" s="140">
        <v>2176333</v>
      </c>
      <c r="HK26" s="140">
        <v>2456980</v>
      </c>
      <c r="HL26" s="139">
        <v>0</v>
      </c>
      <c r="HM26" s="139">
        <v>0</v>
      </c>
      <c r="HN26" s="139">
        <v>0</v>
      </c>
      <c r="HO26" s="139">
        <v>0</v>
      </c>
      <c r="HP26" s="140">
        <v>0</v>
      </c>
      <c r="HQ26" s="140">
        <v>0</v>
      </c>
      <c r="HR26" s="140">
        <v>912117</v>
      </c>
      <c r="HS26" s="140">
        <v>220162</v>
      </c>
      <c r="HT26" s="140">
        <v>138233</v>
      </c>
      <c r="HU26" s="140">
        <v>103338</v>
      </c>
      <c r="HV26" s="140">
        <v>12413101</v>
      </c>
      <c r="HW26" s="140">
        <v>13786951</v>
      </c>
      <c r="HX26" s="140">
        <v>260766</v>
      </c>
      <c r="HY26" s="140">
        <v>0</v>
      </c>
      <c r="HZ26" s="140">
        <v>0</v>
      </c>
      <c r="IA26" s="139">
        <v>168</v>
      </c>
      <c r="IB26" s="140">
        <v>199668</v>
      </c>
      <c r="IC26" s="140">
        <v>460602</v>
      </c>
      <c r="ID26" s="139">
        <v>0</v>
      </c>
      <c r="IE26" s="139">
        <v>0</v>
      </c>
      <c r="IF26" s="139">
        <v>0</v>
      </c>
      <c r="IG26" s="139">
        <v>0</v>
      </c>
      <c r="IH26" s="139">
        <v>0</v>
      </c>
      <c r="II26" s="139">
        <v>0</v>
      </c>
      <c r="IJ26" s="140">
        <v>120305</v>
      </c>
      <c r="IK26" s="140">
        <v>9664</v>
      </c>
      <c r="IL26" s="140">
        <v>150</v>
      </c>
      <c r="IM26" s="139">
        <v>140849</v>
      </c>
      <c r="IN26" s="140">
        <v>1100795</v>
      </c>
      <c r="IO26" s="140">
        <v>1371763</v>
      </c>
      <c r="IP26" s="140">
        <v>4832</v>
      </c>
      <c r="IQ26" s="140">
        <v>12388</v>
      </c>
      <c r="IR26" s="140">
        <v>8966</v>
      </c>
      <c r="IS26" s="139">
        <v>8221</v>
      </c>
      <c r="IT26" s="140">
        <v>19932</v>
      </c>
      <c r="IU26" s="140">
        <v>54339</v>
      </c>
      <c r="IV26" s="140">
        <v>1471256</v>
      </c>
      <c r="IW26" s="140">
        <v>385366</v>
      </c>
      <c r="IX26" s="140">
        <v>308218</v>
      </c>
      <c r="IY26" s="140">
        <v>568506</v>
      </c>
      <c r="IZ26" s="140">
        <v>7138472</v>
      </c>
      <c r="JA26" s="140">
        <v>9871818</v>
      </c>
      <c r="JB26" s="140">
        <v>32856508</v>
      </c>
      <c r="JC26" s="140">
        <v>6412801</v>
      </c>
      <c r="JD26" s="140">
        <v>3580437</v>
      </c>
      <c r="JE26" s="139">
        <v>16428831</v>
      </c>
      <c r="JF26" s="140">
        <v>39587605</v>
      </c>
      <c r="JG26" s="140">
        <v>98866182</v>
      </c>
      <c r="JH26" s="140">
        <v>0</v>
      </c>
      <c r="JI26" s="140">
        <v>0</v>
      </c>
      <c r="JJ26" s="140">
        <v>0</v>
      </c>
      <c r="JK26" s="140">
        <v>0</v>
      </c>
      <c r="JL26" s="140">
        <v>0</v>
      </c>
      <c r="JM26" s="140">
        <v>0</v>
      </c>
      <c r="JN26" s="139">
        <v>32856508</v>
      </c>
      <c r="JO26" s="139">
        <v>6412801</v>
      </c>
      <c r="JP26" s="139">
        <v>3580437</v>
      </c>
      <c r="JQ26" s="139">
        <v>16428831</v>
      </c>
      <c r="JR26" s="139">
        <v>43377698</v>
      </c>
      <c r="JS26" s="139">
        <v>102656275</v>
      </c>
      <c r="JU26" s="70">
        <f t="shared" si="0"/>
        <v>25550753</v>
      </c>
      <c r="JV26" s="70">
        <f t="shared" si="1"/>
        <v>0</v>
      </c>
      <c r="JW26" s="70">
        <f t="shared" si="2"/>
        <v>7980366</v>
      </c>
      <c r="JX26" s="70">
        <f t="shared" si="3"/>
        <v>0</v>
      </c>
      <c r="JY26" s="70">
        <f t="shared" si="4"/>
        <v>608107</v>
      </c>
      <c r="JZ26" s="70">
        <f t="shared" si="5"/>
        <v>0</v>
      </c>
      <c r="KA26" s="70">
        <f t="shared" si="6"/>
        <v>22521553</v>
      </c>
      <c r="KB26" s="70">
        <f t="shared" si="7"/>
        <v>0</v>
      </c>
      <c r="KC26" s="70">
        <f t="shared" si="8"/>
        <v>0</v>
      </c>
      <c r="KD26" s="70">
        <f t="shared" si="9"/>
        <v>0</v>
      </c>
      <c r="KE26" s="70">
        <f t="shared" si="10"/>
        <v>0</v>
      </c>
      <c r="KF26" s="70">
        <f t="shared" si="11"/>
        <v>0</v>
      </c>
      <c r="KG26" s="70">
        <f t="shared" si="12"/>
        <v>0</v>
      </c>
      <c r="KH26" s="70">
        <f t="shared" si="13"/>
        <v>0</v>
      </c>
      <c r="KI26" s="70">
        <f t="shared" si="14"/>
        <v>0</v>
      </c>
      <c r="KJ26" s="70">
        <f t="shared" si="15"/>
        <v>0</v>
      </c>
      <c r="KK26" s="70">
        <f t="shared" si="16"/>
        <v>20760441</v>
      </c>
      <c r="KL26" s="70">
        <f t="shared" si="17"/>
        <v>0</v>
      </c>
      <c r="KM26" s="70">
        <f t="shared" si="18"/>
        <v>360000</v>
      </c>
      <c r="KN26" s="70">
        <f t="shared" si="19"/>
        <v>0</v>
      </c>
      <c r="KO26" s="70">
        <f t="shared" si="20"/>
        <v>4500261</v>
      </c>
      <c r="KP26" s="70">
        <f t="shared" si="21"/>
        <v>0</v>
      </c>
      <c r="KQ26" s="70">
        <f t="shared" si="22"/>
        <v>14873220</v>
      </c>
      <c r="KR26" s="70">
        <f t="shared" si="23"/>
        <v>0</v>
      </c>
      <c r="KS26" s="70">
        <f t="shared" si="24"/>
        <v>0</v>
      </c>
      <c r="KT26" s="70">
        <f t="shared" si="25"/>
        <v>0</v>
      </c>
      <c r="KU26" s="70">
        <f t="shared" si="26"/>
        <v>3682634</v>
      </c>
      <c r="KV26" s="70">
        <f t="shared" si="27"/>
        <v>0</v>
      </c>
      <c r="KW26" s="70">
        <f t="shared" si="28"/>
        <v>3937139</v>
      </c>
      <c r="KX26" s="70">
        <f t="shared" si="29"/>
        <v>0</v>
      </c>
      <c r="KY26" s="70">
        <f t="shared" si="30"/>
        <v>104774474</v>
      </c>
      <c r="KZ26" s="70">
        <f t="shared" si="31"/>
        <v>0</v>
      </c>
      <c r="LA26" s="70">
        <f t="shared" si="32"/>
        <v>9471927</v>
      </c>
      <c r="LB26" s="70">
        <f t="shared" si="33"/>
        <v>0</v>
      </c>
      <c r="LC26" s="70">
        <f t="shared" si="34"/>
        <v>2732235</v>
      </c>
      <c r="LD26" s="70">
        <f t="shared" si="35"/>
        <v>0</v>
      </c>
      <c r="LE26" s="70">
        <f t="shared" si="36"/>
        <v>17020714</v>
      </c>
      <c r="LF26" s="70">
        <f t="shared" si="37"/>
        <v>0</v>
      </c>
      <c r="LG26" s="70">
        <f t="shared" si="78"/>
        <v>0</v>
      </c>
      <c r="LH26" s="70">
        <f t="shared" si="79"/>
        <v>0</v>
      </c>
      <c r="LI26" s="70">
        <f t="shared" si="40"/>
        <v>15727659</v>
      </c>
      <c r="LJ26" s="70">
        <f t="shared" si="41"/>
        <v>0</v>
      </c>
      <c r="LK26" s="70">
        <f t="shared" si="42"/>
        <v>0</v>
      </c>
      <c r="LL26" s="70">
        <f t="shared" si="43"/>
        <v>0</v>
      </c>
      <c r="LM26" s="70">
        <f t="shared" si="44"/>
        <v>244468</v>
      </c>
      <c r="LN26" s="70">
        <f t="shared" si="45"/>
        <v>0</v>
      </c>
      <c r="LO26" s="70">
        <f t="shared" si="46"/>
        <v>1448295</v>
      </c>
      <c r="LP26" s="70">
        <f t="shared" si="47"/>
        <v>0</v>
      </c>
      <c r="LQ26" s="70">
        <f t="shared" si="48"/>
        <v>7197154</v>
      </c>
      <c r="LR26" s="70">
        <f t="shared" si="49"/>
        <v>0</v>
      </c>
      <c r="LS26" s="70">
        <f t="shared" si="50"/>
        <v>4484224</v>
      </c>
      <c r="LT26" s="70">
        <f t="shared" si="51"/>
        <v>0</v>
      </c>
      <c r="LU26" s="70">
        <f t="shared" si="52"/>
        <v>12537053</v>
      </c>
      <c r="LV26" s="70">
        <f t="shared" si="53"/>
        <v>0</v>
      </c>
      <c r="LW26" s="70">
        <f t="shared" si="54"/>
        <v>2456980</v>
      </c>
      <c r="LX26" s="70">
        <f t="shared" si="55"/>
        <v>0</v>
      </c>
      <c r="LY26" s="70">
        <f t="shared" si="56"/>
        <v>0</v>
      </c>
      <c r="LZ26" s="70">
        <f t="shared" si="57"/>
        <v>0</v>
      </c>
      <c r="MA26" s="70">
        <f t="shared" si="58"/>
        <v>13786951</v>
      </c>
      <c r="MB26" s="70">
        <f t="shared" si="59"/>
        <v>0</v>
      </c>
      <c r="MC26" s="70">
        <f t="shared" si="60"/>
        <v>460602</v>
      </c>
      <c r="MD26" s="70">
        <f t="shared" si="61"/>
        <v>0</v>
      </c>
      <c r="ME26" s="70">
        <f t="shared" si="62"/>
        <v>0</v>
      </c>
      <c r="MF26" s="70">
        <f t="shared" si="63"/>
        <v>0</v>
      </c>
      <c r="MG26" s="70">
        <f t="shared" si="64"/>
        <v>1371763</v>
      </c>
      <c r="MH26" s="70">
        <f t="shared" si="65"/>
        <v>0</v>
      </c>
      <c r="MI26" s="70">
        <f t="shared" si="66"/>
        <v>54339</v>
      </c>
      <c r="MJ26" s="70">
        <f t="shared" si="67"/>
        <v>0</v>
      </c>
      <c r="MK26" s="70">
        <f t="shared" si="68"/>
        <v>9871818</v>
      </c>
      <c r="ML26" s="70">
        <f t="shared" si="69"/>
        <v>0</v>
      </c>
      <c r="MM26" s="70">
        <f t="shared" si="70"/>
        <v>98866182</v>
      </c>
      <c r="MN26" s="70">
        <f t="shared" si="71"/>
        <v>0</v>
      </c>
      <c r="MO26" s="70">
        <f t="shared" si="72"/>
        <v>0</v>
      </c>
      <c r="MP26" s="70">
        <f t="shared" si="73"/>
        <v>0</v>
      </c>
      <c r="MQ26" s="70">
        <f t="shared" si="74"/>
        <v>102656275</v>
      </c>
      <c r="MR26" s="70">
        <f t="shared" si="75"/>
        <v>0</v>
      </c>
      <c r="MT26" s="70">
        <f t="shared" si="76"/>
        <v>0</v>
      </c>
      <c r="MV26" s="68">
        <f t="shared" si="77"/>
        <v>0</v>
      </c>
    </row>
    <row r="27" spans="1:360" x14ac:dyDescent="0.15">
      <c r="A27" s="182" t="s">
        <v>287</v>
      </c>
      <c r="B27" s="76" t="s">
        <v>422</v>
      </c>
      <c r="C27" s="90">
        <v>110556</v>
      </c>
      <c r="D27" s="90">
        <v>2014</v>
      </c>
      <c r="E27" s="90">
        <v>1</v>
      </c>
      <c r="F27" s="91">
        <v>10</v>
      </c>
      <c r="G27" s="92">
        <v>7468</v>
      </c>
      <c r="H27" s="92">
        <v>10099</v>
      </c>
      <c r="I27" s="93">
        <v>403383923</v>
      </c>
      <c r="J27" s="93">
        <v>394587448</v>
      </c>
      <c r="K27" s="93">
        <v>9456336</v>
      </c>
      <c r="L27" s="93">
        <v>5626074</v>
      </c>
      <c r="M27" s="93">
        <v>19519229</v>
      </c>
      <c r="N27" s="93">
        <v>15086786</v>
      </c>
      <c r="O27" s="93">
        <v>68475228</v>
      </c>
      <c r="P27" s="93">
        <v>71666912</v>
      </c>
      <c r="Q27" s="93">
        <v>157801548</v>
      </c>
      <c r="R27" s="93">
        <v>167707888</v>
      </c>
      <c r="S27" s="93">
        <v>157801548</v>
      </c>
      <c r="T27" s="93">
        <v>167707888</v>
      </c>
      <c r="U27" s="93">
        <v>16786</v>
      </c>
      <c r="V27" s="93">
        <v>16786</v>
      </c>
      <c r="W27" s="93">
        <v>27946</v>
      </c>
      <c r="X27" s="93">
        <v>27946</v>
      </c>
      <c r="Y27" s="93">
        <v>21926</v>
      </c>
      <c r="Z27" s="93">
        <v>21926</v>
      </c>
      <c r="AA27" s="93">
        <v>33068</v>
      </c>
      <c r="AB27" s="93">
        <v>33130</v>
      </c>
      <c r="AC27" s="114">
        <v>7</v>
      </c>
      <c r="AD27" s="114">
        <v>12</v>
      </c>
      <c r="AE27" s="114">
        <v>0</v>
      </c>
      <c r="AF27" s="115">
        <v>2404162</v>
      </c>
      <c r="AG27" s="115">
        <v>2692731</v>
      </c>
      <c r="AH27" s="115">
        <v>310785</v>
      </c>
      <c r="AI27" s="115">
        <v>173444</v>
      </c>
      <c r="AJ27" s="115">
        <v>575255</v>
      </c>
      <c r="AK27" s="116">
        <v>5.5</v>
      </c>
      <c r="AL27" s="115">
        <v>527317</v>
      </c>
      <c r="AM27" s="116">
        <v>6</v>
      </c>
      <c r="AN27" s="115">
        <v>163791</v>
      </c>
      <c r="AO27" s="116">
        <v>9.5</v>
      </c>
      <c r="AP27" s="115">
        <v>156602</v>
      </c>
      <c r="AQ27" s="116">
        <v>10</v>
      </c>
      <c r="AR27" s="115">
        <v>174677</v>
      </c>
      <c r="AS27" s="116">
        <v>16.64</v>
      </c>
      <c r="AT27" s="115">
        <v>132119</v>
      </c>
      <c r="AU27" s="116">
        <v>22</v>
      </c>
      <c r="AV27" s="115">
        <v>80884</v>
      </c>
      <c r="AW27" s="116">
        <v>16.940000000000001</v>
      </c>
      <c r="AX27" s="115">
        <v>68509</v>
      </c>
      <c r="AY27" s="116">
        <v>20</v>
      </c>
      <c r="AZ27" s="139">
        <v>6389576</v>
      </c>
      <c r="BA27" s="139">
        <v>1124939</v>
      </c>
      <c r="BB27" s="139">
        <v>102823</v>
      </c>
      <c r="BC27" s="139">
        <v>267786</v>
      </c>
      <c r="BD27" s="139">
        <v>6590</v>
      </c>
      <c r="BE27" s="139">
        <v>7891714</v>
      </c>
      <c r="BF27" s="139">
        <v>0</v>
      </c>
      <c r="BG27" s="139">
        <v>460633</v>
      </c>
      <c r="BH27" s="139">
        <v>695891</v>
      </c>
      <c r="BI27" s="139">
        <v>3057146</v>
      </c>
      <c r="BJ27" s="139">
        <v>0</v>
      </c>
      <c r="BK27" s="139">
        <v>4213670</v>
      </c>
      <c r="BL27" s="139">
        <v>325000</v>
      </c>
      <c r="BM27" s="139">
        <v>170000</v>
      </c>
      <c r="BN27" s="139">
        <v>0</v>
      </c>
      <c r="BO27" s="139">
        <v>30700</v>
      </c>
      <c r="BP27" s="139">
        <v>0</v>
      </c>
      <c r="BQ27" s="139">
        <v>525700</v>
      </c>
      <c r="BR27" s="139">
        <v>1180728</v>
      </c>
      <c r="BS27" s="139">
        <v>226277</v>
      </c>
      <c r="BT27" s="139">
        <v>295086</v>
      </c>
      <c r="BU27" s="139">
        <v>1912604</v>
      </c>
      <c r="BV27" s="139">
        <v>1251587</v>
      </c>
      <c r="BW27" s="139">
        <v>4866282</v>
      </c>
      <c r="BX27" s="139">
        <v>0</v>
      </c>
      <c r="BY27" s="139">
        <v>0</v>
      </c>
      <c r="BZ27" s="139">
        <v>0</v>
      </c>
      <c r="CA27" s="139">
        <v>0</v>
      </c>
      <c r="CB27" s="139">
        <v>0</v>
      </c>
      <c r="CC27" s="139">
        <v>0</v>
      </c>
      <c r="CD27" s="139">
        <v>0</v>
      </c>
      <c r="CE27" s="139">
        <v>0</v>
      </c>
      <c r="CF27" s="139">
        <v>0</v>
      </c>
      <c r="CG27" s="139">
        <v>0</v>
      </c>
      <c r="CH27" s="139">
        <v>0</v>
      </c>
      <c r="CI27" s="139">
        <v>0</v>
      </c>
      <c r="CJ27" s="139">
        <v>0</v>
      </c>
      <c r="CK27" s="139">
        <v>0</v>
      </c>
      <c r="CL27" s="139">
        <v>155050</v>
      </c>
      <c r="CM27" s="139">
        <v>494950</v>
      </c>
      <c r="CN27" s="139">
        <v>6478557</v>
      </c>
      <c r="CO27" s="139">
        <v>7128557</v>
      </c>
      <c r="CP27" s="139">
        <v>0</v>
      </c>
      <c r="CQ27" s="139">
        <v>0</v>
      </c>
      <c r="CR27" s="139">
        <v>0</v>
      </c>
      <c r="CS27" s="139">
        <v>0</v>
      </c>
      <c r="CT27" s="139">
        <v>1759023</v>
      </c>
      <c r="CU27" s="139">
        <v>1759023</v>
      </c>
      <c r="CV27" s="139">
        <v>2685470</v>
      </c>
      <c r="CW27" s="139">
        <v>95795</v>
      </c>
      <c r="CX27" s="139">
        <v>123346</v>
      </c>
      <c r="CY27" s="139">
        <v>13892</v>
      </c>
      <c r="CZ27" s="139">
        <v>2128588</v>
      </c>
      <c r="DA27" s="139">
        <v>5047091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570541</v>
      </c>
      <c r="DI27" s="139">
        <v>26077</v>
      </c>
      <c r="DJ27" s="139">
        <v>0</v>
      </c>
      <c r="DK27" s="139">
        <v>33133</v>
      </c>
      <c r="DL27" s="139">
        <v>355142</v>
      </c>
      <c r="DM27" s="139">
        <v>984893</v>
      </c>
      <c r="DN27" s="139">
        <v>0</v>
      </c>
      <c r="DO27" s="139">
        <v>0</v>
      </c>
      <c r="DP27" s="139">
        <v>0</v>
      </c>
      <c r="DQ27" s="139">
        <v>0</v>
      </c>
      <c r="DR27" s="139">
        <v>3191754</v>
      </c>
      <c r="DS27" s="139">
        <v>3191754</v>
      </c>
      <c r="DT27" s="139">
        <v>0</v>
      </c>
      <c r="DU27" s="139">
        <v>0</v>
      </c>
      <c r="DV27" s="139">
        <v>0</v>
      </c>
      <c r="DW27" s="139">
        <v>0</v>
      </c>
      <c r="DX27" s="139">
        <v>0</v>
      </c>
      <c r="DY27" s="139">
        <v>0</v>
      </c>
      <c r="DZ27" s="139">
        <v>0</v>
      </c>
      <c r="EA27" s="139">
        <v>0</v>
      </c>
      <c r="EB27" s="139">
        <v>0</v>
      </c>
      <c r="EC27" s="139">
        <v>0</v>
      </c>
      <c r="ED27" s="139">
        <v>148205</v>
      </c>
      <c r="EE27" s="139">
        <v>148205</v>
      </c>
      <c r="EF27" s="139">
        <v>0</v>
      </c>
      <c r="EG27" s="139">
        <v>0</v>
      </c>
      <c r="EH27" s="139">
        <v>0</v>
      </c>
      <c r="EI27" s="139">
        <v>0</v>
      </c>
      <c r="EJ27" s="139">
        <v>281294</v>
      </c>
      <c r="EK27" s="139">
        <v>281294</v>
      </c>
      <c r="EL27" s="139">
        <v>11151315</v>
      </c>
      <c r="EM27" s="139">
        <v>2103721</v>
      </c>
      <c r="EN27" s="139">
        <v>1372196</v>
      </c>
      <c r="EO27" s="139">
        <v>5810211</v>
      </c>
      <c r="EP27" s="139">
        <v>15600740</v>
      </c>
      <c r="EQ27" s="139">
        <v>36038183</v>
      </c>
      <c r="ER27" s="139">
        <v>1591766</v>
      </c>
      <c r="ES27" s="139">
        <v>338470</v>
      </c>
      <c r="ET27" s="139">
        <v>445546</v>
      </c>
      <c r="EU27" s="139">
        <v>2721111</v>
      </c>
      <c r="EV27" s="139">
        <v>41096</v>
      </c>
      <c r="EW27" s="139">
        <v>5137989</v>
      </c>
      <c r="EX27" s="139">
        <v>500000</v>
      </c>
      <c r="EY27" s="139">
        <v>198100</v>
      </c>
      <c r="EZ27" s="139">
        <v>13600</v>
      </c>
      <c r="FA27" s="139">
        <v>41300</v>
      </c>
      <c r="FB27" s="139">
        <v>0</v>
      </c>
      <c r="FC27" s="139">
        <v>753000</v>
      </c>
      <c r="FD27" s="139">
        <v>4132549</v>
      </c>
      <c r="FE27" s="139">
        <v>972546</v>
      </c>
      <c r="FF27" s="139">
        <v>776800</v>
      </c>
      <c r="FG27" s="139">
        <v>3114851</v>
      </c>
      <c r="FH27" s="139">
        <v>0</v>
      </c>
      <c r="FI27" s="139">
        <v>8996746</v>
      </c>
      <c r="FJ27" s="139">
        <v>0</v>
      </c>
      <c r="FK27" s="139">
        <v>0</v>
      </c>
      <c r="FL27" s="139">
        <v>0</v>
      </c>
      <c r="FM27" s="139">
        <v>0</v>
      </c>
      <c r="FN27" s="139">
        <v>0</v>
      </c>
      <c r="FO27" s="139">
        <v>0</v>
      </c>
      <c r="FP27" s="139">
        <v>206224</v>
      </c>
      <c r="FQ27" s="139">
        <v>109336</v>
      </c>
      <c r="FR27" s="139">
        <v>93625</v>
      </c>
      <c r="FS27" s="139">
        <v>194977</v>
      </c>
      <c r="FT27" s="139">
        <v>4949034</v>
      </c>
      <c r="FU27" s="139">
        <v>5553196</v>
      </c>
      <c r="FV27" s="139">
        <v>0</v>
      </c>
      <c r="FW27" s="139">
        <v>0</v>
      </c>
      <c r="FX27" s="139">
        <v>0</v>
      </c>
      <c r="FY27" s="139">
        <v>0</v>
      </c>
      <c r="FZ27" s="139">
        <v>0</v>
      </c>
      <c r="GA27" s="139">
        <v>0</v>
      </c>
      <c r="GB27" s="139">
        <v>479166</v>
      </c>
      <c r="GC27" s="139">
        <v>0</v>
      </c>
      <c r="GD27" s="139">
        <v>0</v>
      </c>
      <c r="GE27" s="139">
        <v>0</v>
      </c>
      <c r="GF27" s="139">
        <v>0</v>
      </c>
      <c r="GG27" s="139">
        <v>479166</v>
      </c>
      <c r="GH27" s="139">
        <v>196166</v>
      </c>
      <c r="GI27" s="139">
        <v>70175</v>
      </c>
      <c r="GJ27" s="139">
        <v>66390</v>
      </c>
      <c r="GK27" s="139">
        <v>151471</v>
      </c>
      <c r="GL27" s="139">
        <v>0</v>
      </c>
      <c r="GM27" s="139">
        <v>484202</v>
      </c>
      <c r="GN27" s="139">
        <v>1323867</v>
      </c>
      <c r="GO27" s="139">
        <v>473861</v>
      </c>
      <c r="GP27" s="139">
        <v>294457</v>
      </c>
      <c r="GQ27" s="139">
        <v>1333881</v>
      </c>
      <c r="GR27" s="139">
        <v>0</v>
      </c>
      <c r="GS27" s="139">
        <v>3426066</v>
      </c>
      <c r="GT27" s="139">
        <v>306304</v>
      </c>
      <c r="GU27" s="139">
        <v>42204</v>
      </c>
      <c r="GV27" s="139">
        <v>22560</v>
      </c>
      <c r="GW27" s="139">
        <v>414896</v>
      </c>
      <c r="GX27" s="139">
        <v>423359</v>
      </c>
      <c r="GY27" s="139">
        <v>1209323</v>
      </c>
      <c r="GZ27" s="139">
        <v>1041706</v>
      </c>
      <c r="HA27" s="139">
        <v>377363</v>
      </c>
      <c r="HB27" s="139">
        <v>196546</v>
      </c>
      <c r="HC27" s="139">
        <v>443710</v>
      </c>
      <c r="HD27" s="139">
        <v>267417</v>
      </c>
      <c r="HE27" s="139">
        <v>2326742</v>
      </c>
      <c r="HF27" s="139">
        <v>49910</v>
      </c>
      <c r="HG27" s="139">
        <v>20639</v>
      </c>
      <c r="HH27" s="139">
        <v>10979</v>
      </c>
      <c r="HI27" s="139">
        <v>52458</v>
      </c>
      <c r="HJ27" s="139">
        <v>1184146</v>
      </c>
      <c r="HK27" s="139">
        <v>1318132</v>
      </c>
      <c r="HL27" s="139">
        <v>0</v>
      </c>
      <c r="HM27" s="139">
        <v>0</v>
      </c>
      <c r="HN27" s="139">
        <v>0</v>
      </c>
      <c r="HO27" s="139">
        <v>0</v>
      </c>
      <c r="HP27" s="139">
        <v>0</v>
      </c>
      <c r="HQ27" s="139">
        <v>0</v>
      </c>
      <c r="HR27" s="139">
        <v>147060</v>
      </c>
      <c r="HS27" s="139">
        <v>0</v>
      </c>
      <c r="HT27" s="139">
        <v>0</v>
      </c>
      <c r="HU27" s="139">
        <v>170329</v>
      </c>
      <c r="HV27" s="139">
        <v>1268697</v>
      </c>
      <c r="HW27" s="139">
        <v>1586086</v>
      </c>
      <c r="HX27" s="139">
        <v>0</v>
      </c>
      <c r="HY27" s="139">
        <v>0</v>
      </c>
      <c r="HZ27" s="139">
        <v>0</v>
      </c>
      <c r="IA27" s="139">
        <v>0</v>
      </c>
      <c r="IB27" s="139">
        <v>44768</v>
      </c>
      <c r="IC27" s="139">
        <v>44768</v>
      </c>
      <c r="ID27" s="139">
        <v>0</v>
      </c>
      <c r="IE27" s="139">
        <v>0</v>
      </c>
      <c r="IF27" s="139">
        <v>0</v>
      </c>
      <c r="IG27" s="139">
        <v>0</v>
      </c>
      <c r="IH27" s="139">
        <v>1759023</v>
      </c>
      <c r="II27" s="139">
        <v>1759023</v>
      </c>
      <c r="IJ27" s="139">
        <v>0</v>
      </c>
      <c r="IK27" s="139">
        <v>0</v>
      </c>
      <c r="IL27" s="139">
        <v>0</v>
      </c>
      <c r="IM27" s="139">
        <v>0</v>
      </c>
      <c r="IN27" s="139">
        <v>589114</v>
      </c>
      <c r="IO27" s="139">
        <v>589114</v>
      </c>
      <c r="IP27" s="139">
        <v>50</v>
      </c>
      <c r="IQ27" s="139">
        <v>625</v>
      </c>
      <c r="IR27" s="139">
        <v>160</v>
      </c>
      <c r="IS27" s="139">
        <v>8804</v>
      </c>
      <c r="IT27" s="139">
        <v>423857</v>
      </c>
      <c r="IU27" s="139">
        <v>433496</v>
      </c>
      <c r="IV27" s="139">
        <v>347788</v>
      </c>
      <c r="IW27" s="139">
        <v>23656</v>
      </c>
      <c r="IX27" s="139">
        <v>86838</v>
      </c>
      <c r="IY27" s="139">
        <v>139878</v>
      </c>
      <c r="IZ27" s="139">
        <v>1741681</v>
      </c>
      <c r="JA27" s="139">
        <v>2339841</v>
      </c>
      <c r="JB27" s="139">
        <v>10322556</v>
      </c>
      <c r="JC27" s="139">
        <v>2626883</v>
      </c>
      <c r="JD27" s="139">
        <v>2007501</v>
      </c>
      <c r="JE27" s="139">
        <v>8787398</v>
      </c>
      <c r="JF27" s="139">
        <v>12692222</v>
      </c>
      <c r="JG27" s="139">
        <v>36436560</v>
      </c>
      <c r="JH27" s="139">
        <v>0</v>
      </c>
      <c r="JI27" s="139">
        <v>0</v>
      </c>
      <c r="JJ27" s="139">
        <v>0</v>
      </c>
      <c r="JK27" s="139">
        <v>0</v>
      </c>
      <c r="JL27" s="139">
        <v>0</v>
      </c>
      <c r="JM27" s="139">
        <v>0</v>
      </c>
      <c r="JN27" s="139">
        <v>10322556</v>
      </c>
      <c r="JO27" s="139">
        <v>2626883</v>
      </c>
      <c r="JP27" s="139">
        <v>2007501</v>
      </c>
      <c r="JQ27" s="139">
        <v>8787398</v>
      </c>
      <c r="JR27" s="139">
        <v>12692222</v>
      </c>
      <c r="JS27" s="139">
        <v>36436560</v>
      </c>
      <c r="JU27" s="70">
        <f t="shared" si="0"/>
        <v>7891714</v>
      </c>
      <c r="JV27" s="70">
        <f t="shared" si="1"/>
        <v>0</v>
      </c>
      <c r="JW27" s="70">
        <f t="shared" si="2"/>
        <v>4213670</v>
      </c>
      <c r="JX27" s="70">
        <f t="shared" si="3"/>
        <v>0</v>
      </c>
      <c r="JY27" s="70">
        <f t="shared" si="4"/>
        <v>525700</v>
      </c>
      <c r="JZ27" s="70">
        <f t="shared" si="5"/>
        <v>0</v>
      </c>
      <c r="KA27" s="70">
        <f t="shared" si="6"/>
        <v>4866282</v>
      </c>
      <c r="KB27" s="70">
        <f t="shared" si="7"/>
        <v>0</v>
      </c>
      <c r="KC27" s="70">
        <f t="shared" si="8"/>
        <v>0</v>
      </c>
      <c r="KD27" s="70">
        <f t="shared" si="9"/>
        <v>0</v>
      </c>
      <c r="KE27" s="70">
        <f t="shared" si="10"/>
        <v>0</v>
      </c>
      <c r="KF27" s="70">
        <f t="shared" si="11"/>
        <v>0</v>
      </c>
      <c r="KG27" s="70">
        <f t="shared" si="12"/>
        <v>7128557</v>
      </c>
      <c r="KH27" s="70">
        <f t="shared" si="13"/>
        <v>0</v>
      </c>
      <c r="KI27" s="70">
        <f t="shared" si="14"/>
        <v>1759023</v>
      </c>
      <c r="KJ27" s="70">
        <f t="shared" si="15"/>
        <v>0</v>
      </c>
      <c r="KK27" s="70">
        <f t="shared" si="16"/>
        <v>5047091</v>
      </c>
      <c r="KL27" s="70">
        <f t="shared" si="17"/>
        <v>0</v>
      </c>
      <c r="KM27" s="70">
        <f t="shared" si="18"/>
        <v>0</v>
      </c>
      <c r="KN27" s="70">
        <f t="shared" si="19"/>
        <v>0</v>
      </c>
      <c r="KO27" s="70">
        <f t="shared" si="20"/>
        <v>984893</v>
      </c>
      <c r="KP27" s="70">
        <f t="shared" si="21"/>
        <v>0</v>
      </c>
      <c r="KQ27" s="70">
        <f t="shared" si="22"/>
        <v>3191754</v>
      </c>
      <c r="KR27" s="70">
        <f t="shared" si="23"/>
        <v>0</v>
      </c>
      <c r="KS27" s="70">
        <f t="shared" si="24"/>
        <v>0</v>
      </c>
      <c r="KT27" s="70">
        <f t="shared" si="25"/>
        <v>0</v>
      </c>
      <c r="KU27" s="70">
        <f t="shared" si="26"/>
        <v>148205</v>
      </c>
      <c r="KV27" s="70">
        <f t="shared" si="27"/>
        <v>0</v>
      </c>
      <c r="KW27" s="70">
        <f t="shared" si="28"/>
        <v>281294</v>
      </c>
      <c r="KX27" s="70">
        <f t="shared" si="29"/>
        <v>0</v>
      </c>
      <c r="KY27" s="70">
        <f t="shared" si="30"/>
        <v>36038183</v>
      </c>
      <c r="KZ27" s="70">
        <f t="shared" si="31"/>
        <v>0</v>
      </c>
      <c r="LA27" s="70">
        <f t="shared" si="32"/>
        <v>5137989</v>
      </c>
      <c r="LB27" s="70">
        <f t="shared" si="33"/>
        <v>0</v>
      </c>
      <c r="LC27" s="70">
        <f t="shared" si="34"/>
        <v>753000</v>
      </c>
      <c r="LD27" s="70">
        <f t="shared" si="35"/>
        <v>0</v>
      </c>
      <c r="LE27" s="70">
        <f t="shared" si="36"/>
        <v>8996746</v>
      </c>
      <c r="LF27" s="70">
        <f t="shared" si="37"/>
        <v>0</v>
      </c>
      <c r="LG27" s="70">
        <f t="shared" si="78"/>
        <v>0</v>
      </c>
      <c r="LH27" s="70">
        <f t="shared" si="79"/>
        <v>0</v>
      </c>
      <c r="LI27" s="70">
        <f t="shared" si="40"/>
        <v>5553196</v>
      </c>
      <c r="LJ27" s="70">
        <f t="shared" si="41"/>
        <v>0</v>
      </c>
      <c r="LK27" s="70">
        <f t="shared" si="42"/>
        <v>0</v>
      </c>
      <c r="LL27" s="70">
        <f t="shared" si="43"/>
        <v>0</v>
      </c>
      <c r="LM27" s="70">
        <f t="shared" si="44"/>
        <v>479166</v>
      </c>
      <c r="LN27" s="70">
        <f t="shared" si="45"/>
        <v>0</v>
      </c>
      <c r="LO27" s="70">
        <f t="shared" si="46"/>
        <v>484202</v>
      </c>
      <c r="LP27" s="70">
        <f t="shared" si="47"/>
        <v>0</v>
      </c>
      <c r="LQ27" s="70">
        <f t="shared" si="48"/>
        <v>3426066</v>
      </c>
      <c r="LR27" s="70">
        <f t="shared" si="49"/>
        <v>0</v>
      </c>
      <c r="LS27" s="70">
        <f t="shared" si="50"/>
        <v>1209323</v>
      </c>
      <c r="LT27" s="70">
        <f t="shared" si="51"/>
        <v>0</v>
      </c>
      <c r="LU27" s="70">
        <f t="shared" si="52"/>
        <v>2326742</v>
      </c>
      <c r="LV27" s="70">
        <f t="shared" si="53"/>
        <v>0</v>
      </c>
      <c r="LW27" s="70">
        <f t="shared" si="54"/>
        <v>1318132</v>
      </c>
      <c r="LX27" s="70">
        <f t="shared" si="55"/>
        <v>0</v>
      </c>
      <c r="LY27" s="70">
        <f t="shared" si="56"/>
        <v>0</v>
      </c>
      <c r="LZ27" s="70">
        <f t="shared" si="57"/>
        <v>0</v>
      </c>
      <c r="MA27" s="70">
        <f t="shared" si="58"/>
        <v>1586086</v>
      </c>
      <c r="MB27" s="70">
        <f t="shared" si="59"/>
        <v>0</v>
      </c>
      <c r="MC27" s="70">
        <f t="shared" si="60"/>
        <v>44768</v>
      </c>
      <c r="MD27" s="70">
        <f t="shared" si="61"/>
        <v>0</v>
      </c>
      <c r="ME27" s="70">
        <f t="shared" si="62"/>
        <v>1759023</v>
      </c>
      <c r="MF27" s="70">
        <f t="shared" si="63"/>
        <v>0</v>
      </c>
      <c r="MG27" s="70">
        <f t="shared" si="64"/>
        <v>589114</v>
      </c>
      <c r="MH27" s="70">
        <f t="shared" si="65"/>
        <v>0</v>
      </c>
      <c r="MI27" s="70">
        <f t="shared" si="66"/>
        <v>433496</v>
      </c>
      <c r="MJ27" s="70">
        <f t="shared" si="67"/>
        <v>0</v>
      </c>
      <c r="MK27" s="70">
        <f t="shared" si="68"/>
        <v>2339841</v>
      </c>
      <c r="ML27" s="70">
        <f t="shared" si="69"/>
        <v>0</v>
      </c>
      <c r="MM27" s="70">
        <f t="shared" si="70"/>
        <v>36436560</v>
      </c>
      <c r="MN27" s="70">
        <f t="shared" si="71"/>
        <v>0</v>
      </c>
      <c r="MO27" s="70">
        <f t="shared" si="72"/>
        <v>0</v>
      </c>
      <c r="MP27" s="70">
        <f t="shared" si="73"/>
        <v>0</v>
      </c>
      <c r="MQ27" s="70">
        <f t="shared" si="74"/>
        <v>36436560</v>
      </c>
      <c r="MR27" s="70">
        <f t="shared" si="75"/>
        <v>0</v>
      </c>
      <c r="MT27" s="70">
        <f t="shared" si="76"/>
        <v>0</v>
      </c>
      <c r="MV27" s="68">
        <f t="shared" si="77"/>
        <v>0</v>
      </c>
    </row>
    <row r="28" spans="1:360" x14ac:dyDescent="0.15">
      <c r="A28" s="182" t="s">
        <v>315</v>
      </c>
      <c r="B28" s="76" t="s">
        <v>423</v>
      </c>
      <c r="C28" s="90">
        <v>139959</v>
      </c>
      <c r="D28" s="90">
        <v>2014</v>
      </c>
      <c r="E28" s="90">
        <v>1</v>
      </c>
      <c r="F28" s="91">
        <v>5</v>
      </c>
      <c r="G28" s="92">
        <v>11320</v>
      </c>
      <c r="H28" s="92">
        <v>14953</v>
      </c>
      <c r="I28" s="93">
        <v>1253332393</v>
      </c>
      <c r="J28" s="93">
        <v>1225847104</v>
      </c>
      <c r="K28" s="93">
        <v>9402457</v>
      </c>
      <c r="L28" s="93">
        <v>9752135</v>
      </c>
      <c r="M28" s="93">
        <v>38156516</v>
      </c>
      <c r="N28" s="93">
        <v>22384008</v>
      </c>
      <c r="O28" s="93">
        <v>106813431</v>
      </c>
      <c r="P28" s="93">
        <v>113191100</v>
      </c>
      <c r="Q28" s="93">
        <v>278243308</v>
      </c>
      <c r="R28" s="93">
        <v>276584857</v>
      </c>
      <c r="S28" s="93">
        <v>1102390919</v>
      </c>
      <c r="T28" s="93">
        <v>1079278524</v>
      </c>
      <c r="U28" s="93">
        <v>21232</v>
      </c>
      <c r="V28" s="93">
        <v>20730</v>
      </c>
      <c r="W28" s="93">
        <v>39442</v>
      </c>
      <c r="X28" s="93">
        <v>38940</v>
      </c>
      <c r="Y28" s="93">
        <v>22064</v>
      </c>
      <c r="Z28" s="93">
        <v>21250</v>
      </c>
      <c r="AA28" s="93">
        <v>40274</v>
      </c>
      <c r="AB28" s="93">
        <v>39460</v>
      </c>
      <c r="AC28" s="114">
        <v>9</v>
      </c>
      <c r="AD28" s="114">
        <v>12</v>
      </c>
      <c r="AE28" s="114">
        <v>0</v>
      </c>
      <c r="AF28" s="115">
        <v>4772942</v>
      </c>
      <c r="AG28" s="115">
        <v>4888748</v>
      </c>
      <c r="AH28" s="115">
        <v>1148138</v>
      </c>
      <c r="AI28" s="115">
        <v>577080</v>
      </c>
      <c r="AJ28" s="115">
        <v>1113394</v>
      </c>
      <c r="AK28" s="116">
        <v>6</v>
      </c>
      <c r="AL28" s="115">
        <v>954337</v>
      </c>
      <c r="AM28" s="116">
        <v>7</v>
      </c>
      <c r="AN28" s="115">
        <v>263815</v>
      </c>
      <c r="AO28" s="116">
        <v>9</v>
      </c>
      <c r="AP28" s="115">
        <v>237433</v>
      </c>
      <c r="AQ28" s="116">
        <v>10</v>
      </c>
      <c r="AR28" s="115">
        <v>271478</v>
      </c>
      <c r="AS28" s="116">
        <v>21</v>
      </c>
      <c r="AT28" s="115">
        <v>219271</v>
      </c>
      <c r="AU28" s="116">
        <v>26</v>
      </c>
      <c r="AV28" s="115">
        <v>104582</v>
      </c>
      <c r="AW28" s="116">
        <v>20</v>
      </c>
      <c r="AX28" s="115">
        <v>83666</v>
      </c>
      <c r="AY28" s="116">
        <v>25</v>
      </c>
      <c r="AZ28" s="139">
        <v>20885883</v>
      </c>
      <c r="BA28" s="139">
        <v>473145</v>
      </c>
      <c r="BB28" s="139">
        <v>115868</v>
      </c>
      <c r="BC28" s="139">
        <v>451961</v>
      </c>
      <c r="BD28" s="139">
        <v>546068</v>
      </c>
      <c r="BE28" s="139">
        <v>22472925</v>
      </c>
      <c r="BF28" s="139">
        <v>155939</v>
      </c>
      <c r="BG28" s="139">
        <v>155939</v>
      </c>
      <c r="BH28" s="139">
        <v>155939</v>
      </c>
      <c r="BI28" s="139">
        <v>2806895</v>
      </c>
      <c r="BJ28" s="139">
        <v>0</v>
      </c>
      <c r="BK28" s="139">
        <v>3274712</v>
      </c>
      <c r="BL28" s="139">
        <v>0</v>
      </c>
      <c r="BM28" s="139">
        <v>0</v>
      </c>
      <c r="BN28" s="139">
        <v>0</v>
      </c>
      <c r="BO28" s="139">
        <v>0</v>
      </c>
      <c r="BP28" s="139">
        <v>0</v>
      </c>
      <c r="BQ28" s="139">
        <v>0</v>
      </c>
      <c r="BR28" s="139">
        <v>28588346</v>
      </c>
      <c r="BS28" s="139">
        <v>670374</v>
      </c>
      <c r="BT28" s="139">
        <v>34909</v>
      </c>
      <c r="BU28" s="139">
        <v>273545</v>
      </c>
      <c r="BV28" s="139">
        <v>2299423</v>
      </c>
      <c r="BW28" s="139">
        <v>31866597</v>
      </c>
      <c r="BX28" s="139">
        <v>0</v>
      </c>
      <c r="BY28" s="139">
        <v>0</v>
      </c>
      <c r="BZ28" s="139">
        <v>0</v>
      </c>
      <c r="CA28" s="139">
        <v>0</v>
      </c>
      <c r="CB28" s="139">
        <v>0</v>
      </c>
      <c r="CC28" s="139">
        <v>0</v>
      </c>
      <c r="CD28" s="139">
        <v>0</v>
      </c>
      <c r="CE28" s="139">
        <v>0</v>
      </c>
      <c r="CF28" s="139">
        <v>0</v>
      </c>
      <c r="CG28" s="139">
        <v>0</v>
      </c>
      <c r="CH28" s="139">
        <v>0</v>
      </c>
      <c r="CI28" s="139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15027098</v>
      </c>
      <c r="CW28" s="139">
        <v>5160004</v>
      </c>
      <c r="CX28" s="139">
        <v>57725</v>
      </c>
      <c r="CY28" s="139">
        <v>1981084</v>
      </c>
      <c r="CZ28" s="139">
        <v>0</v>
      </c>
      <c r="DA28" s="139">
        <v>22225911</v>
      </c>
      <c r="DB28" s="139">
        <v>4818973</v>
      </c>
      <c r="DC28" s="139">
        <v>566938</v>
      </c>
      <c r="DD28" s="139">
        <v>14920</v>
      </c>
      <c r="DE28" s="139">
        <v>268549</v>
      </c>
      <c r="DF28" s="139">
        <v>0</v>
      </c>
      <c r="DG28" s="139">
        <v>5669380</v>
      </c>
      <c r="DH28" s="139">
        <v>1254753</v>
      </c>
      <c r="DI28" s="139">
        <v>167300</v>
      </c>
      <c r="DJ28" s="139">
        <v>50190</v>
      </c>
      <c r="DK28" s="139">
        <v>200761</v>
      </c>
      <c r="DL28" s="139">
        <v>0</v>
      </c>
      <c r="DM28" s="139">
        <v>1673004</v>
      </c>
      <c r="DN28" s="139">
        <v>6420201</v>
      </c>
      <c r="DO28" s="139">
        <v>856027</v>
      </c>
      <c r="DP28" s="139">
        <v>428013</v>
      </c>
      <c r="DQ28" s="139">
        <v>856027</v>
      </c>
      <c r="DR28" s="139">
        <v>0</v>
      </c>
      <c r="DS28" s="139">
        <v>8560268</v>
      </c>
      <c r="DT28" s="139">
        <v>9621</v>
      </c>
      <c r="DU28" s="139">
        <v>1242</v>
      </c>
      <c r="DV28" s="139">
        <v>1923</v>
      </c>
      <c r="DW28" s="139">
        <v>8841</v>
      </c>
      <c r="DX28" s="139">
        <v>338164</v>
      </c>
      <c r="DY28" s="139">
        <v>359791</v>
      </c>
      <c r="DZ28" s="139">
        <v>0</v>
      </c>
      <c r="EA28" s="139">
        <v>0</v>
      </c>
      <c r="EB28" s="139">
        <v>0</v>
      </c>
      <c r="EC28" s="139">
        <v>0</v>
      </c>
      <c r="ED28" s="139">
        <v>6427492</v>
      </c>
      <c r="EE28" s="139">
        <v>6427492</v>
      </c>
      <c r="EF28" s="139">
        <v>0</v>
      </c>
      <c r="EG28" s="139">
        <v>0</v>
      </c>
      <c r="EH28" s="139">
        <v>0</v>
      </c>
      <c r="EI28" s="139">
        <v>6510</v>
      </c>
      <c r="EJ28" s="139">
        <v>958997</v>
      </c>
      <c r="EK28" s="139">
        <v>965507</v>
      </c>
      <c r="EL28" s="139">
        <v>77160814</v>
      </c>
      <c r="EM28" s="139">
        <v>8050969</v>
      </c>
      <c r="EN28" s="139">
        <v>859487</v>
      </c>
      <c r="EO28" s="139">
        <v>6854173</v>
      </c>
      <c r="EP28" s="139">
        <v>10570144</v>
      </c>
      <c r="EQ28" s="139">
        <v>103495587</v>
      </c>
      <c r="ER28" s="139">
        <v>2854940</v>
      </c>
      <c r="ES28" s="139">
        <v>452671</v>
      </c>
      <c r="ET28" s="139">
        <v>529728</v>
      </c>
      <c r="EU28" s="139">
        <v>5824351</v>
      </c>
      <c r="EV28" s="139">
        <v>1385114</v>
      </c>
      <c r="EW28" s="139">
        <v>11046804</v>
      </c>
      <c r="EX28" s="139">
        <v>1300000</v>
      </c>
      <c r="EY28" s="139">
        <v>522500</v>
      </c>
      <c r="EZ28" s="139">
        <v>85000</v>
      </c>
      <c r="FA28" s="139">
        <v>95498</v>
      </c>
      <c r="FB28" s="139">
        <v>0</v>
      </c>
      <c r="FC28" s="139">
        <v>2002998</v>
      </c>
      <c r="FD28" s="139">
        <v>7324220</v>
      </c>
      <c r="FE28" s="139">
        <v>2319551</v>
      </c>
      <c r="FF28" s="151">
        <v>1272030</v>
      </c>
      <c r="FG28" s="139">
        <v>5931587</v>
      </c>
      <c r="FH28" s="139">
        <v>0</v>
      </c>
      <c r="FI28" s="139">
        <v>16847388</v>
      </c>
      <c r="FJ28" s="139">
        <v>0</v>
      </c>
      <c r="FK28" s="139">
        <v>0</v>
      </c>
      <c r="FL28" s="139">
        <v>0</v>
      </c>
      <c r="FM28" s="139">
        <v>0</v>
      </c>
      <c r="FN28" s="139">
        <v>0</v>
      </c>
      <c r="FO28" s="139">
        <v>0</v>
      </c>
      <c r="FP28" s="139">
        <v>3404300</v>
      </c>
      <c r="FQ28" s="139">
        <v>566856</v>
      </c>
      <c r="FR28" s="139">
        <v>435757</v>
      </c>
      <c r="FS28" s="139">
        <v>2743752</v>
      </c>
      <c r="FT28" s="139">
        <v>6288268</v>
      </c>
      <c r="FU28" s="139">
        <v>13438933</v>
      </c>
      <c r="FV28" s="139">
        <v>0</v>
      </c>
      <c r="FW28" s="139">
        <v>0</v>
      </c>
      <c r="FX28" s="139">
        <v>0</v>
      </c>
      <c r="FY28" s="139">
        <v>0</v>
      </c>
      <c r="FZ28" s="139">
        <v>0</v>
      </c>
      <c r="GA28" s="139">
        <v>0</v>
      </c>
      <c r="GB28" s="139">
        <v>119004</v>
      </c>
      <c r="GC28" s="139">
        <v>26667</v>
      </c>
      <c r="GD28" s="139">
        <v>0</v>
      </c>
      <c r="GE28" s="139">
        <v>385201</v>
      </c>
      <c r="GF28" s="139">
        <v>0</v>
      </c>
      <c r="GG28" s="139">
        <v>530872</v>
      </c>
      <c r="GH28" s="139">
        <v>717092</v>
      </c>
      <c r="GI28" s="139">
        <v>254352</v>
      </c>
      <c r="GJ28" s="139">
        <v>171854</v>
      </c>
      <c r="GK28" s="139">
        <v>581920</v>
      </c>
      <c r="GL28" s="139">
        <v>0</v>
      </c>
      <c r="GM28" s="139">
        <v>1725218</v>
      </c>
      <c r="GN28" s="139">
        <v>1372878</v>
      </c>
      <c r="GO28" s="139">
        <v>474063</v>
      </c>
      <c r="GP28" s="139">
        <v>379399</v>
      </c>
      <c r="GQ28" s="139">
        <v>2081248</v>
      </c>
      <c r="GR28" s="139">
        <v>0</v>
      </c>
      <c r="GS28" s="139">
        <v>4307588</v>
      </c>
      <c r="GT28" s="139">
        <v>597605</v>
      </c>
      <c r="GU28" s="139">
        <v>47081</v>
      </c>
      <c r="GV28" s="139">
        <v>31681</v>
      </c>
      <c r="GW28" s="139">
        <v>844660</v>
      </c>
      <c r="GX28" s="139">
        <v>0</v>
      </c>
      <c r="GY28" s="139">
        <v>1521027</v>
      </c>
      <c r="GZ28" s="139">
        <v>3767938</v>
      </c>
      <c r="HA28" s="139">
        <v>479935</v>
      </c>
      <c r="HB28" s="139">
        <v>294946</v>
      </c>
      <c r="HC28" s="139">
        <v>1019236</v>
      </c>
      <c r="HD28" s="139">
        <v>3122547</v>
      </c>
      <c r="HE28" s="139">
        <v>8684602</v>
      </c>
      <c r="HF28" s="139">
        <v>0</v>
      </c>
      <c r="HG28" s="139">
        <v>0</v>
      </c>
      <c r="HH28" s="139">
        <v>0</v>
      </c>
      <c r="HI28" s="139">
        <v>0</v>
      </c>
      <c r="HJ28" s="139">
        <v>1443820</v>
      </c>
      <c r="HK28" s="139">
        <v>1443820</v>
      </c>
      <c r="HL28" s="139">
        <v>0</v>
      </c>
      <c r="HM28" s="139">
        <v>0</v>
      </c>
      <c r="HN28" s="139">
        <v>0</v>
      </c>
      <c r="HO28" s="139">
        <v>0</v>
      </c>
      <c r="HP28" s="139">
        <v>43824</v>
      </c>
      <c r="HQ28" s="139">
        <v>43824</v>
      </c>
      <c r="HR28" s="139">
        <v>3031228</v>
      </c>
      <c r="HS28" s="139">
        <v>563122</v>
      </c>
      <c r="HT28" s="139">
        <v>558189</v>
      </c>
      <c r="HU28" s="139">
        <v>2688699</v>
      </c>
      <c r="HV28" s="139">
        <v>15720053</v>
      </c>
      <c r="HW28" s="139">
        <v>22561291</v>
      </c>
      <c r="HX28" s="139">
        <v>0</v>
      </c>
      <c r="HY28" s="139">
        <v>0</v>
      </c>
      <c r="HZ28" s="139">
        <v>0</v>
      </c>
      <c r="IA28" s="139">
        <v>0</v>
      </c>
      <c r="IB28" s="139">
        <v>1263780</v>
      </c>
      <c r="IC28" s="139">
        <v>1263780</v>
      </c>
      <c r="ID28" s="139">
        <v>0</v>
      </c>
      <c r="IE28" s="139">
        <v>0</v>
      </c>
      <c r="IF28" s="139">
        <v>0</v>
      </c>
      <c r="IG28" s="139">
        <v>0</v>
      </c>
      <c r="IH28" s="139">
        <v>0</v>
      </c>
      <c r="II28" s="139">
        <v>0</v>
      </c>
      <c r="IJ28" s="139">
        <v>0</v>
      </c>
      <c r="IK28" s="139">
        <v>0</v>
      </c>
      <c r="IL28" s="139">
        <v>0</v>
      </c>
      <c r="IM28" s="139">
        <v>0</v>
      </c>
      <c r="IN28" s="139">
        <v>1841811</v>
      </c>
      <c r="IO28" s="139">
        <v>1841811</v>
      </c>
      <c r="IP28" s="139">
        <v>0</v>
      </c>
      <c r="IQ28" s="139">
        <v>0</v>
      </c>
      <c r="IR28" s="139">
        <v>0</v>
      </c>
      <c r="IS28" s="139">
        <v>33281</v>
      </c>
      <c r="IT28" s="139">
        <v>82018</v>
      </c>
      <c r="IU28" s="139">
        <v>115299</v>
      </c>
      <c r="IV28" s="139">
        <v>477310</v>
      </c>
      <c r="IW28" s="139">
        <v>22475</v>
      </c>
      <c r="IX28" s="139">
        <v>10209</v>
      </c>
      <c r="IY28" s="139">
        <v>124849</v>
      </c>
      <c r="IZ28" s="139">
        <v>4550858</v>
      </c>
      <c r="JA28" s="139">
        <v>5185701</v>
      </c>
      <c r="JB28" s="139">
        <v>24966515</v>
      </c>
      <c r="JC28" s="139">
        <v>5729273</v>
      </c>
      <c r="JD28" s="139">
        <v>3768793</v>
      </c>
      <c r="JE28" s="139">
        <v>22354282</v>
      </c>
      <c r="JF28" s="139">
        <v>35742093</v>
      </c>
      <c r="JG28" s="139">
        <v>92560956</v>
      </c>
      <c r="JH28" s="139">
        <v>0</v>
      </c>
      <c r="JI28" s="139">
        <v>0</v>
      </c>
      <c r="JJ28" s="139">
        <v>0</v>
      </c>
      <c r="JK28" s="139">
        <v>0</v>
      </c>
      <c r="JL28" s="139">
        <v>4000000</v>
      </c>
      <c r="JM28" s="139">
        <v>4000000</v>
      </c>
      <c r="JN28" s="139">
        <v>24966515</v>
      </c>
      <c r="JO28" s="139">
        <v>5729273</v>
      </c>
      <c r="JP28" s="139">
        <v>3768793</v>
      </c>
      <c r="JQ28" s="139">
        <v>22354282</v>
      </c>
      <c r="JR28" s="139">
        <v>39742093</v>
      </c>
      <c r="JS28" s="139">
        <v>96560956</v>
      </c>
      <c r="JU28" s="70">
        <f t="shared" si="0"/>
        <v>22472925</v>
      </c>
      <c r="JV28" s="70">
        <f t="shared" si="1"/>
        <v>0</v>
      </c>
      <c r="JW28" s="70">
        <f t="shared" si="2"/>
        <v>3274712</v>
      </c>
      <c r="JX28" s="70">
        <f t="shared" si="3"/>
        <v>0</v>
      </c>
      <c r="JY28" s="70">
        <f t="shared" si="4"/>
        <v>0</v>
      </c>
      <c r="JZ28" s="70">
        <f t="shared" si="5"/>
        <v>0</v>
      </c>
      <c r="KA28" s="70">
        <f t="shared" si="6"/>
        <v>31866597</v>
      </c>
      <c r="KB28" s="70">
        <f t="shared" si="7"/>
        <v>0</v>
      </c>
      <c r="KC28" s="70">
        <f t="shared" si="8"/>
        <v>0</v>
      </c>
      <c r="KD28" s="70">
        <f t="shared" si="9"/>
        <v>0</v>
      </c>
      <c r="KE28" s="70">
        <f t="shared" si="10"/>
        <v>0</v>
      </c>
      <c r="KF28" s="70">
        <f t="shared" si="11"/>
        <v>0</v>
      </c>
      <c r="KG28" s="70">
        <f t="shared" si="12"/>
        <v>0</v>
      </c>
      <c r="KH28" s="70">
        <f t="shared" si="13"/>
        <v>0</v>
      </c>
      <c r="KI28" s="70">
        <f t="shared" si="14"/>
        <v>0</v>
      </c>
      <c r="KJ28" s="70">
        <f t="shared" si="15"/>
        <v>0</v>
      </c>
      <c r="KK28" s="70">
        <f t="shared" si="16"/>
        <v>22225911</v>
      </c>
      <c r="KL28" s="70">
        <f t="shared" si="17"/>
        <v>0</v>
      </c>
      <c r="KM28" s="70">
        <f t="shared" si="18"/>
        <v>5669380</v>
      </c>
      <c r="KN28" s="70">
        <f t="shared" si="19"/>
        <v>0</v>
      </c>
      <c r="KO28" s="70">
        <f t="shared" si="20"/>
        <v>1673004</v>
      </c>
      <c r="KP28" s="70">
        <f t="shared" si="21"/>
        <v>0</v>
      </c>
      <c r="KQ28" s="70">
        <f t="shared" si="22"/>
        <v>8560268</v>
      </c>
      <c r="KR28" s="70">
        <f t="shared" si="23"/>
        <v>0</v>
      </c>
      <c r="KS28" s="70">
        <f t="shared" si="24"/>
        <v>359791</v>
      </c>
      <c r="KT28" s="70">
        <f t="shared" si="25"/>
        <v>0</v>
      </c>
      <c r="KU28" s="70">
        <f t="shared" si="26"/>
        <v>6427492</v>
      </c>
      <c r="KV28" s="70">
        <f t="shared" si="27"/>
        <v>0</v>
      </c>
      <c r="KW28" s="70">
        <f t="shared" si="28"/>
        <v>965507</v>
      </c>
      <c r="KX28" s="70">
        <f t="shared" si="29"/>
        <v>0</v>
      </c>
      <c r="KY28" s="70">
        <f t="shared" si="30"/>
        <v>103495587</v>
      </c>
      <c r="KZ28" s="70">
        <f t="shared" si="31"/>
        <v>0</v>
      </c>
      <c r="LA28" s="70">
        <f t="shared" si="32"/>
        <v>11046804</v>
      </c>
      <c r="LB28" s="70">
        <f t="shared" si="33"/>
        <v>0</v>
      </c>
      <c r="LC28" s="70">
        <f t="shared" si="34"/>
        <v>2002998</v>
      </c>
      <c r="LD28" s="70">
        <f t="shared" si="35"/>
        <v>0</v>
      </c>
      <c r="LE28" s="70">
        <f t="shared" si="36"/>
        <v>16847388</v>
      </c>
      <c r="LF28" s="70">
        <f t="shared" si="37"/>
        <v>0</v>
      </c>
      <c r="LG28" s="70">
        <f t="shared" si="78"/>
        <v>0</v>
      </c>
      <c r="LH28" s="70">
        <f t="shared" si="79"/>
        <v>0</v>
      </c>
      <c r="LI28" s="70">
        <f t="shared" si="40"/>
        <v>13438933</v>
      </c>
      <c r="LJ28" s="70">
        <f t="shared" si="41"/>
        <v>0</v>
      </c>
      <c r="LK28" s="70">
        <f t="shared" si="42"/>
        <v>0</v>
      </c>
      <c r="LL28" s="70">
        <f t="shared" si="43"/>
        <v>0</v>
      </c>
      <c r="LM28" s="70">
        <f t="shared" si="44"/>
        <v>530872</v>
      </c>
      <c r="LN28" s="70">
        <f t="shared" si="45"/>
        <v>0</v>
      </c>
      <c r="LO28" s="70">
        <f t="shared" si="46"/>
        <v>1725218</v>
      </c>
      <c r="LP28" s="70">
        <f t="shared" si="47"/>
        <v>0</v>
      </c>
      <c r="LQ28" s="70">
        <f t="shared" si="48"/>
        <v>4307588</v>
      </c>
      <c r="LR28" s="70">
        <f t="shared" si="49"/>
        <v>0</v>
      </c>
      <c r="LS28" s="70">
        <f t="shared" si="50"/>
        <v>1521027</v>
      </c>
      <c r="LT28" s="70">
        <f t="shared" si="51"/>
        <v>0</v>
      </c>
      <c r="LU28" s="70">
        <f t="shared" si="52"/>
        <v>8684602</v>
      </c>
      <c r="LV28" s="70">
        <f t="shared" si="53"/>
        <v>0</v>
      </c>
      <c r="LW28" s="70">
        <f t="shared" si="54"/>
        <v>1443820</v>
      </c>
      <c r="LX28" s="70">
        <f t="shared" si="55"/>
        <v>0</v>
      </c>
      <c r="LY28" s="70">
        <f t="shared" si="56"/>
        <v>43824</v>
      </c>
      <c r="LZ28" s="70">
        <f t="shared" si="57"/>
        <v>0</v>
      </c>
      <c r="MA28" s="70">
        <f t="shared" si="58"/>
        <v>22561291</v>
      </c>
      <c r="MB28" s="70">
        <f t="shared" si="59"/>
        <v>0</v>
      </c>
      <c r="MC28" s="70">
        <f t="shared" si="60"/>
        <v>1263780</v>
      </c>
      <c r="MD28" s="70">
        <f t="shared" si="61"/>
        <v>0</v>
      </c>
      <c r="ME28" s="70">
        <f t="shared" si="62"/>
        <v>0</v>
      </c>
      <c r="MF28" s="70">
        <f t="shared" si="63"/>
        <v>0</v>
      </c>
      <c r="MG28" s="70">
        <f t="shared" si="64"/>
        <v>1841811</v>
      </c>
      <c r="MH28" s="70">
        <f t="shared" si="65"/>
        <v>0</v>
      </c>
      <c r="MI28" s="70">
        <f t="shared" si="66"/>
        <v>115299</v>
      </c>
      <c r="MJ28" s="70">
        <f t="shared" si="67"/>
        <v>0</v>
      </c>
      <c r="MK28" s="70">
        <f t="shared" si="68"/>
        <v>5185701</v>
      </c>
      <c r="ML28" s="70">
        <f t="shared" si="69"/>
        <v>0</v>
      </c>
      <c r="MM28" s="70">
        <f t="shared" si="70"/>
        <v>92560956</v>
      </c>
      <c r="MN28" s="70">
        <f t="shared" si="71"/>
        <v>0</v>
      </c>
      <c r="MO28" s="70">
        <f t="shared" si="72"/>
        <v>4000000</v>
      </c>
      <c r="MP28" s="70">
        <f t="shared" si="73"/>
        <v>0</v>
      </c>
      <c r="MQ28" s="70">
        <f t="shared" si="74"/>
        <v>96560956</v>
      </c>
      <c r="MR28" s="70">
        <f t="shared" si="75"/>
        <v>0</v>
      </c>
      <c r="MT28" s="70">
        <f t="shared" si="76"/>
        <v>0</v>
      </c>
      <c r="MV28" s="68">
        <f t="shared" si="77"/>
        <v>0</v>
      </c>
    </row>
    <row r="29" spans="1:360" x14ac:dyDescent="0.15">
      <c r="A29" s="182" t="s">
        <v>316</v>
      </c>
      <c r="B29" s="76" t="s">
        <v>423</v>
      </c>
      <c r="C29" s="90">
        <v>139940</v>
      </c>
      <c r="D29" s="90">
        <v>2014</v>
      </c>
      <c r="E29" s="90">
        <v>1</v>
      </c>
      <c r="F29" s="91">
        <v>11</v>
      </c>
      <c r="G29" s="92">
        <v>7690</v>
      </c>
      <c r="H29" s="92">
        <v>10740</v>
      </c>
      <c r="I29" s="93">
        <v>615502290</v>
      </c>
      <c r="J29" s="93">
        <v>592305276</v>
      </c>
      <c r="K29" s="93">
        <v>0</v>
      </c>
      <c r="L29" s="93">
        <v>0</v>
      </c>
      <c r="M29" s="93">
        <v>29812318</v>
      </c>
      <c r="N29" s="93">
        <v>31570387</v>
      </c>
      <c r="O29" s="93">
        <v>0</v>
      </c>
      <c r="P29" s="93">
        <v>0</v>
      </c>
      <c r="Q29" s="93">
        <v>371510426</v>
      </c>
      <c r="R29" s="93">
        <v>379673794</v>
      </c>
      <c r="S29" s="93">
        <v>536511861</v>
      </c>
      <c r="T29" s="93">
        <v>512113169</v>
      </c>
      <c r="U29" s="93">
        <v>22854</v>
      </c>
      <c r="V29" s="93">
        <v>23030</v>
      </c>
      <c r="W29" s="93">
        <v>41064</v>
      </c>
      <c r="X29" s="93">
        <v>41240</v>
      </c>
      <c r="Y29" s="93">
        <v>25480</v>
      </c>
      <c r="Z29" s="93">
        <v>23626</v>
      </c>
      <c r="AA29" s="93">
        <v>43690</v>
      </c>
      <c r="AB29" s="93">
        <v>39408</v>
      </c>
      <c r="AC29" s="114">
        <v>7</v>
      </c>
      <c r="AD29" s="114">
        <v>10</v>
      </c>
      <c r="AE29" s="114">
        <v>0</v>
      </c>
      <c r="AF29" s="120">
        <v>2448081</v>
      </c>
      <c r="AG29" s="115">
        <v>1913811</v>
      </c>
      <c r="AH29" s="115">
        <v>311563</v>
      </c>
      <c r="AI29" s="115">
        <v>119101</v>
      </c>
      <c r="AJ29" s="115">
        <v>260196</v>
      </c>
      <c r="AK29" s="116">
        <v>6</v>
      </c>
      <c r="AL29" s="115">
        <v>260196</v>
      </c>
      <c r="AM29" s="116">
        <v>6</v>
      </c>
      <c r="AN29" s="115">
        <v>112244</v>
      </c>
      <c r="AO29" s="116">
        <v>8</v>
      </c>
      <c r="AP29" s="115">
        <v>112244</v>
      </c>
      <c r="AQ29" s="116">
        <v>8</v>
      </c>
      <c r="AR29" s="121">
        <v>119656</v>
      </c>
      <c r="AS29" s="122">
        <v>17</v>
      </c>
      <c r="AT29" s="121">
        <v>119656</v>
      </c>
      <c r="AU29" s="122">
        <v>17</v>
      </c>
      <c r="AV29" s="121">
        <v>55056</v>
      </c>
      <c r="AW29" s="122">
        <v>12</v>
      </c>
      <c r="AX29" s="121">
        <v>55056</v>
      </c>
      <c r="AY29" s="122">
        <v>12</v>
      </c>
      <c r="AZ29" s="152">
        <v>511385</v>
      </c>
      <c r="BA29" s="153">
        <v>126217</v>
      </c>
      <c r="BB29" s="151">
        <v>7732</v>
      </c>
      <c r="BC29" s="153">
        <v>9013</v>
      </c>
      <c r="BD29" s="153">
        <v>0</v>
      </c>
      <c r="BE29" s="153">
        <v>654347</v>
      </c>
      <c r="BF29" s="153">
        <v>0</v>
      </c>
      <c r="BG29" s="153">
        <v>0</v>
      </c>
      <c r="BH29" s="154">
        <v>0</v>
      </c>
      <c r="BI29" s="153">
        <v>0</v>
      </c>
      <c r="BJ29" s="153">
        <v>17598102</v>
      </c>
      <c r="BK29" s="153">
        <v>17598102</v>
      </c>
      <c r="BL29" s="153">
        <v>1403015</v>
      </c>
      <c r="BM29" s="153">
        <v>85000</v>
      </c>
      <c r="BN29" s="154">
        <v>0</v>
      </c>
      <c r="BO29" s="153">
        <v>29500</v>
      </c>
      <c r="BP29" s="153">
        <v>0</v>
      </c>
      <c r="BQ29" s="153">
        <v>1517515</v>
      </c>
      <c r="BR29" s="153">
        <v>69177</v>
      </c>
      <c r="BS29" s="153">
        <v>142293</v>
      </c>
      <c r="BT29" s="153">
        <v>2395</v>
      </c>
      <c r="BU29" s="153">
        <v>47876</v>
      </c>
      <c r="BV29" s="153">
        <v>1306904</v>
      </c>
      <c r="BW29" s="153">
        <v>1568645</v>
      </c>
      <c r="BX29" s="155">
        <v>0</v>
      </c>
      <c r="BY29" s="153">
        <v>0</v>
      </c>
      <c r="BZ29" s="153">
        <v>0</v>
      </c>
      <c r="CA29" s="153">
        <v>0</v>
      </c>
      <c r="CB29" s="153">
        <v>0</v>
      </c>
      <c r="CC29" s="153">
        <v>0</v>
      </c>
      <c r="CD29" s="153">
        <v>0</v>
      </c>
      <c r="CE29" s="153">
        <v>0</v>
      </c>
      <c r="CF29" s="153">
        <v>0</v>
      </c>
      <c r="CG29" s="153">
        <v>0</v>
      </c>
      <c r="CH29" s="153">
        <v>0</v>
      </c>
      <c r="CI29" s="153">
        <v>0</v>
      </c>
      <c r="CJ29" s="153">
        <v>0</v>
      </c>
      <c r="CK29" s="153">
        <v>0</v>
      </c>
      <c r="CL29" s="153">
        <v>0</v>
      </c>
      <c r="CM29" s="153">
        <v>0</v>
      </c>
      <c r="CN29" s="156">
        <v>1787288</v>
      </c>
      <c r="CO29" s="156">
        <v>1787288</v>
      </c>
      <c r="CP29" s="139">
        <v>0</v>
      </c>
      <c r="CQ29" s="153">
        <v>0</v>
      </c>
      <c r="CR29" s="152">
        <v>0</v>
      </c>
      <c r="CS29" s="153">
        <v>0</v>
      </c>
      <c r="CT29" s="153">
        <v>1307327</v>
      </c>
      <c r="CU29" s="153">
        <v>1307327</v>
      </c>
      <c r="CV29" s="139">
        <v>250000</v>
      </c>
      <c r="CW29" s="153">
        <v>80986</v>
      </c>
      <c r="CX29" s="153">
        <v>0</v>
      </c>
      <c r="CY29" s="153">
        <v>0</v>
      </c>
      <c r="CZ29" s="153">
        <v>1377211</v>
      </c>
      <c r="DA29" s="153">
        <v>1708197</v>
      </c>
      <c r="DB29" s="139">
        <v>0</v>
      </c>
      <c r="DC29" s="153">
        <v>0</v>
      </c>
      <c r="DD29" s="153">
        <v>0</v>
      </c>
      <c r="DE29" s="153">
        <v>0</v>
      </c>
      <c r="DF29" s="153">
        <v>0</v>
      </c>
      <c r="DG29" s="155">
        <v>0</v>
      </c>
      <c r="DH29" s="157">
        <v>820</v>
      </c>
      <c r="DI29" s="153">
        <v>4924</v>
      </c>
      <c r="DJ29" s="153">
        <v>0</v>
      </c>
      <c r="DK29" s="153">
        <v>0</v>
      </c>
      <c r="DL29" s="153">
        <v>10000</v>
      </c>
      <c r="DM29" s="153">
        <v>15744</v>
      </c>
      <c r="DN29" s="139">
        <v>0</v>
      </c>
      <c r="DO29" s="153">
        <v>0</v>
      </c>
      <c r="DP29" s="153">
        <v>0</v>
      </c>
      <c r="DQ29" s="153">
        <v>0</v>
      </c>
      <c r="DR29" s="153">
        <v>726961</v>
      </c>
      <c r="DS29" s="153">
        <v>726961</v>
      </c>
      <c r="DT29" s="139">
        <v>0</v>
      </c>
      <c r="DU29" s="153">
        <v>0</v>
      </c>
      <c r="DV29" s="153">
        <v>0</v>
      </c>
      <c r="DW29" s="153">
        <v>0</v>
      </c>
      <c r="DX29" s="153">
        <v>0</v>
      </c>
      <c r="DY29" s="152">
        <v>0</v>
      </c>
      <c r="DZ29" s="139">
        <v>0</v>
      </c>
      <c r="EA29" s="139">
        <v>0</v>
      </c>
      <c r="EB29" s="139">
        <v>0</v>
      </c>
      <c r="EC29" s="139">
        <v>0</v>
      </c>
      <c r="ED29" s="139">
        <v>0</v>
      </c>
      <c r="EE29" s="139">
        <v>0</v>
      </c>
      <c r="EF29" s="139">
        <v>1762</v>
      </c>
      <c r="EG29" s="153">
        <v>-150</v>
      </c>
      <c r="EH29" s="153">
        <v>0</v>
      </c>
      <c r="EI29" s="153">
        <v>52022</v>
      </c>
      <c r="EJ29" s="153">
        <v>155556</v>
      </c>
      <c r="EK29" s="153">
        <v>209190</v>
      </c>
      <c r="EL29" s="157">
        <v>2236159</v>
      </c>
      <c r="EM29" s="153">
        <v>439270</v>
      </c>
      <c r="EN29" s="153">
        <v>10127</v>
      </c>
      <c r="EO29" s="153">
        <v>138411</v>
      </c>
      <c r="EP29" s="153">
        <v>24269349</v>
      </c>
      <c r="EQ29" s="153">
        <v>27093316</v>
      </c>
      <c r="ER29" s="157">
        <v>1552151</v>
      </c>
      <c r="ES29" s="153">
        <v>264894</v>
      </c>
      <c r="ET29" s="153">
        <v>300668</v>
      </c>
      <c r="EU29" s="154">
        <v>2244179</v>
      </c>
      <c r="EV29" s="153">
        <v>2738180</v>
      </c>
      <c r="EW29" s="155">
        <v>7100072</v>
      </c>
      <c r="EX29" s="157">
        <v>750000</v>
      </c>
      <c r="EY29" s="153">
        <v>16000</v>
      </c>
      <c r="EZ29" s="153">
        <v>0</v>
      </c>
      <c r="FA29" s="153">
        <v>2500</v>
      </c>
      <c r="FB29" s="153">
        <v>0</v>
      </c>
      <c r="FC29" s="153">
        <v>768500</v>
      </c>
      <c r="FD29" s="153">
        <v>2048063</v>
      </c>
      <c r="FE29" s="153">
        <v>895497</v>
      </c>
      <c r="FF29" s="153">
        <v>494839</v>
      </c>
      <c r="FG29" s="153">
        <v>1715559</v>
      </c>
      <c r="FH29" s="153">
        <v>0</v>
      </c>
      <c r="FI29" s="153">
        <v>5153958</v>
      </c>
      <c r="FJ29" s="153">
        <v>0</v>
      </c>
      <c r="FK29" s="153">
        <v>0</v>
      </c>
      <c r="FL29" s="153">
        <v>0</v>
      </c>
      <c r="FM29" s="153">
        <v>0</v>
      </c>
      <c r="FN29" s="154">
        <v>0</v>
      </c>
      <c r="FO29" s="153">
        <v>0</v>
      </c>
      <c r="FP29" s="154">
        <v>89873</v>
      </c>
      <c r="FQ29" s="153">
        <v>0</v>
      </c>
      <c r="FR29" s="154">
        <v>0</v>
      </c>
      <c r="FS29" s="153">
        <v>0</v>
      </c>
      <c r="FT29" s="153">
        <v>4473056</v>
      </c>
      <c r="FU29" s="153">
        <v>4562929</v>
      </c>
      <c r="FV29" s="158">
        <v>0</v>
      </c>
      <c r="FW29" s="158">
        <v>0</v>
      </c>
      <c r="FX29" s="159">
        <v>0</v>
      </c>
      <c r="FY29" s="159">
        <v>0</v>
      </c>
      <c r="FZ29" s="158">
        <v>0</v>
      </c>
      <c r="GA29" s="159">
        <v>0</v>
      </c>
      <c r="GB29" s="159">
        <v>0</v>
      </c>
      <c r="GC29" s="158">
        <v>0</v>
      </c>
      <c r="GD29" s="158">
        <v>0</v>
      </c>
      <c r="GE29" s="159">
        <v>0</v>
      </c>
      <c r="GF29" s="159">
        <v>0</v>
      </c>
      <c r="GG29" s="158">
        <v>0</v>
      </c>
      <c r="GH29" s="159">
        <v>191700</v>
      </c>
      <c r="GI29" s="158">
        <v>77889</v>
      </c>
      <c r="GJ29" s="159">
        <v>49206</v>
      </c>
      <c r="GK29" s="158">
        <v>111869</v>
      </c>
      <c r="GL29" s="159">
        <v>0</v>
      </c>
      <c r="GM29" s="158">
        <v>430664</v>
      </c>
      <c r="GN29" s="159">
        <v>547810</v>
      </c>
      <c r="GO29" s="158">
        <v>238767</v>
      </c>
      <c r="GP29" s="159">
        <v>180191</v>
      </c>
      <c r="GQ29" s="158">
        <v>709150</v>
      </c>
      <c r="GR29" s="159">
        <v>318977</v>
      </c>
      <c r="GS29" s="158">
        <v>1994895</v>
      </c>
      <c r="GT29" s="159">
        <v>270751</v>
      </c>
      <c r="GU29" s="158">
        <v>62328</v>
      </c>
      <c r="GV29" s="159">
        <v>41711</v>
      </c>
      <c r="GW29" s="158">
        <v>286681</v>
      </c>
      <c r="GX29" s="159">
        <v>576901</v>
      </c>
      <c r="GY29" s="158">
        <v>1238372</v>
      </c>
      <c r="GZ29" s="159">
        <v>335612</v>
      </c>
      <c r="HA29" s="159">
        <v>52681</v>
      </c>
      <c r="HB29" s="158">
        <v>21950</v>
      </c>
      <c r="HC29" s="158">
        <v>59286</v>
      </c>
      <c r="HD29" s="158">
        <v>293865</v>
      </c>
      <c r="HE29" s="158">
        <v>763394</v>
      </c>
      <c r="HF29" s="159">
        <v>0</v>
      </c>
      <c r="HG29" s="158">
        <v>0</v>
      </c>
      <c r="HH29" s="159">
        <v>0</v>
      </c>
      <c r="HI29" s="159">
        <v>0</v>
      </c>
      <c r="HJ29" s="159">
        <v>352816</v>
      </c>
      <c r="HK29" s="158">
        <v>352816</v>
      </c>
      <c r="HL29" s="159">
        <v>0</v>
      </c>
      <c r="HM29" s="159">
        <v>0</v>
      </c>
      <c r="HN29" s="159">
        <v>0</v>
      </c>
      <c r="HO29" s="159">
        <v>0</v>
      </c>
      <c r="HP29" s="158">
        <v>0</v>
      </c>
      <c r="HQ29" s="159">
        <v>0</v>
      </c>
      <c r="HR29" s="159">
        <v>655710</v>
      </c>
      <c r="HS29" s="159">
        <v>4554</v>
      </c>
      <c r="HT29" s="159">
        <v>5920</v>
      </c>
      <c r="HU29" s="160">
        <v>20302</v>
      </c>
      <c r="HV29" s="159">
        <v>857793</v>
      </c>
      <c r="HW29" s="159">
        <v>1544279</v>
      </c>
      <c r="HX29" s="159">
        <v>0</v>
      </c>
      <c r="HY29" s="159">
        <v>0</v>
      </c>
      <c r="HZ29" s="158">
        <v>0</v>
      </c>
      <c r="IA29" s="158">
        <v>0</v>
      </c>
      <c r="IB29" s="159">
        <v>321762</v>
      </c>
      <c r="IC29" s="159">
        <v>321762</v>
      </c>
      <c r="ID29" s="159">
        <v>0</v>
      </c>
      <c r="IE29" s="159">
        <v>0</v>
      </c>
      <c r="IF29" s="158">
        <v>0</v>
      </c>
      <c r="IG29" s="158">
        <v>0</v>
      </c>
      <c r="IH29" s="158">
        <v>1307327</v>
      </c>
      <c r="II29" s="159">
        <v>1307327</v>
      </c>
      <c r="IJ29" s="159">
        <v>0</v>
      </c>
      <c r="IK29" s="159">
        <v>0</v>
      </c>
      <c r="IL29" s="152">
        <v>0</v>
      </c>
      <c r="IM29" s="159">
        <v>0</v>
      </c>
      <c r="IN29" s="159">
        <v>251056</v>
      </c>
      <c r="IO29" s="158">
        <v>251056</v>
      </c>
      <c r="IP29" s="159">
        <v>0</v>
      </c>
      <c r="IQ29" s="159">
        <v>732</v>
      </c>
      <c r="IR29" s="159">
        <v>0</v>
      </c>
      <c r="IS29" s="159">
        <v>3188</v>
      </c>
      <c r="IT29" s="159">
        <v>319640</v>
      </c>
      <c r="IU29" s="159">
        <v>323560</v>
      </c>
      <c r="IV29" s="158">
        <v>52645</v>
      </c>
      <c r="IW29" s="158">
        <v>197</v>
      </c>
      <c r="IX29" s="159">
        <v>-608</v>
      </c>
      <c r="IY29" s="158">
        <v>181</v>
      </c>
      <c r="IZ29" s="161">
        <v>1322641</v>
      </c>
      <c r="JA29" s="162">
        <v>1375056</v>
      </c>
      <c r="JB29" s="158">
        <v>6494315</v>
      </c>
      <c r="JC29" s="159">
        <v>1613539</v>
      </c>
      <c r="JD29" s="159">
        <v>1093877</v>
      </c>
      <c r="JE29" s="158">
        <v>5152895</v>
      </c>
      <c r="JF29" s="158">
        <v>13134014</v>
      </c>
      <c r="JG29" s="159">
        <v>27488640</v>
      </c>
      <c r="JH29" s="158">
        <v>0</v>
      </c>
      <c r="JI29" s="159">
        <v>0</v>
      </c>
      <c r="JJ29" s="152">
        <v>0</v>
      </c>
      <c r="JK29" s="159">
        <v>0</v>
      </c>
      <c r="JL29" s="158">
        <v>0</v>
      </c>
      <c r="JM29" s="159">
        <v>0</v>
      </c>
      <c r="JN29" s="159">
        <v>6494315</v>
      </c>
      <c r="JO29" s="159">
        <v>1613539</v>
      </c>
      <c r="JP29" s="158">
        <v>1093877</v>
      </c>
      <c r="JQ29" s="159">
        <v>5152895</v>
      </c>
      <c r="JR29" s="159">
        <v>13134014</v>
      </c>
      <c r="JS29" s="159">
        <v>27488640</v>
      </c>
      <c r="JU29" s="70">
        <f t="shared" si="0"/>
        <v>654347</v>
      </c>
      <c r="JV29" s="70">
        <f t="shared" si="1"/>
        <v>0</v>
      </c>
      <c r="JW29" s="70">
        <f t="shared" si="2"/>
        <v>17598102</v>
      </c>
      <c r="JX29" s="70">
        <f t="shared" si="3"/>
        <v>0</v>
      </c>
      <c r="JY29" s="70">
        <f t="shared" si="4"/>
        <v>1517515</v>
      </c>
      <c r="JZ29" s="70">
        <f t="shared" si="5"/>
        <v>0</v>
      </c>
      <c r="KA29" s="70">
        <f t="shared" si="6"/>
        <v>1568645</v>
      </c>
      <c r="KB29" s="70">
        <f t="shared" si="7"/>
        <v>0</v>
      </c>
      <c r="KC29" s="70">
        <f t="shared" si="8"/>
        <v>0</v>
      </c>
      <c r="KD29" s="70">
        <f t="shared" si="9"/>
        <v>0</v>
      </c>
      <c r="KE29" s="70">
        <f t="shared" si="10"/>
        <v>0</v>
      </c>
      <c r="KF29" s="70">
        <f t="shared" si="11"/>
        <v>0</v>
      </c>
      <c r="KG29" s="70">
        <f t="shared" si="12"/>
        <v>1787288</v>
      </c>
      <c r="KH29" s="70">
        <f t="shared" si="13"/>
        <v>0</v>
      </c>
      <c r="KI29" s="70">
        <f t="shared" si="14"/>
        <v>1307327</v>
      </c>
      <c r="KJ29" s="70">
        <f t="shared" si="15"/>
        <v>0</v>
      </c>
      <c r="KK29" s="70">
        <f t="shared" si="16"/>
        <v>1708197</v>
      </c>
      <c r="KL29" s="70">
        <f t="shared" si="17"/>
        <v>0</v>
      </c>
      <c r="KM29" s="70">
        <f t="shared" si="18"/>
        <v>0</v>
      </c>
      <c r="KN29" s="70">
        <f t="shared" si="19"/>
        <v>0</v>
      </c>
      <c r="KO29" s="70">
        <f t="shared" si="20"/>
        <v>15744</v>
      </c>
      <c r="KP29" s="70">
        <f t="shared" si="21"/>
        <v>0</v>
      </c>
      <c r="KQ29" s="70">
        <f t="shared" si="22"/>
        <v>726961</v>
      </c>
      <c r="KR29" s="70">
        <f t="shared" si="23"/>
        <v>0</v>
      </c>
      <c r="KS29" s="70">
        <f t="shared" si="24"/>
        <v>0</v>
      </c>
      <c r="KT29" s="70">
        <f t="shared" si="25"/>
        <v>0</v>
      </c>
      <c r="KU29" s="70">
        <f t="shared" si="26"/>
        <v>0</v>
      </c>
      <c r="KV29" s="70">
        <f t="shared" si="27"/>
        <v>0</v>
      </c>
      <c r="KW29" s="70">
        <f t="shared" si="28"/>
        <v>209190</v>
      </c>
      <c r="KX29" s="70">
        <f t="shared" si="29"/>
        <v>0</v>
      </c>
      <c r="KY29" s="70">
        <f t="shared" si="30"/>
        <v>27093316</v>
      </c>
      <c r="KZ29" s="70">
        <f t="shared" si="31"/>
        <v>0</v>
      </c>
      <c r="LA29" s="70">
        <f t="shared" si="32"/>
        <v>7100072</v>
      </c>
      <c r="LB29" s="70">
        <f t="shared" si="33"/>
        <v>0</v>
      </c>
      <c r="LC29" s="70">
        <f t="shared" si="34"/>
        <v>768500</v>
      </c>
      <c r="LD29" s="70">
        <f t="shared" si="35"/>
        <v>0</v>
      </c>
      <c r="LE29" s="70">
        <f t="shared" si="36"/>
        <v>5153958</v>
      </c>
      <c r="LF29" s="70">
        <f t="shared" si="37"/>
        <v>0</v>
      </c>
      <c r="LG29" s="70">
        <f t="shared" si="78"/>
        <v>0</v>
      </c>
      <c r="LH29" s="70">
        <f t="shared" si="79"/>
        <v>0</v>
      </c>
      <c r="LI29" s="70">
        <f t="shared" si="40"/>
        <v>4562929</v>
      </c>
      <c r="LJ29" s="70">
        <f t="shared" si="41"/>
        <v>0</v>
      </c>
      <c r="LK29" s="70">
        <f t="shared" si="42"/>
        <v>0</v>
      </c>
      <c r="LL29" s="70">
        <f t="shared" si="43"/>
        <v>0</v>
      </c>
      <c r="LM29" s="70">
        <f t="shared" si="44"/>
        <v>0</v>
      </c>
      <c r="LN29" s="70">
        <f t="shared" si="45"/>
        <v>0</v>
      </c>
      <c r="LO29" s="70">
        <f t="shared" si="46"/>
        <v>430664</v>
      </c>
      <c r="LP29" s="70">
        <f t="shared" si="47"/>
        <v>0</v>
      </c>
      <c r="LQ29" s="70">
        <f t="shared" si="48"/>
        <v>1994895</v>
      </c>
      <c r="LR29" s="70">
        <f t="shared" si="49"/>
        <v>0</v>
      </c>
      <c r="LS29" s="70">
        <f t="shared" si="50"/>
        <v>1238372</v>
      </c>
      <c r="LT29" s="70">
        <f t="shared" si="51"/>
        <v>0</v>
      </c>
      <c r="LU29" s="70">
        <f t="shared" si="52"/>
        <v>763394</v>
      </c>
      <c r="LV29" s="70">
        <f t="shared" si="53"/>
        <v>0</v>
      </c>
      <c r="LW29" s="70">
        <f t="shared" si="54"/>
        <v>352816</v>
      </c>
      <c r="LX29" s="70">
        <f t="shared" si="55"/>
        <v>0</v>
      </c>
      <c r="LY29" s="70">
        <f t="shared" si="56"/>
        <v>0</v>
      </c>
      <c r="LZ29" s="70">
        <f t="shared" si="57"/>
        <v>0</v>
      </c>
      <c r="MA29" s="70">
        <f t="shared" si="58"/>
        <v>1544279</v>
      </c>
      <c r="MB29" s="70">
        <f t="shared" si="59"/>
        <v>0</v>
      </c>
      <c r="MC29" s="70">
        <f t="shared" si="60"/>
        <v>321762</v>
      </c>
      <c r="MD29" s="70">
        <f t="shared" si="61"/>
        <v>0</v>
      </c>
      <c r="ME29" s="70">
        <f t="shared" si="62"/>
        <v>1307327</v>
      </c>
      <c r="MF29" s="70">
        <f t="shared" si="63"/>
        <v>0</v>
      </c>
      <c r="MG29" s="70">
        <f t="shared" si="64"/>
        <v>251056</v>
      </c>
      <c r="MH29" s="70">
        <f t="shared" si="65"/>
        <v>0</v>
      </c>
      <c r="MI29" s="70">
        <f t="shared" si="66"/>
        <v>323560</v>
      </c>
      <c r="MJ29" s="70">
        <f t="shared" si="67"/>
        <v>0</v>
      </c>
      <c r="MK29" s="70">
        <f t="shared" si="68"/>
        <v>1375056</v>
      </c>
      <c r="ML29" s="70">
        <f t="shared" si="69"/>
        <v>0</v>
      </c>
      <c r="MM29" s="70">
        <f t="shared" si="70"/>
        <v>27488640</v>
      </c>
      <c r="MN29" s="70">
        <f t="shared" si="71"/>
        <v>0</v>
      </c>
      <c r="MO29" s="70">
        <f t="shared" si="72"/>
        <v>0</v>
      </c>
      <c r="MP29" s="70">
        <f t="shared" si="73"/>
        <v>0</v>
      </c>
      <c r="MQ29" s="70">
        <f t="shared" si="74"/>
        <v>27488640</v>
      </c>
      <c r="MR29" s="70">
        <f t="shared" si="75"/>
        <v>0</v>
      </c>
      <c r="MT29" s="70">
        <f t="shared" si="76"/>
        <v>0</v>
      </c>
      <c r="MV29" s="68">
        <f t="shared" si="77"/>
        <v>0</v>
      </c>
    </row>
    <row r="30" spans="1:360" x14ac:dyDescent="0.15">
      <c r="A30" s="182" t="s">
        <v>317</v>
      </c>
      <c r="B30" s="76" t="s">
        <v>423</v>
      </c>
      <c r="C30" s="90">
        <v>139755</v>
      </c>
      <c r="D30" s="90">
        <v>2014</v>
      </c>
      <c r="E30" s="90">
        <v>1</v>
      </c>
      <c r="F30" s="91">
        <v>1</v>
      </c>
      <c r="G30" s="92">
        <v>9725</v>
      </c>
      <c r="H30" s="92">
        <v>4833</v>
      </c>
      <c r="I30" s="93">
        <v>1332066331</v>
      </c>
      <c r="J30" s="93">
        <v>1311667293</v>
      </c>
      <c r="K30" s="93">
        <v>13292166</v>
      </c>
      <c r="L30" s="93">
        <v>8592512</v>
      </c>
      <c r="M30" s="93">
        <v>45551450</v>
      </c>
      <c r="N30" s="93">
        <v>44441888</v>
      </c>
      <c r="O30" s="93">
        <v>228680026</v>
      </c>
      <c r="P30" s="93">
        <v>223014281</v>
      </c>
      <c r="Q30" s="93">
        <v>477788354</v>
      </c>
      <c r="R30" s="93">
        <v>496458923</v>
      </c>
      <c r="S30" s="93">
        <v>1255030339</v>
      </c>
      <c r="T30" s="93">
        <v>1240101145</v>
      </c>
      <c r="U30" s="93">
        <v>23568</v>
      </c>
      <c r="V30" s="93">
        <v>20634</v>
      </c>
      <c r="W30" s="93">
        <v>42872</v>
      </c>
      <c r="X30" s="93">
        <v>39938</v>
      </c>
      <c r="Y30" s="93">
        <v>25568</v>
      </c>
      <c r="Z30" s="93">
        <v>22254</v>
      </c>
      <c r="AA30" s="93">
        <v>44872</v>
      </c>
      <c r="AB30" s="93">
        <v>41558</v>
      </c>
      <c r="AC30" s="114">
        <v>9</v>
      </c>
      <c r="AD30" s="114">
        <v>8</v>
      </c>
      <c r="AE30" s="114">
        <v>0</v>
      </c>
      <c r="AF30" s="115">
        <v>5936469</v>
      </c>
      <c r="AG30" s="115">
        <v>2776045</v>
      </c>
      <c r="AH30" s="115">
        <v>1006896</v>
      </c>
      <c r="AI30" s="115">
        <v>392734</v>
      </c>
      <c r="AJ30" s="115">
        <v>787821</v>
      </c>
      <c r="AK30" s="116">
        <v>6.5</v>
      </c>
      <c r="AL30" s="115">
        <v>731548</v>
      </c>
      <c r="AM30" s="116">
        <v>7</v>
      </c>
      <c r="AN30" s="115">
        <v>240520</v>
      </c>
      <c r="AO30" s="116">
        <v>5.5</v>
      </c>
      <c r="AP30" s="115">
        <v>220477</v>
      </c>
      <c r="AQ30" s="116">
        <v>6</v>
      </c>
      <c r="AR30" s="115">
        <v>223277</v>
      </c>
      <c r="AS30" s="116">
        <v>20</v>
      </c>
      <c r="AT30" s="115">
        <v>186064</v>
      </c>
      <c r="AU30" s="116">
        <v>24</v>
      </c>
      <c r="AV30" s="115">
        <v>78839</v>
      </c>
      <c r="AW30" s="116">
        <v>12</v>
      </c>
      <c r="AX30" s="115">
        <v>59129</v>
      </c>
      <c r="AY30" s="116">
        <v>16</v>
      </c>
      <c r="AZ30" s="139">
        <v>8867756</v>
      </c>
      <c r="BA30" s="139">
        <v>1804492</v>
      </c>
      <c r="BB30" s="139">
        <v>54046</v>
      </c>
      <c r="BC30" s="139">
        <v>174203</v>
      </c>
      <c r="BD30" s="139">
        <v>0</v>
      </c>
      <c r="BE30" s="139">
        <v>10900497</v>
      </c>
      <c r="BF30" s="139">
        <v>0</v>
      </c>
      <c r="BG30" s="139">
        <v>0</v>
      </c>
      <c r="BH30" s="139">
        <v>0</v>
      </c>
      <c r="BI30" s="139">
        <v>0</v>
      </c>
      <c r="BJ30" s="139">
        <v>5073873</v>
      </c>
      <c r="BK30" s="139">
        <v>5073873</v>
      </c>
      <c r="BL30" s="139">
        <v>250000</v>
      </c>
      <c r="BM30" s="139">
        <v>0</v>
      </c>
      <c r="BN30" s="139">
        <v>0</v>
      </c>
      <c r="BO30" s="139">
        <v>0</v>
      </c>
      <c r="BP30" s="139">
        <v>0</v>
      </c>
      <c r="BQ30" s="139">
        <v>250000</v>
      </c>
      <c r="BR30" s="139">
        <v>6846019</v>
      </c>
      <c r="BS30" s="139">
        <v>2287114</v>
      </c>
      <c r="BT30" s="139">
        <v>0</v>
      </c>
      <c r="BU30" s="139">
        <v>167200</v>
      </c>
      <c r="BV30" s="139">
        <v>7788531</v>
      </c>
      <c r="BW30" s="139">
        <v>17088864</v>
      </c>
      <c r="BX30" s="139">
        <v>0</v>
      </c>
      <c r="BY30" s="139">
        <v>0</v>
      </c>
      <c r="BZ30" s="139">
        <v>0</v>
      </c>
      <c r="CA30" s="139">
        <v>0</v>
      </c>
      <c r="CB30" s="139">
        <v>0</v>
      </c>
      <c r="CC30" s="139">
        <v>0</v>
      </c>
      <c r="CD30" s="139">
        <v>0</v>
      </c>
      <c r="CE30" s="139">
        <v>0</v>
      </c>
      <c r="CF30" s="139">
        <v>0</v>
      </c>
      <c r="CG30" s="139">
        <v>0</v>
      </c>
      <c r="CH30" s="139">
        <v>0</v>
      </c>
      <c r="CI30" s="139">
        <v>0</v>
      </c>
      <c r="CJ30" s="139">
        <v>794746</v>
      </c>
      <c r="CK30" s="139">
        <v>29764</v>
      </c>
      <c r="CL30" s="139">
        <v>209383</v>
      </c>
      <c r="CM30" s="139">
        <v>566311</v>
      </c>
      <c r="CN30" s="139">
        <v>433700</v>
      </c>
      <c r="CO30" s="139">
        <v>2033904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15910352</v>
      </c>
      <c r="CW30" s="139">
        <v>1461678</v>
      </c>
      <c r="CX30" s="139">
        <v>110235</v>
      </c>
      <c r="CY30" s="139">
        <v>29166</v>
      </c>
      <c r="CZ30" s="139">
        <v>1549327</v>
      </c>
      <c r="DA30" s="139">
        <v>19060758</v>
      </c>
      <c r="DB30" s="139">
        <v>0</v>
      </c>
      <c r="DC30" s="139">
        <v>0</v>
      </c>
      <c r="DD30" s="139">
        <v>0</v>
      </c>
      <c r="DE30" s="139">
        <v>0</v>
      </c>
      <c r="DF30" s="139">
        <v>3487303</v>
      </c>
      <c r="DG30" s="139">
        <v>3487303</v>
      </c>
      <c r="DH30" s="139">
        <v>1140561</v>
      </c>
      <c r="DI30" s="139">
        <v>210095</v>
      </c>
      <c r="DJ30" s="139">
        <v>30417</v>
      </c>
      <c r="DK30" s="139">
        <v>13769</v>
      </c>
      <c r="DL30" s="139">
        <v>8360</v>
      </c>
      <c r="DM30" s="139">
        <v>1403202</v>
      </c>
      <c r="DN30" s="139">
        <v>256488</v>
      </c>
      <c r="DO30" s="139">
        <v>66292</v>
      </c>
      <c r="DP30" s="139">
        <v>47155</v>
      </c>
      <c r="DQ30" s="139">
        <v>208168</v>
      </c>
      <c r="DR30" s="139">
        <v>4268481</v>
      </c>
      <c r="DS30" s="139">
        <v>4846584</v>
      </c>
      <c r="DT30" s="139">
        <v>0</v>
      </c>
      <c r="DU30" s="139">
        <v>0</v>
      </c>
      <c r="DV30" s="139">
        <v>0</v>
      </c>
      <c r="DW30" s="139">
        <v>0</v>
      </c>
      <c r="DX30" s="139">
        <v>0</v>
      </c>
      <c r="DY30" s="139">
        <v>0</v>
      </c>
      <c r="DZ30" s="139">
        <v>240242</v>
      </c>
      <c r="EA30" s="139">
        <v>154315</v>
      </c>
      <c r="EB30" s="139">
        <v>29147</v>
      </c>
      <c r="EC30" s="139">
        <v>1041104</v>
      </c>
      <c r="ED30" s="139">
        <v>2416199</v>
      </c>
      <c r="EE30" s="139">
        <v>3881007</v>
      </c>
      <c r="EF30" s="139">
        <v>0</v>
      </c>
      <c r="EG30" s="139">
        <v>0</v>
      </c>
      <c r="EH30" s="139">
        <v>0</v>
      </c>
      <c r="EI30" s="139">
        <v>0</v>
      </c>
      <c r="EJ30" s="139">
        <v>443546</v>
      </c>
      <c r="EK30" s="139">
        <v>443546</v>
      </c>
      <c r="EL30" s="139">
        <v>34306164</v>
      </c>
      <c r="EM30" s="139">
        <v>6013750</v>
      </c>
      <c r="EN30" s="139">
        <v>480383</v>
      </c>
      <c r="EO30" s="139">
        <v>2199921</v>
      </c>
      <c r="EP30" s="139">
        <v>25469320</v>
      </c>
      <c r="EQ30" s="139">
        <v>68469538</v>
      </c>
      <c r="ER30" s="139">
        <v>3952710</v>
      </c>
      <c r="ES30" s="139">
        <v>485790</v>
      </c>
      <c r="ET30" s="139">
        <v>710752</v>
      </c>
      <c r="EU30" s="139">
        <v>3563262</v>
      </c>
      <c r="EV30" s="139">
        <v>306906</v>
      </c>
      <c r="EW30" s="139">
        <v>9019420</v>
      </c>
      <c r="EX30" s="139">
        <v>825000</v>
      </c>
      <c r="EY30" s="139">
        <v>389500</v>
      </c>
      <c r="EZ30" s="139">
        <v>81027</v>
      </c>
      <c r="FA30" s="139">
        <v>75965</v>
      </c>
      <c r="FB30" s="139">
        <v>0</v>
      </c>
      <c r="FC30" s="139">
        <v>1371492</v>
      </c>
      <c r="FD30" s="139">
        <v>5913702</v>
      </c>
      <c r="FE30" s="139">
        <v>1972228</v>
      </c>
      <c r="FF30" s="139">
        <v>1163049</v>
      </c>
      <c r="FG30" s="139">
        <v>2806317</v>
      </c>
      <c r="FH30" s="139">
        <v>0</v>
      </c>
      <c r="FI30" s="139">
        <v>11855296</v>
      </c>
      <c r="FJ30" s="139">
        <v>0</v>
      </c>
      <c r="FK30" s="139">
        <v>0</v>
      </c>
      <c r="FL30" s="139">
        <v>0</v>
      </c>
      <c r="FM30" s="139">
        <v>0</v>
      </c>
      <c r="FN30" s="139">
        <v>0</v>
      </c>
      <c r="FO30" s="139">
        <v>0</v>
      </c>
      <c r="FP30" s="139">
        <v>580516</v>
      </c>
      <c r="FQ30" s="139">
        <v>223280</v>
      </c>
      <c r="FR30" s="139">
        <v>279784</v>
      </c>
      <c r="FS30" s="139">
        <v>62448</v>
      </c>
      <c r="FT30" s="139">
        <v>9148120</v>
      </c>
      <c r="FU30" s="139">
        <v>10294148</v>
      </c>
      <c r="FV30" s="139">
        <v>0</v>
      </c>
      <c r="FW30" s="139">
        <v>0</v>
      </c>
      <c r="FX30" s="139">
        <v>0</v>
      </c>
      <c r="FY30" s="139">
        <v>0</v>
      </c>
      <c r="FZ30" s="139">
        <v>0</v>
      </c>
      <c r="GA30" s="139">
        <v>0</v>
      </c>
      <c r="GB30" s="139">
        <v>0</v>
      </c>
      <c r="GC30" s="139">
        <v>906250</v>
      </c>
      <c r="GD30" s="139">
        <v>0</v>
      </c>
      <c r="GE30" s="139">
        <v>0</v>
      </c>
      <c r="GF30" s="139">
        <v>0</v>
      </c>
      <c r="GG30" s="139">
        <v>906250</v>
      </c>
      <c r="GH30" s="139">
        <v>604656</v>
      </c>
      <c r="GI30" s="139">
        <v>244154</v>
      </c>
      <c r="GJ30" s="139">
        <v>238507</v>
      </c>
      <c r="GK30" s="139">
        <v>312313</v>
      </c>
      <c r="GL30" s="139">
        <v>0</v>
      </c>
      <c r="GM30" s="139">
        <v>1399630</v>
      </c>
      <c r="GN30" s="139">
        <v>1880891</v>
      </c>
      <c r="GO30" s="139">
        <v>576858</v>
      </c>
      <c r="GP30" s="139">
        <v>467935</v>
      </c>
      <c r="GQ30" s="139">
        <v>1124658</v>
      </c>
      <c r="GR30" s="139">
        <v>0</v>
      </c>
      <c r="GS30" s="139">
        <v>4050342</v>
      </c>
      <c r="GT30" s="139">
        <v>462026</v>
      </c>
      <c r="GU30" s="139">
        <v>78878</v>
      </c>
      <c r="GV30" s="139">
        <v>90745</v>
      </c>
      <c r="GW30" s="139">
        <v>477653</v>
      </c>
      <c r="GX30" s="139">
        <v>149282</v>
      </c>
      <c r="GY30" s="139">
        <v>1258584</v>
      </c>
      <c r="GZ30" s="139">
        <v>2007371</v>
      </c>
      <c r="HA30" s="139">
        <v>708864</v>
      </c>
      <c r="HB30" s="139">
        <v>168881</v>
      </c>
      <c r="HC30" s="139">
        <v>193818</v>
      </c>
      <c r="HD30" s="139">
        <v>257865</v>
      </c>
      <c r="HE30" s="139">
        <v>3336799</v>
      </c>
      <c r="HF30" s="139">
        <v>605634</v>
      </c>
      <c r="HG30" s="139">
        <v>139659</v>
      </c>
      <c r="HH30" s="139">
        <v>19922</v>
      </c>
      <c r="HI30" s="139">
        <v>7540</v>
      </c>
      <c r="HJ30" s="139">
        <v>1116651</v>
      </c>
      <c r="HK30" s="139">
        <v>1889406</v>
      </c>
      <c r="HL30" s="139">
        <v>0</v>
      </c>
      <c r="HM30" s="139">
        <v>0</v>
      </c>
      <c r="HN30" s="139">
        <v>0</v>
      </c>
      <c r="HO30" s="139">
        <v>0</v>
      </c>
      <c r="HP30" s="139">
        <v>0</v>
      </c>
      <c r="HQ30" s="139">
        <v>0</v>
      </c>
      <c r="HR30" s="139">
        <v>2093934</v>
      </c>
      <c r="HS30" s="139">
        <v>180037</v>
      </c>
      <c r="HT30" s="139">
        <v>178622</v>
      </c>
      <c r="HU30" s="139">
        <v>1061437</v>
      </c>
      <c r="HV30" s="139">
        <v>14717523</v>
      </c>
      <c r="HW30" s="139">
        <v>18231553</v>
      </c>
      <c r="HX30" s="139">
        <v>0</v>
      </c>
      <c r="HY30" s="139">
        <v>0</v>
      </c>
      <c r="HZ30" s="139">
        <v>0</v>
      </c>
      <c r="IA30" s="139">
        <v>0</v>
      </c>
      <c r="IB30" s="139">
        <v>232976</v>
      </c>
      <c r="IC30" s="139">
        <v>232976</v>
      </c>
      <c r="ID30" s="139">
        <v>0</v>
      </c>
      <c r="IE30" s="139">
        <v>0</v>
      </c>
      <c r="IF30" s="139">
        <v>0</v>
      </c>
      <c r="IG30" s="139">
        <v>0</v>
      </c>
      <c r="IH30" s="139">
        <v>0</v>
      </c>
      <c r="II30" s="139">
        <v>0</v>
      </c>
      <c r="IJ30" s="139">
        <v>0</v>
      </c>
      <c r="IK30" s="139">
        <v>0</v>
      </c>
      <c r="IL30" s="139">
        <v>0</v>
      </c>
      <c r="IM30" s="139">
        <v>0</v>
      </c>
      <c r="IN30" s="139">
        <v>763359</v>
      </c>
      <c r="IO30" s="139">
        <v>763359</v>
      </c>
      <c r="IP30" s="139">
        <v>3533</v>
      </c>
      <c r="IQ30" s="139">
        <v>6300</v>
      </c>
      <c r="IR30" s="139">
        <v>1886</v>
      </c>
      <c r="IS30" s="139">
        <v>28703</v>
      </c>
      <c r="IT30" s="139">
        <v>48478</v>
      </c>
      <c r="IU30" s="139">
        <v>88900</v>
      </c>
      <c r="IV30" s="139">
        <v>62144</v>
      </c>
      <c r="IW30" s="139">
        <v>19878</v>
      </c>
      <c r="IX30" s="139">
        <v>95811</v>
      </c>
      <c r="IY30" s="139">
        <v>131884</v>
      </c>
      <c r="IZ30" s="139">
        <v>3810395</v>
      </c>
      <c r="JA30" s="139">
        <v>4120112</v>
      </c>
      <c r="JB30" s="139">
        <v>18992117</v>
      </c>
      <c r="JC30" s="139">
        <v>5931676</v>
      </c>
      <c r="JD30" s="139">
        <v>3496921</v>
      </c>
      <c r="JE30" s="139">
        <v>9845998</v>
      </c>
      <c r="JF30" s="139">
        <v>30551555</v>
      </c>
      <c r="JG30" s="139">
        <v>68818267</v>
      </c>
      <c r="JH30" s="139">
        <v>0</v>
      </c>
      <c r="JI30" s="139">
        <v>0</v>
      </c>
      <c r="JJ30" s="139">
        <v>0</v>
      </c>
      <c r="JK30" s="139">
        <v>0</v>
      </c>
      <c r="JL30" s="139">
        <v>0</v>
      </c>
      <c r="JM30" s="139">
        <v>0</v>
      </c>
      <c r="JN30" s="139">
        <v>18992117</v>
      </c>
      <c r="JO30" s="139">
        <v>5931676</v>
      </c>
      <c r="JP30" s="139">
        <v>3496921</v>
      </c>
      <c r="JQ30" s="139">
        <v>9845998</v>
      </c>
      <c r="JR30" s="139">
        <v>30551555</v>
      </c>
      <c r="JS30" s="139">
        <v>68818267</v>
      </c>
      <c r="JU30" s="70">
        <f t="shared" si="0"/>
        <v>10900497</v>
      </c>
      <c r="JV30" s="70">
        <f t="shared" si="1"/>
        <v>0</v>
      </c>
      <c r="JW30" s="70">
        <f t="shared" si="2"/>
        <v>5073873</v>
      </c>
      <c r="JX30" s="70">
        <f t="shared" si="3"/>
        <v>0</v>
      </c>
      <c r="JY30" s="70">
        <f t="shared" si="4"/>
        <v>250000</v>
      </c>
      <c r="JZ30" s="70">
        <f t="shared" si="5"/>
        <v>0</v>
      </c>
      <c r="KA30" s="70">
        <f t="shared" si="6"/>
        <v>17088864</v>
      </c>
      <c r="KB30" s="70">
        <f t="shared" si="7"/>
        <v>0</v>
      </c>
      <c r="KC30" s="70">
        <f t="shared" si="8"/>
        <v>0</v>
      </c>
      <c r="KD30" s="70">
        <f t="shared" si="9"/>
        <v>0</v>
      </c>
      <c r="KE30" s="70">
        <f t="shared" si="10"/>
        <v>0</v>
      </c>
      <c r="KF30" s="70">
        <f t="shared" si="11"/>
        <v>0</v>
      </c>
      <c r="KG30" s="70">
        <f t="shared" si="12"/>
        <v>2033904</v>
      </c>
      <c r="KH30" s="70">
        <f t="shared" si="13"/>
        <v>0</v>
      </c>
      <c r="KI30" s="70">
        <f t="shared" si="14"/>
        <v>0</v>
      </c>
      <c r="KJ30" s="70">
        <f t="shared" si="15"/>
        <v>0</v>
      </c>
      <c r="KK30" s="70">
        <f t="shared" si="16"/>
        <v>19060758</v>
      </c>
      <c r="KL30" s="70">
        <f t="shared" si="17"/>
        <v>0</v>
      </c>
      <c r="KM30" s="70">
        <f t="shared" si="18"/>
        <v>3487303</v>
      </c>
      <c r="KN30" s="70">
        <f t="shared" si="19"/>
        <v>0</v>
      </c>
      <c r="KO30" s="70">
        <f t="shared" si="20"/>
        <v>1403202</v>
      </c>
      <c r="KP30" s="70">
        <f t="shared" si="21"/>
        <v>0</v>
      </c>
      <c r="KQ30" s="70">
        <f t="shared" si="22"/>
        <v>4846584</v>
      </c>
      <c r="KR30" s="70">
        <f t="shared" si="23"/>
        <v>0</v>
      </c>
      <c r="KS30" s="70">
        <f t="shared" si="24"/>
        <v>0</v>
      </c>
      <c r="KT30" s="70">
        <f t="shared" si="25"/>
        <v>0</v>
      </c>
      <c r="KU30" s="70">
        <f t="shared" si="26"/>
        <v>3881007</v>
      </c>
      <c r="KV30" s="70">
        <f t="shared" si="27"/>
        <v>0</v>
      </c>
      <c r="KW30" s="70">
        <f t="shared" si="28"/>
        <v>443546</v>
      </c>
      <c r="KX30" s="70">
        <f t="shared" si="29"/>
        <v>0</v>
      </c>
      <c r="KY30" s="70">
        <f t="shared" si="30"/>
        <v>68469538</v>
      </c>
      <c r="KZ30" s="70">
        <f t="shared" si="31"/>
        <v>0</v>
      </c>
      <c r="LA30" s="70">
        <f t="shared" si="32"/>
        <v>9019420</v>
      </c>
      <c r="LB30" s="70">
        <f t="shared" si="33"/>
        <v>0</v>
      </c>
      <c r="LC30" s="70">
        <f t="shared" si="34"/>
        <v>1371492</v>
      </c>
      <c r="LD30" s="70">
        <f t="shared" si="35"/>
        <v>0</v>
      </c>
      <c r="LE30" s="70">
        <f t="shared" si="36"/>
        <v>11855296</v>
      </c>
      <c r="LF30" s="70">
        <f t="shared" si="37"/>
        <v>0</v>
      </c>
      <c r="LG30" s="70">
        <f t="shared" si="78"/>
        <v>0</v>
      </c>
      <c r="LH30" s="70">
        <f t="shared" si="79"/>
        <v>0</v>
      </c>
      <c r="LI30" s="70">
        <f t="shared" si="40"/>
        <v>10294148</v>
      </c>
      <c r="LJ30" s="70">
        <f t="shared" si="41"/>
        <v>0</v>
      </c>
      <c r="LK30" s="70">
        <f t="shared" si="42"/>
        <v>0</v>
      </c>
      <c r="LL30" s="70">
        <f t="shared" si="43"/>
        <v>0</v>
      </c>
      <c r="LM30" s="70">
        <f t="shared" si="44"/>
        <v>906250</v>
      </c>
      <c r="LN30" s="70">
        <f t="shared" si="45"/>
        <v>0</v>
      </c>
      <c r="LO30" s="70">
        <f t="shared" si="46"/>
        <v>1399630</v>
      </c>
      <c r="LP30" s="70">
        <f t="shared" si="47"/>
        <v>0</v>
      </c>
      <c r="LQ30" s="70">
        <f t="shared" si="48"/>
        <v>4050342</v>
      </c>
      <c r="LR30" s="70">
        <f t="shared" si="49"/>
        <v>0</v>
      </c>
      <c r="LS30" s="70">
        <f t="shared" si="50"/>
        <v>1258584</v>
      </c>
      <c r="LT30" s="70">
        <f t="shared" si="51"/>
        <v>0</v>
      </c>
      <c r="LU30" s="70">
        <f t="shared" si="52"/>
        <v>3336799</v>
      </c>
      <c r="LV30" s="70">
        <f t="shared" si="53"/>
        <v>0</v>
      </c>
      <c r="LW30" s="70">
        <f t="shared" si="54"/>
        <v>1889406</v>
      </c>
      <c r="LX30" s="70">
        <f t="shared" si="55"/>
        <v>0</v>
      </c>
      <c r="LY30" s="70">
        <f t="shared" si="56"/>
        <v>0</v>
      </c>
      <c r="LZ30" s="70">
        <f t="shared" si="57"/>
        <v>0</v>
      </c>
      <c r="MA30" s="70">
        <f t="shared" si="58"/>
        <v>18231553</v>
      </c>
      <c r="MB30" s="70">
        <f t="shared" si="59"/>
        <v>0</v>
      </c>
      <c r="MC30" s="70">
        <f t="shared" si="60"/>
        <v>232976</v>
      </c>
      <c r="MD30" s="70">
        <f t="shared" si="61"/>
        <v>0</v>
      </c>
      <c r="ME30" s="70">
        <f t="shared" si="62"/>
        <v>0</v>
      </c>
      <c r="MF30" s="70">
        <f t="shared" si="63"/>
        <v>0</v>
      </c>
      <c r="MG30" s="70">
        <f t="shared" si="64"/>
        <v>763359</v>
      </c>
      <c r="MH30" s="70">
        <f t="shared" si="65"/>
        <v>0</v>
      </c>
      <c r="MI30" s="70">
        <f t="shared" si="66"/>
        <v>88900</v>
      </c>
      <c r="MJ30" s="70">
        <f t="shared" si="67"/>
        <v>0</v>
      </c>
      <c r="MK30" s="70">
        <f t="shared" si="68"/>
        <v>4120112</v>
      </c>
      <c r="ML30" s="70">
        <f t="shared" si="69"/>
        <v>0</v>
      </c>
      <c r="MM30" s="70">
        <f t="shared" si="70"/>
        <v>68818267</v>
      </c>
      <c r="MN30" s="70">
        <f t="shared" si="71"/>
        <v>0</v>
      </c>
      <c r="MO30" s="70">
        <f t="shared" si="72"/>
        <v>0</v>
      </c>
      <c r="MP30" s="70">
        <f t="shared" si="73"/>
        <v>0</v>
      </c>
      <c r="MQ30" s="70">
        <f t="shared" si="74"/>
        <v>68818267</v>
      </c>
      <c r="MR30" s="70">
        <f t="shared" si="75"/>
        <v>0</v>
      </c>
      <c r="MT30" s="70">
        <f t="shared" si="76"/>
        <v>0</v>
      </c>
      <c r="MV30" s="68">
        <f t="shared" si="77"/>
        <v>0</v>
      </c>
    </row>
    <row r="31" spans="1:360" x14ac:dyDescent="0.15">
      <c r="A31" s="182" t="s">
        <v>318</v>
      </c>
      <c r="B31" s="76" t="s">
        <v>423</v>
      </c>
      <c r="C31" s="90">
        <v>141574</v>
      </c>
      <c r="D31" s="90">
        <v>2014</v>
      </c>
      <c r="E31" s="90">
        <v>1</v>
      </c>
      <c r="F31" s="91">
        <v>10</v>
      </c>
      <c r="G31" s="92">
        <v>14595</v>
      </c>
      <c r="H31" s="92">
        <v>11381</v>
      </c>
      <c r="I31" s="93">
        <v>1070723175</v>
      </c>
      <c r="J31" s="93">
        <v>1030723369</v>
      </c>
      <c r="K31" s="93">
        <v>6231918</v>
      </c>
      <c r="L31" s="93">
        <v>4651085</v>
      </c>
      <c r="M31" s="93">
        <v>41774321</v>
      </c>
      <c r="N31" s="93">
        <v>35753363</v>
      </c>
      <c r="O31" s="93">
        <v>68354076</v>
      </c>
      <c r="P31" s="93">
        <v>71809129</v>
      </c>
      <c r="Q31" s="93">
        <v>483507369</v>
      </c>
      <c r="R31" s="93">
        <v>467433966</v>
      </c>
      <c r="S31" s="93">
        <v>817150192</v>
      </c>
      <c r="T31" s="93">
        <v>794672497</v>
      </c>
      <c r="U31" s="93">
        <v>16490</v>
      </c>
      <c r="V31" s="93">
        <v>16247</v>
      </c>
      <c r="W31" s="93">
        <v>29040</v>
      </c>
      <c r="X31" s="93">
        <v>28359</v>
      </c>
      <c r="Y31" s="93">
        <v>18920</v>
      </c>
      <c r="Z31" s="93">
        <v>18920</v>
      </c>
      <c r="AA31" s="93">
        <v>31470</v>
      </c>
      <c r="AB31" s="93">
        <v>31030</v>
      </c>
      <c r="AC31" s="114">
        <v>7</v>
      </c>
      <c r="AD31" s="114">
        <v>11</v>
      </c>
      <c r="AE31" s="114">
        <v>0</v>
      </c>
      <c r="AF31" s="115">
        <v>3781851</v>
      </c>
      <c r="AG31" s="115">
        <v>3324910</v>
      </c>
      <c r="AH31" s="115">
        <v>1006720</v>
      </c>
      <c r="AI31" s="115">
        <v>394075</v>
      </c>
      <c r="AJ31" s="115">
        <v>929849</v>
      </c>
      <c r="AK31" s="116">
        <v>4.5</v>
      </c>
      <c r="AL31" s="115">
        <v>836864</v>
      </c>
      <c r="AM31" s="116">
        <v>5</v>
      </c>
      <c r="AN31" s="115">
        <v>212254</v>
      </c>
      <c r="AO31" s="116">
        <v>8.5</v>
      </c>
      <c r="AP31" s="115">
        <v>200462</v>
      </c>
      <c r="AQ31" s="116">
        <v>9</v>
      </c>
      <c r="AR31" s="115">
        <v>226153</v>
      </c>
      <c r="AS31" s="116">
        <v>17.5</v>
      </c>
      <c r="AT31" s="115">
        <v>197884</v>
      </c>
      <c r="AU31" s="116">
        <v>20</v>
      </c>
      <c r="AV31" s="115">
        <v>89889</v>
      </c>
      <c r="AW31" s="116">
        <v>17.5</v>
      </c>
      <c r="AX31" s="115">
        <v>78653</v>
      </c>
      <c r="AY31" s="116">
        <v>20</v>
      </c>
      <c r="AZ31" s="139">
        <v>10278389</v>
      </c>
      <c r="BA31" s="139">
        <v>3381031</v>
      </c>
      <c r="BB31" s="139">
        <v>525253</v>
      </c>
      <c r="BC31" s="139">
        <v>233491</v>
      </c>
      <c r="BD31" s="139">
        <v>0</v>
      </c>
      <c r="BE31" s="139">
        <v>14418164</v>
      </c>
      <c r="BF31" s="139">
        <v>0</v>
      </c>
      <c r="BG31" s="139">
        <v>0</v>
      </c>
      <c r="BH31" s="139">
        <v>0</v>
      </c>
      <c r="BI31" s="139">
        <v>0</v>
      </c>
      <c r="BJ31" s="139">
        <v>1957396</v>
      </c>
      <c r="BK31" s="139">
        <v>1957396</v>
      </c>
      <c r="BL31" s="139">
        <v>150000</v>
      </c>
      <c r="BM31" s="139">
        <v>139507</v>
      </c>
      <c r="BN31" s="139">
        <v>0</v>
      </c>
      <c r="BO31" s="139">
        <v>11000</v>
      </c>
      <c r="BP31" s="139">
        <v>0</v>
      </c>
      <c r="BQ31" s="139">
        <v>300507</v>
      </c>
      <c r="BR31" s="139">
        <v>0</v>
      </c>
      <c r="BS31" s="139">
        <v>0</v>
      </c>
      <c r="BT31" s="139">
        <v>0</v>
      </c>
      <c r="BU31" s="139">
        <v>0</v>
      </c>
      <c r="BV31" s="139">
        <v>0</v>
      </c>
      <c r="BW31" s="139">
        <v>0</v>
      </c>
      <c r="BX31" s="139">
        <v>0</v>
      </c>
      <c r="BY31" s="139">
        <v>0</v>
      </c>
      <c r="BZ31" s="139">
        <v>0</v>
      </c>
      <c r="CA31" s="139">
        <v>0</v>
      </c>
      <c r="CB31" s="139">
        <v>0</v>
      </c>
      <c r="CC31" s="139">
        <v>0</v>
      </c>
      <c r="CD31" s="139">
        <v>0</v>
      </c>
      <c r="CE31" s="139">
        <v>0</v>
      </c>
      <c r="CF31" s="139">
        <v>0</v>
      </c>
      <c r="CG31" s="139">
        <v>0</v>
      </c>
      <c r="CH31" s="139">
        <v>0</v>
      </c>
      <c r="CI31" s="139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16504000</v>
      </c>
      <c r="CW31" s="139">
        <v>5569623</v>
      </c>
      <c r="CX31" s="139">
        <v>28223</v>
      </c>
      <c r="CY31" s="139">
        <v>284224</v>
      </c>
      <c r="CZ31" s="139">
        <v>1990626</v>
      </c>
      <c r="DA31" s="139">
        <v>24376696</v>
      </c>
      <c r="DB31" s="139">
        <v>0</v>
      </c>
      <c r="DC31" s="139">
        <v>0</v>
      </c>
      <c r="DD31" s="139">
        <v>0</v>
      </c>
      <c r="DE31" s="139">
        <v>0</v>
      </c>
      <c r="DF31" s="139">
        <v>3691350</v>
      </c>
      <c r="DG31" s="139">
        <v>3691350</v>
      </c>
      <c r="DH31" s="139">
        <v>1093280</v>
      </c>
      <c r="DI31" s="139">
        <v>202553</v>
      </c>
      <c r="DJ31" s="139">
        <v>57624</v>
      </c>
      <c r="DK31" s="139">
        <v>36306</v>
      </c>
      <c r="DL31" s="139">
        <v>192523</v>
      </c>
      <c r="DM31" s="139">
        <v>1582286</v>
      </c>
      <c r="DN31" s="139">
        <v>0</v>
      </c>
      <c r="DO31" s="139">
        <v>0</v>
      </c>
      <c r="DP31" s="139">
        <v>0</v>
      </c>
      <c r="DQ31" s="139">
        <v>0</v>
      </c>
      <c r="DR31" s="139">
        <v>862547</v>
      </c>
      <c r="DS31" s="139">
        <v>862547</v>
      </c>
      <c r="DT31" s="139">
        <v>0</v>
      </c>
      <c r="DU31" s="140">
        <v>0</v>
      </c>
      <c r="DV31" s="139">
        <v>0</v>
      </c>
      <c r="DW31" s="139">
        <v>0</v>
      </c>
      <c r="DX31" s="139">
        <v>0</v>
      </c>
      <c r="DY31" s="139">
        <v>0</v>
      </c>
      <c r="DZ31" s="139">
        <v>0</v>
      </c>
      <c r="EA31" s="139">
        <v>0</v>
      </c>
      <c r="EB31" s="139">
        <v>0</v>
      </c>
      <c r="EC31" s="139">
        <v>0</v>
      </c>
      <c r="ED31" s="139">
        <v>368790</v>
      </c>
      <c r="EE31" s="139">
        <v>368790</v>
      </c>
      <c r="EF31" s="139">
        <v>0</v>
      </c>
      <c r="EG31" s="139">
        <v>0</v>
      </c>
      <c r="EH31" s="139">
        <v>115219</v>
      </c>
      <c r="EI31" s="139">
        <v>1338128</v>
      </c>
      <c r="EJ31" s="139">
        <v>1756693</v>
      </c>
      <c r="EK31" s="139">
        <v>3210040</v>
      </c>
      <c r="EL31" s="139">
        <v>30968258</v>
      </c>
      <c r="EM31" s="139">
        <v>9586993</v>
      </c>
      <c r="EN31" s="139">
        <v>842935</v>
      </c>
      <c r="EO31" s="139">
        <v>2015474</v>
      </c>
      <c r="EP31" s="139">
        <v>24756721</v>
      </c>
      <c r="EQ31" s="139">
        <v>68170381</v>
      </c>
      <c r="ER31" s="139">
        <v>2614392</v>
      </c>
      <c r="ES31" s="139">
        <v>396815</v>
      </c>
      <c r="ET31" s="139">
        <v>401388</v>
      </c>
      <c r="EU31" s="139">
        <v>3694166</v>
      </c>
      <c r="EV31" s="139">
        <v>124577</v>
      </c>
      <c r="EW31" s="139">
        <v>7231338</v>
      </c>
      <c r="EX31" s="139">
        <v>350000</v>
      </c>
      <c r="EY31" s="139">
        <v>288131</v>
      </c>
      <c r="EZ31" s="139">
        <v>134907</v>
      </c>
      <c r="FA31" s="139">
        <v>74791</v>
      </c>
      <c r="FB31" s="139">
        <v>0</v>
      </c>
      <c r="FC31" s="139">
        <v>847829</v>
      </c>
      <c r="FD31" s="139">
        <v>4558908</v>
      </c>
      <c r="FE31" s="139">
        <v>2778588</v>
      </c>
      <c r="FF31" s="139">
        <v>1139297</v>
      </c>
      <c r="FG31" s="139">
        <v>3042413</v>
      </c>
      <c r="FH31" s="139">
        <v>0</v>
      </c>
      <c r="FI31" s="139">
        <v>11519206</v>
      </c>
      <c r="FJ31" s="139">
        <v>0</v>
      </c>
      <c r="FK31" s="139">
        <v>0</v>
      </c>
      <c r="FL31" s="139">
        <v>0</v>
      </c>
      <c r="FM31" s="139">
        <v>0</v>
      </c>
      <c r="FN31" s="139">
        <v>0</v>
      </c>
      <c r="FO31" s="139">
        <v>0</v>
      </c>
      <c r="FP31" s="139">
        <v>1629799</v>
      </c>
      <c r="FQ31" s="139">
        <v>486743</v>
      </c>
      <c r="FR31" s="139">
        <v>334178</v>
      </c>
      <c r="FS31" s="139">
        <v>829279</v>
      </c>
      <c r="FT31" s="139">
        <v>6591631</v>
      </c>
      <c r="FU31" s="139">
        <v>9871630</v>
      </c>
      <c r="FV31" s="139">
        <v>0</v>
      </c>
      <c r="FW31" s="139">
        <v>0</v>
      </c>
      <c r="FX31" s="139">
        <v>0</v>
      </c>
      <c r="FY31" s="139">
        <v>0</v>
      </c>
      <c r="FZ31" s="139">
        <v>0</v>
      </c>
      <c r="GA31" s="139">
        <v>0</v>
      </c>
      <c r="GB31" s="139">
        <v>107000</v>
      </c>
      <c r="GC31" s="139">
        <v>0</v>
      </c>
      <c r="GD31" s="139">
        <v>0</v>
      </c>
      <c r="GE31" s="139">
        <v>0</v>
      </c>
      <c r="GF31" s="139">
        <v>0</v>
      </c>
      <c r="GG31" s="139">
        <v>107000</v>
      </c>
      <c r="GH31" s="139">
        <v>644213</v>
      </c>
      <c r="GI31" s="139">
        <v>248273</v>
      </c>
      <c r="GJ31" s="139">
        <v>107501</v>
      </c>
      <c r="GK31" s="139">
        <v>400808</v>
      </c>
      <c r="GL31" s="139">
        <v>0</v>
      </c>
      <c r="GM31" s="139">
        <v>1400795</v>
      </c>
      <c r="GN31" s="139">
        <v>949255</v>
      </c>
      <c r="GO31" s="139">
        <v>1060061</v>
      </c>
      <c r="GP31" s="139">
        <v>744327</v>
      </c>
      <c r="GQ31" s="139">
        <v>2123338</v>
      </c>
      <c r="GR31" s="139">
        <v>0</v>
      </c>
      <c r="GS31" s="139">
        <v>4876981</v>
      </c>
      <c r="GT31" s="139">
        <v>903080</v>
      </c>
      <c r="GU31" s="139">
        <v>143821</v>
      </c>
      <c r="GV31" s="139">
        <v>113894</v>
      </c>
      <c r="GW31" s="139">
        <v>437939</v>
      </c>
      <c r="GX31" s="139">
        <v>249261</v>
      </c>
      <c r="GY31" s="139">
        <v>1847995</v>
      </c>
      <c r="GZ31" s="139">
        <v>1293169</v>
      </c>
      <c r="HA31" s="139">
        <v>369162</v>
      </c>
      <c r="HB31" s="139">
        <v>307361</v>
      </c>
      <c r="HC31" s="139">
        <v>308041</v>
      </c>
      <c r="HD31" s="139">
        <v>15445</v>
      </c>
      <c r="HE31" s="139">
        <v>2293178</v>
      </c>
      <c r="HF31" s="139">
        <v>121405</v>
      </c>
      <c r="HG31" s="139">
        <v>112987</v>
      </c>
      <c r="HH31" s="139">
        <v>108506</v>
      </c>
      <c r="HI31" s="139">
        <v>126329</v>
      </c>
      <c r="HJ31" s="139">
        <v>1687305</v>
      </c>
      <c r="HK31" s="139">
        <v>2156532</v>
      </c>
      <c r="HL31" s="139">
        <v>0</v>
      </c>
      <c r="HM31" s="139">
        <v>0</v>
      </c>
      <c r="HN31" s="139">
        <v>0</v>
      </c>
      <c r="HO31" s="139">
        <v>0</v>
      </c>
      <c r="HP31" s="139">
        <v>0</v>
      </c>
      <c r="HQ31" s="139">
        <v>0</v>
      </c>
      <c r="HR31" s="139">
        <v>367223</v>
      </c>
      <c r="HS31" s="139">
        <v>74398</v>
      </c>
      <c r="HT31" s="139">
        <v>49186</v>
      </c>
      <c r="HU31" s="139">
        <v>1615667</v>
      </c>
      <c r="HV31" s="139">
        <v>16676803</v>
      </c>
      <c r="HW31" s="139">
        <v>18783277</v>
      </c>
      <c r="HX31" s="139">
        <v>0</v>
      </c>
      <c r="HY31" s="139">
        <v>0</v>
      </c>
      <c r="HZ31" s="139">
        <v>0</v>
      </c>
      <c r="IA31" s="139">
        <v>0</v>
      </c>
      <c r="IB31" s="139">
        <v>391440</v>
      </c>
      <c r="IC31" s="139">
        <v>391440</v>
      </c>
      <c r="ID31" s="139">
        <v>0</v>
      </c>
      <c r="IE31" s="139">
        <v>0</v>
      </c>
      <c r="IF31" s="139">
        <v>0</v>
      </c>
      <c r="IG31" s="139">
        <v>0</v>
      </c>
      <c r="IH31" s="139">
        <v>0</v>
      </c>
      <c r="II31" s="139">
        <v>0</v>
      </c>
      <c r="IJ31" s="139">
        <v>191481</v>
      </c>
      <c r="IK31" s="139">
        <v>7691</v>
      </c>
      <c r="IL31" s="139">
        <v>14957</v>
      </c>
      <c r="IM31" s="139">
        <v>237919</v>
      </c>
      <c r="IN31" s="139">
        <v>2741</v>
      </c>
      <c r="IO31" s="139">
        <v>454789</v>
      </c>
      <c r="IP31" s="139">
        <v>3224</v>
      </c>
      <c r="IQ31" s="139">
        <v>1155</v>
      </c>
      <c r="IR31" s="139">
        <v>0</v>
      </c>
      <c r="IS31" s="139">
        <v>7065</v>
      </c>
      <c r="IT31" s="139">
        <v>1634308</v>
      </c>
      <c r="IU31" s="139">
        <v>1645752</v>
      </c>
      <c r="IV31" s="139">
        <v>728113</v>
      </c>
      <c r="IW31" s="139">
        <v>101311</v>
      </c>
      <c r="IX31" s="139">
        <v>75401</v>
      </c>
      <c r="IY31" s="139">
        <v>267649</v>
      </c>
      <c r="IZ31" s="139">
        <v>3367496</v>
      </c>
      <c r="JA31" s="139">
        <v>4539970</v>
      </c>
      <c r="JB31" s="151">
        <v>9823217</v>
      </c>
      <c r="JC31" s="151">
        <v>2565198</v>
      </c>
      <c r="JD31" s="151">
        <v>1626381</v>
      </c>
      <c r="JE31" s="151">
        <v>11585587</v>
      </c>
      <c r="JF31" s="151">
        <v>17486145</v>
      </c>
      <c r="JG31" s="151">
        <v>43086528</v>
      </c>
      <c r="JH31" s="139">
        <v>0</v>
      </c>
      <c r="JI31" s="139">
        <v>0</v>
      </c>
      <c r="JJ31" s="139">
        <v>0</v>
      </c>
      <c r="JK31" s="139">
        <v>0</v>
      </c>
      <c r="JL31" s="139">
        <v>0</v>
      </c>
      <c r="JM31" s="139">
        <v>0</v>
      </c>
      <c r="JN31" s="139">
        <v>14461262</v>
      </c>
      <c r="JO31" s="139">
        <v>6069136</v>
      </c>
      <c r="JP31" s="139">
        <v>3530903</v>
      </c>
      <c r="JQ31" s="139">
        <v>13165404</v>
      </c>
      <c r="JR31" s="139">
        <v>30741007</v>
      </c>
      <c r="JS31" s="139">
        <v>67967712</v>
      </c>
      <c r="JU31" s="70">
        <f t="shared" si="0"/>
        <v>14418164</v>
      </c>
      <c r="JV31" s="70">
        <f t="shared" si="1"/>
        <v>0</v>
      </c>
      <c r="JW31" s="70">
        <f t="shared" si="2"/>
        <v>1957396</v>
      </c>
      <c r="JX31" s="70">
        <f t="shared" si="3"/>
        <v>0</v>
      </c>
      <c r="JY31" s="70">
        <f t="shared" si="4"/>
        <v>300507</v>
      </c>
      <c r="JZ31" s="70">
        <f t="shared" si="5"/>
        <v>0</v>
      </c>
      <c r="KA31" s="70">
        <f t="shared" si="6"/>
        <v>0</v>
      </c>
      <c r="KB31" s="70">
        <f t="shared" si="7"/>
        <v>0</v>
      </c>
      <c r="KC31" s="70">
        <f t="shared" si="8"/>
        <v>0</v>
      </c>
      <c r="KD31" s="70">
        <f t="shared" si="9"/>
        <v>0</v>
      </c>
      <c r="KE31" s="70">
        <f t="shared" si="10"/>
        <v>0</v>
      </c>
      <c r="KF31" s="70">
        <f t="shared" si="11"/>
        <v>0</v>
      </c>
      <c r="KG31" s="70">
        <f t="shared" si="12"/>
        <v>0</v>
      </c>
      <c r="KH31" s="70">
        <f t="shared" si="13"/>
        <v>0</v>
      </c>
      <c r="KI31" s="70">
        <f t="shared" si="14"/>
        <v>0</v>
      </c>
      <c r="KJ31" s="70">
        <f t="shared" si="15"/>
        <v>0</v>
      </c>
      <c r="KK31" s="70">
        <f t="shared" si="16"/>
        <v>24376696</v>
      </c>
      <c r="KL31" s="70">
        <f t="shared" si="17"/>
        <v>0</v>
      </c>
      <c r="KM31" s="70">
        <f t="shared" si="18"/>
        <v>3691350</v>
      </c>
      <c r="KN31" s="70">
        <f t="shared" si="19"/>
        <v>0</v>
      </c>
      <c r="KO31" s="70">
        <f t="shared" si="20"/>
        <v>1582286</v>
      </c>
      <c r="KP31" s="70">
        <f t="shared" si="21"/>
        <v>0</v>
      </c>
      <c r="KQ31" s="70">
        <f t="shared" si="22"/>
        <v>862547</v>
      </c>
      <c r="KR31" s="70">
        <f t="shared" si="23"/>
        <v>0</v>
      </c>
      <c r="KS31" s="70">
        <f t="shared" si="24"/>
        <v>0</v>
      </c>
      <c r="KT31" s="70">
        <f t="shared" si="25"/>
        <v>0</v>
      </c>
      <c r="KU31" s="70">
        <f t="shared" si="26"/>
        <v>368790</v>
      </c>
      <c r="KV31" s="70">
        <f t="shared" si="27"/>
        <v>0</v>
      </c>
      <c r="KW31" s="70">
        <f t="shared" si="28"/>
        <v>3210040</v>
      </c>
      <c r="KX31" s="70">
        <f t="shared" si="29"/>
        <v>0</v>
      </c>
      <c r="KY31" s="70">
        <f t="shared" si="30"/>
        <v>68170381</v>
      </c>
      <c r="KZ31" s="70">
        <f t="shared" si="31"/>
        <v>0</v>
      </c>
      <c r="LA31" s="70">
        <f t="shared" si="32"/>
        <v>7231338</v>
      </c>
      <c r="LB31" s="70">
        <f t="shared" si="33"/>
        <v>0</v>
      </c>
      <c r="LC31" s="70">
        <f t="shared" si="34"/>
        <v>847829</v>
      </c>
      <c r="LD31" s="70">
        <f t="shared" si="35"/>
        <v>0</v>
      </c>
      <c r="LE31" s="70">
        <f t="shared" si="36"/>
        <v>11519206</v>
      </c>
      <c r="LF31" s="70">
        <f t="shared" si="37"/>
        <v>0</v>
      </c>
      <c r="LG31" s="70">
        <f t="shared" si="78"/>
        <v>0</v>
      </c>
      <c r="LH31" s="70">
        <f t="shared" si="79"/>
        <v>0</v>
      </c>
      <c r="LI31" s="70">
        <f t="shared" si="40"/>
        <v>9871630</v>
      </c>
      <c r="LJ31" s="70">
        <f t="shared" si="41"/>
        <v>0</v>
      </c>
      <c r="LK31" s="70">
        <f t="shared" si="42"/>
        <v>0</v>
      </c>
      <c r="LL31" s="70">
        <f t="shared" si="43"/>
        <v>0</v>
      </c>
      <c r="LM31" s="70">
        <f t="shared" si="44"/>
        <v>107000</v>
      </c>
      <c r="LN31" s="70">
        <f t="shared" si="45"/>
        <v>0</v>
      </c>
      <c r="LO31" s="70">
        <f t="shared" si="46"/>
        <v>1400795</v>
      </c>
      <c r="LP31" s="70">
        <f t="shared" si="47"/>
        <v>0</v>
      </c>
      <c r="LQ31" s="70">
        <f t="shared" si="48"/>
        <v>4876981</v>
      </c>
      <c r="LR31" s="70">
        <f t="shared" si="49"/>
        <v>0</v>
      </c>
      <c r="LS31" s="70">
        <f t="shared" si="50"/>
        <v>1847995</v>
      </c>
      <c r="LT31" s="70">
        <f t="shared" si="51"/>
        <v>0</v>
      </c>
      <c r="LU31" s="70">
        <f t="shared" si="52"/>
        <v>2293178</v>
      </c>
      <c r="LV31" s="70">
        <f t="shared" si="53"/>
        <v>0</v>
      </c>
      <c r="LW31" s="70">
        <f t="shared" si="54"/>
        <v>2156532</v>
      </c>
      <c r="LX31" s="70">
        <f t="shared" si="55"/>
        <v>0</v>
      </c>
      <c r="LY31" s="70">
        <f t="shared" si="56"/>
        <v>0</v>
      </c>
      <c r="LZ31" s="70">
        <f t="shared" si="57"/>
        <v>0</v>
      </c>
      <c r="MA31" s="70">
        <f t="shared" si="58"/>
        <v>18783277</v>
      </c>
      <c r="MB31" s="70">
        <f t="shared" si="59"/>
        <v>0</v>
      </c>
      <c r="MC31" s="70">
        <f t="shared" si="60"/>
        <v>391440</v>
      </c>
      <c r="MD31" s="70">
        <f t="shared" si="61"/>
        <v>0</v>
      </c>
      <c r="ME31" s="70">
        <f t="shared" si="62"/>
        <v>0</v>
      </c>
      <c r="MF31" s="70">
        <f t="shared" si="63"/>
        <v>0</v>
      </c>
      <c r="MG31" s="70">
        <f t="shared" si="64"/>
        <v>454789</v>
      </c>
      <c r="MH31" s="70">
        <f t="shared" si="65"/>
        <v>0</v>
      </c>
      <c r="MI31" s="70">
        <f t="shared" si="66"/>
        <v>1645752</v>
      </c>
      <c r="MJ31" s="70">
        <f t="shared" si="67"/>
        <v>0</v>
      </c>
      <c r="MK31" s="70">
        <f t="shared" si="68"/>
        <v>4539970</v>
      </c>
      <c r="ML31" s="70">
        <f t="shared" si="69"/>
        <v>0</v>
      </c>
      <c r="MM31" s="70">
        <f t="shared" si="70"/>
        <v>43086528</v>
      </c>
      <c r="MN31" s="70">
        <f t="shared" si="71"/>
        <v>0</v>
      </c>
      <c r="MO31" s="70">
        <f t="shared" si="72"/>
        <v>0</v>
      </c>
      <c r="MP31" s="70">
        <f t="shared" si="73"/>
        <v>0</v>
      </c>
      <c r="MQ31" s="70">
        <f t="shared" si="74"/>
        <v>67967712</v>
      </c>
      <c r="MR31" s="70">
        <f t="shared" si="75"/>
        <v>0</v>
      </c>
      <c r="MT31" s="70">
        <f t="shared" si="76"/>
        <v>0</v>
      </c>
      <c r="MV31" s="68">
        <f t="shared" si="77"/>
        <v>0</v>
      </c>
    </row>
    <row r="32" spans="1:360" x14ac:dyDescent="0.15">
      <c r="A32" s="182" t="s">
        <v>319</v>
      </c>
      <c r="B32" s="76" t="s">
        <v>423</v>
      </c>
      <c r="C32" s="90">
        <v>225511</v>
      </c>
      <c r="D32" s="90">
        <v>2014</v>
      </c>
      <c r="E32" s="90">
        <v>1</v>
      </c>
      <c r="F32" s="91">
        <v>6</v>
      </c>
      <c r="G32" s="92">
        <v>15275</v>
      </c>
      <c r="H32" s="92">
        <v>15125</v>
      </c>
      <c r="I32" s="93">
        <v>871909376</v>
      </c>
      <c r="J32" s="93">
        <v>825928747</v>
      </c>
      <c r="K32" s="93">
        <v>4635655</v>
      </c>
      <c r="L32" s="93">
        <v>1589655</v>
      </c>
      <c r="M32" s="93">
        <v>67044760</v>
      </c>
      <c r="N32" s="93">
        <v>58000000</v>
      </c>
      <c r="O32" s="93">
        <v>50170974</v>
      </c>
      <c r="P32" s="93">
        <v>6394194</v>
      </c>
      <c r="Q32" s="93">
        <v>760008769</v>
      </c>
      <c r="R32" s="93">
        <v>680000000</v>
      </c>
      <c r="S32" s="93">
        <v>670937067</v>
      </c>
      <c r="T32" s="93">
        <v>640804787</v>
      </c>
      <c r="U32" s="93">
        <v>19184</v>
      </c>
      <c r="V32" s="93">
        <v>19841</v>
      </c>
      <c r="W32" s="93">
        <v>29804</v>
      </c>
      <c r="X32" s="93">
        <v>30371</v>
      </c>
      <c r="Y32" s="93">
        <v>23134</v>
      </c>
      <c r="Z32" s="93">
        <v>23791</v>
      </c>
      <c r="AA32" s="93">
        <v>33754</v>
      </c>
      <c r="AB32" s="93">
        <v>34321</v>
      </c>
      <c r="AC32" s="114">
        <v>7</v>
      </c>
      <c r="AD32" s="114">
        <v>10</v>
      </c>
      <c r="AE32" s="114">
        <v>0</v>
      </c>
      <c r="AF32" s="115">
        <v>3362597</v>
      </c>
      <c r="AG32" s="115">
        <v>2228956</v>
      </c>
      <c r="AH32" s="115">
        <v>348329</v>
      </c>
      <c r="AI32" s="115">
        <v>240084</v>
      </c>
      <c r="AJ32" s="115">
        <v>542302</v>
      </c>
      <c r="AK32" s="116">
        <v>4.5</v>
      </c>
      <c r="AL32" s="115">
        <v>488072</v>
      </c>
      <c r="AM32" s="116">
        <v>4.5</v>
      </c>
      <c r="AN32" s="115">
        <v>135643</v>
      </c>
      <c r="AO32" s="116">
        <v>7.5</v>
      </c>
      <c r="AP32" s="115">
        <v>127166</v>
      </c>
      <c r="AQ32" s="116">
        <v>7.5</v>
      </c>
      <c r="AR32" s="115">
        <v>250129</v>
      </c>
      <c r="AS32" s="116">
        <v>17.5</v>
      </c>
      <c r="AT32" s="115">
        <v>218863</v>
      </c>
      <c r="AU32" s="116">
        <v>20</v>
      </c>
      <c r="AV32" s="115">
        <v>72094</v>
      </c>
      <c r="AW32" s="116">
        <v>15.5</v>
      </c>
      <c r="AX32" s="115">
        <v>62081</v>
      </c>
      <c r="AY32" s="116">
        <v>18</v>
      </c>
      <c r="AZ32" s="139">
        <v>2871896</v>
      </c>
      <c r="BA32" s="139">
        <v>369873</v>
      </c>
      <c r="BB32" s="139">
        <v>34916</v>
      </c>
      <c r="BC32" s="139">
        <v>82127</v>
      </c>
      <c r="BD32" s="139">
        <v>91900</v>
      </c>
      <c r="BE32" s="139">
        <v>3450712</v>
      </c>
      <c r="BF32" s="139">
        <v>0</v>
      </c>
      <c r="BG32" s="139">
        <v>0</v>
      </c>
      <c r="BH32" s="139">
        <v>0</v>
      </c>
      <c r="BI32" s="139">
        <v>0</v>
      </c>
      <c r="BJ32" s="139">
        <v>7737707</v>
      </c>
      <c r="BK32" s="139">
        <v>7737707</v>
      </c>
      <c r="BL32" s="139">
        <v>100000</v>
      </c>
      <c r="BM32" s="139">
        <v>0</v>
      </c>
      <c r="BN32" s="139">
        <v>0</v>
      </c>
      <c r="BO32" s="139">
        <v>10000</v>
      </c>
      <c r="BP32" s="139">
        <v>0</v>
      </c>
      <c r="BQ32" s="139">
        <v>110000</v>
      </c>
      <c r="BR32" s="139">
        <v>315156</v>
      </c>
      <c r="BS32" s="139">
        <v>31600</v>
      </c>
      <c r="BT32" s="139">
        <v>12000</v>
      </c>
      <c r="BU32" s="139">
        <v>322596</v>
      </c>
      <c r="BV32" s="139">
        <v>5074011</v>
      </c>
      <c r="BW32" s="139">
        <v>5755363</v>
      </c>
      <c r="BX32" s="139">
        <v>0</v>
      </c>
      <c r="BY32" s="139">
        <v>0</v>
      </c>
      <c r="BZ32" s="139">
        <v>0</v>
      </c>
      <c r="CA32" s="139">
        <v>0</v>
      </c>
      <c r="CB32" s="139">
        <v>0</v>
      </c>
      <c r="CC32" s="139">
        <v>0</v>
      </c>
      <c r="CD32" s="139">
        <v>0</v>
      </c>
      <c r="CE32" s="139">
        <v>0</v>
      </c>
      <c r="CF32" s="139">
        <v>0</v>
      </c>
      <c r="CG32" s="139">
        <v>0</v>
      </c>
      <c r="CH32" s="139">
        <v>0</v>
      </c>
      <c r="CI32" s="139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14006414</v>
      </c>
      <c r="CO32" s="139">
        <v>14006414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983600</v>
      </c>
      <c r="CW32" s="139">
        <v>0</v>
      </c>
      <c r="CX32" s="139">
        <v>0</v>
      </c>
      <c r="CY32" s="139">
        <v>0</v>
      </c>
      <c r="CZ32" s="139">
        <v>5490699</v>
      </c>
      <c r="DA32" s="139">
        <v>6474299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11925</v>
      </c>
      <c r="DI32" s="139">
        <v>61157</v>
      </c>
      <c r="DJ32" s="139">
        <v>1081</v>
      </c>
      <c r="DK32" s="139">
        <v>57271</v>
      </c>
      <c r="DL32" s="139">
        <v>0</v>
      </c>
      <c r="DM32" s="139">
        <v>131434</v>
      </c>
      <c r="DN32" s="139">
        <v>0</v>
      </c>
      <c r="DO32" s="139">
        <v>0</v>
      </c>
      <c r="DP32" s="139">
        <v>0</v>
      </c>
      <c r="DQ32" s="139">
        <v>10000</v>
      </c>
      <c r="DR32" s="139">
        <v>2165510</v>
      </c>
      <c r="DS32" s="139">
        <v>2175510</v>
      </c>
      <c r="DT32" s="139">
        <v>0</v>
      </c>
      <c r="DU32" s="139">
        <v>0</v>
      </c>
      <c r="DV32" s="139">
        <v>0</v>
      </c>
      <c r="DW32" s="139">
        <v>0</v>
      </c>
      <c r="DX32" s="139">
        <v>0</v>
      </c>
      <c r="DY32" s="139">
        <v>0</v>
      </c>
      <c r="DZ32" s="139">
        <v>139652</v>
      </c>
      <c r="EA32" s="139">
        <v>13670</v>
      </c>
      <c r="EB32" s="139">
        <v>0</v>
      </c>
      <c r="EC32" s="139">
        <v>65454</v>
      </c>
      <c r="ED32" s="139">
        <v>0</v>
      </c>
      <c r="EE32" s="139">
        <v>218776</v>
      </c>
      <c r="EF32" s="139">
        <v>94751</v>
      </c>
      <c r="EG32" s="139">
        <v>0</v>
      </c>
      <c r="EH32" s="139">
        <v>0</v>
      </c>
      <c r="EI32" s="139">
        <v>73748</v>
      </c>
      <c r="EJ32" s="139">
        <v>82010</v>
      </c>
      <c r="EK32" s="139">
        <v>250509</v>
      </c>
      <c r="EL32" s="139">
        <v>4516980</v>
      </c>
      <c r="EM32" s="139">
        <v>476300</v>
      </c>
      <c r="EN32" s="139">
        <v>47997</v>
      </c>
      <c r="EO32" s="139">
        <v>621196</v>
      </c>
      <c r="EP32" s="139">
        <v>34648251</v>
      </c>
      <c r="EQ32" s="139">
        <v>40310724</v>
      </c>
      <c r="ER32" s="139">
        <v>2353953</v>
      </c>
      <c r="ES32" s="139">
        <v>369761</v>
      </c>
      <c r="ET32" s="139">
        <v>407769</v>
      </c>
      <c r="EU32" s="139">
        <v>2460070</v>
      </c>
      <c r="EV32" s="139">
        <v>57818</v>
      </c>
      <c r="EW32" s="139">
        <v>5649371</v>
      </c>
      <c r="EX32" s="139">
        <v>417305</v>
      </c>
      <c r="EY32" s="139">
        <v>440000</v>
      </c>
      <c r="EZ32" s="139">
        <v>22068</v>
      </c>
      <c r="FA32" s="139">
        <v>40371</v>
      </c>
      <c r="FB32" s="139">
        <v>0</v>
      </c>
      <c r="FC32" s="139">
        <v>919744</v>
      </c>
      <c r="FD32" s="139">
        <v>3881393</v>
      </c>
      <c r="FE32" s="139">
        <v>1826889</v>
      </c>
      <c r="FF32" s="139">
        <v>702362</v>
      </c>
      <c r="FG32" s="139">
        <v>2541760</v>
      </c>
      <c r="FH32" s="139">
        <v>0</v>
      </c>
      <c r="FI32" s="139">
        <v>8952404</v>
      </c>
      <c r="FJ32" s="139">
        <v>0</v>
      </c>
      <c r="FK32" s="139">
        <v>0</v>
      </c>
      <c r="FL32" s="139">
        <v>0</v>
      </c>
      <c r="FM32" s="139">
        <v>0</v>
      </c>
      <c r="FN32" s="139">
        <v>0</v>
      </c>
      <c r="FO32" s="139">
        <v>0</v>
      </c>
      <c r="FP32" s="139">
        <v>0</v>
      </c>
      <c r="FQ32" s="139">
        <v>0</v>
      </c>
      <c r="FR32" s="139">
        <v>0</v>
      </c>
      <c r="FS32" s="139">
        <v>0</v>
      </c>
      <c r="FT32" s="139">
        <v>6273305</v>
      </c>
      <c r="FU32" s="139">
        <v>6273305</v>
      </c>
      <c r="FV32" s="139">
        <v>0</v>
      </c>
      <c r="FW32" s="139">
        <v>0</v>
      </c>
      <c r="FX32" s="139">
        <v>0</v>
      </c>
      <c r="FY32" s="139">
        <v>0</v>
      </c>
      <c r="FZ32" s="139">
        <v>0</v>
      </c>
      <c r="GA32" s="139">
        <v>0</v>
      </c>
      <c r="GB32" s="139">
        <v>0</v>
      </c>
      <c r="GC32" s="139">
        <v>0</v>
      </c>
      <c r="GD32" s="139">
        <v>0</v>
      </c>
      <c r="GE32" s="139">
        <v>0</v>
      </c>
      <c r="GF32" s="139">
        <v>0</v>
      </c>
      <c r="GG32" s="139">
        <v>0</v>
      </c>
      <c r="GH32" s="139">
        <v>156157</v>
      </c>
      <c r="GI32" s="139">
        <v>97850</v>
      </c>
      <c r="GJ32" s="139">
        <v>104991</v>
      </c>
      <c r="GK32" s="139">
        <v>229415</v>
      </c>
      <c r="GL32" s="139">
        <v>0</v>
      </c>
      <c r="GM32" s="139">
        <v>588413</v>
      </c>
      <c r="GN32" s="139">
        <v>1202557</v>
      </c>
      <c r="GO32" s="139">
        <v>404618</v>
      </c>
      <c r="GP32" s="139">
        <v>268313</v>
      </c>
      <c r="GQ32" s="139">
        <v>1427014</v>
      </c>
      <c r="GR32" s="139">
        <v>0</v>
      </c>
      <c r="GS32" s="139">
        <v>3302502</v>
      </c>
      <c r="GT32" s="139">
        <v>489240</v>
      </c>
      <c r="GU32" s="139">
        <v>60568</v>
      </c>
      <c r="GV32" s="139">
        <v>30787</v>
      </c>
      <c r="GW32" s="139">
        <v>499810</v>
      </c>
      <c r="GX32" s="139">
        <v>238838</v>
      </c>
      <c r="GY32" s="139">
        <v>1319243</v>
      </c>
      <c r="GZ32" s="139">
        <v>973332</v>
      </c>
      <c r="HA32" s="139">
        <v>66129</v>
      </c>
      <c r="HB32" s="139">
        <v>28544</v>
      </c>
      <c r="HC32" s="139">
        <v>262240</v>
      </c>
      <c r="HD32" s="139">
        <v>0</v>
      </c>
      <c r="HE32" s="139">
        <v>1330245</v>
      </c>
      <c r="HF32" s="139">
        <v>22258</v>
      </c>
      <c r="HG32" s="139">
        <v>2772</v>
      </c>
      <c r="HH32" s="139">
        <v>0</v>
      </c>
      <c r="HI32" s="139">
        <v>7326</v>
      </c>
      <c r="HJ32" s="139">
        <v>499622</v>
      </c>
      <c r="HK32" s="139">
        <v>531978</v>
      </c>
      <c r="HL32" s="139">
        <v>0</v>
      </c>
      <c r="HM32" s="139">
        <v>0</v>
      </c>
      <c r="HN32" s="139">
        <v>0</v>
      </c>
      <c r="HO32" s="139">
        <v>0</v>
      </c>
      <c r="HP32" s="139">
        <v>0</v>
      </c>
      <c r="HQ32" s="139">
        <v>0</v>
      </c>
      <c r="HR32" s="139">
        <v>0</v>
      </c>
      <c r="HS32" s="139">
        <v>0</v>
      </c>
      <c r="HT32" s="139">
        <v>0</v>
      </c>
      <c r="HU32" s="139">
        <v>0</v>
      </c>
      <c r="HV32" s="139">
        <v>5939807</v>
      </c>
      <c r="HW32" s="139">
        <v>5939807</v>
      </c>
      <c r="HX32" s="139">
        <v>0</v>
      </c>
      <c r="HY32" s="139">
        <v>0</v>
      </c>
      <c r="HZ32" s="139">
        <v>0</v>
      </c>
      <c r="IA32" s="139">
        <v>0</v>
      </c>
      <c r="IB32" s="139">
        <v>0</v>
      </c>
      <c r="IC32" s="139">
        <v>0</v>
      </c>
      <c r="ID32" s="139">
        <v>0</v>
      </c>
      <c r="IE32" s="139">
        <v>0</v>
      </c>
      <c r="IF32" s="139">
        <v>0</v>
      </c>
      <c r="IG32" s="139">
        <v>0</v>
      </c>
      <c r="IH32" s="139">
        <v>0</v>
      </c>
      <c r="II32" s="139">
        <v>0</v>
      </c>
      <c r="IJ32" s="139">
        <v>0</v>
      </c>
      <c r="IK32" s="139">
        <v>0</v>
      </c>
      <c r="IL32" s="139">
        <v>0</v>
      </c>
      <c r="IM32" s="139">
        <v>0</v>
      </c>
      <c r="IN32" s="139">
        <v>780474</v>
      </c>
      <c r="IO32" s="139">
        <v>780474</v>
      </c>
      <c r="IP32" s="139">
        <v>3660</v>
      </c>
      <c r="IQ32" s="139">
        <v>195</v>
      </c>
      <c r="IR32" s="139">
        <v>1189</v>
      </c>
      <c r="IS32" s="139">
        <v>4399</v>
      </c>
      <c r="IT32" s="139">
        <v>14710</v>
      </c>
      <c r="IU32" s="139">
        <v>24153</v>
      </c>
      <c r="IV32" s="139">
        <v>428764</v>
      </c>
      <c r="IW32" s="139">
        <v>89110</v>
      </c>
      <c r="IX32" s="139">
        <v>80894</v>
      </c>
      <c r="IY32" s="139">
        <v>349436</v>
      </c>
      <c r="IZ32" s="139">
        <v>2926553</v>
      </c>
      <c r="JA32" s="139">
        <v>3874757</v>
      </c>
      <c r="JB32" s="139">
        <v>9928619</v>
      </c>
      <c r="JC32" s="139">
        <v>3357892</v>
      </c>
      <c r="JD32" s="139">
        <v>1646917</v>
      </c>
      <c r="JE32" s="139">
        <v>7821841</v>
      </c>
      <c r="JF32" s="139">
        <v>16731127</v>
      </c>
      <c r="JG32" s="139">
        <v>39486396</v>
      </c>
      <c r="JH32" s="139">
        <v>0</v>
      </c>
      <c r="JI32" s="139">
        <v>0</v>
      </c>
      <c r="JJ32" s="139">
        <v>0</v>
      </c>
      <c r="JK32" s="139">
        <v>0</v>
      </c>
      <c r="JL32" s="139">
        <v>0</v>
      </c>
      <c r="JM32" s="139">
        <v>0</v>
      </c>
      <c r="JN32" s="139">
        <v>9928619</v>
      </c>
      <c r="JO32" s="139">
        <v>3357892</v>
      </c>
      <c r="JP32" s="139">
        <v>1646917</v>
      </c>
      <c r="JQ32" s="139">
        <v>7821841</v>
      </c>
      <c r="JR32" s="139">
        <v>16731127</v>
      </c>
      <c r="JS32" s="139">
        <v>39486396</v>
      </c>
      <c r="JU32" s="70">
        <f t="shared" si="0"/>
        <v>3450712</v>
      </c>
      <c r="JV32" s="70">
        <f t="shared" si="1"/>
        <v>0</v>
      </c>
      <c r="JW32" s="70">
        <f t="shared" si="2"/>
        <v>7737707</v>
      </c>
      <c r="JX32" s="70">
        <f t="shared" si="3"/>
        <v>0</v>
      </c>
      <c r="JY32" s="70">
        <f t="shared" si="4"/>
        <v>110000</v>
      </c>
      <c r="JZ32" s="70">
        <f t="shared" si="5"/>
        <v>0</v>
      </c>
      <c r="KA32" s="70">
        <f t="shared" si="6"/>
        <v>5755363</v>
      </c>
      <c r="KB32" s="70">
        <f t="shared" si="7"/>
        <v>0</v>
      </c>
      <c r="KC32" s="70">
        <f t="shared" si="8"/>
        <v>0</v>
      </c>
      <c r="KD32" s="70">
        <f t="shared" si="9"/>
        <v>0</v>
      </c>
      <c r="KE32" s="70">
        <f t="shared" si="10"/>
        <v>0</v>
      </c>
      <c r="KF32" s="70">
        <f t="shared" si="11"/>
        <v>0</v>
      </c>
      <c r="KG32" s="70">
        <f t="shared" si="12"/>
        <v>14006414</v>
      </c>
      <c r="KH32" s="70">
        <f t="shared" si="13"/>
        <v>0</v>
      </c>
      <c r="KI32" s="70">
        <f t="shared" si="14"/>
        <v>0</v>
      </c>
      <c r="KJ32" s="70">
        <f t="shared" si="15"/>
        <v>0</v>
      </c>
      <c r="KK32" s="70">
        <f t="shared" si="16"/>
        <v>6474299</v>
      </c>
      <c r="KL32" s="70">
        <f t="shared" si="17"/>
        <v>0</v>
      </c>
      <c r="KM32" s="70">
        <f t="shared" si="18"/>
        <v>0</v>
      </c>
      <c r="KN32" s="70">
        <f t="shared" si="19"/>
        <v>0</v>
      </c>
      <c r="KO32" s="70">
        <f t="shared" si="20"/>
        <v>131434</v>
      </c>
      <c r="KP32" s="70">
        <f t="shared" si="21"/>
        <v>0</v>
      </c>
      <c r="KQ32" s="70">
        <f t="shared" si="22"/>
        <v>2175510</v>
      </c>
      <c r="KR32" s="70">
        <f t="shared" si="23"/>
        <v>0</v>
      </c>
      <c r="KS32" s="70">
        <f t="shared" si="24"/>
        <v>0</v>
      </c>
      <c r="KT32" s="70">
        <f t="shared" si="25"/>
        <v>0</v>
      </c>
      <c r="KU32" s="70">
        <f t="shared" si="26"/>
        <v>218776</v>
      </c>
      <c r="KV32" s="70">
        <f t="shared" si="27"/>
        <v>0</v>
      </c>
      <c r="KW32" s="70">
        <f t="shared" si="28"/>
        <v>250509</v>
      </c>
      <c r="KX32" s="70">
        <f t="shared" si="29"/>
        <v>0</v>
      </c>
      <c r="KY32" s="70">
        <f t="shared" si="30"/>
        <v>40310724</v>
      </c>
      <c r="KZ32" s="70">
        <f t="shared" si="31"/>
        <v>0</v>
      </c>
      <c r="LA32" s="70">
        <f t="shared" si="32"/>
        <v>5649371</v>
      </c>
      <c r="LB32" s="70">
        <f t="shared" si="33"/>
        <v>0</v>
      </c>
      <c r="LC32" s="70">
        <f t="shared" si="34"/>
        <v>919744</v>
      </c>
      <c r="LD32" s="70">
        <f t="shared" si="35"/>
        <v>0</v>
      </c>
      <c r="LE32" s="70">
        <f t="shared" si="36"/>
        <v>8952404</v>
      </c>
      <c r="LF32" s="70">
        <f t="shared" si="37"/>
        <v>0</v>
      </c>
      <c r="LG32" s="70">
        <f t="shared" si="78"/>
        <v>0</v>
      </c>
      <c r="LH32" s="70">
        <f t="shared" si="79"/>
        <v>0</v>
      </c>
      <c r="LI32" s="70">
        <f t="shared" si="40"/>
        <v>6273305</v>
      </c>
      <c r="LJ32" s="70">
        <f t="shared" si="41"/>
        <v>0</v>
      </c>
      <c r="LK32" s="70">
        <f t="shared" si="42"/>
        <v>0</v>
      </c>
      <c r="LL32" s="70">
        <f t="shared" si="43"/>
        <v>0</v>
      </c>
      <c r="LM32" s="70">
        <f t="shared" si="44"/>
        <v>0</v>
      </c>
      <c r="LN32" s="70">
        <f t="shared" si="45"/>
        <v>0</v>
      </c>
      <c r="LO32" s="70">
        <f t="shared" si="46"/>
        <v>588413</v>
      </c>
      <c r="LP32" s="70">
        <f t="shared" si="47"/>
        <v>0</v>
      </c>
      <c r="LQ32" s="70">
        <f t="shared" si="48"/>
        <v>3302502</v>
      </c>
      <c r="LR32" s="70">
        <f t="shared" si="49"/>
        <v>0</v>
      </c>
      <c r="LS32" s="70">
        <f t="shared" si="50"/>
        <v>1319243</v>
      </c>
      <c r="LT32" s="70">
        <f t="shared" si="51"/>
        <v>0</v>
      </c>
      <c r="LU32" s="70">
        <f t="shared" si="52"/>
        <v>1330245</v>
      </c>
      <c r="LV32" s="70">
        <f t="shared" si="53"/>
        <v>0</v>
      </c>
      <c r="LW32" s="70">
        <f t="shared" si="54"/>
        <v>531978</v>
      </c>
      <c r="LX32" s="70">
        <f t="shared" si="55"/>
        <v>0</v>
      </c>
      <c r="LY32" s="70">
        <f t="shared" si="56"/>
        <v>0</v>
      </c>
      <c r="LZ32" s="70">
        <f t="shared" si="57"/>
        <v>0</v>
      </c>
      <c r="MA32" s="70">
        <f t="shared" si="58"/>
        <v>5939807</v>
      </c>
      <c r="MB32" s="70">
        <f t="shared" si="59"/>
        <v>0</v>
      </c>
      <c r="MC32" s="70">
        <f t="shared" si="60"/>
        <v>0</v>
      </c>
      <c r="MD32" s="70">
        <f t="shared" si="61"/>
        <v>0</v>
      </c>
      <c r="ME32" s="70">
        <f t="shared" si="62"/>
        <v>0</v>
      </c>
      <c r="MF32" s="70">
        <f t="shared" si="63"/>
        <v>0</v>
      </c>
      <c r="MG32" s="70">
        <f t="shared" si="64"/>
        <v>780474</v>
      </c>
      <c r="MH32" s="70">
        <f t="shared" si="65"/>
        <v>0</v>
      </c>
      <c r="MI32" s="70">
        <f t="shared" si="66"/>
        <v>24153</v>
      </c>
      <c r="MJ32" s="70">
        <f t="shared" si="67"/>
        <v>0</v>
      </c>
      <c r="MK32" s="70">
        <f t="shared" si="68"/>
        <v>3874757</v>
      </c>
      <c r="ML32" s="70">
        <f t="shared" si="69"/>
        <v>0</v>
      </c>
      <c r="MM32" s="70">
        <f t="shared" si="70"/>
        <v>39486396</v>
      </c>
      <c r="MN32" s="70">
        <f t="shared" si="71"/>
        <v>0</v>
      </c>
      <c r="MO32" s="70">
        <f t="shared" si="72"/>
        <v>0</v>
      </c>
      <c r="MP32" s="70">
        <f t="shared" si="73"/>
        <v>0</v>
      </c>
      <c r="MQ32" s="70">
        <f t="shared" si="74"/>
        <v>39486396</v>
      </c>
      <c r="MR32" s="70">
        <f t="shared" si="75"/>
        <v>0</v>
      </c>
      <c r="MT32" s="70">
        <f t="shared" si="76"/>
        <v>0</v>
      </c>
      <c r="MV32" s="68">
        <f t="shared" si="77"/>
        <v>0</v>
      </c>
    </row>
    <row r="33" spans="1:360" x14ac:dyDescent="0.15">
      <c r="A33" s="183" t="s">
        <v>320</v>
      </c>
      <c r="B33" s="76" t="s">
        <v>423</v>
      </c>
      <c r="C33" s="90">
        <v>142285</v>
      </c>
      <c r="D33" s="90">
        <v>2014</v>
      </c>
      <c r="E33" s="90">
        <v>1</v>
      </c>
      <c r="F33" s="91">
        <v>11</v>
      </c>
      <c r="G33" s="92"/>
      <c r="H33" s="92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114"/>
      <c r="AD33" s="114"/>
      <c r="AE33" s="114"/>
      <c r="AF33" s="115"/>
      <c r="AG33" s="115"/>
      <c r="AH33" s="115"/>
      <c r="AI33" s="115"/>
      <c r="AJ33" s="115"/>
      <c r="AK33" s="116"/>
      <c r="AL33" s="115"/>
      <c r="AM33" s="116"/>
      <c r="AN33" s="115"/>
      <c r="AO33" s="116"/>
      <c r="AP33" s="115"/>
      <c r="AQ33" s="116"/>
      <c r="AR33" s="115"/>
      <c r="AS33" s="116"/>
      <c r="AT33" s="115"/>
      <c r="AU33" s="116"/>
      <c r="AV33" s="115"/>
      <c r="AW33" s="116"/>
      <c r="AX33" s="115"/>
      <c r="AY33" s="116"/>
      <c r="AZ33" s="163">
        <v>704355</v>
      </c>
      <c r="BA33" s="163">
        <v>66680</v>
      </c>
      <c r="BB33" s="163">
        <v>11093</v>
      </c>
      <c r="BC33" s="139">
        <f>772242+19745-AZ33-BA33-BB33</f>
        <v>9859</v>
      </c>
      <c r="BD33" s="163">
        <v>0</v>
      </c>
      <c r="BE33" s="163">
        <v>791987</v>
      </c>
      <c r="BF33" s="139">
        <v>0</v>
      </c>
      <c r="BG33" s="139">
        <v>0</v>
      </c>
      <c r="BH33" s="139">
        <v>0</v>
      </c>
      <c r="BI33" s="139">
        <v>0</v>
      </c>
      <c r="BJ33" s="163">
        <v>2269389</v>
      </c>
      <c r="BK33" s="163">
        <v>2269389</v>
      </c>
      <c r="BL33" s="163">
        <v>3135000</v>
      </c>
      <c r="BM33" s="163">
        <v>150000</v>
      </c>
      <c r="BN33" s="163">
        <v>58000</v>
      </c>
      <c r="BO33" s="139">
        <f>3285000+59000-BL33-BM33-BN33</f>
        <v>1000</v>
      </c>
      <c r="BP33" s="139">
        <v>0</v>
      </c>
      <c r="BQ33" s="163">
        <v>3344000</v>
      </c>
      <c r="BR33" s="163">
        <v>117623</v>
      </c>
      <c r="BS33" s="163">
        <v>39086</v>
      </c>
      <c r="BT33" s="163">
        <v>7615</v>
      </c>
      <c r="BU33" s="139">
        <f>166251+79022-BR33-BS33-BT33</f>
        <v>80949</v>
      </c>
      <c r="BV33" s="163">
        <v>2368165</v>
      </c>
      <c r="BW33" s="163">
        <v>2613438</v>
      </c>
      <c r="BX33" s="139">
        <v>225000</v>
      </c>
      <c r="BY33" s="163">
        <v>99500</v>
      </c>
      <c r="BZ33" s="163">
        <v>23000</v>
      </c>
      <c r="CA33" s="139">
        <f>335000+98650-BX33-BY33-BZ33</f>
        <v>86150</v>
      </c>
      <c r="CB33" s="163">
        <v>15000</v>
      </c>
      <c r="CC33" s="163">
        <v>448650</v>
      </c>
      <c r="CD33" s="163">
        <v>1034806</v>
      </c>
      <c r="CE33" s="163">
        <v>172813</v>
      </c>
      <c r="CF33" s="163">
        <v>160529</v>
      </c>
      <c r="CG33" s="139">
        <f>1495182+1020615-CD33-CE33-CF33</f>
        <v>1147649</v>
      </c>
      <c r="CH33" s="139">
        <v>0</v>
      </c>
      <c r="CI33" s="163">
        <v>2515797</v>
      </c>
      <c r="CJ33" s="163">
        <v>1291176</v>
      </c>
      <c r="CK33" s="163">
        <v>215628</v>
      </c>
      <c r="CL33" s="163">
        <v>351547</v>
      </c>
      <c r="CM33" s="139">
        <f>1865611+2235071-CJ33-CK33-CL33</f>
        <v>2242331</v>
      </c>
      <c r="CN33" s="139">
        <v>0</v>
      </c>
      <c r="CO33" s="163">
        <v>4100682</v>
      </c>
      <c r="CP33" s="139">
        <v>0</v>
      </c>
      <c r="CQ33" s="139">
        <v>0</v>
      </c>
      <c r="CR33" s="139">
        <v>0</v>
      </c>
      <c r="CS33" s="139">
        <v>0</v>
      </c>
      <c r="CT33" s="163">
        <v>495585</v>
      </c>
      <c r="CU33" s="163">
        <v>495585</v>
      </c>
      <c r="CV33" s="139">
        <v>0</v>
      </c>
      <c r="CW33" s="139">
        <v>0</v>
      </c>
      <c r="CX33" s="139">
        <v>0</v>
      </c>
      <c r="CY33" s="139">
        <v>0</v>
      </c>
      <c r="CZ33" s="163">
        <v>834318</v>
      </c>
      <c r="DA33" s="163">
        <v>834318</v>
      </c>
      <c r="DB33" s="139">
        <v>0</v>
      </c>
      <c r="DC33" s="139">
        <v>0</v>
      </c>
      <c r="DD33" s="139">
        <v>0</v>
      </c>
      <c r="DE33" s="139">
        <v>0</v>
      </c>
      <c r="DF33" s="139">
        <v>75000</v>
      </c>
      <c r="DG33" s="163">
        <v>75000</v>
      </c>
      <c r="DH33" s="163">
        <v>19522</v>
      </c>
      <c r="DI33" s="163">
        <v>3000</v>
      </c>
      <c r="DJ33" s="163">
        <v>273</v>
      </c>
      <c r="DK33" s="139">
        <f>22581+1143-DH33-DI33-DJ33</f>
        <v>929</v>
      </c>
      <c r="DL33" s="163">
        <v>1984</v>
      </c>
      <c r="DM33" s="163">
        <v>25708</v>
      </c>
      <c r="DN33" s="139">
        <v>0</v>
      </c>
      <c r="DO33" s="139">
        <v>0</v>
      </c>
      <c r="DP33" s="139">
        <v>0</v>
      </c>
      <c r="DQ33" s="139">
        <v>0</v>
      </c>
      <c r="DR33" s="163">
        <v>736100</v>
      </c>
      <c r="DS33" s="163">
        <v>736100</v>
      </c>
      <c r="DT33" s="163">
        <v>29535</v>
      </c>
      <c r="DU33" s="139">
        <v>0</v>
      </c>
      <c r="DV33" s="163">
        <v>2760</v>
      </c>
      <c r="DW33" s="139">
        <f>29535+20445-DT33-DU33-DV33</f>
        <v>17685</v>
      </c>
      <c r="DX33" s="139">
        <v>0</v>
      </c>
      <c r="DY33" s="163">
        <v>49980</v>
      </c>
      <c r="DZ33" s="139">
        <v>0</v>
      </c>
      <c r="EA33" s="163">
        <v>2901</v>
      </c>
      <c r="EB33" s="139">
        <v>0</v>
      </c>
      <c r="EC33" s="139">
        <f>2901+0-DZ33-EA33-EB33</f>
        <v>0</v>
      </c>
      <c r="ED33" s="163">
        <v>416342</v>
      </c>
      <c r="EE33" s="163">
        <v>419243</v>
      </c>
      <c r="EF33" s="139">
        <v>0</v>
      </c>
      <c r="EG33" s="163">
        <v>44975</v>
      </c>
      <c r="EH33" s="139">
        <v>0</v>
      </c>
      <c r="EI33" s="139">
        <f>50375+5400-EF33-EG33-EH33</f>
        <v>10800</v>
      </c>
      <c r="EJ33" s="163">
        <v>145264</v>
      </c>
      <c r="EK33" s="163">
        <v>201039</v>
      </c>
      <c r="EL33" s="163">
        <v>6557017</v>
      </c>
      <c r="EM33" s="163">
        <v>794583</v>
      </c>
      <c r="EN33" s="163">
        <v>614817</v>
      </c>
      <c r="EO33" s="139">
        <f>8024678+3539091-EL33-EM33-EN33</f>
        <v>3597352</v>
      </c>
      <c r="EP33" s="163">
        <v>7357147</v>
      </c>
      <c r="EQ33" s="163">
        <v>18920916</v>
      </c>
      <c r="ER33" s="163">
        <v>2228953</v>
      </c>
      <c r="ES33" s="163">
        <v>372237</v>
      </c>
      <c r="ET33" s="163">
        <v>345777</v>
      </c>
      <c r="EU33" s="139">
        <f>3220598+2198389-ER33-ES33-ET33</f>
        <v>2472020</v>
      </c>
      <c r="EV33" s="139">
        <v>0</v>
      </c>
      <c r="EW33" s="163">
        <v>5418987</v>
      </c>
      <c r="EX33" s="163">
        <v>715000</v>
      </c>
      <c r="EY33" s="163">
        <v>89633</v>
      </c>
      <c r="EZ33" s="163">
        <v>2500</v>
      </c>
      <c r="FA33" s="139">
        <f>804633+2740-EX33-EY33-EZ33</f>
        <v>240</v>
      </c>
      <c r="FB33" s="139">
        <v>0</v>
      </c>
      <c r="FC33" s="163">
        <v>807373</v>
      </c>
      <c r="FD33" s="163">
        <f>220012+1068832</f>
        <v>1288844</v>
      </c>
      <c r="FE33" s="163">
        <f>202167+196526</f>
        <v>398693</v>
      </c>
      <c r="FF33" s="139">
        <f>135501+163431</f>
        <v>298932</v>
      </c>
      <c r="FG33" s="139">
        <f>590736+523321+1284526+407066-FD33-FE33-FF33</f>
        <v>819180</v>
      </c>
      <c r="FH33" s="139">
        <v>0</v>
      </c>
      <c r="FI33" s="163">
        <v>2805649</v>
      </c>
      <c r="FJ33" s="163">
        <v>225000</v>
      </c>
      <c r="FK33" s="163">
        <v>99500</v>
      </c>
      <c r="FL33" s="163">
        <v>23000</v>
      </c>
      <c r="FM33" s="139">
        <f>339000+94650-FJ33-FK33-FL33</f>
        <v>86150</v>
      </c>
      <c r="FN33" s="139">
        <v>0</v>
      </c>
      <c r="FO33" s="163">
        <v>433650</v>
      </c>
      <c r="FP33" s="163">
        <v>64348</v>
      </c>
      <c r="FQ33" s="163">
        <v>66640</v>
      </c>
      <c r="FR33" s="139">
        <v>0</v>
      </c>
      <c r="FS33" s="139">
        <f>130988+0-FP33-FQ33-FR33</f>
        <v>0</v>
      </c>
      <c r="FT33" s="163">
        <v>1885016</v>
      </c>
      <c r="FU33" s="163">
        <v>2016004</v>
      </c>
      <c r="FV33" s="139">
        <v>0</v>
      </c>
      <c r="FW33" s="139">
        <v>0</v>
      </c>
      <c r="FX33" s="139">
        <v>0</v>
      </c>
      <c r="FY33" s="139">
        <v>0</v>
      </c>
      <c r="FZ33" s="163">
        <v>15000</v>
      </c>
      <c r="GA33" s="163">
        <v>15000</v>
      </c>
      <c r="GB33" s="139">
        <v>0</v>
      </c>
      <c r="GC33" s="139">
        <v>0</v>
      </c>
      <c r="GD33" s="139">
        <v>0</v>
      </c>
      <c r="GE33" s="139">
        <v>0</v>
      </c>
      <c r="GF33" s="139">
        <v>0</v>
      </c>
      <c r="GG33" s="139">
        <v>0</v>
      </c>
      <c r="GH33" s="163">
        <v>149898</v>
      </c>
      <c r="GI33" s="163">
        <v>95386</v>
      </c>
      <c r="GJ33" s="163">
        <v>53721</v>
      </c>
      <c r="GK33" s="139">
        <f>254320+133257-GH33-GI33-GJ33</f>
        <v>88572</v>
      </c>
      <c r="GL33" s="139">
        <v>0</v>
      </c>
      <c r="GM33" s="163">
        <v>387577</v>
      </c>
      <c r="GN33" s="163">
        <v>870853</v>
      </c>
      <c r="GO33" s="163">
        <v>254995</v>
      </c>
      <c r="GP33" s="163">
        <v>216099</v>
      </c>
      <c r="GQ33" s="139">
        <f>1341384+850497-GN33-GO33-GP33</f>
        <v>849934</v>
      </c>
      <c r="GR33" s="139">
        <v>0</v>
      </c>
      <c r="GS33" s="163">
        <v>2191881</v>
      </c>
      <c r="GT33" s="163">
        <v>201214</v>
      </c>
      <c r="GU33" s="163">
        <v>21020</v>
      </c>
      <c r="GV33" s="163">
        <v>30548</v>
      </c>
      <c r="GW33" s="139">
        <f>268547+152383-GT33-GU33-GV33</f>
        <v>168148</v>
      </c>
      <c r="GX33" s="163">
        <v>135167</v>
      </c>
      <c r="GY33" s="163">
        <v>556097</v>
      </c>
      <c r="GZ33" s="163">
        <v>285023</v>
      </c>
      <c r="HA33" s="163">
        <v>141078</v>
      </c>
      <c r="HB33" s="163">
        <v>114527</v>
      </c>
      <c r="HC33" s="139">
        <f>450282+200533-GZ33-HA33-HB33</f>
        <v>110187</v>
      </c>
      <c r="HD33" s="139">
        <v>0</v>
      </c>
      <c r="HE33" s="163">
        <v>650815</v>
      </c>
      <c r="HF33" s="163">
        <v>58977</v>
      </c>
      <c r="HG33" s="163">
        <v>25557</v>
      </c>
      <c r="HH33" s="163">
        <v>5539</v>
      </c>
      <c r="HI33" s="139">
        <f>92998+74045-HF33-HG33-HH33</f>
        <v>76970</v>
      </c>
      <c r="HJ33" s="163">
        <v>218093</v>
      </c>
      <c r="HK33" s="163">
        <v>385136</v>
      </c>
      <c r="HL33" s="163">
        <v>8444</v>
      </c>
      <c r="HM33" s="139">
        <v>0</v>
      </c>
      <c r="HN33" s="163">
        <v>335</v>
      </c>
      <c r="HO33" s="139">
        <f>8444+3219-HL33-HM33-HN33</f>
        <v>2884</v>
      </c>
      <c r="HP33" s="139">
        <v>0</v>
      </c>
      <c r="HQ33" s="163">
        <v>11663</v>
      </c>
      <c r="HR33" s="163">
        <v>8696</v>
      </c>
      <c r="HS33" s="163">
        <v>476</v>
      </c>
      <c r="HT33" s="163">
        <v>2458</v>
      </c>
      <c r="HU33" s="139">
        <f>11758+9307-HR33-HS33-HT33</f>
        <v>9435</v>
      </c>
      <c r="HV33" s="163">
        <v>47228</v>
      </c>
      <c r="HW33" s="163">
        <v>68293</v>
      </c>
      <c r="HX33" s="139">
        <v>0</v>
      </c>
      <c r="HY33" s="139">
        <v>0</v>
      </c>
      <c r="HZ33" s="139">
        <v>0</v>
      </c>
      <c r="IA33" s="139">
        <v>0</v>
      </c>
      <c r="IB33" s="139">
        <v>0</v>
      </c>
      <c r="IC33" s="139">
        <v>0</v>
      </c>
      <c r="ID33" s="139">
        <v>0</v>
      </c>
      <c r="IE33" s="139">
        <v>0</v>
      </c>
      <c r="IF33" s="139">
        <v>0</v>
      </c>
      <c r="IG33" s="139">
        <v>0</v>
      </c>
      <c r="IH33" s="163">
        <v>495585</v>
      </c>
      <c r="II33" s="163">
        <v>495585</v>
      </c>
      <c r="IJ33" s="163">
        <v>139773</v>
      </c>
      <c r="IK33" s="163">
        <v>23342</v>
      </c>
      <c r="IL33" s="163">
        <v>21683</v>
      </c>
      <c r="IM33" s="139">
        <f>201957+137857-IJ33-IK33-IL33</f>
        <v>155016</v>
      </c>
      <c r="IN33" s="139">
        <v>0</v>
      </c>
      <c r="IO33" s="139">
        <v>339814</v>
      </c>
      <c r="IP33" s="139">
        <v>0</v>
      </c>
      <c r="IQ33" s="163">
        <v>2200</v>
      </c>
      <c r="IR33" s="163">
        <v>925</v>
      </c>
      <c r="IS33" s="139">
        <f>2985+6469-IP33-IQ33-IR33</f>
        <v>6329</v>
      </c>
      <c r="IT33" s="163">
        <v>264608</v>
      </c>
      <c r="IU33" s="163">
        <v>274062</v>
      </c>
      <c r="IV33" s="163">
        <v>452928</v>
      </c>
      <c r="IW33" s="163">
        <v>75639</v>
      </c>
      <c r="IX33" s="163">
        <v>221509</v>
      </c>
      <c r="IY33" s="139">
        <f>654432+1408316-IV33-IW33-IX33</f>
        <v>1312672</v>
      </c>
      <c r="IZ33" s="139">
        <v>0</v>
      </c>
      <c r="JA33" s="163">
        <v>2062748</v>
      </c>
      <c r="JB33" s="163">
        <v>6697951</v>
      </c>
      <c r="JC33" s="163">
        <v>1666396</v>
      </c>
      <c r="JD33" s="163">
        <v>1337553</v>
      </c>
      <c r="JE33" s="139">
        <f>9657588+6202049-JB33-JC33-JD33</f>
        <v>6157737</v>
      </c>
      <c r="JF33" s="163">
        <v>3060697</v>
      </c>
      <c r="JG33" s="163">
        <v>18920334</v>
      </c>
      <c r="JH33" s="139">
        <v>0</v>
      </c>
      <c r="JI33" s="139">
        <v>0</v>
      </c>
      <c r="JJ33" s="139">
        <v>0</v>
      </c>
      <c r="JK33" s="139">
        <v>0</v>
      </c>
      <c r="JL33" s="139">
        <v>0</v>
      </c>
      <c r="JM33" s="139">
        <v>0</v>
      </c>
      <c r="JN33" s="163">
        <v>6697951</v>
      </c>
      <c r="JO33" s="163">
        <v>1666396</v>
      </c>
      <c r="JP33" s="163">
        <v>1337553</v>
      </c>
      <c r="JQ33" s="139">
        <f>9657588+6202049-JN33-JO33-JP33</f>
        <v>6157737</v>
      </c>
      <c r="JR33" s="163">
        <v>3060697</v>
      </c>
      <c r="JS33" s="163">
        <v>18920334</v>
      </c>
      <c r="JU33" s="70">
        <f t="shared" ref="JU33:JU64" si="80">SUM(AZ33:BD33)</f>
        <v>791987</v>
      </c>
      <c r="JV33" s="70">
        <f t="shared" ref="JV33:JV64" si="81">BE33-JU33</f>
        <v>0</v>
      </c>
      <c r="JW33" s="70">
        <f t="shared" ref="JW33:JW64" si="82">SUM(BF33:BJ33)</f>
        <v>2269389</v>
      </c>
      <c r="JX33" s="70">
        <f t="shared" ref="JX33:JX64" si="83">BK33-JW33</f>
        <v>0</v>
      </c>
      <c r="JY33" s="70">
        <f t="shared" ref="JY33:JY64" si="84">SUM(BL33:BP33)</f>
        <v>3344000</v>
      </c>
      <c r="JZ33" s="70">
        <f t="shared" ref="JZ33:JZ64" si="85">BQ33-JY33</f>
        <v>0</v>
      </c>
      <c r="KA33" s="70">
        <f t="shared" ref="KA33:KA64" si="86">SUM(BR33:BV33)</f>
        <v>2613438</v>
      </c>
      <c r="KB33" s="70">
        <f t="shared" ref="KB33:KB64" si="87">BW33-KA33</f>
        <v>0</v>
      </c>
      <c r="KC33" s="70">
        <f t="shared" ref="KC33:KC64" si="88">SUM(BX33:CB33)</f>
        <v>448650</v>
      </c>
      <c r="KD33" s="70">
        <f t="shared" ref="KD33:KD64" si="89">CC33-KC33</f>
        <v>0</v>
      </c>
      <c r="KE33" s="70">
        <f t="shared" ref="KE33:KE64" si="90">SUM(CD33:CH33)</f>
        <v>2515797</v>
      </c>
      <c r="KF33" s="70">
        <f t="shared" ref="KF33:KF64" si="91">CI33-KE33</f>
        <v>0</v>
      </c>
      <c r="KG33" s="70">
        <f t="shared" ref="KG33:KG64" si="92">SUM(CJ33:CN33)</f>
        <v>4100682</v>
      </c>
      <c r="KH33" s="70">
        <f t="shared" ref="KH33:KH64" si="93">CO33-KG33</f>
        <v>0</v>
      </c>
      <c r="KI33" s="70">
        <f t="shared" ref="KI33:KI64" si="94">SUM(CP33:CT33)</f>
        <v>495585</v>
      </c>
      <c r="KJ33" s="70">
        <f t="shared" ref="KJ33:KJ64" si="95">CU33-KI33</f>
        <v>0</v>
      </c>
      <c r="KK33" s="70">
        <f t="shared" ref="KK33:KK64" si="96">SUM(CV33:CZ33)</f>
        <v>834318</v>
      </c>
      <c r="KL33" s="70">
        <f t="shared" ref="KL33:KL64" si="97">DA33-KK33</f>
        <v>0</v>
      </c>
      <c r="KM33" s="70">
        <f t="shared" ref="KM33:KM64" si="98">SUM(DB33:DF33)</f>
        <v>75000</v>
      </c>
      <c r="KN33" s="70">
        <f t="shared" ref="KN33:KN64" si="99">DG33-KM33</f>
        <v>0</v>
      </c>
      <c r="KO33" s="70">
        <f t="shared" ref="KO33:KO64" si="100">SUM(DH33:DL33)</f>
        <v>25708</v>
      </c>
      <c r="KP33" s="70">
        <f t="shared" ref="KP33:KP64" si="101">DM33-KO33</f>
        <v>0</v>
      </c>
      <c r="KQ33" s="70">
        <f t="shared" ref="KQ33:KQ64" si="102">SUM(DN33:DR33)</f>
        <v>736100</v>
      </c>
      <c r="KR33" s="70">
        <f t="shared" ref="KR33:KR64" si="103">DS33-KQ33</f>
        <v>0</v>
      </c>
      <c r="KS33" s="70">
        <f t="shared" ref="KS33:KS64" si="104">SUM(DT33:DX33)</f>
        <v>49980</v>
      </c>
      <c r="KT33" s="70">
        <f t="shared" ref="KT33:KT64" si="105">DY33-KS33</f>
        <v>0</v>
      </c>
      <c r="KU33" s="70">
        <f t="shared" ref="KU33:KU64" si="106">SUM(DZ33:ED33)</f>
        <v>419243</v>
      </c>
      <c r="KV33" s="70">
        <f t="shared" ref="KV33:KV64" si="107">EE33-KU33</f>
        <v>0</v>
      </c>
      <c r="KW33" s="70">
        <f t="shared" ref="KW33:KW64" si="108">SUM(EF33:EJ33)</f>
        <v>201039</v>
      </c>
      <c r="KX33" s="70">
        <f t="shared" ref="KX33:KX64" si="109">EK33-KW33</f>
        <v>0</v>
      </c>
      <c r="KY33" s="70">
        <f t="shared" ref="KY33:KY64" si="110">SUM(EL33:EP33)</f>
        <v>18920916</v>
      </c>
      <c r="KZ33" s="70">
        <f t="shared" ref="KZ33:KZ64" si="111">EQ33-KY33</f>
        <v>0</v>
      </c>
      <c r="LA33" s="70">
        <f>SUM(ER33:EV33)</f>
        <v>5418987</v>
      </c>
      <c r="LB33" s="70">
        <f t="shared" ref="LB33:LB64" si="112">EW33-LA33</f>
        <v>0</v>
      </c>
      <c r="LC33" s="70">
        <f t="shared" ref="LC33:LC64" si="113">SUM(EX33:FB33)</f>
        <v>807373</v>
      </c>
      <c r="LD33" s="70">
        <f t="shared" ref="LD33:LD64" si="114">FC33-LC33</f>
        <v>0</v>
      </c>
      <c r="LE33" s="70">
        <f t="shared" ref="LE33:LE64" si="115">SUM(FD33:FH33)</f>
        <v>2805649</v>
      </c>
      <c r="LF33" s="70">
        <f t="shared" ref="LF33:LF64" si="116">FI33-LE33</f>
        <v>0</v>
      </c>
      <c r="LG33" s="70">
        <f t="shared" si="78"/>
        <v>433650</v>
      </c>
      <c r="LH33" s="70">
        <f t="shared" si="79"/>
        <v>0</v>
      </c>
      <c r="LI33" s="70">
        <f>SUM(FP33:FT33)</f>
        <v>2016004</v>
      </c>
      <c r="LJ33" s="70">
        <f>FU33-LI33</f>
        <v>0</v>
      </c>
      <c r="LK33" s="70">
        <f>SUM(FV33:FZ33)</f>
        <v>15000</v>
      </c>
      <c r="LL33" s="70">
        <f>GA33-LK33</f>
        <v>0</v>
      </c>
      <c r="LM33" s="70">
        <f t="shared" ref="LM33:LM64" si="117">SUM(GB33:GF33)</f>
        <v>0</v>
      </c>
      <c r="LN33" s="70">
        <f t="shared" ref="LN33:LN64" si="118">GG33-LM33</f>
        <v>0</v>
      </c>
      <c r="LO33" s="70">
        <f t="shared" ref="LO33:LO64" si="119">SUM(GH33:GL33)</f>
        <v>387577</v>
      </c>
      <c r="LP33" s="70">
        <f t="shared" ref="LP33:LP64" si="120">GM33-LO33</f>
        <v>0</v>
      </c>
      <c r="LQ33" s="70">
        <f t="shared" ref="LQ33:LQ64" si="121">SUM(GN33:GR33)</f>
        <v>2191881</v>
      </c>
      <c r="LR33" s="70">
        <f t="shared" ref="LR33:LR64" si="122">GS33-LQ33</f>
        <v>0</v>
      </c>
      <c r="LS33" s="70">
        <f t="shared" ref="LS33:LS64" si="123">SUM(GT33:GX33)</f>
        <v>556097</v>
      </c>
      <c r="LT33" s="70">
        <f t="shared" ref="LT33:LT64" si="124">GY33-LS33</f>
        <v>0</v>
      </c>
      <c r="LU33" s="70">
        <f t="shared" ref="LU33:LU64" si="125">SUM(GZ33:HD33)</f>
        <v>650815</v>
      </c>
      <c r="LV33" s="70">
        <f t="shared" ref="LV33:LV64" si="126">HE33-LU33</f>
        <v>0</v>
      </c>
      <c r="LW33" s="70">
        <f t="shared" ref="LW33:LW64" si="127">SUM(HF33:HJ33)</f>
        <v>385136</v>
      </c>
      <c r="LX33" s="70">
        <f t="shared" ref="LX33:LX64" si="128">HK33-LW33</f>
        <v>0</v>
      </c>
      <c r="LY33" s="70">
        <f t="shared" ref="LY33:LY64" si="129">SUM(HL33:HP33)</f>
        <v>11663</v>
      </c>
      <c r="LZ33" s="70">
        <f t="shared" ref="LZ33:LZ64" si="130">HQ33-LY33</f>
        <v>0</v>
      </c>
      <c r="MA33" s="70">
        <f t="shared" ref="MA33:MA64" si="131">SUM(HR33:HV33)</f>
        <v>68293</v>
      </c>
      <c r="MB33" s="70">
        <f t="shared" ref="MB33:MB64" si="132">HW33-MA33</f>
        <v>0</v>
      </c>
      <c r="MC33" s="70">
        <f t="shared" ref="MC33:MC64" si="133">SUM(HX33:IB33)</f>
        <v>0</v>
      </c>
      <c r="MD33" s="70">
        <f t="shared" ref="MD33:MD64" si="134">IC33-MC33</f>
        <v>0</v>
      </c>
      <c r="ME33" s="70">
        <f t="shared" ref="ME33:ME64" si="135">SUM(ID33:IH33)</f>
        <v>495585</v>
      </c>
      <c r="MF33" s="70">
        <f t="shared" ref="MF33:MF64" si="136">II33-ME33</f>
        <v>0</v>
      </c>
      <c r="MG33" s="70">
        <f t="shared" ref="MG33:MG64" si="137">SUM(IJ33:IN33)</f>
        <v>339814</v>
      </c>
      <c r="MH33" s="70">
        <f t="shared" ref="MH33:MH64" si="138">IO33-MG33</f>
        <v>0</v>
      </c>
      <c r="MI33" s="70">
        <f t="shared" ref="MI33:MI64" si="139">SUM(IP33:IT33)</f>
        <v>274062</v>
      </c>
      <c r="MJ33" s="70">
        <f t="shared" ref="MJ33:MJ64" si="140">IU33-MI33</f>
        <v>0</v>
      </c>
      <c r="MK33" s="70">
        <f t="shared" ref="MK33:MK64" si="141">SUM(IV33:IZ33)</f>
        <v>2062748</v>
      </c>
      <c r="ML33" s="70">
        <f t="shared" ref="ML33:ML64" si="142">JA33-MK33</f>
        <v>0</v>
      </c>
      <c r="MM33" s="70">
        <f t="shared" ref="MM33:MM64" si="143">SUM(JB33:JF33)</f>
        <v>18920334</v>
      </c>
      <c r="MN33" s="70">
        <f t="shared" ref="MN33:MN64" si="144">JG33-MM33</f>
        <v>0</v>
      </c>
      <c r="MO33" s="70">
        <f t="shared" ref="MO33:MO64" si="145">SUM(JH33:JL33)</f>
        <v>0</v>
      </c>
      <c r="MP33" s="70">
        <f t="shared" ref="MP33:MP64" si="146">JM33-MO33</f>
        <v>0</v>
      </c>
      <c r="MQ33" s="70">
        <f t="shared" ref="MQ33:MQ64" si="147">SUM(JN33:JR33)</f>
        <v>18920334</v>
      </c>
      <c r="MR33" s="70">
        <f t="shared" ref="MR33:MR64" si="148">JS33-MQ33</f>
        <v>0</v>
      </c>
      <c r="MT33" s="70">
        <f t="shared" ref="MT33:MT64" si="149">SUM(JV33,JX33,JZ33,KB33,KD33,KF33,KH33,KJ33,KL33,KN33,KP33,KR33,KT33,KV33,KX33,KZ33,LB33,LD33,LF33,LH33,LJ33,LN33,LP33,,LT33,LV33,LX33,LZ33,MB33,MD33,MF33,MH33,MJ33,ML33,MN33,MP33,MR33)</f>
        <v>0</v>
      </c>
      <c r="MV33" s="68">
        <f t="shared" si="77"/>
        <v>0</v>
      </c>
    </row>
    <row r="34" spans="1:360" x14ac:dyDescent="0.15">
      <c r="A34" s="182" t="s">
        <v>321</v>
      </c>
      <c r="B34" s="76" t="s">
        <v>423</v>
      </c>
      <c r="C34" s="90">
        <v>145637</v>
      </c>
      <c r="D34" s="90">
        <v>2014</v>
      </c>
      <c r="E34" s="90">
        <v>1</v>
      </c>
      <c r="F34" s="91">
        <v>3</v>
      </c>
      <c r="G34" s="92">
        <v>18455</v>
      </c>
      <c r="H34" s="92">
        <v>14240</v>
      </c>
      <c r="I34" s="93">
        <v>5282683000</v>
      </c>
      <c r="J34" s="93">
        <v>5164846000</v>
      </c>
      <c r="K34" s="93">
        <v>11290954</v>
      </c>
      <c r="L34" s="93">
        <v>9681588</v>
      </c>
      <c r="M34" s="93">
        <v>82716230</v>
      </c>
      <c r="N34" s="93">
        <v>88516959</v>
      </c>
      <c r="O34" s="93">
        <v>263053858</v>
      </c>
      <c r="P34" s="93">
        <v>108987901</v>
      </c>
      <c r="Q34" s="93">
        <v>1055427940</v>
      </c>
      <c r="R34" s="93">
        <v>838743648</v>
      </c>
      <c r="S34" s="93">
        <v>3907563000</v>
      </c>
      <c r="T34" s="93">
        <v>3825983000</v>
      </c>
      <c r="U34" s="93">
        <v>28751</v>
      </c>
      <c r="V34" s="93">
        <v>27648</v>
      </c>
      <c r="W34" s="93">
        <v>42701</v>
      </c>
      <c r="X34" s="93">
        <v>41790</v>
      </c>
      <c r="Y34" s="93">
        <v>29594</v>
      </c>
      <c r="Z34" s="93">
        <v>29002</v>
      </c>
      <c r="AA34" s="93">
        <v>43976</v>
      </c>
      <c r="AB34" s="93">
        <v>43144</v>
      </c>
      <c r="AC34" s="114">
        <v>10</v>
      </c>
      <c r="AD34" s="114">
        <v>11</v>
      </c>
      <c r="AE34" s="114">
        <v>0</v>
      </c>
      <c r="AF34" s="115">
        <v>6401822</v>
      </c>
      <c r="AG34" s="115">
        <v>4490238</v>
      </c>
      <c r="AH34" s="115">
        <v>1419475</v>
      </c>
      <c r="AI34" s="115">
        <v>405012</v>
      </c>
      <c r="AJ34" s="115">
        <v>566753</v>
      </c>
      <c r="AK34" s="116">
        <v>8</v>
      </c>
      <c r="AL34" s="115">
        <v>566753</v>
      </c>
      <c r="AM34" s="116">
        <v>8</v>
      </c>
      <c r="AN34" s="115">
        <v>157399</v>
      </c>
      <c r="AO34" s="116">
        <v>9</v>
      </c>
      <c r="AP34" s="115">
        <v>157399</v>
      </c>
      <c r="AQ34" s="116">
        <v>9</v>
      </c>
      <c r="AR34" s="115">
        <v>160003</v>
      </c>
      <c r="AS34" s="116">
        <v>22</v>
      </c>
      <c r="AT34" s="115">
        <v>160003</v>
      </c>
      <c r="AU34" s="116">
        <v>22</v>
      </c>
      <c r="AV34" s="115">
        <v>77327</v>
      </c>
      <c r="AW34" s="116">
        <v>17</v>
      </c>
      <c r="AX34" s="115">
        <v>77327</v>
      </c>
      <c r="AY34" s="116">
        <v>17</v>
      </c>
      <c r="AZ34" s="139">
        <v>9236799</v>
      </c>
      <c r="BA34" s="139">
        <v>7519226</v>
      </c>
      <c r="BB34" s="139">
        <v>43887</v>
      </c>
      <c r="BC34" s="139">
        <v>203346</v>
      </c>
      <c r="BD34" s="139">
        <v>2427</v>
      </c>
      <c r="BE34" s="139">
        <v>17005685</v>
      </c>
      <c r="BF34" s="139">
        <v>0</v>
      </c>
      <c r="BG34" s="139">
        <v>0</v>
      </c>
      <c r="BH34" s="139">
        <v>0</v>
      </c>
      <c r="BI34" s="139">
        <v>0</v>
      </c>
      <c r="BJ34" s="139">
        <v>3046935</v>
      </c>
      <c r="BK34" s="139">
        <v>3046935</v>
      </c>
      <c r="BL34" s="139">
        <v>0</v>
      </c>
      <c r="BM34" s="139">
        <v>0</v>
      </c>
      <c r="BN34" s="139">
        <v>0</v>
      </c>
      <c r="BO34" s="139">
        <v>14000</v>
      </c>
      <c r="BP34" s="139">
        <v>0</v>
      </c>
      <c r="BQ34" s="139">
        <v>14000</v>
      </c>
      <c r="BR34" s="139">
        <v>3961724</v>
      </c>
      <c r="BS34" s="139">
        <v>687652</v>
      </c>
      <c r="BT34" s="139">
        <v>673985</v>
      </c>
      <c r="BU34" s="139">
        <v>6668108</v>
      </c>
      <c r="BV34" s="139">
        <v>4917590</v>
      </c>
      <c r="BW34" s="139">
        <v>16909059</v>
      </c>
      <c r="BX34" s="139">
        <v>0</v>
      </c>
      <c r="BY34" s="139">
        <v>0</v>
      </c>
      <c r="BZ34" s="139">
        <v>0</v>
      </c>
      <c r="CA34" s="139">
        <v>0</v>
      </c>
      <c r="CB34" s="139">
        <v>0</v>
      </c>
      <c r="CC34" s="139">
        <v>0</v>
      </c>
      <c r="CD34" s="139">
        <v>0</v>
      </c>
      <c r="CE34" s="139">
        <v>0</v>
      </c>
      <c r="CF34" s="139">
        <v>0</v>
      </c>
      <c r="CG34" s="139">
        <v>0</v>
      </c>
      <c r="CH34" s="139">
        <v>0</v>
      </c>
      <c r="CI34" s="139">
        <v>0</v>
      </c>
      <c r="CJ34" s="139">
        <v>0</v>
      </c>
      <c r="CK34" s="139">
        <v>0</v>
      </c>
      <c r="CL34" s="139">
        <v>0</v>
      </c>
      <c r="CM34" s="139">
        <v>721000</v>
      </c>
      <c r="CN34" s="139">
        <v>159437</v>
      </c>
      <c r="CO34" s="139">
        <v>880437</v>
      </c>
      <c r="CP34" s="139">
        <v>0</v>
      </c>
      <c r="CQ34" s="139">
        <v>0</v>
      </c>
      <c r="CR34" s="139">
        <v>0</v>
      </c>
      <c r="CS34" s="139">
        <v>0</v>
      </c>
      <c r="CT34" s="139">
        <v>0</v>
      </c>
      <c r="CU34" s="139">
        <v>0</v>
      </c>
      <c r="CV34" s="139">
        <v>13621126</v>
      </c>
      <c r="CW34" s="139">
        <v>6189743</v>
      </c>
      <c r="CX34" s="139">
        <v>0</v>
      </c>
      <c r="CY34" s="139">
        <v>231646</v>
      </c>
      <c r="CZ34" s="139">
        <v>9248316</v>
      </c>
      <c r="DA34" s="139">
        <v>29290831</v>
      </c>
      <c r="DB34" s="139">
        <v>684153</v>
      </c>
      <c r="DC34" s="139">
        <v>925431</v>
      </c>
      <c r="DD34" s="139">
        <v>34738</v>
      </c>
      <c r="DE34" s="139">
        <f>1609584+69476-DB34-DC34-DD34</f>
        <v>34738</v>
      </c>
      <c r="DF34" s="139" t="s">
        <v>410</v>
      </c>
      <c r="DG34" s="139">
        <f>SUM(DB34:DF34)</f>
        <v>1679060</v>
      </c>
      <c r="DH34" s="139">
        <v>1006545</v>
      </c>
      <c r="DI34" s="139">
        <v>515539</v>
      </c>
      <c r="DJ34" s="139">
        <v>33860</v>
      </c>
      <c r="DK34" s="139">
        <v>124104</v>
      </c>
      <c r="DL34" s="139">
        <v>213870</v>
      </c>
      <c r="DM34" s="139">
        <v>1893918</v>
      </c>
      <c r="DN34" s="139">
        <v>1461785</v>
      </c>
      <c r="DO34" s="139">
        <v>1470312</v>
      </c>
      <c r="DP34" s="139">
        <v>160700</v>
      </c>
      <c r="DQ34" s="139">
        <v>569667</v>
      </c>
      <c r="DR34" s="139">
        <v>1390231</v>
      </c>
      <c r="DS34" s="139">
        <v>5052695</v>
      </c>
      <c r="DT34" s="139">
        <v>74754</v>
      </c>
      <c r="DU34" s="139">
        <v>274602</v>
      </c>
      <c r="DV34" s="139">
        <v>64065</v>
      </c>
      <c r="DW34" s="139">
        <v>1066874</v>
      </c>
      <c r="DX34" s="139">
        <v>252053</v>
      </c>
      <c r="DY34" s="139">
        <v>1732348</v>
      </c>
      <c r="DZ34" s="139">
        <v>412815</v>
      </c>
      <c r="EA34" s="139">
        <v>189432</v>
      </c>
      <c r="EB34" s="139">
        <v>89958</v>
      </c>
      <c r="EC34" s="139">
        <v>287924</v>
      </c>
      <c r="ED34" s="139">
        <v>874608</v>
      </c>
      <c r="EE34" s="139">
        <v>1854737</v>
      </c>
      <c r="EF34" s="139">
        <v>0</v>
      </c>
      <c r="EG34" s="139">
        <v>0</v>
      </c>
      <c r="EH34" s="139">
        <v>0</v>
      </c>
      <c r="EI34" s="139">
        <v>8650</v>
      </c>
      <c r="EJ34" s="139">
        <v>1482559</v>
      </c>
      <c r="EK34" s="139">
        <v>1491209</v>
      </c>
      <c r="EL34" s="139">
        <v>30459701</v>
      </c>
      <c r="EM34" s="139">
        <v>17771937</v>
      </c>
      <c r="EN34" s="139">
        <v>1101193</v>
      </c>
      <c r="EO34" s="139">
        <v>9930057</v>
      </c>
      <c r="EP34" s="139">
        <v>21585681</v>
      </c>
      <c r="EQ34" s="139">
        <v>80848569</v>
      </c>
      <c r="ER34" s="139">
        <v>3737590</v>
      </c>
      <c r="ES34" s="139">
        <v>496908</v>
      </c>
      <c r="ET34" s="139">
        <v>625919</v>
      </c>
      <c r="EU34" s="139">
        <v>6031643</v>
      </c>
      <c r="EV34" s="139">
        <v>5476</v>
      </c>
      <c r="EW34" s="139">
        <v>10897536</v>
      </c>
      <c r="EX34" s="139">
        <v>1850000</v>
      </c>
      <c r="EY34" s="139">
        <v>610000</v>
      </c>
      <c r="EZ34" s="139">
        <v>44244</v>
      </c>
      <c r="FA34" s="139">
        <v>10158</v>
      </c>
      <c r="FB34" s="139">
        <v>0</v>
      </c>
      <c r="FC34" s="139">
        <v>2514402</v>
      </c>
      <c r="FD34" s="139">
        <v>4027876</v>
      </c>
      <c r="FE34" s="139">
        <v>2432179</v>
      </c>
      <c r="FF34" s="139">
        <v>855183</v>
      </c>
      <c r="FG34" s="139">
        <v>3469997</v>
      </c>
      <c r="FH34" s="139">
        <v>0</v>
      </c>
      <c r="FI34" s="139">
        <v>10785235</v>
      </c>
      <c r="FJ34" s="139">
        <v>0</v>
      </c>
      <c r="FK34" s="139">
        <v>0</v>
      </c>
      <c r="FL34" s="139">
        <v>0</v>
      </c>
      <c r="FM34" s="139">
        <v>0</v>
      </c>
      <c r="FN34" s="139">
        <v>0</v>
      </c>
      <c r="FO34" s="139">
        <v>0</v>
      </c>
      <c r="FP34" s="139">
        <v>1545548</v>
      </c>
      <c r="FQ34" s="139">
        <v>412128</v>
      </c>
      <c r="FR34" s="139">
        <v>157754</v>
      </c>
      <c r="FS34" s="139">
        <v>252826</v>
      </c>
      <c r="FT34" s="139">
        <v>11366173</v>
      </c>
      <c r="FU34" s="139">
        <v>13734429</v>
      </c>
      <c r="FV34" s="139">
        <v>0</v>
      </c>
      <c r="FW34" s="139">
        <v>0</v>
      </c>
      <c r="FX34" s="139">
        <v>0</v>
      </c>
      <c r="FY34" s="139">
        <v>0</v>
      </c>
      <c r="FZ34" s="139">
        <v>0</v>
      </c>
      <c r="GA34" s="139">
        <v>0</v>
      </c>
      <c r="GB34" s="139">
        <v>1453718</v>
      </c>
      <c r="GC34" s="139">
        <v>1428403</v>
      </c>
      <c r="GD34" s="139">
        <v>321749</v>
      </c>
      <c r="GE34" s="139">
        <v>0</v>
      </c>
      <c r="GF34" s="139">
        <v>0</v>
      </c>
      <c r="GG34" s="139">
        <v>3203870</v>
      </c>
      <c r="GH34" s="139">
        <v>783959</v>
      </c>
      <c r="GI34" s="139">
        <v>431327</v>
      </c>
      <c r="GJ34" s="139">
        <v>146799</v>
      </c>
      <c r="GK34" s="139">
        <v>462402</v>
      </c>
      <c r="GL34" s="139">
        <v>0</v>
      </c>
      <c r="GM34" s="139">
        <v>1824487</v>
      </c>
      <c r="GN34" s="139">
        <v>987640</v>
      </c>
      <c r="GO34" s="139">
        <v>999438</v>
      </c>
      <c r="GP34" s="139">
        <v>563169</v>
      </c>
      <c r="GQ34" s="139">
        <v>2159771</v>
      </c>
      <c r="GR34" s="139">
        <v>0</v>
      </c>
      <c r="GS34" s="139">
        <v>4710018</v>
      </c>
      <c r="GT34" s="139">
        <v>587399</v>
      </c>
      <c r="GU34" s="139">
        <v>207213</v>
      </c>
      <c r="GV34" s="139">
        <v>106095</v>
      </c>
      <c r="GW34" s="139">
        <v>736513</v>
      </c>
      <c r="GX34" s="139">
        <v>36893</v>
      </c>
      <c r="GY34" s="139">
        <v>1674113</v>
      </c>
      <c r="GZ34" s="139">
        <v>1240556</v>
      </c>
      <c r="HA34" s="139">
        <v>571765</v>
      </c>
      <c r="HB34" s="139">
        <v>276637</v>
      </c>
      <c r="HC34" s="139">
        <v>269338</v>
      </c>
      <c r="HD34" s="139">
        <v>0</v>
      </c>
      <c r="HE34" s="139">
        <v>2358296</v>
      </c>
      <c r="HF34" s="139">
        <v>0</v>
      </c>
      <c r="HG34" s="139">
        <v>0</v>
      </c>
      <c r="HH34" s="139">
        <v>0</v>
      </c>
      <c r="HI34" s="139">
        <v>0</v>
      </c>
      <c r="HJ34" s="139">
        <v>3124462</v>
      </c>
      <c r="HK34" s="139">
        <v>3124462</v>
      </c>
      <c r="HL34" s="139">
        <v>71453</v>
      </c>
      <c r="HM34" s="139">
        <v>211219</v>
      </c>
      <c r="HN34" s="139">
        <v>29806</v>
      </c>
      <c r="HO34" s="139">
        <v>572128</v>
      </c>
      <c r="HP34" s="139">
        <v>183319</v>
      </c>
      <c r="HQ34" s="139">
        <v>1067925</v>
      </c>
      <c r="HR34" s="139">
        <v>0</v>
      </c>
      <c r="HS34" s="139">
        <v>0</v>
      </c>
      <c r="HT34" s="139">
        <v>0</v>
      </c>
      <c r="HU34" s="139">
        <v>0</v>
      </c>
      <c r="HV34" s="139">
        <v>20764804</v>
      </c>
      <c r="HW34" s="139">
        <v>20764804</v>
      </c>
      <c r="HX34" s="139">
        <v>0</v>
      </c>
      <c r="HY34" s="139">
        <v>0</v>
      </c>
      <c r="HZ34" s="139">
        <v>0</v>
      </c>
      <c r="IA34" s="139">
        <v>0</v>
      </c>
      <c r="IB34" s="139">
        <v>357731</v>
      </c>
      <c r="IC34" s="139">
        <v>357731</v>
      </c>
      <c r="ID34" s="139">
        <v>0</v>
      </c>
      <c r="IE34" s="139">
        <v>0</v>
      </c>
      <c r="IF34" s="139">
        <v>0</v>
      </c>
      <c r="IG34" s="139">
        <v>0</v>
      </c>
      <c r="IH34" s="139">
        <v>0</v>
      </c>
      <c r="II34" s="139">
        <v>0</v>
      </c>
      <c r="IJ34" s="139">
        <v>16595</v>
      </c>
      <c r="IK34" s="139">
        <v>1098</v>
      </c>
      <c r="IL34" s="139">
        <v>0</v>
      </c>
      <c r="IM34" s="139">
        <v>0</v>
      </c>
      <c r="IN34" s="139">
        <v>451155</v>
      </c>
      <c r="IO34" s="139">
        <v>468848</v>
      </c>
      <c r="IP34" s="139">
        <v>6148</v>
      </c>
      <c r="IQ34" s="139">
        <v>5504</v>
      </c>
      <c r="IR34" s="139">
        <v>5188</v>
      </c>
      <c r="IS34" s="139">
        <v>9411</v>
      </c>
      <c r="IT34" s="139">
        <v>144214</v>
      </c>
      <c r="IU34" s="139">
        <v>170465</v>
      </c>
      <c r="IV34" s="139">
        <v>472614</v>
      </c>
      <c r="IW34" s="139">
        <v>421797</v>
      </c>
      <c r="IX34" s="139">
        <v>118308</v>
      </c>
      <c r="IY34" s="139">
        <v>496728</v>
      </c>
      <c r="IZ34" s="139">
        <v>3946283</v>
      </c>
      <c r="JA34" s="139">
        <v>5455730</v>
      </c>
      <c r="JB34" s="139">
        <v>16781096</v>
      </c>
      <c r="JC34" s="139">
        <v>8228979</v>
      </c>
      <c r="JD34" s="139">
        <v>3250851</v>
      </c>
      <c r="JE34" s="139">
        <v>14470915</v>
      </c>
      <c r="JF34" s="139">
        <v>40380510</v>
      </c>
      <c r="JG34" s="139">
        <v>83112351</v>
      </c>
      <c r="JH34" s="139">
        <v>0</v>
      </c>
      <c r="JI34" s="139">
        <v>0</v>
      </c>
      <c r="JJ34" s="139">
        <v>0</v>
      </c>
      <c r="JK34" s="139">
        <v>0</v>
      </c>
      <c r="JL34" s="139">
        <v>661300</v>
      </c>
      <c r="JM34" s="139">
        <v>661300</v>
      </c>
      <c r="JN34" s="139">
        <v>16781096</v>
      </c>
      <c r="JO34" s="139">
        <v>8228979</v>
      </c>
      <c r="JP34" s="139">
        <v>3250851</v>
      </c>
      <c r="JQ34" s="139">
        <v>14470915</v>
      </c>
      <c r="JR34" s="139">
        <v>41041810</v>
      </c>
      <c r="JS34" s="139">
        <v>83773651</v>
      </c>
      <c r="JU34" s="70">
        <f t="shared" si="80"/>
        <v>17005685</v>
      </c>
      <c r="JV34" s="70">
        <f t="shared" si="81"/>
        <v>0</v>
      </c>
      <c r="JW34" s="70">
        <f t="shared" si="82"/>
        <v>3046935</v>
      </c>
      <c r="JX34" s="70">
        <f t="shared" si="83"/>
        <v>0</v>
      </c>
      <c r="JY34" s="70">
        <f t="shared" si="84"/>
        <v>14000</v>
      </c>
      <c r="JZ34" s="70">
        <f t="shared" si="85"/>
        <v>0</v>
      </c>
      <c r="KA34" s="70">
        <f t="shared" si="86"/>
        <v>16909059</v>
      </c>
      <c r="KB34" s="70">
        <f t="shared" si="87"/>
        <v>0</v>
      </c>
      <c r="KC34" s="70">
        <f t="shared" si="88"/>
        <v>0</v>
      </c>
      <c r="KD34" s="70">
        <f t="shared" si="89"/>
        <v>0</v>
      </c>
      <c r="KE34" s="70">
        <f t="shared" si="90"/>
        <v>0</v>
      </c>
      <c r="KF34" s="70">
        <f t="shared" si="91"/>
        <v>0</v>
      </c>
      <c r="KG34" s="70">
        <f t="shared" si="92"/>
        <v>880437</v>
      </c>
      <c r="KH34" s="70">
        <f t="shared" si="93"/>
        <v>0</v>
      </c>
      <c r="KI34" s="70">
        <f t="shared" si="94"/>
        <v>0</v>
      </c>
      <c r="KJ34" s="70">
        <f t="shared" si="95"/>
        <v>0</v>
      </c>
      <c r="KK34" s="70">
        <f t="shared" si="96"/>
        <v>29290831</v>
      </c>
      <c r="KL34" s="70">
        <f t="shared" si="97"/>
        <v>0</v>
      </c>
      <c r="KM34" s="70">
        <f t="shared" si="98"/>
        <v>1679060</v>
      </c>
      <c r="KN34" s="70">
        <f t="shared" si="99"/>
        <v>0</v>
      </c>
      <c r="KO34" s="70">
        <f t="shared" si="100"/>
        <v>1893918</v>
      </c>
      <c r="KP34" s="70">
        <f t="shared" si="101"/>
        <v>0</v>
      </c>
      <c r="KQ34" s="70">
        <f t="shared" si="102"/>
        <v>5052695</v>
      </c>
      <c r="KR34" s="70">
        <f t="shared" si="103"/>
        <v>0</v>
      </c>
      <c r="KS34" s="70">
        <f t="shared" si="104"/>
        <v>1732348</v>
      </c>
      <c r="KT34" s="70">
        <f t="shared" si="105"/>
        <v>0</v>
      </c>
      <c r="KU34" s="70">
        <f t="shared" si="106"/>
        <v>1854737</v>
      </c>
      <c r="KV34" s="70">
        <f t="shared" si="107"/>
        <v>0</v>
      </c>
      <c r="KW34" s="70">
        <f t="shared" si="108"/>
        <v>1491209</v>
      </c>
      <c r="KX34" s="70">
        <f t="shared" si="109"/>
        <v>0</v>
      </c>
      <c r="KY34" s="70">
        <f t="shared" si="110"/>
        <v>80848569</v>
      </c>
      <c r="KZ34" s="70">
        <f t="shared" si="111"/>
        <v>0</v>
      </c>
      <c r="LA34" s="70">
        <f t="shared" ref="LA34:LA64" si="150">SUM(ER34:EV34)</f>
        <v>10897536</v>
      </c>
      <c r="LB34" s="70">
        <f t="shared" si="112"/>
        <v>0</v>
      </c>
      <c r="LC34" s="70">
        <f t="shared" si="113"/>
        <v>2514402</v>
      </c>
      <c r="LD34" s="70">
        <f t="shared" si="114"/>
        <v>0</v>
      </c>
      <c r="LE34" s="70">
        <f t="shared" si="115"/>
        <v>10785235</v>
      </c>
      <c r="LF34" s="70">
        <f t="shared" si="116"/>
        <v>0</v>
      </c>
      <c r="LG34" s="70">
        <f t="shared" si="78"/>
        <v>0</v>
      </c>
      <c r="LH34" s="70">
        <f t="shared" si="79"/>
        <v>0</v>
      </c>
      <c r="LI34" s="70">
        <f t="shared" ref="LI34:LI64" si="151">SUM(FP34:FT34)</f>
        <v>13734429</v>
      </c>
      <c r="LJ34" s="70">
        <f t="shared" ref="LJ34:LJ64" si="152">FU34-LI34</f>
        <v>0</v>
      </c>
      <c r="LK34" s="70">
        <f t="shared" ref="LK34:LK64" si="153">SUM(FV34:FZ34)</f>
        <v>0</v>
      </c>
      <c r="LL34" s="70">
        <f t="shared" ref="LL34:LL64" si="154">GA34-LK34</f>
        <v>0</v>
      </c>
      <c r="LM34" s="70">
        <f t="shared" si="117"/>
        <v>3203870</v>
      </c>
      <c r="LN34" s="70">
        <f t="shared" si="118"/>
        <v>0</v>
      </c>
      <c r="LO34" s="70">
        <f t="shared" si="119"/>
        <v>1824487</v>
      </c>
      <c r="LP34" s="70">
        <f t="shared" si="120"/>
        <v>0</v>
      </c>
      <c r="LQ34" s="70">
        <f t="shared" si="121"/>
        <v>4710018</v>
      </c>
      <c r="LR34" s="70">
        <f t="shared" si="122"/>
        <v>0</v>
      </c>
      <c r="LS34" s="70">
        <f t="shared" si="123"/>
        <v>1674113</v>
      </c>
      <c r="LT34" s="70">
        <f t="shared" si="124"/>
        <v>0</v>
      </c>
      <c r="LU34" s="70">
        <f t="shared" si="125"/>
        <v>2358296</v>
      </c>
      <c r="LV34" s="70">
        <f t="shared" si="126"/>
        <v>0</v>
      </c>
      <c r="LW34" s="70">
        <f t="shared" si="127"/>
        <v>3124462</v>
      </c>
      <c r="LX34" s="70">
        <f t="shared" si="128"/>
        <v>0</v>
      </c>
      <c r="LY34" s="70">
        <f t="shared" si="129"/>
        <v>1067925</v>
      </c>
      <c r="LZ34" s="70">
        <f t="shared" si="130"/>
        <v>0</v>
      </c>
      <c r="MA34" s="70">
        <f t="shared" si="131"/>
        <v>20764804</v>
      </c>
      <c r="MB34" s="70">
        <f t="shared" si="132"/>
        <v>0</v>
      </c>
      <c r="MC34" s="70">
        <f t="shared" si="133"/>
        <v>357731</v>
      </c>
      <c r="MD34" s="70">
        <f t="shared" si="134"/>
        <v>0</v>
      </c>
      <c r="ME34" s="70">
        <f t="shared" si="135"/>
        <v>0</v>
      </c>
      <c r="MF34" s="70">
        <f t="shared" si="136"/>
        <v>0</v>
      </c>
      <c r="MG34" s="70">
        <f t="shared" si="137"/>
        <v>468848</v>
      </c>
      <c r="MH34" s="70">
        <f t="shared" si="138"/>
        <v>0</v>
      </c>
      <c r="MI34" s="70">
        <f t="shared" si="139"/>
        <v>170465</v>
      </c>
      <c r="MJ34" s="70">
        <f t="shared" si="140"/>
        <v>0</v>
      </c>
      <c r="MK34" s="70">
        <f t="shared" si="141"/>
        <v>5455730</v>
      </c>
      <c r="ML34" s="70">
        <f t="shared" si="142"/>
        <v>0</v>
      </c>
      <c r="MM34" s="70">
        <f t="shared" si="143"/>
        <v>83112351</v>
      </c>
      <c r="MN34" s="70">
        <f t="shared" si="144"/>
        <v>0</v>
      </c>
      <c r="MO34" s="70">
        <f t="shared" si="145"/>
        <v>661300</v>
      </c>
      <c r="MP34" s="70">
        <f t="shared" si="146"/>
        <v>0</v>
      </c>
      <c r="MQ34" s="70">
        <f t="shared" si="147"/>
        <v>83773651</v>
      </c>
      <c r="MR34" s="70">
        <f t="shared" si="148"/>
        <v>0</v>
      </c>
      <c r="MT34" s="70">
        <f t="shared" si="149"/>
        <v>0</v>
      </c>
      <c r="MV34" s="68">
        <f t="shared" si="77"/>
        <v>0</v>
      </c>
    </row>
    <row r="35" spans="1:360" x14ac:dyDescent="0.15">
      <c r="A35" s="182" t="s">
        <v>322</v>
      </c>
      <c r="B35" s="76" t="s">
        <v>423</v>
      </c>
      <c r="C35" s="90">
        <v>151351</v>
      </c>
      <c r="D35" s="90">
        <v>2014</v>
      </c>
      <c r="E35" s="90">
        <v>1</v>
      </c>
      <c r="F35" s="91">
        <v>3</v>
      </c>
      <c r="G35" s="92">
        <v>15417</v>
      </c>
      <c r="H35" s="92">
        <v>15633</v>
      </c>
      <c r="I35" s="93">
        <v>1576148319</v>
      </c>
      <c r="J35" s="93">
        <v>1602836139</v>
      </c>
      <c r="K35" s="93">
        <v>4428448</v>
      </c>
      <c r="L35" s="93">
        <v>4424805</v>
      </c>
      <c r="M35" s="93">
        <v>47369213</v>
      </c>
      <c r="N35" s="93">
        <v>45525028</v>
      </c>
      <c r="O35" s="93">
        <v>49906649</v>
      </c>
      <c r="P35" s="93">
        <v>52123117</v>
      </c>
      <c r="Q35" s="93">
        <v>421903518</v>
      </c>
      <c r="R35" s="93">
        <v>445168823</v>
      </c>
      <c r="S35" s="93">
        <v>1254605190</v>
      </c>
      <c r="T35" s="93">
        <v>1182802057</v>
      </c>
      <c r="U35" s="93">
        <v>22098</v>
      </c>
      <c r="V35" s="93">
        <v>20594</v>
      </c>
      <c r="W35" s="93">
        <v>44950</v>
      </c>
      <c r="X35" s="93">
        <v>42044</v>
      </c>
      <c r="Y35" s="93">
        <v>23820</v>
      </c>
      <c r="Z35" s="93">
        <v>23116</v>
      </c>
      <c r="AA35" s="93">
        <v>45961</v>
      </c>
      <c r="AB35" s="93">
        <v>44566</v>
      </c>
      <c r="AC35" s="114">
        <v>11</v>
      </c>
      <c r="AD35" s="114">
        <v>13</v>
      </c>
      <c r="AE35" s="114">
        <v>0</v>
      </c>
      <c r="AF35" s="115">
        <v>6801310</v>
      </c>
      <c r="AG35" s="115">
        <v>6014262</v>
      </c>
      <c r="AH35" s="115">
        <v>1468216</v>
      </c>
      <c r="AI35" s="115">
        <v>367431</v>
      </c>
      <c r="AJ35" s="115">
        <v>810331</v>
      </c>
      <c r="AK35" s="116">
        <v>8.5</v>
      </c>
      <c r="AL35" s="115">
        <v>688781</v>
      </c>
      <c r="AM35" s="116">
        <v>10</v>
      </c>
      <c r="AN35" s="115">
        <v>180422</v>
      </c>
      <c r="AO35" s="116">
        <v>10.5</v>
      </c>
      <c r="AP35" s="115">
        <v>157869</v>
      </c>
      <c r="AQ35" s="116">
        <v>12</v>
      </c>
      <c r="AR35" s="115">
        <v>203836</v>
      </c>
      <c r="AS35" s="116">
        <v>24.5</v>
      </c>
      <c r="AT35" s="115">
        <v>172206</v>
      </c>
      <c r="AU35" s="116">
        <v>29</v>
      </c>
      <c r="AV35" s="115">
        <v>79039</v>
      </c>
      <c r="AW35" s="116">
        <v>20.5</v>
      </c>
      <c r="AX35" s="115">
        <v>64812</v>
      </c>
      <c r="AY35" s="116">
        <v>25</v>
      </c>
      <c r="AZ35" s="139">
        <v>6585484</v>
      </c>
      <c r="BA35" s="139">
        <v>9765047</v>
      </c>
      <c r="BB35" s="139">
        <v>111103</v>
      </c>
      <c r="BC35" s="139">
        <v>551950</v>
      </c>
      <c r="BD35" s="139">
        <v>15635</v>
      </c>
      <c r="BE35" s="139">
        <v>17029219</v>
      </c>
      <c r="BF35" s="139">
        <v>0</v>
      </c>
      <c r="BG35" s="139">
        <v>0</v>
      </c>
      <c r="BH35" s="139">
        <v>0</v>
      </c>
      <c r="BI35" s="139">
        <v>0</v>
      </c>
      <c r="BJ35" s="139">
        <v>0</v>
      </c>
      <c r="BK35" s="139">
        <v>0</v>
      </c>
      <c r="BL35" s="139">
        <v>0</v>
      </c>
      <c r="BM35" s="139">
        <v>287040</v>
      </c>
      <c r="BN35" s="139">
        <v>0</v>
      </c>
      <c r="BO35" s="139">
        <v>0</v>
      </c>
      <c r="BP35" s="139">
        <v>0</v>
      </c>
      <c r="BQ35" s="139">
        <v>287040</v>
      </c>
      <c r="BR35" s="139">
        <v>617611</v>
      </c>
      <c r="BS35" s="139">
        <v>37902</v>
      </c>
      <c r="BT35" s="139">
        <v>0</v>
      </c>
      <c r="BU35" s="139">
        <v>37223</v>
      </c>
      <c r="BV35" s="139">
        <v>16099450</v>
      </c>
      <c r="BW35" s="139">
        <v>16792186</v>
      </c>
      <c r="BX35" s="139">
        <v>93635</v>
      </c>
      <c r="BY35" s="139">
        <v>66353</v>
      </c>
      <c r="BZ35" s="139">
        <v>20871</v>
      </c>
      <c r="CA35" s="139">
        <v>11513</v>
      </c>
      <c r="CB35" s="139">
        <v>86648</v>
      </c>
      <c r="CC35" s="139">
        <v>279020</v>
      </c>
      <c r="CD35" s="139">
        <v>0</v>
      </c>
      <c r="CE35" s="139">
        <v>0</v>
      </c>
      <c r="CF35" s="139">
        <v>0</v>
      </c>
      <c r="CG35" s="139">
        <v>0</v>
      </c>
      <c r="CH35" s="139">
        <v>0</v>
      </c>
      <c r="CI35" s="139">
        <v>0</v>
      </c>
      <c r="CJ35" s="139">
        <v>0</v>
      </c>
      <c r="CK35" s="139">
        <v>0</v>
      </c>
      <c r="CL35" s="139">
        <v>0</v>
      </c>
      <c r="CM35" s="139">
        <v>0</v>
      </c>
      <c r="CN35" s="139">
        <v>0</v>
      </c>
      <c r="CO35" s="139">
        <v>0</v>
      </c>
      <c r="CP35" s="139">
        <v>0</v>
      </c>
      <c r="CQ35" s="139">
        <v>0</v>
      </c>
      <c r="CR35" s="139">
        <v>0</v>
      </c>
      <c r="CS35" s="139">
        <v>0</v>
      </c>
      <c r="CT35" s="139">
        <v>3008362</v>
      </c>
      <c r="CU35" s="139">
        <v>3008362</v>
      </c>
      <c r="CV35" s="139">
        <v>16957868</v>
      </c>
      <c r="CW35" s="139">
        <v>10429532</v>
      </c>
      <c r="CX35" s="139">
        <v>0</v>
      </c>
      <c r="CY35" s="139">
        <v>14491</v>
      </c>
      <c r="CZ35" s="139">
        <v>2671356</v>
      </c>
      <c r="DA35" s="139">
        <v>30073247</v>
      </c>
      <c r="DB35" s="139">
        <v>0</v>
      </c>
      <c r="DC35" s="139">
        <v>0</v>
      </c>
      <c r="DD35" s="139">
        <v>0</v>
      </c>
      <c r="DE35" s="139">
        <v>0</v>
      </c>
      <c r="DF35" s="139">
        <v>0</v>
      </c>
      <c r="DG35" s="139">
        <v>0</v>
      </c>
      <c r="DH35" s="139">
        <v>1284712</v>
      </c>
      <c r="DI35" s="139">
        <v>963011</v>
      </c>
      <c r="DJ35" s="139">
        <v>68833</v>
      </c>
      <c r="DK35" s="139">
        <v>289791</v>
      </c>
      <c r="DL35" s="139">
        <v>481733</v>
      </c>
      <c r="DM35" s="139">
        <v>3088080</v>
      </c>
      <c r="DN35" s="139">
        <v>880536</v>
      </c>
      <c r="DO35" s="139">
        <v>700951</v>
      </c>
      <c r="DP35" s="139">
        <v>45533</v>
      </c>
      <c r="DQ35" s="139">
        <v>557969</v>
      </c>
      <c r="DR35" s="139">
        <v>8334821</v>
      </c>
      <c r="DS35" s="139">
        <v>10519810</v>
      </c>
      <c r="DT35" s="139">
        <v>0</v>
      </c>
      <c r="DU35" s="139">
        <v>0</v>
      </c>
      <c r="DV35" s="139">
        <v>0</v>
      </c>
      <c r="DW35" s="139">
        <v>0</v>
      </c>
      <c r="DX35" s="139">
        <v>0</v>
      </c>
      <c r="DY35" s="139">
        <v>0</v>
      </c>
      <c r="DZ35" s="139">
        <v>0</v>
      </c>
      <c r="EA35" s="139">
        <v>0</v>
      </c>
      <c r="EB35" s="139">
        <v>0</v>
      </c>
      <c r="EC35" s="139">
        <v>0</v>
      </c>
      <c r="ED35" s="139">
        <v>0</v>
      </c>
      <c r="EE35" s="139">
        <v>0</v>
      </c>
      <c r="EF35" s="139">
        <v>77193</v>
      </c>
      <c r="EG35" s="139">
        <v>3140</v>
      </c>
      <c r="EH35" s="139">
        <v>1040</v>
      </c>
      <c r="EI35" s="139">
        <v>133202</v>
      </c>
      <c r="EJ35" s="139">
        <v>3377240</v>
      </c>
      <c r="EK35" s="139">
        <v>3591815</v>
      </c>
      <c r="EL35" s="139">
        <v>26497039</v>
      </c>
      <c r="EM35" s="139">
        <v>22252976</v>
      </c>
      <c r="EN35" s="139">
        <v>247380</v>
      </c>
      <c r="EO35" s="139">
        <v>1596139</v>
      </c>
      <c r="EP35" s="139">
        <v>34075245</v>
      </c>
      <c r="EQ35" s="139">
        <v>84668779</v>
      </c>
      <c r="ER35" s="139">
        <v>3765092</v>
      </c>
      <c r="ES35" s="139">
        <v>560430</v>
      </c>
      <c r="ET35" s="139">
        <v>680482</v>
      </c>
      <c r="EU35" s="139">
        <v>7809568</v>
      </c>
      <c r="EV35" s="139">
        <v>7630</v>
      </c>
      <c r="EW35" s="139">
        <v>12823202</v>
      </c>
      <c r="EX35" s="139">
        <v>2319432</v>
      </c>
      <c r="EY35" s="139">
        <v>1406461</v>
      </c>
      <c r="EZ35" s="139">
        <v>96529</v>
      </c>
      <c r="FA35" s="139">
        <v>154980</v>
      </c>
      <c r="FB35" s="139">
        <v>0</v>
      </c>
      <c r="FC35" s="139">
        <v>3977402</v>
      </c>
      <c r="FD35" s="139">
        <v>4628843</v>
      </c>
      <c r="FE35" s="139">
        <v>4569266</v>
      </c>
      <c r="FF35" s="139">
        <v>807078</v>
      </c>
      <c r="FG35" s="139">
        <v>5391338</v>
      </c>
      <c r="FH35" s="139">
        <v>0</v>
      </c>
      <c r="FI35" s="139">
        <v>15396525</v>
      </c>
      <c r="FJ35" s="139">
        <v>80597</v>
      </c>
      <c r="FK35" s="139">
        <v>60103</v>
      </c>
      <c r="FL35" s="139">
        <v>20871</v>
      </c>
      <c r="FM35" s="139">
        <v>11513</v>
      </c>
      <c r="FN35" s="139">
        <v>0</v>
      </c>
      <c r="FO35" s="139">
        <v>173084</v>
      </c>
      <c r="FP35" s="139">
        <v>1425511</v>
      </c>
      <c r="FQ35" s="139">
        <v>897987</v>
      </c>
      <c r="FR35" s="139">
        <v>259429</v>
      </c>
      <c r="FS35" s="139">
        <v>382942</v>
      </c>
      <c r="FT35" s="139">
        <v>13015949</v>
      </c>
      <c r="FU35" s="139">
        <v>15981818</v>
      </c>
      <c r="FV35" s="139">
        <v>13039</v>
      </c>
      <c r="FW35" s="139">
        <v>6250</v>
      </c>
      <c r="FX35" s="139">
        <v>0</v>
      </c>
      <c r="FY35" s="139">
        <v>0</v>
      </c>
      <c r="FZ35" s="139">
        <v>86647</v>
      </c>
      <c r="GA35" s="139">
        <v>105936</v>
      </c>
      <c r="GB35" s="139">
        <v>378443</v>
      </c>
      <c r="GC35" s="139">
        <v>57992</v>
      </c>
      <c r="GD35" s="139">
        <v>107696</v>
      </c>
      <c r="GE35" s="139">
        <v>188863</v>
      </c>
      <c r="GF35" s="139">
        <v>568152</v>
      </c>
      <c r="GG35" s="139">
        <v>1301146</v>
      </c>
      <c r="GH35" s="139">
        <v>545017</v>
      </c>
      <c r="GI35" s="139">
        <v>716888</v>
      </c>
      <c r="GJ35" s="139">
        <v>114219</v>
      </c>
      <c r="GK35" s="139">
        <v>459523</v>
      </c>
      <c r="GL35" s="139">
        <v>0</v>
      </c>
      <c r="GM35" s="139">
        <v>1835647</v>
      </c>
      <c r="GN35" s="139">
        <v>580935</v>
      </c>
      <c r="GO35" s="139">
        <v>703751</v>
      </c>
      <c r="GP35" s="139">
        <v>304950</v>
      </c>
      <c r="GQ35" s="139">
        <v>2426898</v>
      </c>
      <c r="GR35" s="139">
        <v>0</v>
      </c>
      <c r="GS35" s="139">
        <v>4016534</v>
      </c>
      <c r="GT35" s="139">
        <v>580935</v>
      </c>
      <c r="GU35" s="139">
        <v>703751</v>
      </c>
      <c r="GV35" s="139">
        <v>304950</v>
      </c>
      <c r="GW35" s="139">
        <v>2426898</v>
      </c>
      <c r="GX35" s="139">
        <v>0</v>
      </c>
      <c r="GY35" s="139">
        <v>4016534</v>
      </c>
      <c r="GZ35" s="139">
        <v>1364732</v>
      </c>
      <c r="HA35" s="139">
        <v>1222502</v>
      </c>
      <c r="HB35" s="139">
        <v>311599</v>
      </c>
      <c r="HC35" s="139">
        <v>311660</v>
      </c>
      <c r="HD35" s="139">
        <v>159687</v>
      </c>
      <c r="HE35" s="139">
        <v>3370180</v>
      </c>
      <c r="HF35" s="139">
        <v>574156</v>
      </c>
      <c r="HG35" s="139">
        <v>160819</v>
      </c>
      <c r="HH35" s="139">
        <v>38595</v>
      </c>
      <c r="HI35" s="139">
        <v>157209</v>
      </c>
      <c r="HJ35" s="139">
        <v>822742</v>
      </c>
      <c r="HK35" s="139">
        <v>1753521</v>
      </c>
      <c r="HL35" s="139">
        <v>0</v>
      </c>
      <c r="HM35" s="139">
        <v>0</v>
      </c>
      <c r="HN35" s="139">
        <v>0</v>
      </c>
      <c r="HO35" s="139">
        <v>0</v>
      </c>
      <c r="HP35" s="139">
        <v>0</v>
      </c>
      <c r="HQ35" s="139">
        <v>0</v>
      </c>
      <c r="HR35" s="139">
        <v>567160</v>
      </c>
      <c r="HS35" s="139">
        <v>208834</v>
      </c>
      <c r="HT35" s="139">
        <v>157457</v>
      </c>
      <c r="HU35" s="139">
        <v>943173</v>
      </c>
      <c r="HV35" s="139">
        <v>4740703</v>
      </c>
      <c r="HW35" s="139">
        <v>6617327</v>
      </c>
      <c r="HX35" s="139">
        <v>0</v>
      </c>
      <c r="HY35" s="139">
        <v>0</v>
      </c>
      <c r="HZ35" s="139">
        <v>0</v>
      </c>
      <c r="IA35" s="139">
        <v>0</v>
      </c>
      <c r="IB35" s="139">
        <v>175079</v>
      </c>
      <c r="IC35" s="139">
        <v>175079</v>
      </c>
      <c r="ID35" s="139">
        <v>0</v>
      </c>
      <c r="IE35" s="139">
        <v>0</v>
      </c>
      <c r="IF35" s="139">
        <v>0</v>
      </c>
      <c r="IG35" s="139">
        <v>0</v>
      </c>
      <c r="IH35" s="139">
        <v>3008362</v>
      </c>
      <c r="II35" s="139">
        <v>3008362</v>
      </c>
      <c r="IJ35" s="139">
        <v>349927</v>
      </c>
      <c r="IK35" s="139">
        <v>30849</v>
      </c>
      <c r="IL35" s="139">
        <v>9713</v>
      </c>
      <c r="IM35" s="139">
        <v>420240</v>
      </c>
      <c r="IN35" s="139">
        <v>673947</v>
      </c>
      <c r="IO35" s="139">
        <v>1484676</v>
      </c>
      <c r="IP35" s="139">
        <v>3120</v>
      </c>
      <c r="IQ35" s="139">
        <v>2787</v>
      </c>
      <c r="IR35" s="139">
        <v>882</v>
      </c>
      <c r="IS35" s="139">
        <v>17994</v>
      </c>
      <c r="IT35" s="139">
        <v>116249</v>
      </c>
      <c r="IU35" s="139">
        <v>141032</v>
      </c>
      <c r="IV35" s="139">
        <v>728936</v>
      </c>
      <c r="IW35" s="139">
        <v>286629</v>
      </c>
      <c r="IX35" s="139">
        <v>149173</v>
      </c>
      <c r="IY35" s="139">
        <v>624828</v>
      </c>
      <c r="IZ35" s="139">
        <v>4878391</v>
      </c>
      <c r="JA35" s="139">
        <v>6667957</v>
      </c>
      <c r="JB35" s="139">
        <v>17829682</v>
      </c>
      <c r="JC35" s="139">
        <v>10977463</v>
      </c>
      <c r="JD35" s="139">
        <v>3107847</v>
      </c>
      <c r="JE35" s="139">
        <v>20210989</v>
      </c>
      <c r="JF35" s="139">
        <v>28260751</v>
      </c>
      <c r="JG35" s="139">
        <v>80386732</v>
      </c>
      <c r="JH35" s="139">
        <v>0</v>
      </c>
      <c r="JI35" s="139">
        <v>0</v>
      </c>
      <c r="JJ35" s="139">
        <v>0</v>
      </c>
      <c r="JK35" s="139">
        <v>0</v>
      </c>
      <c r="JL35" s="139">
        <v>0</v>
      </c>
      <c r="JM35" s="139">
        <v>0</v>
      </c>
      <c r="JN35" s="139">
        <v>17829682</v>
      </c>
      <c r="JO35" s="139">
        <v>10977463</v>
      </c>
      <c r="JP35" s="139">
        <v>3107847</v>
      </c>
      <c r="JQ35" s="139">
        <v>20210989</v>
      </c>
      <c r="JR35" s="139">
        <v>28260751</v>
      </c>
      <c r="JS35" s="139">
        <v>80386732</v>
      </c>
      <c r="JU35" s="70">
        <f t="shared" si="80"/>
        <v>17029219</v>
      </c>
      <c r="JV35" s="70">
        <f t="shared" si="81"/>
        <v>0</v>
      </c>
      <c r="JW35" s="70">
        <f t="shared" si="82"/>
        <v>0</v>
      </c>
      <c r="JX35" s="70">
        <f t="shared" si="83"/>
        <v>0</v>
      </c>
      <c r="JY35" s="70">
        <f t="shared" si="84"/>
        <v>287040</v>
      </c>
      <c r="JZ35" s="70">
        <f t="shared" si="85"/>
        <v>0</v>
      </c>
      <c r="KA35" s="70">
        <f t="shared" si="86"/>
        <v>16792186</v>
      </c>
      <c r="KB35" s="70">
        <f t="shared" si="87"/>
        <v>0</v>
      </c>
      <c r="KC35" s="70">
        <f t="shared" si="88"/>
        <v>279020</v>
      </c>
      <c r="KD35" s="70">
        <f t="shared" si="89"/>
        <v>0</v>
      </c>
      <c r="KE35" s="70">
        <f t="shared" si="90"/>
        <v>0</v>
      </c>
      <c r="KF35" s="70">
        <f t="shared" si="91"/>
        <v>0</v>
      </c>
      <c r="KG35" s="70">
        <f t="shared" si="92"/>
        <v>0</v>
      </c>
      <c r="KH35" s="70">
        <f t="shared" si="93"/>
        <v>0</v>
      </c>
      <c r="KI35" s="70">
        <f t="shared" si="94"/>
        <v>3008362</v>
      </c>
      <c r="KJ35" s="70">
        <f t="shared" si="95"/>
        <v>0</v>
      </c>
      <c r="KK35" s="70">
        <f t="shared" si="96"/>
        <v>30073247</v>
      </c>
      <c r="KL35" s="70">
        <f t="shared" si="97"/>
        <v>0</v>
      </c>
      <c r="KM35" s="70">
        <f t="shared" si="98"/>
        <v>0</v>
      </c>
      <c r="KN35" s="70">
        <f t="shared" si="99"/>
        <v>0</v>
      </c>
      <c r="KO35" s="70">
        <f t="shared" si="100"/>
        <v>3088080</v>
      </c>
      <c r="KP35" s="70">
        <f t="shared" si="101"/>
        <v>0</v>
      </c>
      <c r="KQ35" s="70">
        <f t="shared" si="102"/>
        <v>10519810</v>
      </c>
      <c r="KR35" s="70">
        <f t="shared" si="103"/>
        <v>0</v>
      </c>
      <c r="KS35" s="70">
        <f t="shared" si="104"/>
        <v>0</v>
      </c>
      <c r="KT35" s="70">
        <f t="shared" si="105"/>
        <v>0</v>
      </c>
      <c r="KU35" s="70">
        <f t="shared" si="106"/>
        <v>0</v>
      </c>
      <c r="KV35" s="70">
        <f t="shared" si="107"/>
        <v>0</v>
      </c>
      <c r="KW35" s="70">
        <f t="shared" si="108"/>
        <v>3591815</v>
      </c>
      <c r="KX35" s="70">
        <f t="shared" si="109"/>
        <v>0</v>
      </c>
      <c r="KY35" s="70">
        <f t="shared" si="110"/>
        <v>84668779</v>
      </c>
      <c r="KZ35" s="70">
        <f t="shared" si="111"/>
        <v>0</v>
      </c>
      <c r="LA35" s="70">
        <f t="shared" si="150"/>
        <v>12823202</v>
      </c>
      <c r="LB35" s="70">
        <f t="shared" si="112"/>
        <v>0</v>
      </c>
      <c r="LC35" s="70">
        <f t="shared" si="113"/>
        <v>3977402</v>
      </c>
      <c r="LD35" s="70">
        <f t="shared" si="114"/>
        <v>0</v>
      </c>
      <c r="LE35" s="70">
        <f t="shared" si="115"/>
        <v>15396525</v>
      </c>
      <c r="LF35" s="70">
        <f t="shared" si="116"/>
        <v>0</v>
      </c>
      <c r="LG35" s="70">
        <f t="shared" si="78"/>
        <v>173084</v>
      </c>
      <c r="LH35" s="70">
        <f t="shared" si="79"/>
        <v>0</v>
      </c>
      <c r="LI35" s="70">
        <f t="shared" si="151"/>
        <v>15981818</v>
      </c>
      <c r="LJ35" s="70">
        <f t="shared" si="152"/>
        <v>0</v>
      </c>
      <c r="LK35" s="70">
        <f t="shared" si="153"/>
        <v>105936</v>
      </c>
      <c r="LL35" s="70">
        <f t="shared" si="154"/>
        <v>0</v>
      </c>
      <c r="LM35" s="70">
        <f t="shared" si="117"/>
        <v>1301146</v>
      </c>
      <c r="LN35" s="70">
        <f t="shared" si="118"/>
        <v>0</v>
      </c>
      <c r="LO35" s="70">
        <f t="shared" si="119"/>
        <v>1835647</v>
      </c>
      <c r="LP35" s="70">
        <f t="shared" si="120"/>
        <v>0</v>
      </c>
      <c r="LQ35" s="70">
        <f t="shared" si="121"/>
        <v>4016534</v>
      </c>
      <c r="LR35" s="70">
        <f t="shared" si="122"/>
        <v>0</v>
      </c>
      <c r="LS35" s="70">
        <f t="shared" si="123"/>
        <v>4016534</v>
      </c>
      <c r="LT35" s="70">
        <f t="shared" si="124"/>
        <v>0</v>
      </c>
      <c r="LU35" s="70">
        <f t="shared" si="125"/>
        <v>3370180</v>
      </c>
      <c r="LV35" s="70">
        <f t="shared" si="126"/>
        <v>0</v>
      </c>
      <c r="LW35" s="70">
        <f t="shared" si="127"/>
        <v>1753521</v>
      </c>
      <c r="LX35" s="70">
        <f t="shared" si="128"/>
        <v>0</v>
      </c>
      <c r="LY35" s="70">
        <f t="shared" si="129"/>
        <v>0</v>
      </c>
      <c r="LZ35" s="70">
        <f t="shared" si="130"/>
        <v>0</v>
      </c>
      <c r="MA35" s="70">
        <f t="shared" si="131"/>
        <v>6617327</v>
      </c>
      <c r="MB35" s="70">
        <f t="shared" si="132"/>
        <v>0</v>
      </c>
      <c r="MC35" s="70">
        <f t="shared" si="133"/>
        <v>175079</v>
      </c>
      <c r="MD35" s="70">
        <f t="shared" si="134"/>
        <v>0</v>
      </c>
      <c r="ME35" s="70">
        <f t="shared" si="135"/>
        <v>3008362</v>
      </c>
      <c r="MF35" s="70">
        <f t="shared" si="136"/>
        <v>0</v>
      </c>
      <c r="MG35" s="70">
        <f t="shared" si="137"/>
        <v>1484676</v>
      </c>
      <c r="MH35" s="70">
        <f t="shared" si="138"/>
        <v>0</v>
      </c>
      <c r="MI35" s="70">
        <f t="shared" si="139"/>
        <v>141032</v>
      </c>
      <c r="MJ35" s="70">
        <f t="shared" si="140"/>
        <v>0</v>
      </c>
      <c r="MK35" s="70">
        <f t="shared" si="141"/>
        <v>6667957</v>
      </c>
      <c r="ML35" s="70">
        <f t="shared" si="142"/>
        <v>0</v>
      </c>
      <c r="MM35" s="70">
        <f t="shared" si="143"/>
        <v>80386732</v>
      </c>
      <c r="MN35" s="70">
        <f t="shared" si="144"/>
        <v>0</v>
      </c>
      <c r="MO35" s="70">
        <f t="shared" si="145"/>
        <v>0</v>
      </c>
      <c r="MP35" s="70">
        <f t="shared" si="146"/>
        <v>0</v>
      </c>
      <c r="MQ35" s="70">
        <f t="shared" si="147"/>
        <v>80386732</v>
      </c>
      <c r="MR35" s="70">
        <f t="shared" si="148"/>
        <v>0</v>
      </c>
      <c r="MT35" s="70">
        <f t="shared" si="149"/>
        <v>0</v>
      </c>
      <c r="MV35" s="68">
        <f t="shared" si="77"/>
        <v>0</v>
      </c>
    </row>
    <row r="36" spans="1:360" x14ac:dyDescent="0.15">
      <c r="A36" s="182" t="s">
        <v>323</v>
      </c>
      <c r="B36" s="76" t="s">
        <v>423</v>
      </c>
      <c r="C36" s="90">
        <v>153658</v>
      </c>
      <c r="D36" s="90">
        <v>2014</v>
      </c>
      <c r="E36" s="90">
        <v>1</v>
      </c>
      <c r="F36" s="91">
        <v>3</v>
      </c>
      <c r="G36" s="92">
        <v>9289</v>
      </c>
      <c r="H36" s="92">
        <v>10012</v>
      </c>
      <c r="I36" s="93">
        <v>2803827276</v>
      </c>
      <c r="J36" s="93">
        <v>2641702772</v>
      </c>
      <c r="K36" s="93">
        <v>10715696</v>
      </c>
      <c r="L36" s="93">
        <v>10265171</v>
      </c>
      <c r="M36" s="93">
        <v>95421604</v>
      </c>
      <c r="N36" s="93">
        <v>86320273</v>
      </c>
      <c r="O36" s="93">
        <v>141400000</v>
      </c>
      <c r="P36" s="93">
        <v>145575000</v>
      </c>
      <c r="Q36" s="93">
        <v>1227535163</v>
      </c>
      <c r="R36" s="93">
        <v>1171304838</v>
      </c>
      <c r="S36" s="93">
        <v>1047535712</v>
      </c>
      <c r="T36" s="93">
        <v>1005323395</v>
      </c>
      <c r="U36" s="93">
        <v>17885</v>
      </c>
      <c r="V36" s="93">
        <v>17627</v>
      </c>
      <c r="W36" s="93">
        <v>36755</v>
      </c>
      <c r="X36" s="93">
        <v>35849</v>
      </c>
      <c r="Y36" s="93">
        <v>20691</v>
      </c>
      <c r="Z36" s="93">
        <v>21832</v>
      </c>
      <c r="AA36" s="93">
        <v>39561</v>
      </c>
      <c r="AB36" s="93">
        <v>40054</v>
      </c>
      <c r="AC36" s="114">
        <v>11</v>
      </c>
      <c r="AD36" s="114">
        <v>13</v>
      </c>
      <c r="AE36" s="114">
        <v>0</v>
      </c>
      <c r="AF36" s="115">
        <v>6156088</v>
      </c>
      <c r="AG36" s="115">
        <v>5060703</v>
      </c>
      <c r="AH36" s="115">
        <v>840210</v>
      </c>
      <c r="AI36" s="115">
        <v>481214</v>
      </c>
      <c r="AJ36" s="115">
        <v>834159</v>
      </c>
      <c r="AK36" s="116">
        <v>8.5</v>
      </c>
      <c r="AL36" s="115">
        <v>709035</v>
      </c>
      <c r="AM36" s="116">
        <v>10</v>
      </c>
      <c r="AN36" s="115">
        <v>242385</v>
      </c>
      <c r="AO36" s="116">
        <v>10.5</v>
      </c>
      <c r="AP36" s="115">
        <v>212087</v>
      </c>
      <c r="AQ36" s="116">
        <v>12</v>
      </c>
      <c r="AR36" s="115">
        <v>214147</v>
      </c>
      <c r="AS36" s="116">
        <v>25.5</v>
      </c>
      <c r="AT36" s="115">
        <v>170649</v>
      </c>
      <c r="AU36" s="116">
        <v>32</v>
      </c>
      <c r="AV36" s="115">
        <v>84490</v>
      </c>
      <c r="AW36" s="116">
        <v>22</v>
      </c>
      <c r="AX36" s="115">
        <v>68844</v>
      </c>
      <c r="AY36" s="116">
        <v>27</v>
      </c>
      <c r="AZ36" s="139">
        <v>21042903</v>
      </c>
      <c r="BA36" s="139">
        <v>3805013</v>
      </c>
      <c r="BB36" s="139">
        <v>316221</v>
      </c>
      <c r="BC36" s="139">
        <v>725957</v>
      </c>
      <c r="BD36" s="139">
        <v>0</v>
      </c>
      <c r="BE36" s="139">
        <v>25890094</v>
      </c>
      <c r="BF36" s="139">
        <v>0</v>
      </c>
      <c r="BG36" s="139">
        <v>0</v>
      </c>
      <c r="BH36" s="139">
        <v>0</v>
      </c>
      <c r="BI36" s="139">
        <v>0</v>
      </c>
      <c r="BJ36" s="139">
        <v>683917</v>
      </c>
      <c r="BK36" s="139">
        <v>683917</v>
      </c>
      <c r="BL36" s="139">
        <v>0</v>
      </c>
      <c r="BM36" s="139">
        <v>289507</v>
      </c>
      <c r="BN36" s="139">
        <v>0</v>
      </c>
      <c r="BO36" s="139">
        <v>3900</v>
      </c>
      <c r="BP36" s="139">
        <v>0</v>
      </c>
      <c r="BQ36" s="139">
        <v>293407</v>
      </c>
      <c r="BR36" s="139">
        <v>150000</v>
      </c>
      <c r="BS36" s="139">
        <v>300000</v>
      </c>
      <c r="BT36" s="139">
        <v>0</v>
      </c>
      <c r="BU36" s="139">
        <v>0</v>
      </c>
      <c r="BV36" s="139">
        <v>0</v>
      </c>
      <c r="BW36" s="139">
        <v>450000</v>
      </c>
      <c r="BX36" s="139">
        <v>0</v>
      </c>
      <c r="BY36" s="139">
        <v>0</v>
      </c>
      <c r="BZ36" s="139">
        <v>0</v>
      </c>
      <c r="CA36" s="139">
        <v>0</v>
      </c>
      <c r="CB36" s="139">
        <v>0</v>
      </c>
      <c r="CC36" s="139">
        <v>0</v>
      </c>
      <c r="CD36" s="139">
        <v>0</v>
      </c>
      <c r="CE36" s="139">
        <v>0</v>
      </c>
      <c r="CF36" s="139">
        <v>0</v>
      </c>
      <c r="CG36" s="139">
        <v>0</v>
      </c>
      <c r="CH36" s="139">
        <v>0</v>
      </c>
      <c r="CI36" s="139">
        <v>0</v>
      </c>
      <c r="CJ36" s="139">
        <v>0</v>
      </c>
      <c r="CK36" s="139">
        <v>0</v>
      </c>
      <c r="CL36" s="139">
        <v>0</v>
      </c>
      <c r="CM36" s="139">
        <v>0</v>
      </c>
      <c r="CN36" s="139">
        <v>0</v>
      </c>
      <c r="CO36" s="139">
        <v>0</v>
      </c>
      <c r="CP36" s="139">
        <v>0</v>
      </c>
      <c r="CQ36" s="139">
        <v>0</v>
      </c>
      <c r="CR36" s="139">
        <v>0</v>
      </c>
      <c r="CS36" s="139">
        <v>0</v>
      </c>
      <c r="CT36" s="139">
        <v>0</v>
      </c>
      <c r="CU36" s="139">
        <v>0</v>
      </c>
      <c r="CV36" s="139">
        <v>15470617</v>
      </c>
      <c r="CW36" s="139">
        <v>3890818</v>
      </c>
      <c r="CX36" s="139">
        <v>0</v>
      </c>
      <c r="CY36" s="139">
        <v>34781</v>
      </c>
      <c r="CZ36" s="139">
        <v>9564174</v>
      </c>
      <c r="DA36" s="139">
        <v>28960390</v>
      </c>
      <c r="DB36" s="139">
        <v>1050000</v>
      </c>
      <c r="DC36" s="139">
        <v>375000</v>
      </c>
      <c r="DD36" s="139">
        <v>37500</v>
      </c>
      <c r="DE36" s="139">
        <v>37500</v>
      </c>
      <c r="DF36" s="139">
        <v>0</v>
      </c>
      <c r="DG36" s="139">
        <v>1500000</v>
      </c>
      <c r="DH36" s="139">
        <v>1158390</v>
      </c>
      <c r="DI36" s="139">
        <v>389594</v>
      </c>
      <c r="DJ36" s="139">
        <v>90690</v>
      </c>
      <c r="DK36" s="139">
        <v>121968</v>
      </c>
      <c r="DL36" s="139">
        <v>269047</v>
      </c>
      <c r="DM36" s="139">
        <v>2029689</v>
      </c>
      <c r="DN36" s="139">
        <v>2653467</v>
      </c>
      <c r="DO36" s="139">
        <v>1372667</v>
      </c>
      <c r="DP36" s="139">
        <v>94767</v>
      </c>
      <c r="DQ36" s="139">
        <v>94767</v>
      </c>
      <c r="DR36" s="139">
        <v>4377324</v>
      </c>
      <c r="DS36" s="139">
        <v>8592992</v>
      </c>
      <c r="DT36" s="139">
        <v>50319</v>
      </c>
      <c r="DU36" s="139">
        <v>215146</v>
      </c>
      <c r="DV36" s="139">
        <v>85040</v>
      </c>
      <c r="DW36" s="139">
        <v>634268</v>
      </c>
      <c r="DX36" s="139">
        <v>26778</v>
      </c>
      <c r="DY36" s="139">
        <v>1011551</v>
      </c>
      <c r="DZ36" s="139">
        <v>530251</v>
      </c>
      <c r="EA36" s="139">
        <v>108677</v>
      </c>
      <c r="EB36" s="139">
        <v>51704</v>
      </c>
      <c r="EC36" s="139">
        <v>267534</v>
      </c>
      <c r="ED36" s="139">
        <v>2170265</v>
      </c>
      <c r="EE36" s="139">
        <v>3128431</v>
      </c>
      <c r="EF36" s="139">
        <v>693762</v>
      </c>
      <c r="EG36" s="139">
        <v>48132</v>
      </c>
      <c r="EH36" s="139">
        <v>35615</v>
      </c>
      <c r="EI36" s="139">
        <v>44306</v>
      </c>
      <c r="EJ36" s="139">
        <v>2240343</v>
      </c>
      <c r="EK36" s="139">
        <v>3062158</v>
      </c>
      <c r="EL36" s="139">
        <v>58278228</v>
      </c>
      <c r="EM36" s="139">
        <v>11394633</v>
      </c>
      <c r="EN36" s="139">
        <v>987250</v>
      </c>
      <c r="EO36" s="139">
        <v>3160904</v>
      </c>
      <c r="EP36" s="139">
        <v>32137939</v>
      </c>
      <c r="EQ36" s="139">
        <v>105958954</v>
      </c>
      <c r="ER36" s="139">
        <v>3552369</v>
      </c>
      <c r="ES36" s="139">
        <v>569386</v>
      </c>
      <c r="ET36" s="139">
        <v>533658</v>
      </c>
      <c r="EU36" s="139">
        <v>6561378</v>
      </c>
      <c r="EV36" s="139">
        <v>545990</v>
      </c>
      <c r="EW36" s="139">
        <v>11762781</v>
      </c>
      <c r="EX36" s="139">
        <v>1975000</v>
      </c>
      <c r="EY36" s="139">
        <v>696310</v>
      </c>
      <c r="EZ36" s="139">
        <v>136664</v>
      </c>
      <c r="FA36" s="139">
        <v>11997</v>
      </c>
      <c r="FB36" s="139">
        <v>0</v>
      </c>
      <c r="FC36" s="139">
        <v>2819971</v>
      </c>
      <c r="FD36" s="139">
        <v>8004886</v>
      </c>
      <c r="FE36" s="139">
        <v>2317189</v>
      </c>
      <c r="FF36" s="139">
        <v>1517934</v>
      </c>
      <c r="FG36" s="139">
        <v>5114925</v>
      </c>
      <c r="FH36" s="139">
        <v>0</v>
      </c>
      <c r="FI36" s="139">
        <v>16954934</v>
      </c>
      <c r="FJ36" s="139">
        <v>150000</v>
      </c>
      <c r="FK36" s="139">
        <v>300000</v>
      </c>
      <c r="FL36" s="139">
        <v>0</v>
      </c>
      <c r="FM36" s="139">
        <v>0</v>
      </c>
      <c r="FN36" s="139">
        <v>0</v>
      </c>
      <c r="FO36" s="139">
        <v>450000</v>
      </c>
      <c r="FP36" s="139">
        <v>1878656</v>
      </c>
      <c r="FQ36" s="139">
        <v>350170</v>
      </c>
      <c r="FR36" s="139">
        <v>215385</v>
      </c>
      <c r="FS36" s="139">
        <v>271649</v>
      </c>
      <c r="FT36" s="139">
        <v>13384348</v>
      </c>
      <c r="FU36" s="139">
        <v>16100208</v>
      </c>
      <c r="FV36" s="139">
        <v>0</v>
      </c>
      <c r="FW36" s="139">
        <v>0</v>
      </c>
      <c r="FX36" s="139">
        <v>0</v>
      </c>
      <c r="FY36" s="139">
        <v>0</v>
      </c>
      <c r="FZ36" s="139">
        <v>0</v>
      </c>
      <c r="GA36" s="139">
        <v>0</v>
      </c>
      <c r="GB36" s="139">
        <v>0</v>
      </c>
      <c r="GC36" s="139">
        <v>0</v>
      </c>
      <c r="GD36" s="139">
        <v>0</v>
      </c>
      <c r="GE36" s="139">
        <v>0</v>
      </c>
      <c r="GF36" s="139">
        <v>0</v>
      </c>
      <c r="GG36" s="139">
        <v>0</v>
      </c>
      <c r="GH36" s="139">
        <v>347037</v>
      </c>
      <c r="GI36" s="139">
        <v>291811</v>
      </c>
      <c r="GJ36" s="139">
        <v>118918</v>
      </c>
      <c r="GK36" s="139">
        <v>563658</v>
      </c>
      <c r="GL36" s="139">
        <v>0</v>
      </c>
      <c r="GM36" s="139">
        <v>1321424</v>
      </c>
      <c r="GN36" s="139">
        <v>2098856</v>
      </c>
      <c r="GO36" s="139">
        <v>1036851</v>
      </c>
      <c r="GP36" s="139">
        <v>637659</v>
      </c>
      <c r="GQ36" s="139">
        <v>2799338</v>
      </c>
      <c r="GR36" s="139">
        <v>0</v>
      </c>
      <c r="GS36" s="139">
        <v>6572704</v>
      </c>
      <c r="GT36" s="139">
        <v>908478</v>
      </c>
      <c r="GU36" s="139">
        <v>157321</v>
      </c>
      <c r="GV36" s="139">
        <v>127283</v>
      </c>
      <c r="GW36" s="139">
        <v>1057496</v>
      </c>
      <c r="GX36" s="139">
        <v>0</v>
      </c>
      <c r="GY36" s="139">
        <v>2250578</v>
      </c>
      <c r="GZ36" s="139">
        <v>1963069</v>
      </c>
      <c r="HA36" s="139">
        <v>517943</v>
      </c>
      <c r="HB36" s="139">
        <v>432218</v>
      </c>
      <c r="HC36" s="139">
        <v>590561</v>
      </c>
      <c r="HD36" s="139">
        <v>0</v>
      </c>
      <c r="HE36" s="139">
        <v>3503791</v>
      </c>
      <c r="HF36" s="139">
        <v>566804</v>
      </c>
      <c r="HG36" s="139">
        <v>195867</v>
      </c>
      <c r="HH36" s="139">
        <v>108722</v>
      </c>
      <c r="HI36" s="139">
        <v>219153</v>
      </c>
      <c r="HJ36" s="139">
        <v>2638209</v>
      </c>
      <c r="HK36" s="139">
        <v>3728755</v>
      </c>
      <c r="HL36" s="139">
        <v>81420</v>
      </c>
      <c r="HM36" s="139">
        <v>138744</v>
      </c>
      <c r="HN36" s="139">
        <v>60830</v>
      </c>
      <c r="HO36" s="139">
        <v>295113</v>
      </c>
      <c r="HP36" s="139">
        <v>12044</v>
      </c>
      <c r="HQ36" s="139">
        <v>588151</v>
      </c>
      <c r="HR36" s="139">
        <v>818822</v>
      </c>
      <c r="HS36" s="139">
        <v>0</v>
      </c>
      <c r="HT36" s="139">
        <v>0</v>
      </c>
      <c r="HU36" s="139">
        <v>1692984</v>
      </c>
      <c r="HV36" s="139">
        <v>23758387</v>
      </c>
      <c r="HW36" s="139">
        <v>26270193</v>
      </c>
      <c r="HX36" s="139">
        <v>0</v>
      </c>
      <c r="HY36" s="139">
        <v>0</v>
      </c>
      <c r="HZ36" s="139">
        <v>0</v>
      </c>
      <c r="IA36" s="139">
        <v>0</v>
      </c>
      <c r="IB36" s="139">
        <v>860004</v>
      </c>
      <c r="IC36" s="139">
        <v>860004</v>
      </c>
      <c r="ID36" s="139">
        <v>0</v>
      </c>
      <c r="IE36" s="139">
        <v>0</v>
      </c>
      <c r="IF36" s="139">
        <v>0</v>
      </c>
      <c r="IG36" s="139">
        <v>0</v>
      </c>
      <c r="IH36" s="139">
        <v>0</v>
      </c>
      <c r="II36" s="139">
        <v>0</v>
      </c>
      <c r="IJ36" s="139">
        <v>61186</v>
      </c>
      <c r="IK36" s="139">
        <v>10526</v>
      </c>
      <c r="IL36" s="139">
        <v>31721</v>
      </c>
      <c r="IM36" s="139">
        <v>272944</v>
      </c>
      <c r="IN36" s="139">
        <v>340983</v>
      </c>
      <c r="IO36" s="139">
        <v>717360</v>
      </c>
      <c r="IP36" s="139">
        <v>1675</v>
      </c>
      <c r="IQ36" s="139">
        <v>3220</v>
      </c>
      <c r="IR36" s="139">
        <v>800</v>
      </c>
      <c r="IS36" s="139">
        <v>14819</v>
      </c>
      <c r="IT36" s="139">
        <v>194575</v>
      </c>
      <c r="IU36" s="139">
        <v>215089</v>
      </c>
      <c r="IV36" s="139">
        <v>1876200</v>
      </c>
      <c r="IW36" s="139">
        <v>215212</v>
      </c>
      <c r="IX36" s="139">
        <v>176815</v>
      </c>
      <c r="IY36" s="139">
        <v>753825</v>
      </c>
      <c r="IZ36" s="139">
        <v>5140852</v>
      </c>
      <c r="JA36" s="139">
        <v>8162904</v>
      </c>
      <c r="JB36" s="139">
        <v>24284458</v>
      </c>
      <c r="JC36" s="139">
        <v>6800550</v>
      </c>
      <c r="JD36" s="139">
        <v>4098607</v>
      </c>
      <c r="JE36" s="139">
        <v>20219840</v>
      </c>
      <c r="JF36" s="139">
        <v>46875392</v>
      </c>
      <c r="JG36" s="139">
        <v>102278847</v>
      </c>
      <c r="JH36" s="139">
        <v>0</v>
      </c>
      <c r="JI36" s="139">
        <v>0</v>
      </c>
      <c r="JJ36" s="139">
        <v>0</v>
      </c>
      <c r="JK36" s="139">
        <v>0</v>
      </c>
      <c r="JL36" s="139">
        <v>0</v>
      </c>
      <c r="JM36" s="139">
        <v>0</v>
      </c>
      <c r="JN36" s="139">
        <v>24284458</v>
      </c>
      <c r="JO36" s="139">
        <v>6800550</v>
      </c>
      <c r="JP36" s="139">
        <v>4098607</v>
      </c>
      <c r="JQ36" s="139">
        <v>20219840</v>
      </c>
      <c r="JR36" s="139">
        <v>46875392</v>
      </c>
      <c r="JS36" s="139">
        <v>102278847</v>
      </c>
      <c r="JU36" s="70">
        <f t="shared" si="80"/>
        <v>25890094</v>
      </c>
      <c r="JV36" s="70">
        <f t="shared" si="81"/>
        <v>0</v>
      </c>
      <c r="JW36" s="70">
        <f t="shared" si="82"/>
        <v>683917</v>
      </c>
      <c r="JX36" s="70">
        <f t="shared" si="83"/>
        <v>0</v>
      </c>
      <c r="JY36" s="70">
        <f t="shared" si="84"/>
        <v>293407</v>
      </c>
      <c r="JZ36" s="70">
        <f t="shared" si="85"/>
        <v>0</v>
      </c>
      <c r="KA36" s="70">
        <f t="shared" si="86"/>
        <v>450000</v>
      </c>
      <c r="KB36" s="70">
        <f t="shared" si="87"/>
        <v>0</v>
      </c>
      <c r="KC36" s="70">
        <f t="shared" si="88"/>
        <v>0</v>
      </c>
      <c r="KD36" s="70">
        <f t="shared" si="89"/>
        <v>0</v>
      </c>
      <c r="KE36" s="70">
        <f t="shared" si="90"/>
        <v>0</v>
      </c>
      <c r="KF36" s="70">
        <f t="shared" si="91"/>
        <v>0</v>
      </c>
      <c r="KG36" s="70">
        <f t="shared" si="92"/>
        <v>0</v>
      </c>
      <c r="KH36" s="70">
        <f t="shared" si="93"/>
        <v>0</v>
      </c>
      <c r="KI36" s="70">
        <f t="shared" si="94"/>
        <v>0</v>
      </c>
      <c r="KJ36" s="70">
        <f t="shared" si="95"/>
        <v>0</v>
      </c>
      <c r="KK36" s="70">
        <f t="shared" si="96"/>
        <v>28960390</v>
      </c>
      <c r="KL36" s="70">
        <f t="shared" si="97"/>
        <v>0</v>
      </c>
      <c r="KM36" s="70">
        <f t="shared" si="98"/>
        <v>1500000</v>
      </c>
      <c r="KN36" s="70">
        <f t="shared" si="99"/>
        <v>0</v>
      </c>
      <c r="KO36" s="70">
        <f t="shared" si="100"/>
        <v>2029689</v>
      </c>
      <c r="KP36" s="70">
        <f t="shared" si="101"/>
        <v>0</v>
      </c>
      <c r="KQ36" s="70">
        <f t="shared" si="102"/>
        <v>8592992</v>
      </c>
      <c r="KR36" s="70">
        <f t="shared" si="103"/>
        <v>0</v>
      </c>
      <c r="KS36" s="70">
        <f t="shared" si="104"/>
        <v>1011551</v>
      </c>
      <c r="KT36" s="70">
        <f t="shared" si="105"/>
        <v>0</v>
      </c>
      <c r="KU36" s="70">
        <f t="shared" si="106"/>
        <v>3128431</v>
      </c>
      <c r="KV36" s="70">
        <f t="shared" si="107"/>
        <v>0</v>
      </c>
      <c r="KW36" s="70">
        <f t="shared" si="108"/>
        <v>3062158</v>
      </c>
      <c r="KX36" s="70">
        <f t="shared" si="109"/>
        <v>0</v>
      </c>
      <c r="KY36" s="70">
        <f t="shared" si="110"/>
        <v>105958954</v>
      </c>
      <c r="KZ36" s="70">
        <f t="shared" si="111"/>
        <v>0</v>
      </c>
      <c r="LA36" s="70">
        <f t="shared" si="150"/>
        <v>11762781</v>
      </c>
      <c r="LB36" s="70">
        <f t="shared" si="112"/>
        <v>0</v>
      </c>
      <c r="LC36" s="70">
        <f t="shared" si="113"/>
        <v>2819971</v>
      </c>
      <c r="LD36" s="70">
        <f t="shared" si="114"/>
        <v>0</v>
      </c>
      <c r="LE36" s="70">
        <f t="shared" si="115"/>
        <v>16954934</v>
      </c>
      <c r="LF36" s="70">
        <f t="shared" si="116"/>
        <v>0</v>
      </c>
      <c r="LG36" s="70">
        <f t="shared" si="78"/>
        <v>450000</v>
      </c>
      <c r="LH36" s="70">
        <f t="shared" si="79"/>
        <v>0</v>
      </c>
      <c r="LI36" s="70">
        <f t="shared" si="151"/>
        <v>16100208</v>
      </c>
      <c r="LJ36" s="70">
        <f t="shared" si="152"/>
        <v>0</v>
      </c>
      <c r="LK36" s="70">
        <f t="shared" si="153"/>
        <v>0</v>
      </c>
      <c r="LL36" s="70">
        <f t="shared" si="154"/>
        <v>0</v>
      </c>
      <c r="LM36" s="70">
        <f t="shared" si="117"/>
        <v>0</v>
      </c>
      <c r="LN36" s="70">
        <f t="shared" si="118"/>
        <v>0</v>
      </c>
      <c r="LO36" s="70">
        <f t="shared" si="119"/>
        <v>1321424</v>
      </c>
      <c r="LP36" s="70">
        <f t="shared" si="120"/>
        <v>0</v>
      </c>
      <c r="LQ36" s="70">
        <f t="shared" si="121"/>
        <v>6572704</v>
      </c>
      <c r="LR36" s="70">
        <f t="shared" si="122"/>
        <v>0</v>
      </c>
      <c r="LS36" s="70">
        <f t="shared" si="123"/>
        <v>2250578</v>
      </c>
      <c r="LT36" s="70">
        <f t="shared" si="124"/>
        <v>0</v>
      </c>
      <c r="LU36" s="70">
        <f t="shared" si="125"/>
        <v>3503791</v>
      </c>
      <c r="LV36" s="70">
        <f t="shared" si="126"/>
        <v>0</v>
      </c>
      <c r="LW36" s="70">
        <f t="shared" si="127"/>
        <v>3728755</v>
      </c>
      <c r="LX36" s="70">
        <f t="shared" si="128"/>
        <v>0</v>
      </c>
      <c r="LY36" s="70">
        <f t="shared" si="129"/>
        <v>588151</v>
      </c>
      <c r="LZ36" s="70">
        <f t="shared" si="130"/>
        <v>0</v>
      </c>
      <c r="MA36" s="70">
        <f t="shared" si="131"/>
        <v>26270193</v>
      </c>
      <c r="MB36" s="70">
        <f t="shared" si="132"/>
        <v>0</v>
      </c>
      <c r="MC36" s="70">
        <f t="shared" si="133"/>
        <v>860004</v>
      </c>
      <c r="MD36" s="70">
        <f t="shared" si="134"/>
        <v>0</v>
      </c>
      <c r="ME36" s="70">
        <f t="shared" si="135"/>
        <v>0</v>
      </c>
      <c r="MF36" s="70">
        <f t="shared" si="136"/>
        <v>0</v>
      </c>
      <c r="MG36" s="70">
        <f t="shared" si="137"/>
        <v>717360</v>
      </c>
      <c r="MH36" s="70">
        <f t="shared" si="138"/>
        <v>0</v>
      </c>
      <c r="MI36" s="70">
        <f t="shared" si="139"/>
        <v>215089</v>
      </c>
      <c r="MJ36" s="70">
        <f t="shared" si="140"/>
        <v>0</v>
      </c>
      <c r="MK36" s="70">
        <f t="shared" si="141"/>
        <v>8162904</v>
      </c>
      <c r="ML36" s="70">
        <f t="shared" si="142"/>
        <v>0</v>
      </c>
      <c r="MM36" s="70">
        <f t="shared" si="143"/>
        <v>102278847</v>
      </c>
      <c r="MN36" s="70">
        <f t="shared" si="144"/>
        <v>0</v>
      </c>
      <c r="MO36" s="70">
        <f t="shared" si="145"/>
        <v>0</v>
      </c>
      <c r="MP36" s="70">
        <f t="shared" si="146"/>
        <v>0</v>
      </c>
      <c r="MQ36" s="70">
        <f t="shared" si="147"/>
        <v>102278847</v>
      </c>
      <c r="MR36" s="70">
        <f t="shared" si="148"/>
        <v>0</v>
      </c>
      <c r="MT36" s="70">
        <f t="shared" si="149"/>
        <v>0</v>
      </c>
      <c r="MV36" s="68">
        <f t="shared" si="77"/>
        <v>0</v>
      </c>
    </row>
    <row r="37" spans="1:360" x14ac:dyDescent="0.15">
      <c r="A37" s="76" t="s">
        <v>324</v>
      </c>
      <c r="B37" s="76" t="s">
        <v>423</v>
      </c>
      <c r="C37" s="90">
        <v>153603</v>
      </c>
      <c r="D37" s="90">
        <v>2014</v>
      </c>
      <c r="E37" s="90">
        <v>1</v>
      </c>
      <c r="F37" s="91">
        <v>2</v>
      </c>
      <c r="G37" s="92">
        <v>14595</v>
      </c>
      <c r="H37" s="92">
        <v>11381</v>
      </c>
      <c r="I37" s="93">
        <v>1070723175</v>
      </c>
      <c r="J37" s="93">
        <v>1030723369</v>
      </c>
      <c r="K37" s="93">
        <v>6231918</v>
      </c>
      <c r="L37" s="93">
        <v>4651085</v>
      </c>
      <c r="M37" s="93">
        <v>41774321</v>
      </c>
      <c r="N37" s="93">
        <v>35753363</v>
      </c>
      <c r="O37" s="93">
        <v>68354076</v>
      </c>
      <c r="P37" s="93">
        <v>71809129</v>
      </c>
      <c r="Q37" s="93">
        <v>483507369</v>
      </c>
      <c r="R37" s="93">
        <v>467433966</v>
      </c>
      <c r="S37" s="93">
        <v>817150912</v>
      </c>
      <c r="T37" s="93">
        <v>794672497</v>
      </c>
      <c r="U37" s="93">
        <v>16490</v>
      </c>
      <c r="V37" s="93">
        <v>16247</v>
      </c>
      <c r="W37" s="93">
        <v>29040</v>
      </c>
      <c r="X37" s="93">
        <v>28359</v>
      </c>
      <c r="Y37" s="93">
        <v>18920</v>
      </c>
      <c r="Z37" s="93">
        <v>18920</v>
      </c>
      <c r="AA37" s="93">
        <v>31470</v>
      </c>
      <c r="AB37" s="93">
        <v>31030</v>
      </c>
      <c r="AC37" s="114">
        <v>7</v>
      </c>
      <c r="AD37" s="114">
        <v>11</v>
      </c>
      <c r="AE37" s="114">
        <v>0</v>
      </c>
      <c r="AF37" s="115">
        <v>3781851</v>
      </c>
      <c r="AG37" s="115">
        <v>3324910</v>
      </c>
      <c r="AH37" s="115">
        <v>1006720</v>
      </c>
      <c r="AI37" s="115">
        <v>394075</v>
      </c>
      <c r="AJ37" s="115">
        <v>929849</v>
      </c>
      <c r="AK37" s="116">
        <v>4.5</v>
      </c>
      <c r="AL37" s="115">
        <v>836864</v>
      </c>
      <c r="AM37" s="116">
        <v>5</v>
      </c>
      <c r="AN37" s="115">
        <v>212254</v>
      </c>
      <c r="AO37" s="116">
        <v>8.5</v>
      </c>
      <c r="AP37" s="115">
        <v>200462</v>
      </c>
      <c r="AQ37" s="116">
        <v>9</v>
      </c>
      <c r="AR37" s="115">
        <v>226153</v>
      </c>
      <c r="AS37" s="116">
        <v>17.5</v>
      </c>
      <c r="AT37" s="115">
        <v>197884</v>
      </c>
      <c r="AU37" s="116">
        <v>20</v>
      </c>
      <c r="AV37" s="115">
        <v>89889</v>
      </c>
      <c r="AW37" s="116">
        <v>17.5</v>
      </c>
      <c r="AX37" s="115">
        <v>78653</v>
      </c>
      <c r="AY37" s="116">
        <v>20</v>
      </c>
      <c r="AZ37" s="139">
        <v>10278389</v>
      </c>
      <c r="BA37" s="139">
        <v>3381031</v>
      </c>
      <c r="BB37" s="139">
        <v>525253</v>
      </c>
      <c r="BC37" s="139">
        <v>233491</v>
      </c>
      <c r="BD37" s="139">
        <v>0</v>
      </c>
      <c r="BE37" s="139">
        <v>14418164</v>
      </c>
      <c r="BF37" s="139">
        <v>0</v>
      </c>
      <c r="BG37" s="139">
        <v>0</v>
      </c>
      <c r="BH37" s="139">
        <v>0</v>
      </c>
      <c r="BI37" s="139">
        <v>0</v>
      </c>
      <c r="BJ37" s="139">
        <v>1957396</v>
      </c>
      <c r="BK37" s="139">
        <v>1957396</v>
      </c>
      <c r="BL37" s="139">
        <v>150000</v>
      </c>
      <c r="BM37" s="139">
        <v>139507</v>
      </c>
      <c r="BN37" s="139">
        <v>0</v>
      </c>
      <c r="BO37" s="139">
        <v>11000</v>
      </c>
      <c r="BP37" s="139">
        <v>0</v>
      </c>
      <c r="BQ37" s="139">
        <v>300507</v>
      </c>
      <c r="BR37" s="139">
        <v>2942589</v>
      </c>
      <c r="BS37" s="139">
        <v>294279</v>
      </c>
      <c r="BT37" s="139">
        <v>116616</v>
      </c>
      <c r="BU37" s="139">
        <v>112325</v>
      </c>
      <c r="BV37" s="139">
        <v>13936796</v>
      </c>
      <c r="BW37" s="139">
        <v>17402605</v>
      </c>
      <c r="BX37" s="139">
        <v>0</v>
      </c>
      <c r="BY37" s="139">
        <v>0</v>
      </c>
      <c r="BZ37" s="139">
        <v>0</v>
      </c>
      <c r="CA37" s="139">
        <v>0</v>
      </c>
      <c r="CB37" s="139">
        <v>0</v>
      </c>
      <c r="CC37" s="139">
        <v>0</v>
      </c>
      <c r="CD37" s="139">
        <v>0</v>
      </c>
      <c r="CE37" s="139">
        <v>0</v>
      </c>
      <c r="CF37" s="139">
        <v>0</v>
      </c>
      <c r="CG37" s="139">
        <v>0</v>
      </c>
      <c r="CH37" s="139">
        <v>0</v>
      </c>
      <c r="CI37" s="139">
        <v>0</v>
      </c>
      <c r="CJ37" s="139">
        <v>0</v>
      </c>
      <c r="CK37" s="139">
        <v>0</v>
      </c>
      <c r="CL37" s="139">
        <v>0</v>
      </c>
      <c r="CM37" s="139">
        <v>0</v>
      </c>
      <c r="CN37" s="139">
        <v>0</v>
      </c>
      <c r="CO37" s="139">
        <v>0</v>
      </c>
      <c r="CP37" s="139">
        <v>0</v>
      </c>
      <c r="CQ37" s="139">
        <v>0</v>
      </c>
      <c r="CR37" s="139">
        <v>0</v>
      </c>
      <c r="CS37" s="139">
        <v>0</v>
      </c>
      <c r="CT37" s="139">
        <v>0</v>
      </c>
      <c r="CU37" s="139">
        <v>0</v>
      </c>
      <c r="CV37" s="139">
        <v>16504000</v>
      </c>
      <c r="CW37" s="139">
        <v>5569623</v>
      </c>
      <c r="CX37" s="139">
        <v>28223</v>
      </c>
      <c r="CY37" s="139">
        <v>284224</v>
      </c>
      <c r="CZ37" s="139">
        <v>1990626</v>
      </c>
      <c r="DA37" s="139">
        <v>24376696</v>
      </c>
      <c r="DB37" s="139">
        <v>0</v>
      </c>
      <c r="DC37" s="139">
        <v>0</v>
      </c>
      <c r="DD37" s="139">
        <v>0</v>
      </c>
      <c r="DE37" s="139">
        <v>0</v>
      </c>
      <c r="DF37" s="139">
        <v>3691350</v>
      </c>
      <c r="DG37" s="139">
        <v>3691350</v>
      </c>
      <c r="DH37" s="139">
        <v>1093280</v>
      </c>
      <c r="DI37" s="139">
        <v>202553</v>
      </c>
      <c r="DJ37" s="139">
        <v>57624</v>
      </c>
      <c r="DK37" s="139">
        <v>36306</v>
      </c>
      <c r="DL37" s="139">
        <v>192523</v>
      </c>
      <c r="DM37" s="139">
        <v>1582286</v>
      </c>
      <c r="DN37" s="139">
        <v>0</v>
      </c>
      <c r="DO37" s="139">
        <v>0</v>
      </c>
      <c r="DP37" s="139">
        <v>0</v>
      </c>
      <c r="DQ37" s="139">
        <v>0</v>
      </c>
      <c r="DR37" s="139">
        <v>862547</v>
      </c>
      <c r="DS37" s="139">
        <v>862547</v>
      </c>
      <c r="DT37" s="139">
        <v>0</v>
      </c>
      <c r="DU37" s="139">
        <v>0</v>
      </c>
      <c r="DV37" s="139">
        <v>0</v>
      </c>
      <c r="DW37" s="139">
        <v>0</v>
      </c>
      <c r="DX37" s="139">
        <v>0</v>
      </c>
      <c r="DY37" s="139">
        <v>0</v>
      </c>
      <c r="DZ37" s="139">
        <v>0</v>
      </c>
      <c r="EA37" s="139">
        <v>0</v>
      </c>
      <c r="EB37" s="139">
        <v>0</v>
      </c>
      <c r="EC37" s="139">
        <v>0</v>
      </c>
      <c r="ED37" s="139">
        <v>368790</v>
      </c>
      <c r="EE37" s="139">
        <v>368790</v>
      </c>
      <c r="EF37" s="139">
        <v>0</v>
      </c>
      <c r="EG37" s="139">
        <v>0</v>
      </c>
      <c r="EH37" s="139">
        <v>115219</v>
      </c>
      <c r="EI37" s="139">
        <v>1338128</v>
      </c>
      <c r="EJ37" s="139">
        <v>1756693</v>
      </c>
      <c r="EK37" s="139">
        <v>3210040</v>
      </c>
      <c r="EL37" s="139">
        <v>30968258</v>
      </c>
      <c r="EM37" s="139">
        <v>9586993</v>
      </c>
      <c r="EN37" s="139">
        <v>842935</v>
      </c>
      <c r="EO37" s="139">
        <v>2015474</v>
      </c>
      <c r="EP37" s="139">
        <v>24756721</v>
      </c>
      <c r="EQ37" s="139">
        <v>68170381</v>
      </c>
      <c r="ER37" s="139">
        <v>2614392</v>
      </c>
      <c r="ES37" s="139">
        <v>396815</v>
      </c>
      <c r="ET37" s="139">
        <v>401388</v>
      </c>
      <c r="EU37" s="139">
        <v>3694166</v>
      </c>
      <c r="EV37" s="139">
        <v>124577</v>
      </c>
      <c r="EW37" s="139">
        <v>7231338</v>
      </c>
      <c r="EX37" s="139">
        <v>350000</v>
      </c>
      <c r="EY37" s="139">
        <v>288131</v>
      </c>
      <c r="EZ37" s="139">
        <v>134907</v>
      </c>
      <c r="FA37" s="139">
        <v>74791</v>
      </c>
      <c r="FB37" s="139">
        <v>0</v>
      </c>
      <c r="FC37" s="139">
        <v>847829</v>
      </c>
      <c r="FD37" s="139">
        <v>4558908</v>
      </c>
      <c r="FE37" s="139">
        <v>2778588</v>
      </c>
      <c r="FF37" s="139">
        <v>1139297</v>
      </c>
      <c r="FG37" s="139">
        <v>3042413</v>
      </c>
      <c r="FH37" s="139">
        <v>0</v>
      </c>
      <c r="FI37" s="139">
        <v>11519206</v>
      </c>
      <c r="FJ37" s="139">
        <v>0</v>
      </c>
      <c r="FK37" s="139">
        <v>0</v>
      </c>
      <c r="FL37" s="139">
        <v>0</v>
      </c>
      <c r="FM37" s="139">
        <v>0</v>
      </c>
      <c r="FN37" s="139">
        <v>0</v>
      </c>
      <c r="FO37" s="139">
        <v>0</v>
      </c>
      <c r="FP37" s="139">
        <v>1629799</v>
      </c>
      <c r="FQ37" s="139">
        <v>486743</v>
      </c>
      <c r="FR37" s="139">
        <v>334178</v>
      </c>
      <c r="FS37" s="139">
        <v>829279</v>
      </c>
      <c r="FT37" s="139">
        <v>6591631</v>
      </c>
      <c r="FU37" s="139">
        <v>9871630</v>
      </c>
      <c r="FV37" s="139">
        <v>0</v>
      </c>
      <c r="FW37" s="139">
        <v>0</v>
      </c>
      <c r="FX37" s="139">
        <v>0</v>
      </c>
      <c r="FY37" s="139">
        <v>0</v>
      </c>
      <c r="FZ37" s="139">
        <v>0</v>
      </c>
      <c r="GA37" s="139">
        <v>0</v>
      </c>
      <c r="GB37" s="139">
        <v>107000</v>
      </c>
      <c r="GC37" s="139">
        <v>0</v>
      </c>
      <c r="GD37" s="139">
        <v>0</v>
      </c>
      <c r="GE37" s="139">
        <v>0</v>
      </c>
      <c r="GF37" s="139">
        <v>0</v>
      </c>
      <c r="GG37" s="139">
        <v>107000</v>
      </c>
      <c r="GH37" s="139">
        <v>644213</v>
      </c>
      <c r="GI37" s="139">
        <v>248273</v>
      </c>
      <c r="GJ37" s="139">
        <v>107501</v>
      </c>
      <c r="GK37" s="139">
        <v>400808</v>
      </c>
      <c r="GL37" s="139">
        <v>0</v>
      </c>
      <c r="GM37" s="139">
        <v>1400795</v>
      </c>
      <c r="GN37" s="139">
        <v>949255</v>
      </c>
      <c r="GO37" s="139">
        <v>1060061</v>
      </c>
      <c r="GP37" s="139">
        <v>744327</v>
      </c>
      <c r="GQ37" s="139">
        <v>2123338</v>
      </c>
      <c r="GR37" s="139">
        <v>0</v>
      </c>
      <c r="GS37" s="139">
        <v>4876981</v>
      </c>
      <c r="GT37" s="139">
        <v>903080</v>
      </c>
      <c r="GU37" s="139">
        <v>143821</v>
      </c>
      <c r="GV37" s="139">
        <v>113894</v>
      </c>
      <c r="GW37" s="139">
        <v>437939</v>
      </c>
      <c r="GX37" s="139">
        <v>249261</v>
      </c>
      <c r="GY37" s="139">
        <v>1847995</v>
      </c>
      <c r="GZ37" s="139">
        <v>1293169</v>
      </c>
      <c r="HA37" s="139">
        <v>369162</v>
      </c>
      <c r="HB37" s="139">
        <v>307361</v>
      </c>
      <c r="HC37" s="139">
        <v>308041</v>
      </c>
      <c r="HD37" s="139">
        <v>15445</v>
      </c>
      <c r="HE37" s="139">
        <v>2293178</v>
      </c>
      <c r="HF37" s="139">
        <v>121405</v>
      </c>
      <c r="HG37" s="139">
        <v>112987</v>
      </c>
      <c r="HH37" s="139">
        <v>108506</v>
      </c>
      <c r="HI37" s="139">
        <v>126329</v>
      </c>
      <c r="HJ37" s="139">
        <v>1687305</v>
      </c>
      <c r="HK37" s="139">
        <v>2156532</v>
      </c>
      <c r="HL37" s="139">
        <v>0</v>
      </c>
      <c r="HM37" s="139">
        <v>0</v>
      </c>
      <c r="HN37" s="139">
        <v>0</v>
      </c>
      <c r="HO37" s="139">
        <v>0</v>
      </c>
      <c r="HP37" s="139">
        <v>0</v>
      </c>
      <c r="HQ37" s="139">
        <v>0</v>
      </c>
      <c r="HR37" s="139">
        <v>367223</v>
      </c>
      <c r="HS37" s="139">
        <v>74398</v>
      </c>
      <c r="HT37" s="139">
        <v>49186</v>
      </c>
      <c r="HU37" s="139">
        <v>1615667</v>
      </c>
      <c r="HV37" s="139">
        <v>16676803</v>
      </c>
      <c r="HW37" s="139">
        <v>18783277</v>
      </c>
      <c r="HX37" s="139">
        <v>0</v>
      </c>
      <c r="HY37" s="139">
        <v>0</v>
      </c>
      <c r="HZ37" s="139">
        <v>0</v>
      </c>
      <c r="IA37" s="139">
        <v>0</v>
      </c>
      <c r="IB37" s="139">
        <v>391440</v>
      </c>
      <c r="IC37" s="139">
        <v>391440</v>
      </c>
      <c r="ID37" s="139">
        <v>0</v>
      </c>
      <c r="IE37" s="139">
        <v>0</v>
      </c>
      <c r="IF37" s="139">
        <v>0</v>
      </c>
      <c r="IG37" s="139">
        <v>0</v>
      </c>
      <c r="IH37" s="139">
        <v>0</v>
      </c>
      <c r="II37" s="139">
        <v>0</v>
      </c>
      <c r="IJ37" s="139">
        <v>191481</v>
      </c>
      <c r="IK37" s="139">
        <v>7691</v>
      </c>
      <c r="IL37" s="139">
        <v>14957</v>
      </c>
      <c r="IM37" s="139">
        <v>237919</v>
      </c>
      <c r="IN37" s="139">
        <v>2741</v>
      </c>
      <c r="IO37" s="139">
        <v>454789</v>
      </c>
      <c r="IP37" s="139">
        <v>3224</v>
      </c>
      <c r="IQ37" s="139">
        <v>1155</v>
      </c>
      <c r="IR37" s="139">
        <v>0</v>
      </c>
      <c r="IS37" s="139">
        <v>7065</v>
      </c>
      <c r="IT37" s="139">
        <v>1634308</v>
      </c>
      <c r="IU37" s="139">
        <v>1645752</v>
      </c>
      <c r="IV37" s="139">
        <v>728113</v>
      </c>
      <c r="IW37" s="139">
        <v>101311</v>
      </c>
      <c r="IX37" s="139">
        <v>75401</v>
      </c>
      <c r="IY37" s="139">
        <v>267649</v>
      </c>
      <c r="IZ37" s="139">
        <v>3367496</v>
      </c>
      <c r="JA37" s="139">
        <v>4539970</v>
      </c>
      <c r="JB37" s="139">
        <v>14461262</v>
      </c>
      <c r="JC37" s="139">
        <v>6069136</v>
      </c>
      <c r="JD37" s="139">
        <v>3530903</v>
      </c>
      <c r="JE37" s="139">
        <v>13165404</v>
      </c>
      <c r="JF37" s="139">
        <v>30741007</v>
      </c>
      <c r="JG37" s="139">
        <v>67967712</v>
      </c>
      <c r="JH37" s="139">
        <v>0</v>
      </c>
      <c r="JI37" s="139">
        <v>0</v>
      </c>
      <c r="JJ37" s="139">
        <v>0</v>
      </c>
      <c r="JK37" s="139">
        <v>0</v>
      </c>
      <c r="JL37" s="139">
        <v>0</v>
      </c>
      <c r="JM37" s="139">
        <v>0</v>
      </c>
      <c r="JN37" s="139">
        <v>14461262</v>
      </c>
      <c r="JO37" s="139">
        <v>6069136</v>
      </c>
      <c r="JP37" s="139">
        <v>3530903</v>
      </c>
      <c r="JQ37" s="139">
        <v>13165404</v>
      </c>
      <c r="JR37" s="139">
        <v>30741007</v>
      </c>
      <c r="JS37" s="139">
        <v>67967712</v>
      </c>
      <c r="JU37" s="70">
        <f t="shared" si="80"/>
        <v>14418164</v>
      </c>
      <c r="JV37" s="70">
        <f t="shared" si="81"/>
        <v>0</v>
      </c>
      <c r="JW37" s="70">
        <f t="shared" si="82"/>
        <v>1957396</v>
      </c>
      <c r="JX37" s="70">
        <f t="shared" si="83"/>
        <v>0</v>
      </c>
      <c r="JY37" s="70">
        <f t="shared" si="84"/>
        <v>300507</v>
      </c>
      <c r="JZ37" s="70">
        <f t="shared" si="85"/>
        <v>0</v>
      </c>
      <c r="KA37" s="70">
        <f t="shared" si="86"/>
        <v>17402605</v>
      </c>
      <c r="KB37" s="70">
        <f t="shared" si="87"/>
        <v>0</v>
      </c>
      <c r="KC37" s="70">
        <f t="shared" si="88"/>
        <v>0</v>
      </c>
      <c r="KD37" s="70">
        <f t="shared" si="89"/>
        <v>0</v>
      </c>
      <c r="KE37" s="70">
        <f t="shared" si="90"/>
        <v>0</v>
      </c>
      <c r="KF37" s="70">
        <f t="shared" si="91"/>
        <v>0</v>
      </c>
      <c r="KG37" s="70">
        <f t="shared" si="92"/>
        <v>0</v>
      </c>
      <c r="KH37" s="70">
        <f t="shared" si="93"/>
        <v>0</v>
      </c>
      <c r="KI37" s="70">
        <f t="shared" si="94"/>
        <v>0</v>
      </c>
      <c r="KJ37" s="70">
        <f t="shared" si="95"/>
        <v>0</v>
      </c>
      <c r="KK37" s="70">
        <f t="shared" si="96"/>
        <v>24376696</v>
      </c>
      <c r="KL37" s="70">
        <f t="shared" si="97"/>
        <v>0</v>
      </c>
      <c r="KM37" s="70">
        <f t="shared" si="98"/>
        <v>3691350</v>
      </c>
      <c r="KN37" s="70">
        <f t="shared" si="99"/>
        <v>0</v>
      </c>
      <c r="KO37" s="70">
        <f t="shared" si="100"/>
        <v>1582286</v>
      </c>
      <c r="KP37" s="70">
        <f t="shared" si="101"/>
        <v>0</v>
      </c>
      <c r="KQ37" s="70">
        <f t="shared" si="102"/>
        <v>862547</v>
      </c>
      <c r="KR37" s="70">
        <f t="shared" si="103"/>
        <v>0</v>
      </c>
      <c r="KS37" s="70">
        <f t="shared" si="104"/>
        <v>0</v>
      </c>
      <c r="KT37" s="70">
        <f t="shared" si="105"/>
        <v>0</v>
      </c>
      <c r="KU37" s="70">
        <f t="shared" si="106"/>
        <v>368790</v>
      </c>
      <c r="KV37" s="70">
        <f t="shared" si="107"/>
        <v>0</v>
      </c>
      <c r="KW37" s="70">
        <f t="shared" si="108"/>
        <v>3210040</v>
      </c>
      <c r="KX37" s="70">
        <f t="shared" si="109"/>
        <v>0</v>
      </c>
      <c r="KY37" s="70">
        <f t="shared" si="110"/>
        <v>68170381</v>
      </c>
      <c r="KZ37" s="70">
        <f t="shared" si="111"/>
        <v>0</v>
      </c>
      <c r="LA37" s="70">
        <f t="shared" si="150"/>
        <v>7231338</v>
      </c>
      <c r="LB37" s="70">
        <f t="shared" si="112"/>
        <v>0</v>
      </c>
      <c r="LC37" s="70">
        <f t="shared" si="113"/>
        <v>847829</v>
      </c>
      <c r="LD37" s="70">
        <f t="shared" si="114"/>
        <v>0</v>
      </c>
      <c r="LE37" s="70">
        <f t="shared" si="115"/>
        <v>11519206</v>
      </c>
      <c r="LF37" s="70">
        <f t="shared" si="116"/>
        <v>0</v>
      </c>
      <c r="LG37" s="70">
        <f t="shared" si="78"/>
        <v>0</v>
      </c>
      <c r="LH37" s="70">
        <f t="shared" si="79"/>
        <v>0</v>
      </c>
      <c r="LI37" s="70">
        <f t="shared" si="151"/>
        <v>9871630</v>
      </c>
      <c r="LJ37" s="70">
        <f t="shared" si="152"/>
        <v>0</v>
      </c>
      <c r="LK37" s="70">
        <f t="shared" si="153"/>
        <v>0</v>
      </c>
      <c r="LL37" s="70">
        <f t="shared" si="154"/>
        <v>0</v>
      </c>
      <c r="LM37" s="70">
        <f t="shared" si="117"/>
        <v>107000</v>
      </c>
      <c r="LN37" s="70">
        <f t="shared" si="118"/>
        <v>0</v>
      </c>
      <c r="LO37" s="70">
        <f t="shared" si="119"/>
        <v>1400795</v>
      </c>
      <c r="LP37" s="70">
        <f t="shared" si="120"/>
        <v>0</v>
      </c>
      <c r="LQ37" s="70">
        <f t="shared" si="121"/>
        <v>4876981</v>
      </c>
      <c r="LR37" s="70">
        <f t="shared" si="122"/>
        <v>0</v>
      </c>
      <c r="LS37" s="70">
        <f t="shared" si="123"/>
        <v>1847995</v>
      </c>
      <c r="LT37" s="70">
        <f t="shared" si="124"/>
        <v>0</v>
      </c>
      <c r="LU37" s="70">
        <f t="shared" si="125"/>
        <v>2293178</v>
      </c>
      <c r="LV37" s="70">
        <f t="shared" si="126"/>
        <v>0</v>
      </c>
      <c r="LW37" s="70">
        <f t="shared" si="127"/>
        <v>2156532</v>
      </c>
      <c r="LX37" s="70">
        <f t="shared" si="128"/>
        <v>0</v>
      </c>
      <c r="LY37" s="70">
        <f t="shared" si="129"/>
        <v>0</v>
      </c>
      <c r="LZ37" s="70">
        <f t="shared" si="130"/>
        <v>0</v>
      </c>
      <c r="MA37" s="70">
        <f t="shared" si="131"/>
        <v>18783277</v>
      </c>
      <c r="MB37" s="70">
        <f t="shared" si="132"/>
        <v>0</v>
      </c>
      <c r="MC37" s="70">
        <f t="shared" si="133"/>
        <v>391440</v>
      </c>
      <c r="MD37" s="70">
        <f t="shared" si="134"/>
        <v>0</v>
      </c>
      <c r="ME37" s="70">
        <f t="shared" si="135"/>
        <v>0</v>
      </c>
      <c r="MF37" s="70">
        <f t="shared" si="136"/>
        <v>0</v>
      </c>
      <c r="MG37" s="70">
        <f t="shared" si="137"/>
        <v>454789</v>
      </c>
      <c r="MH37" s="70">
        <f t="shared" si="138"/>
        <v>0</v>
      </c>
      <c r="MI37" s="70">
        <f t="shared" si="139"/>
        <v>1645752</v>
      </c>
      <c r="MJ37" s="70">
        <f t="shared" si="140"/>
        <v>0</v>
      </c>
      <c r="MK37" s="70">
        <f t="shared" si="141"/>
        <v>4539970</v>
      </c>
      <c r="ML37" s="70">
        <f t="shared" si="142"/>
        <v>0</v>
      </c>
      <c r="MM37" s="70">
        <f t="shared" si="143"/>
        <v>67967712</v>
      </c>
      <c r="MN37" s="70">
        <f t="shared" si="144"/>
        <v>0</v>
      </c>
      <c r="MO37" s="70">
        <f t="shared" si="145"/>
        <v>0</v>
      </c>
      <c r="MP37" s="70">
        <f t="shared" si="146"/>
        <v>0</v>
      </c>
      <c r="MQ37" s="70">
        <f t="shared" si="147"/>
        <v>67967712</v>
      </c>
      <c r="MR37" s="70">
        <f t="shared" si="148"/>
        <v>0</v>
      </c>
      <c r="MT37" s="70">
        <f t="shared" si="149"/>
        <v>0</v>
      </c>
      <c r="MV37" s="68">
        <f t="shared" si="77"/>
        <v>0</v>
      </c>
    </row>
    <row r="38" spans="1:360" x14ac:dyDescent="0.15">
      <c r="A38" s="76" t="s">
        <v>325</v>
      </c>
      <c r="B38" s="76" t="s">
        <v>423</v>
      </c>
      <c r="C38" s="90">
        <v>155317</v>
      </c>
      <c r="D38" s="90">
        <v>2014</v>
      </c>
      <c r="E38" s="90">
        <v>1</v>
      </c>
      <c r="F38" s="91">
        <v>2</v>
      </c>
      <c r="G38" s="92">
        <v>8598</v>
      </c>
      <c r="H38" s="92">
        <v>8280</v>
      </c>
      <c r="I38" s="93">
        <v>1145878000</v>
      </c>
      <c r="J38" s="93">
        <v>1144222000</v>
      </c>
      <c r="K38" s="93">
        <v>3444523</v>
      </c>
      <c r="L38" s="93">
        <v>3710132</v>
      </c>
      <c r="M38" s="93">
        <v>44000000</v>
      </c>
      <c r="N38" s="93">
        <v>38520160</v>
      </c>
      <c r="O38" s="93">
        <v>46897969</v>
      </c>
      <c r="P38" s="93">
        <v>49852218</v>
      </c>
      <c r="Q38" s="93">
        <v>451900000</v>
      </c>
      <c r="R38" s="93">
        <v>356800000</v>
      </c>
      <c r="S38" s="93">
        <v>849047411</v>
      </c>
      <c r="T38" s="93">
        <v>823839840</v>
      </c>
      <c r="U38" s="93">
        <v>21325</v>
      </c>
      <c r="V38" s="93">
        <v>20368</v>
      </c>
      <c r="W38" s="93">
        <v>35002</v>
      </c>
      <c r="X38" s="93">
        <v>32851</v>
      </c>
      <c r="Y38" s="93">
        <v>22791</v>
      </c>
      <c r="Z38" s="93">
        <v>21538</v>
      </c>
      <c r="AA38" s="93">
        <v>36468</v>
      </c>
      <c r="AB38" s="93">
        <v>34022</v>
      </c>
      <c r="AC38" s="114">
        <v>7</v>
      </c>
      <c r="AD38" s="114">
        <v>11</v>
      </c>
      <c r="AE38" s="114">
        <v>0</v>
      </c>
      <c r="AF38" s="115">
        <v>6002709</v>
      </c>
      <c r="AG38" s="115">
        <v>4802958</v>
      </c>
      <c r="AH38" s="115">
        <v>1176977</v>
      </c>
      <c r="AI38" s="115">
        <v>530039</v>
      </c>
      <c r="AJ38" s="115">
        <v>1398885</v>
      </c>
      <c r="AK38" s="116">
        <v>4.5</v>
      </c>
      <c r="AL38" s="115">
        <v>1258997</v>
      </c>
      <c r="AM38" s="116">
        <v>5</v>
      </c>
      <c r="AN38" s="115">
        <v>191597</v>
      </c>
      <c r="AO38" s="116">
        <v>8.5</v>
      </c>
      <c r="AP38" s="115">
        <v>180953</v>
      </c>
      <c r="AQ38" s="116">
        <v>9</v>
      </c>
      <c r="AR38" s="115">
        <v>227462</v>
      </c>
      <c r="AS38" s="116">
        <v>17.5</v>
      </c>
      <c r="AT38" s="115">
        <v>199029</v>
      </c>
      <c r="AU38" s="116">
        <v>20</v>
      </c>
      <c r="AV38" s="115">
        <v>83181</v>
      </c>
      <c r="AW38" s="116">
        <v>17.5</v>
      </c>
      <c r="AX38" s="115">
        <v>72783</v>
      </c>
      <c r="AY38" s="116">
        <v>20</v>
      </c>
      <c r="AZ38" s="139">
        <v>5249002</v>
      </c>
      <c r="BA38" s="139">
        <v>14523520</v>
      </c>
      <c r="BB38" s="139">
        <v>112549</v>
      </c>
      <c r="BC38" s="139">
        <v>173658</v>
      </c>
      <c r="BD38" s="139">
        <v>24895</v>
      </c>
      <c r="BE38" s="139">
        <v>20083624</v>
      </c>
      <c r="BF38" s="139">
        <v>0</v>
      </c>
      <c r="BG38" s="139">
        <v>0</v>
      </c>
      <c r="BH38" s="139">
        <v>181990</v>
      </c>
      <c r="BI38" s="139">
        <v>898071</v>
      </c>
      <c r="BJ38" s="139">
        <v>0</v>
      </c>
      <c r="BK38" s="139">
        <v>1080061</v>
      </c>
      <c r="BL38" s="139">
        <v>150000</v>
      </c>
      <c r="BM38" s="139">
        <v>571481</v>
      </c>
      <c r="BN38" s="139">
        <v>0</v>
      </c>
      <c r="BO38" s="139">
        <v>12000</v>
      </c>
      <c r="BP38" s="139">
        <v>0</v>
      </c>
      <c r="BQ38" s="139">
        <v>733481</v>
      </c>
      <c r="BR38" s="139">
        <v>0</v>
      </c>
      <c r="BS38" s="139">
        <v>0</v>
      </c>
      <c r="BT38" s="139">
        <v>0</v>
      </c>
      <c r="BU38" s="151">
        <v>409</v>
      </c>
      <c r="BV38" s="151">
        <v>28952063</v>
      </c>
      <c r="BW38" s="151">
        <v>28952472</v>
      </c>
      <c r="BX38" s="139">
        <v>0</v>
      </c>
      <c r="BY38" s="139">
        <v>0</v>
      </c>
      <c r="BZ38" s="139">
        <v>0</v>
      </c>
      <c r="CA38" s="139">
        <v>0</v>
      </c>
      <c r="CB38" s="139">
        <v>0</v>
      </c>
      <c r="CC38" s="139">
        <v>0</v>
      </c>
      <c r="CD38" s="139">
        <v>0</v>
      </c>
      <c r="CE38" s="139">
        <v>0</v>
      </c>
      <c r="CF38" s="139">
        <v>0</v>
      </c>
      <c r="CG38" s="139">
        <v>0</v>
      </c>
      <c r="CH38" s="139">
        <v>0</v>
      </c>
      <c r="CI38" s="139">
        <v>0</v>
      </c>
      <c r="CJ38" s="139">
        <v>0</v>
      </c>
      <c r="CK38" s="139">
        <v>0</v>
      </c>
      <c r="CL38" s="139">
        <v>0</v>
      </c>
      <c r="CM38" s="139">
        <v>0</v>
      </c>
      <c r="CN38" s="139">
        <v>1484313</v>
      </c>
      <c r="CO38" s="139">
        <v>1484313</v>
      </c>
      <c r="CP38" s="139">
        <v>0</v>
      </c>
      <c r="CQ38" s="139">
        <v>0</v>
      </c>
      <c r="CR38" s="139">
        <v>0</v>
      </c>
      <c r="CS38" s="139">
        <v>0</v>
      </c>
      <c r="CT38" s="139">
        <v>0</v>
      </c>
      <c r="CU38" s="139">
        <v>0</v>
      </c>
      <c r="CV38" s="139">
        <v>17709442</v>
      </c>
      <c r="CW38" s="139">
        <v>3149895</v>
      </c>
      <c r="CX38" s="139">
        <v>0</v>
      </c>
      <c r="CY38" s="139">
        <v>0</v>
      </c>
      <c r="CZ38" s="139">
        <v>1510221</v>
      </c>
      <c r="DA38" s="139">
        <v>22369558</v>
      </c>
      <c r="DB38" s="139">
        <v>0</v>
      </c>
      <c r="DC38" s="139">
        <v>0</v>
      </c>
      <c r="DD38" s="139">
        <v>0</v>
      </c>
      <c r="DE38" s="139">
        <v>0</v>
      </c>
      <c r="DF38" s="139">
        <v>6855577</v>
      </c>
      <c r="DG38" s="139">
        <v>6855577</v>
      </c>
      <c r="DH38" s="139">
        <v>68040</v>
      </c>
      <c r="DI38" s="139">
        <v>0</v>
      </c>
      <c r="DJ38" s="139">
        <v>0</v>
      </c>
      <c r="DK38" s="139">
        <v>0</v>
      </c>
      <c r="DL38" s="139">
        <v>1355536</v>
      </c>
      <c r="DM38" s="139">
        <v>1423576</v>
      </c>
      <c r="DN38" s="139">
        <v>0</v>
      </c>
      <c r="DO38" s="139">
        <v>0</v>
      </c>
      <c r="DP38" s="139">
        <v>0</v>
      </c>
      <c r="DQ38" s="139">
        <v>0</v>
      </c>
      <c r="DR38" s="139">
        <v>5750909</v>
      </c>
      <c r="DS38" s="139">
        <v>5750909</v>
      </c>
      <c r="DT38" s="139">
        <v>0</v>
      </c>
      <c r="DU38" s="139">
        <v>0</v>
      </c>
      <c r="DV38" s="139">
        <v>0</v>
      </c>
      <c r="DW38" s="139">
        <v>0</v>
      </c>
      <c r="DX38" s="139">
        <v>16761</v>
      </c>
      <c r="DY38" s="139">
        <v>16761</v>
      </c>
      <c r="DZ38" s="139">
        <v>0</v>
      </c>
      <c r="EA38" s="139">
        <v>0</v>
      </c>
      <c r="EB38" s="139">
        <v>0</v>
      </c>
      <c r="EC38" s="139">
        <v>0</v>
      </c>
      <c r="ED38" s="139">
        <v>4510182</v>
      </c>
      <c r="EE38" s="139">
        <v>4510182</v>
      </c>
      <c r="EF38" s="139">
        <v>1288</v>
      </c>
      <c r="EG38" s="139">
        <v>9077</v>
      </c>
      <c r="EH38" s="139">
        <v>0</v>
      </c>
      <c r="EI38" s="139">
        <v>30948</v>
      </c>
      <c r="EJ38" s="139">
        <v>4379239</v>
      </c>
      <c r="EK38" s="139">
        <v>4420552</v>
      </c>
      <c r="EL38" s="139">
        <v>23177772</v>
      </c>
      <c r="EM38" s="139">
        <v>18253973</v>
      </c>
      <c r="EN38" s="139">
        <v>294539</v>
      </c>
      <c r="EO38" s="139">
        <v>1115086</v>
      </c>
      <c r="EP38" s="139">
        <v>54839696</v>
      </c>
      <c r="EQ38" s="139">
        <v>97681066</v>
      </c>
      <c r="ER38" s="139">
        <v>4228402</v>
      </c>
      <c r="ES38" s="139">
        <v>629361</v>
      </c>
      <c r="ET38" s="139">
        <v>545120</v>
      </c>
      <c r="EU38" s="139">
        <v>5402784</v>
      </c>
      <c r="EV38" s="139">
        <v>341228</v>
      </c>
      <c r="EW38" s="139">
        <v>11146895</v>
      </c>
      <c r="EX38" s="139">
        <v>1200000</v>
      </c>
      <c r="EY38" s="139">
        <v>450000</v>
      </c>
      <c r="EZ38" s="139">
        <v>99500</v>
      </c>
      <c r="FA38" s="139">
        <v>107615</v>
      </c>
      <c r="FB38" s="139">
        <v>61338</v>
      </c>
      <c r="FC38" s="139">
        <v>1918453</v>
      </c>
      <c r="FD38" s="139">
        <v>4891659</v>
      </c>
      <c r="FE38" s="139">
        <v>4241591</v>
      </c>
      <c r="FF38" s="139">
        <v>999180</v>
      </c>
      <c r="FG38" s="139">
        <v>3227386</v>
      </c>
      <c r="FH38" s="139">
        <v>0</v>
      </c>
      <c r="FI38" s="139">
        <v>13359816</v>
      </c>
      <c r="FJ38" s="139">
        <v>0</v>
      </c>
      <c r="FK38" s="139">
        <v>0</v>
      </c>
      <c r="FL38" s="139">
        <v>0</v>
      </c>
      <c r="FM38" s="139">
        <v>0</v>
      </c>
      <c r="FN38" s="139">
        <v>0</v>
      </c>
      <c r="FO38" s="139">
        <v>0</v>
      </c>
      <c r="FP38" s="139">
        <v>617017</v>
      </c>
      <c r="FQ38" s="139">
        <v>402548</v>
      </c>
      <c r="FR38" s="139">
        <v>335646</v>
      </c>
      <c r="FS38" s="139">
        <v>413508</v>
      </c>
      <c r="FT38" s="139">
        <v>18631948</v>
      </c>
      <c r="FU38" s="139">
        <v>20400667</v>
      </c>
      <c r="FV38" s="139">
        <v>0</v>
      </c>
      <c r="FW38" s="139">
        <v>0</v>
      </c>
      <c r="FX38" s="139">
        <v>0</v>
      </c>
      <c r="FY38" s="139">
        <v>0</v>
      </c>
      <c r="FZ38" s="139">
        <v>0</v>
      </c>
      <c r="GA38" s="139">
        <v>0</v>
      </c>
      <c r="GB38" s="139">
        <v>413937</v>
      </c>
      <c r="GC38" s="139">
        <v>0</v>
      </c>
      <c r="GD38" s="139">
        <v>0</v>
      </c>
      <c r="GE38" s="139">
        <v>1038</v>
      </c>
      <c r="GF38" s="139">
        <v>0</v>
      </c>
      <c r="GG38" s="139">
        <v>414975</v>
      </c>
      <c r="GH38" s="139">
        <v>577432</v>
      </c>
      <c r="GI38" s="139">
        <v>424298</v>
      </c>
      <c r="GJ38" s="139">
        <v>188701</v>
      </c>
      <c r="GK38" s="139">
        <v>516585</v>
      </c>
      <c r="GL38" s="139">
        <v>10444</v>
      </c>
      <c r="GM38" s="139">
        <v>1717460</v>
      </c>
      <c r="GN38" s="139">
        <v>1144509</v>
      </c>
      <c r="GO38" s="139">
        <v>1223441</v>
      </c>
      <c r="GP38" s="139">
        <v>706109</v>
      </c>
      <c r="GQ38" s="139">
        <v>3484626</v>
      </c>
      <c r="GR38" s="139">
        <v>199899</v>
      </c>
      <c r="GS38" s="139">
        <v>6758584</v>
      </c>
      <c r="GT38" s="139">
        <v>337332</v>
      </c>
      <c r="GU38" s="139">
        <v>55063</v>
      </c>
      <c r="GV38" s="139">
        <v>78845</v>
      </c>
      <c r="GW38" s="139">
        <v>595920</v>
      </c>
      <c r="GX38" s="139">
        <v>2670879</v>
      </c>
      <c r="GY38" s="139">
        <v>3738039</v>
      </c>
      <c r="GZ38" s="139">
        <v>868696</v>
      </c>
      <c r="HA38" s="139">
        <v>855526</v>
      </c>
      <c r="HB38" s="139">
        <v>352113</v>
      </c>
      <c r="HC38" s="139">
        <v>456798</v>
      </c>
      <c r="HD38" s="139">
        <v>590656</v>
      </c>
      <c r="HE38" s="139">
        <v>3123789</v>
      </c>
      <c r="HF38" s="139">
        <v>48068</v>
      </c>
      <c r="HG38" s="139">
        <v>8418</v>
      </c>
      <c r="HH38" s="139">
        <v>4099</v>
      </c>
      <c r="HI38" s="139">
        <v>16738</v>
      </c>
      <c r="HJ38" s="139">
        <v>1408463</v>
      </c>
      <c r="HK38" s="139">
        <v>1485786</v>
      </c>
      <c r="HL38" s="139">
        <v>0</v>
      </c>
      <c r="HM38" s="139">
        <v>0</v>
      </c>
      <c r="HN38" s="139">
        <v>0</v>
      </c>
      <c r="HO38" s="139">
        <v>0</v>
      </c>
      <c r="HP38" s="139">
        <v>0</v>
      </c>
      <c r="HQ38" s="139">
        <v>0</v>
      </c>
      <c r="HR38" s="139">
        <v>118400</v>
      </c>
      <c r="HS38" s="139">
        <v>0</v>
      </c>
      <c r="HT38" s="139">
        <v>43</v>
      </c>
      <c r="HU38" s="139">
        <v>218011</v>
      </c>
      <c r="HV38" s="139">
        <v>4816228</v>
      </c>
      <c r="HW38" s="139">
        <v>5152682</v>
      </c>
      <c r="HX38" s="139">
        <v>0</v>
      </c>
      <c r="HY38" s="139">
        <v>0</v>
      </c>
      <c r="HZ38" s="139">
        <v>0</v>
      </c>
      <c r="IA38" s="139">
        <v>0</v>
      </c>
      <c r="IB38" s="139">
        <v>106369</v>
      </c>
      <c r="IC38" s="139">
        <v>106369</v>
      </c>
      <c r="ID38" s="139">
        <v>0</v>
      </c>
      <c r="IE38" s="139">
        <v>0</v>
      </c>
      <c r="IF38" s="139">
        <v>0</v>
      </c>
      <c r="IG38" s="139">
        <v>0</v>
      </c>
      <c r="IH38" s="139">
        <v>0</v>
      </c>
      <c r="II38" s="139">
        <v>0</v>
      </c>
      <c r="IJ38" s="139">
        <v>0</v>
      </c>
      <c r="IK38" s="139">
        <v>0</v>
      </c>
      <c r="IL38" s="139">
        <v>0</v>
      </c>
      <c r="IM38" s="139">
        <v>0</v>
      </c>
      <c r="IN38" s="139">
        <v>731141</v>
      </c>
      <c r="IO38" s="139">
        <v>731141</v>
      </c>
      <c r="IP38" s="139">
        <v>40459</v>
      </c>
      <c r="IQ38" s="139">
        <v>38796</v>
      </c>
      <c r="IR38" s="139">
        <v>11234</v>
      </c>
      <c r="IS38" s="139">
        <v>72816</v>
      </c>
      <c r="IT38" s="139">
        <v>282392</v>
      </c>
      <c r="IU38" s="139">
        <v>445697</v>
      </c>
      <c r="IV38" s="139">
        <v>358733</v>
      </c>
      <c r="IW38" s="139">
        <v>150289</v>
      </c>
      <c r="IX38" s="139">
        <v>68202</v>
      </c>
      <c r="IY38" s="139">
        <v>496568</v>
      </c>
      <c r="IZ38" s="139">
        <v>18482366</v>
      </c>
      <c r="JA38" s="139">
        <v>19556158</v>
      </c>
      <c r="JB38" s="139">
        <v>14844644</v>
      </c>
      <c r="JC38" s="139">
        <v>8479331</v>
      </c>
      <c r="JD38" s="139">
        <v>3388792</v>
      </c>
      <c r="JE38" s="139">
        <v>15010393</v>
      </c>
      <c r="JF38" s="139">
        <v>48333351</v>
      </c>
      <c r="JG38" s="139">
        <v>90056511</v>
      </c>
      <c r="JH38" s="139">
        <v>0</v>
      </c>
      <c r="JI38" s="139">
        <v>0</v>
      </c>
      <c r="JJ38" s="139">
        <v>0</v>
      </c>
      <c r="JK38" s="139">
        <v>0</v>
      </c>
      <c r="JL38" s="139">
        <v>0</v>
      </c>
      <c r="JM38" s="139">
        <v>0</v>
      </c>
      <c r="JN38" s="139">
        <v>14844644</v>
      </c>
      <c r="JO38" s="139">
        <v>8479331</v>
      </c>
      <c r="JP38" s="139">
        <v>3388792</v>
      </c>
      <c r="JQ38" s="139">
        <v>15010393</v>
      </c>
      <c r="JR38" s="139">
        <v>48333351</v>
      </c>
      <c r="JS38" s="139">
        <v>90056511</v>
      </c>
      <c r="JU38" s="70">
        <f t="shared" si="80"/>
        <v>20083624</v>
      </c>
      <c r="JV38" s="70">
        <f t="shared" si="81"/>
        <v>0</v>
      </c>
      <c r="JW38" s="70">
        <f t="shared" si="82"/>
        <v>1080061</v>
      </c>
      <c r="JX38" s="70">
        <f t="shared" si="83"/>
        <v>0</v>
      </c>
      <c r="JY38" s="70">
        <f t="shared" si="84"/>
        <v>733481</v>
      </c>
      <c r="JZ38" s="70">
        <f t="shared" si="85"/>
        <v>0</v>
      </c>
      <c r="KA38" s="70">
        <f t="shared" si="86"/>
        <v>28952472</v>
      </c>
      <c r="KB38" s="70">
        <f t="shared" si="87"/>
        <v>0</v>
      </c>
      <c r="KC38" s="70">
        <f t="shared" si="88"/>
        <v>0</v>
      </c>
      <c r="KD38" s="70">
        <f t="shared" si="89"/>
        <v>0</v>
      </c>
      <c r="KE38" s="70">
        <f t="shared" si="90"/>
        <v>0</v>
      </c>
      <c r="KF38" s="70">
        <f t="shared" si="91"/>
        <v>0</v>
      </c>
      <c r="KG38" s="70">
        <f t="shared" si="92"/>
        <v>1484313</v>
      </c>
      <c r="KH38" s="70">
        <f t="shared" si="93"/>
        <v>0</v>
      </c>
      <c r="KI38" s="70">
        <f t="shared" si="94"/>
        <v>0</v>
      </c>
      <c r="KJ38" s="70">
        <f t="shared" si="95"/>
        <v>0</v>
      </c>
      <c r="KK38" s="70">
        <f t="shared" si="96"/>
        <v>22369558</v>
      </c>
      <c r="KL38" s="70">
        <f t="shared" si="97"/>
        <v>0</v>
      </c>
      <c r="KM38" s="70">
        <f t="shared" si="98"/>
        <v>6855577</v>
      </c>
      <c r="KN38" s="70">
        <f t="shared" si="99"/>
        <v>0</v>
      </c>
      <c r="KO38" s="70">
        <f t="shared" si="100"/>
        <v>1423576</v>
      </c>
      <c r="KP38" s="70">
        <f t="shared" si="101"/>
        <v>0</v>
      </c>
      <c r="KQ38" s="70">
        <f t="shared" si="102"/>
        <v>5750909</v>
      </c>
      <c r="KR38" s="70">
        <f t="shared" si="103"/>
        <v>0</v>
      </c>
      <c r="KS38" s="70">
        <f t="shared" si="104"/>
        <v>16761</v>
      </c>
      <c r="KT38" s="70">
        <f t="shared" si="105"/>
        <v>0</v>
      </c>
      <c r="KU38" s="70">
        <f t="shared" si="106"/>
        <v>4510182</v>
      </c>
      <c r="KV38" s="70">
        <f t="shared" si="107"/>
        <v>0</v>
      </c>
      <c r="KW38" s="70">
        <f t="shared" si="108"/>
        <v>4420552</v>
      </c>
      <c r="KX38" s="70">
        <f t="shared" si="109"/>
        <v>0</v>
      </c>
      <c r="KY38" s="70">
        <f t="shared" si="110"/>
        <v>97681066</v>
      </c>
      <c r="KZ38" s="70">
        <f t="shared" si="111"/>
        <v>0</v>
      </c>
      <c r="LA38" s="70">
        <f t="shared" si="150"/>
        <v>11146895</v>
      </c>
      <c r="LB38" s="70">
        <f t="shared" si="112"/>
        <v>0</v>
      </c>
      <c r="LC38" s="70">
        <f t="shared" si="113"/>
        <v>1918453</v>
      </c>
      <c r="LD38" s="70">
        <f t="shared" si="114"/>
        <v>0</v>
      </c>
      <c r="LE38" s="70">
        <f t="shared" si="115"/>
        <v>13359816</v>
      </c>
      <c r="LF38" s="70">
        <f t="shared" si="116"/>
        <v>0</v>
      </c>
      <c r="LG38" s="70">
        <f t="shared" si="78"/>
        <v>0</v>
      </c>
      <c r="LH38" s="70">
        <f t="shared" si="79"/>
        <v>0</v>
      </c>
      <c r="LI38" s="70">
        <f t="shared" si="151"/>
        <v>20400667</v>
      </c>
      <c r="LJ38" s="70">
        <f t="shared" si="152"/>
        <v>0</v>
      </c>
      <c r="LK38" s="70">
        <f t="shared" si="153"/>
        <v>0</v>
      </c>
      <c r="LL38" s="70">
        <f t="shared" si="154"/>
        <v>0</v>
      </c>
      <c r="LM38" s="70">
        <f t="shared" si="117"/>
        <v>414975</v>
      </c>
      <c r="LN38" s="70">
        <f t="shared" si="118"/>
        <v>0</v>
      </c>
      <c r="LO38" s="70">
        <f t="shared" si="119"/>
        <v>1717460</v>
      </c>
      <c r="LP38" s="70">
        <f t="shared" si="120"/>
        <v>0</v>
      </c>
      <c r="LQ38" s="70">
        <f t="shared" si="121"/>
        <v>6758584</v>
      </c>
      <c r="LR38" s="70">
        <f t="shared" si="122"/>
        <v>0</v>
      </c>
      <c r="LS38" s="70">
        <f t="shared" si="123"/>
        <v>3738039</v>
      </c>
      <c r="LT38" s="70">
        <f t="shared" si="124"/>
        <v>0</v>
      </c>
      <c r="LU38" s="70">
        <f t="shared" si="125"/>
        <v>3123789</v>
      </c>
      <c r="LV38" s="70">
        <f t="shared" si="126"/>
        <v>0</v>
      </c>
      <c r="LW38" s="70">
        <f t="shared" si="127"/>
        <v>1485786</v>
      </c>
      <c r="LX38" s="70">
        <f t="shared" si="128"/>
        <v>0</v>
      </c>
      <c r="LY38" s="70">
        <f t="shared" si="129"/>
        <v>0</v>
      </c>
      <c r="LZ38" s="70">
        <f t="shared" si="130"/>
        <v>0</v>
      </c>
      <c r="MA38" s="70">
        <f t="shared" si="131"/>
        <v>5152682</v>
      </c>
      <c r="MB38" s="70">
        <f t="shared" si="132"/>
        <v>0</v>
      </c>
      <c r="MC38" s="70">
        <f t="shared" si="133"/>
        <v>106369</v>
      </c>
      <c r="MD38" s="70">
        <f t="shared" si="134"/>
        <v>0</v>
      </c>
      <c r="ME38" s="70">
        <f t="shared" si="135"/>
        <v>0</v>
      </c>
      <c r="MF38" s="70">
        <f t="shared" si="136"/>
        <v>0</v>
      </c>
      <c r="MG38" s="70">
        <f t="shared" si="137"/>
        <v>731141</v>
      </c>
      <c r="MH38" s="70">
        <f t="shared" si="138"/>
        <v>0</v>
      </c>
      <c r="MI38" s="70">
        <f t="shared" si="139"/>
        <v>445697</v>
      </c>
      <c r="MJ38" s="70">
        <f t="shared" si="140"/>
        <v>0</v>
      </c>
      <c r="MK38" s="70">
        <f t="shared" si="141"/>
        <v>19556158</v>
      </c>
      <c r="ML38" s="70">
        <f t="shared" si="142"/>
        <v>0</v>
      </c>
      <c r="MM38" s="70">
        <f t="shared" si="143"/>
        <v>90056511</v>
      </c>
      <c r="MN38" s="70">
        <f t="shared" si="144"/>
        <v>0</v>
      </c>
      <c r="MO38" s="70">
        <f t="shared" si="145"/>
        <v>0</v>
      </c>
      <c r="MP38" s="70">
        <f t="shared" si="146"/>
        <v>0</v>
      </c>
      <c r="MQ38" s="70">
        <f t="shared" si="147"/>
        <v>90056511</v>
      </c>
      <c r="MR38" s="70">
        <f t="shared" si="148"/>
        <v>0</v>
      </c>
      <c r="MT38" s="70">
        <f t="shared" si="149"/>
        <v>0</v>
      </c>
      <c r="MV38" s="68">
        <f t="shared" si="77"/>
        <v>0</v>
      </c>
    </row>
    <row r="39" spans="1:360" x14ac:dyDescent="0.15">
      <c r="A39" s="76" t="s">
        <v>326</v>
      </c>
      <c r="B39" s="76" t="s">
        <v>423</v>
      </c>
      <c r="C39" s="90">
        <v>203517</v>
      </c>
      <c r="D39" s="90">
        <v>2014</v>
      </c>
      <c r="E39" s="90">
        <v>1</v>
      </c>
      <c r="F39" s="91">
        <v>9</v>
      </c>
      <c r="G39" s="92">
        <v>7526</v>
      </c>
      <c r="H39" s="92">
        <v>10632</v>
      </c>
      <c r="I39" s="93">
        <v>644062000</v>
      </c>
      <c r="J39" s="93">
        <v>642184000</v>
      </c>
      <c r="K39" s="93">
        <v>0</v>
      </c>
      <c r="L39" s="93">
        <v>0</v>
      </c>
      <c r="M39" s="93">
        <v>39710000</v>
      </c>
      <c r="N39" s="93">
        <v>37946000</v>
      </c>
      <c r="O39" s="93">
        <v>0</v>
      </c>
      <c r="P39" s="93">
        <v>0</v>
      </c>
      <c r="Q39" s="93">
        <v>527828000</v>
      </c>
      <c r="R39" s="93">
        <v>517301000</v>
      </c>
      <c r="S39" s="93">
        <v>472130000</v>
      </c>
      <c r="T39" s="93">
        <v>467953000</v>
      </c>
      <c r="U39" s="93">
        <v>21390</v>
      </c>
      <c r="V39" s="93">
        <v>21298</v>
      </c>
      <c r="W39" s="93">
        <v>29350</v>
      </c>
      <c r="X39" s="93">
        <v>29258</v>
      </c>
      <c r="Y39" s="93">
        <v>26332</v>
      </c>
      <c r="Z39" s="93">
        <v>26628</v>
      </c>
      <c r="AA39" s="93">
        <v>34292</v>
      </c>
      <c r="AB39" s="93">
        <v>34588</v>
      </c>
      <c r="AC39" s="114">
        <v>8</v>
      </c>
      <c r="AD39" s="114">
        <v>10</v>
      </c>
      <c r="AE39" s="114">
        <v>0</v>
      </c>
      <c r="AF39" s="115">
        <v>3285842</v>
      </c>
      <c r="AG39" s="115">
        <v>2456248</v>
      </c>
      <c r="AH39" s="115">
        <v>225590</v>
      </c>
      <c r="AI39" s="115">
        <v>147248</v>
      </c>
      <c r="AJ39" s="115">
        <v>214033</v>
      </c>
      <c r="AK39" s="116">
        <v>5.4</v>
      </c>
      <c r="AL39" s="115">
        <v>192630</v>
      </c>
      <c r="AM39" s="116">
        <v>4</v>
      </c>
      <c r="AN39" s="115">
        <v>103581</v>
      </c>
      <c r="AO39" s="116">
        <v>7.6</v>
      </c>
      <c r="AP39" s="115">
        <v>98402</v>
      </c>
      <c r="AQ39" s="116">
        <v>8</v>
      </c>
      <c r="AR39" s="115">
        <v>73142</v>
      </c>
      <c r="AS39" s="116">
        <v>19.5</v>
      </c>
      <c r="AT39" s="115">
        <v>62011</v>
      </c>
      <c r="AU39" s="116">
        <v>23</v>
      </c>
      <c r="AV39" s="115">
        <v>44015</v>
      </c>
      <c r="AW39" s="116">
        <v>17.600000000000001</v>
      </c>
      <c r="AX39" s="115">
        <v>38733</v>
      </c>
      <c r="AY39" s="116">
        <v>20</v>
      </c>
      <c r="AZ39" s="139">
        <v>224751</v>
      </c>
      <c r="BA39" s="139">
        <v>141373</v>
      </c>
      <c r="BB39" s="139">
        <v>9902</v>
      </c>
      <c r="BC39" s="139">
        <v>41490</v>
      </c>
      <c r="BD39" s="139">
        <v>69428</v>
      </c>
      <c r="BE39" s="139">
        <v>486944</v>
      </c>
      <c r="BF39" s="139">
        <v>0</v>
      </c>
      <c r="BG39" s="139">
        <v>0</v>
      </c>
      <c r="BH39" s="139">
        <v>0</v>
      </c>
      <c r="BI39" s="139">
        <v>0</v>
      </c>
      <c r="BJ39" s="139">
        <v>13982690</v>
      </c>
      <c r="BK39" s="139">
        <v>13982690</v>
      </c>
      <c r="BL39" s="139">
        <v>1905000</v>
      </c>
      <c r="BM39" s="139">
        <v>0</v>
      </c>
      <c r="BN39" s="139">
        <v>0</v>
      </c>
      <c r="BO39" s="139">
        <v>17000</v>
      </c>
      <c r="BP39" s="139">
        <v>0</v>
      </c>
      <c r="BQ39" s="139">
        <v>1922000</v>
      </c>
      <c r="BR39" s="139">
        <v>297128</v>
      </c>
      <c r="BS39" s="139">
        <v>141840</v>
      </c>
      <c r="BT39" s="139">
        <v>83850</v>
      </c>
      <c r="BU39" s="139">
        <v>387070</v>
      </c>
      <c r="BV39" s="139">
        <v>58860</v>
      </c>
      <c r="BW39" s="139">
        <v>968748</v>
      </c>
      <c r="BX39" s="139">
        <v>4765</v>
      </c>
      <c r="BY39" s="139">
        <v>4600</v>
      </c>
      <c r="BZ39" s="139">
        <v>0</v>
      </c>
      <c r="CA39" s="139">
        <v>103576</v>
      </c>
      <c r="CB39" s="139">
        <v>0</v>
      </c>
      <c r="CC39" s="139">
        <v>112941</v>
      </c>
      <c r="CD39" s="139">
        <v>0</v>
      </c>
      <c r="CE39" s="139">
        <v>0</v>
      </c>
      <c r="CF39" s="139">
        <v>0</v>
      </c>
      <c r="CG39" s="139">
        <v>0</v>
      </c>
      <c r="CH39" s="139">
        <v>0</v>
      </c>
      <c r="CI39" s="139">
        <v>0</v>
      </c>
      <c r="CJ39" s="139">
        <v>0</v>
      </c>
      <c r="CK39" s="139">
        <v>0</v>
      </c>
      <c r="CL39" s="139">
        <v>0</v>
      </c>
      <c r="CM39" s="139">
        <v>0</v>
      </c>
      <c r="CN39" s="139">
        <v>4937306</v>
      </c>
      <c r="CO39" s="139">
        <v>4937306</v>
      </c>
      <c r="CP39" s="139">
        <v>0</v>
      </c>
      <c r="CQ39" s="139">
        <v>0</v>
      </c>
      <c r="CR39" s="139">
        <v>0</v>
      </c>
      <c r="CS39" s="139">
        <v>0</v>
      </c>
      <c r="CT39" s="139">
        <v>119683</v>
      </c>
      <c r="CU39" s="139">
        <v>119683</v>
      </c>
      <c r="CV39" s="139">
        <v>0</v>
      </c>
      <c r="CW39" s="139">
        <v>0</v>
      </c>
      <c r="CX39" s="139">
        <v>0</v>
      </c>
      <c r="CY39" s="139">
        <v>0</v>
      </c>
      <c r="CZ39" s="139">
        <v>1061798</v>
      </c>
      <c r="DA39" s="139">
        <v>1061798</v>
      </c>
      <c r="DB39" s="139">
        <v>0</v>
      </c>
      <c r="DC39" s="139">
        <v>0</v>
      </c>
      <c r="DD39" s="139">
        <v>0</v>
      </c>
      <c r="DE39" s="139">
        <v>0</v>
      </c>
      <c r="DF39" s="139">
        <v>3540</v>
      </c>
      <c r="DG39" s="139">
        <v>3540</v>
      </c>
      <c r="DH39" s="139">
        <v>0</v>
      </c>
      <c r="DI39" s="139">
        <v>0</v>
      </c>
      <c r="DJ39" s="139">
        <v>0</v>
      </c>
      <c r="DK39" s="139">
        <v>0</v>
      </c>
      <c r="DL39" s="139">
        <v>58781</v>
      </c>
      <c r="DM39" s="139">
        <v>58781</v>
      </c>
      <c r="DN39" s="139">
        <v>0</v>
      </c>
      <c r="DO39" s="139">
        <v>0</v>
      </c>
      <c r="DP39" s="139">
        <v>0</v>
      </c>
      <c r="DQ39" s="139">
        <v>0</v>
      </c>
      <c r="DR39" s="139">
        <v>432289</v>
      </c>
      <c r="DS39" s="139">
        <v>432289</v>
      </c>
      <c r="DT39" s="139">
        <v>16796</v>
      </c>
      <c r="DU39" s="139">
        <v>24895</v>
      </c>
      <c r="DV39" s="139">
        <v>25554</v>
      </c>
      <c r="DW39" s="139">
        <v>600749</v>
      </c>
      <c r="DX39" s="139">
        <v>8915</v>
      </c>
      <c r="DY39" s="139">
        <v>676909</v>
      </c>
      <c r="DZ39" s="139">
        <v>0</v>
      </c>
      <c r="EA39" s="139">
        <v>0</v>
      </c>
      <c r="EB39" s="139">
        <v>0</v>
      </c>
      <c r="EC39" s="139">
        <v>0</v>
      </c>
      <c r="ED39" s="139">
        <v>0</v>
      </c>
      <c r="EE39" s="139">
        <v>0</v>
      </c>
      <c r="EF39" s="139">
        <v>0</v>
      </c>
      <c r="EG39" s="139">
        <v>0</v>
      </c>
      <c r="EH39" s="139">
        <v>0</v>
      </c>
      <c r="EI39" s="139">
        <v>0</v>
      </c>
      <c r="EJ39" s="139">
        <v>169065</v>
      </c>
      <c r="EK39" s="139">
        <v>169065</v>
      </c>
      <c r="EL39" s="139">
        <v>2448440</v>
      </c>
      <c r="EM39" s="139">
        <v>312708</v>
      </c>
      <c r="EN39" s="139">
        <v>119306</v>
      </c>
      <c r="EO39" s="139">
        <v>1149885</v>
      </c>
      <c r="EP39" s="139">
        <v>20902355</v>
      </c>
      <c r="EQ39" s="139">
        <v>24932694</v>
      </c>
      <c r="ER39" s="139">
        <v>1988983</v>
      </c>
      <c r="ES39" s="139">
        <v>433097</v>
      </c>
      <c r="ET39" s="139">
        <v>411028</v>
      </c>
      <c r="EU39" s="139">
        <v>2908982</v>
      </c>
      <c r="EV39" s="139">
        <v>10929</v>
      </c>
      <c r="EW39" s="139">
        <v>5753019</v>
      </c>
      <c r="EX39" s="139">
        <v>300000</v>
      </c>
      <c r="EY39" s="139">
        <v>76617</v>
      </c>
      <c r="EZ39" s="139">
        <v>1500</v>
      </c>
      <c r="FA39" s="139">
        <v>1000</v>
      </c>
      <c r="FB39" s="139">
        <v>0</v>
      </c>
      <c r="FC39" s="139">
        <v>379117</v>
      </c>
      <c r="FD39" s="139">
        <v>1138360</v>
      </c>
      <c r="FE39" s="139">
        <v>511870</v>
      </c>
      <c r="FF39" s="139">
        <v>384552</v>
      </c>
      <c r="FG39" s="139">
        <v>2109135</v>
      </c>
      <c r="FH39" s="139">
        <v>0</v>
      </c>
      <c r="FI39" s="139">
        <v>4143917</v>
      </c>
      <c r="FJ39" s="139">
        <v>4765</v>
      </c>
      <c r="FK39" s="139">
        <v>4600</v>
      </c>
      <c r="FL39" s="139">
        <v>0</v>
      </c>
      <c r="FM39" s="139">
        <v>103576</v>
      </c>
      <c r="FN39" s="139">
        <v>0</v>
      </c>
      <c r="FO39" s="139">
        <v>112941</v>
      </c>
      <c r="FP39" s="139">
        <v>0</v>
      </c>
      <c r="FQ39" s="139">
        <v>0</v>
      </c>
      <c r="FR39" s="139">
        <v>0</v>
      </c>
      <c r="FS39" s="139">
        <v>0</v>
      </c>
      <c r="FT39" s="139">
        <v>5348804</v>
      </c>
      <c r="FU39" s="139">
        <v>5348804</v>
      </c>
      <c r="FV39" s="139">
        <v>0</v>
      </c>
      <c r="FW39" s="139">
        <v>0</v>
      </c>
      <c r="FX39" s="139">
        <v>0</v>
      </c>
      <c r="FY39" s="139">
        <v>0</v>
      </c>
      <c r="FZ39" s="139">
        <v>0</v>
      </c>
      <c r="GA39" s="139">
        <v>0</v>
      </c>
      <c r="GB39" s="139">
        <v>0</v>
      </c>
      <c r="GC39" s="139">
        <v>0</v>
      </c>
      <c r="GD39" s="139">
        <v>0</v>
      </c>
      <c r="GE39" s="139">
        <v>0</v>
      </c>
      <c r="GF39" s="139">
        <v>0</v>
      </c>
      <c r="GG39" s="139">
        <v>0</v>
      </c>
      <c r="GH39" s="139">
        <v>97760</v>
      </c>
      <c r="GI39" s="139">
        <v>76828</v>
      </c>
      <c r="GJ39" s="139">
        <v>48554</v>
      </c>
      <c r="GK39" s="139">
        <v>149696</v>
      </c>
      <c r="GL39" s="139">
        <v>0</v>
      </c>
      <c r="GM39" s="139">
        <v>372838</v>
      </c>
      <c r="GN39" s="139">
        <v>576795</v>
      </c>
      <c r="GO39" s="139">
        <v>274970</v>
      </c>
      <c r="GP39" s="139">
        <v>107930</v>
      </c>
      <c r="GQ39" s="139">
        <v>898720</v>
      </c>
      <c r="GR39" s="139">
        <v>589281</v>
      </c>
      <c r="GS39" s="139">
        <v>2447696</v>
      </c>
      <c r="GT39" s="139">
        <v>354670</v>
      </c>
      <c r="GU39" s="139">
        <v>65045</v>
      </c>
      <c r="GV39" s="139">
        <v>37020</v>
      </c>
      <c r="GW39" s="139">
        <v>340002</v>
      </c>
      <c r="GX39" s="139">
        <v>454569</v>
      </c>
      <c r="GY39" s="139">
        <v>1251306</v>
      </c>
      <c r="GZ39" s="139">
        <v>276353</v>
      </c>
      <c r="HA39" s="139">
        <v>212732</v>
      </c>
      <c r="HB39" s="139">
        <v>89663</v>
      </c>
      <c r="HC39" s="139">
        <v>85137</v>
      </c>
      <c r="HD39" s="139">
        <v>0</v>
      </c>
      <c r="HE39" s="139">
        <v>663885</v>
      </c>
      <c r="HF39" s="139">
        <v>0</v>
      </c>
      <c r="HG39" s="139">
        <v>0</v>
      </c>
      <c r="HH39" s="139">
        <v>0</v>
      </c>
      <c r="HI39" s="139">
        <v>0</v>
      </c>
      <c r="HJ39" s="139">
        <v>538677</v>
      </c>
      <c r="HK39" s="139">
        <v>538677</v>
      </c>
      <c r="HL39" s="139">
        <v>10560</v>
      </c>
      <c r="HM39" s="139">
        <v>11676</v>
      </c>
      <c r="HN39" s="139">
        <v>20179</v>
      </c>
      <c r="HO39" s="139">
        <v>550573</v>
      </c>
      <c r="HP39" s="139">
        <v>0</v>
      </c>
      <c r="HQ39" s="139">
        <v>592988</v>
      </c>
      <c r="HR39" s="139">
        <v>65967</v>
      </c>
      <c r="HS39" s="139">
        <v>19158</v>
      </c>
      <c r="HT39" s="139">
        <v>1800</v>
      </c>
      <c r="HU39" s="139">
        <v>29726</v>
      </c>
      <c r="HV39" s="139">
        <v>502859</v>
      </c>
      <c r="HW39" s="139">
        <v>619510</v>
      </c>
      <c r="HX39" s="139">
        <v>0</v>
      </c>
      <c r="HY39" s="139">
        <v>0</v>
      </c>
      <c r="HZ39" s="139">
        <v>0</v>
      </c>
      <c r="IA39" s="139">
        <v>0</v>
      </c>
      <c r="IB39" s="139">
        <v>122854</v>
      </c>
      <c r="IC39" s="139">
        <v>122854</v>
      </c>
      <c r="ID39" s="139">
        <v>0</v>
      </c>
      <c r="IE39" s="139">
        <v>0</v>
      </c>
      <c r="IF39" s="139">
        <v>0</v>
      </c>
      <c r="IG39" s="139">
        <v>0</v>
      </c>
      <c r="IH39" s="139">
        <v>119683</v>
      </c>
      <c r="II39" s="139">
        <v>119683</v>
      </c>
      <c r="IJ39" s="139">
        <v>4253</v>
      </c>
      <c r="IK39" s="139">
        <v>0</v>
      </c>
      <c r="IL39" s="139">
        <v>0</v>
      </c>
      <c r="IM39" s="139">
        <v>0</v>
      </c>
      <c r="IN39" s="139">
        <v>308220</v>
      </c>
      <c r="IO39" s="139">
        <v>312473</v>
      </c>
      <c r="IP39" s="139">
        <v>430</v>
      </c>
      <c r="IQ39" s="139">
        <v>706</v>
      </c>
      <c r="IR39" s="139">
        <v>854</v>
      </c>
      <c r="IS39" s="139">
        <v>2739</v>
      </c>
      <c r="IT39" s="139">
        <v>303272</v>
      </c>
      <c r="IU39" s="139">
        <v>308001</v>
      </c>
      <c r="IV39" s="139">
        <v>0</v>
      </c>
      <c r="IW39" s="139">
        <v>0</v>
      </c>
      <c r="IX39" s="139">
        <v>0</v>
      </c>
      <c r="IY39" s="139">
        <v>0</v>
      </c>
      <c r="IZ39" s="139">
        <v>1304572</v>
      </c>
      <c r="JA39" s="139">
        <v>1304572</v>
      </c>
      <c r="JB39" s="139">
        <v>4818896</v>
      </c>
      <c r="JC39" s="139">
        <v>1687299</v>
      </c>
      <c r="JD39" s="139">
        <v>1103080</v>
      </c>
      <c r="JE39" s="139">
        <v>7179286</v>
      </c>
      <c r="JF39" s="139">
        <v>9603720</v>
      </c>
      <c r="JG39" s="139">
        <v>24392281</v>
      </c>
      <c r="JH39" s="139">
        <v>0</v>
      </c>
      <c r="JI39" s="139">
        <v>0</v>
      </c>
      <c r="JJ39" s="139">
        <v>0</v>
      </c>
      <c r="JK39" s="139">
        <v>0</v>
      </c>
      <c r="JL39" s="139">
        <v>0</v>
      </c>
      <c r="JM39" s="139">
        <v>0</v>
      </c>
      <c r="JN39" s="139">
        <v>4818896</v>
      </c>
      <c r="JO39" s="139">
        <v>1687299</v>
      </c>
      <c r="JP39" s="139">
        <v>1103080</v>
      </c>
      <c r="JQ39" s="139">
        <v>7179286</v>
      </c>
      <c r="JR39" s="139">
        <v>10193727</v>
      </c>
      <c r="JS39" s="139">
        <v>24982288</v>
      </c>
      <c r="JU39" s="70">
        <f t="shared" si="80"/>
        <v>486944</v>
      </c>
      <c r="JV39" s="70">
        <f t="shared" si="81"/>
        <v>0</v>
      </c>
      <c r="JW39" s="70">
        <f t="shared" si="82"/>
        <v>13982690</v>
      </c>
      <c r="JX39" s="70">
        <f t="shared" si="83"/>
        <v>0</v>
      </c>
      <c r="JY39" s="70">
        <f t="shared" si="84"/>
        <v>1922000</v>
      </c>
      <c r="JZ39" s="70">
        <f t="shared" si="85"/>
        <v>0</v>
      </c>
      <c r="KA39" s="70">
        <f t="shared" si="86"/>
        <v>968748</v>
      </c>
      <c r="KB39" s="70">
        <f t="shared" si="87"/>
        <v>0</v>
      </c>
      <c r="KC39" s="70">
        <f t="shared" si="88"/>
        <v>112941</v>
      </c>
      <c r="KD39" s="70">
        <f t="shared" si="89"/>
        <v>0</v>
      </c>
      <c r="KE39" s="70">
        <f t="shared" si="90"/>
        <v>0</v>
      </c>
      <c r="KF39" s="70">
        <f t="shared" si="91"/>
        <v>0</v>
      </c>
      <c r="KG39" s="70">
        <f t="shared" si="92"/>
        <v>4937306</v>
      </c>
      <c r="KH39" s="70">
        <f t="shared" si="93"/>
        <v>0</v>
      </c>
      <c r="KI39" s="70">
        <f t="shared" si="94"/>
        <v>119683</v>
      </c>
      <c r="KJ39" s="70">
        <f t="shared" si="95"/>
        <v>0</v>
      </c>
      <c r="KK39" s="70">
        <f t="shared" si="96"/>
        <v>1061798</v>
      </c>
      <c r="KL39" s="70">
        <f t="shared" si="97"/>
        <v>0</v>
      </c>
      <c r="KM39" s="70">
        <f t="shared" si="98"/>
        <v>3540</v>
      </c>
      <c r="KN39" s="70">
        <f t="shared" si="99"/>
        <v>0</v>
      </c>
      <c r="KO39" s="70">
        <f t="shared" si="100"/>
        <v>58781</v>
      </c>
      <c r="KP39" s="70">
        <f t="shared" si="101"/>
        <v>0</v>
      </c>
      <c r="KQ39" s="70">
        <f t="shared" si="102"/>
        <v>432289</v>
      </c>
      <c r="KR39" s="70">
        <f t="shared" si="103"/>
        <v>0</v>
      </c>
      <c r="KS39" s="70">
        <f t="shared" si="104"/>
        <v>676909</v>
      </c>
      <c r="KT39" s="70">
        <f t="shared" si="105"/>
        <v>0</v>
      </c>
      <c r="KU39" s="70">
        <f t="shared" si="106"/>
        <v>0</v>
      </c>
      <c r="KV39" s="70">
        <f t="shared" si="107"/>
        <v>0</v>
      </c>
      <c r="KW39" s="70">
        <f t="shared" si="108"/>
        <v>169065</v>
      </c>
      <c r="KX39" s="70">
        <f t="shared" si="109"/>
        <v>0</v>
      </c>
      <c r="KY39" s="70">
        <f t="shared" si="110"/>
        <v>24932694</v>
      </c>
      <c r="KZ39" s="70">
        <f t="shared" si="111"/>
        <v>0</v>
      </c>
      <c r="LA39" s="70">
        <f t="shared" si="150"/>
        <v>5753019</v>
      </c>
      <c r="LB39" s="70">
        <f t="shared" si="112"/>
        <v>0</v>
      </c>
      <c r="LC39" s="70">
        <f t="shared" si="113"/>
        <v>379117</v>
      </c>
      <c r="LD39" s="70">
        <f t="shared" si="114"/>
        <v>0</v>
      </c>
      <c r="LE39" s="70">
        <f t="shared" si="115"/>
        <v>4143917</v>
      </c>
      <c r="LF39" s="70">
        <f t="shared" si="116"/>
        <v>0</v>
      </c>
      <c r="LG39" s="70">
        <f t="shared" si="78"/>
        <v>112941</v>
      </c>
      <c r="LH39" s="70">
        <f t="shared" si="79"/>
        <v>0</v>
      </c>
      <c r="LI39" s="70">
        <f t="shared" si="151"/>
        <v>5348804</v>
      </c>
      <c r="LJ39" s="70">
        <f t="shared" si="152"/>
        <v>0</v>
      </c>
      <c r="LK39" s="70">
        <f t="shared" si="153"/>
        <v>0</v>
      </c>
      <c r="LL39" s="70">
        <f t="shared" si="154"/>
        <v>0</v>
      </c>
      <c r="LM39" s="70">
        <f t="shared" si="117"/>
        <v>0</v>
      </c>
      <c r="LN39" s="70">
        <f t="shared" si="118"/>
        <v>0</v>
      </c>
      <c r="LO39" s="70">
        <f t="shared" si="119"/>
        <v>372838</v>
      </c>
      <c r="LP39" s="70">
        <f t="shared" si="120"/>
        <v>0</v>
      </c>
      <c r="LQ39" s="70">
        <f t="shared" si="121"/>
        <v>2447696</v>
      </c>
      <c r="LR39" s="70">
        <f t="shared" si="122"/>
        <v>0</v>
      </c>
      <c r="LS39" s="70">
        <f t="shared" si="123"/>
        <v>1251306</v>
      </c>
      <c r="LT39" s="70">
        <f t="shared" si="124"/>
        <v>0</v>
      </c>
      <c r="LU39" s="70">
        <f t="shared" si="125"/>
        <v>663885</v>
      </c>
      <c r="LV39" s="70">
        <f t="shared" si="126"/>
        <v>0</v>
      </c>
      <c r="LW39" s="70">
        <f t="shared" si="127"/>
        <v>538677</v>
      </c>
      <c r="LX39" s="70">
        <f t="shared" si="128"/>
        <v>0</v>
      </c>
      <c r="LY39" s="70">
        <f t="shared" si="129"/>
        <v>592988</v>
      </c>
      <c r="LZ39" s="70">
        <f t="shared" si="130"/>
        <v>0</v>
      </c>
      <c r="MA39" s="70">
        <f t="shared" si="131"/>
        <v>619510</v>
      </c>
      <c r="MB39" s="70">
        <f t="shared" si="132"/>
        <v>0</v>
      </c>
      <c r="MC39" s="70">
        <f t="shared" si="133"/>
        <v>122854</v>
      </c>
      <c r="MD39" s="70">
        <f t="shared" si="134"/>
        <v>0</v>
      </c>
      <c r="ME39" s="70">
        <f t="shared" si="135"/>
        <v>119683</v>
      </c>
      <c r="MF39" s="70">
        <f t="shared" si="136"/>
        <v>0</v>
      </c>
      <c r="MG39" s="70">
        <f t="shared" si="137"/>
        <v>312473</v>
      </c>
      <c r="MH39" s="70">
        <f t="shared" si="138"/>
        <v>0</v>
      </c>
      <c r="MI39" s="70">
        <f t="shared" si="139"/>
        <v>308001</v>
      </c>
      <c r="MJ39" s="70">
        <f t="shared" si="140"/>
        <v>0</v>
      </c>
      <c r="MK39" s="70">
        <f t="shared" si="141"/>
        <v>1304572</v>
      </c>
      <c r="ML39" s="70">
        <f t="shared" si="142"/>
        <v>0</v>
      </c>
      <c r="MM39" s="70">
        <f t="shared" si="143"/>
        <v>24392281</v>
      </c>
      <c r="MN39" s="70">
        <f t="shared" si="144"/>
        <v>0</v>
      </c>
      <c r="MO39" s="70">
        <f t="shared" si="145"/>
        <v>0</v>
      </c>
      <c r="MP39" s="70">
        <f t="shared" si="146"/>
        <v>0</v>
      </c>
      <c r="MQ39" s="70">
        <f t="shared" si="147"/>
        <v>24982288</v>
      </c>
      <c r="MR39" s="70">
        <f t="shared" si="148"/>
        <v>0</v>
      </c>
      <c r="MT39" s="70">
        <f t="shared" si="149"/>
        <v>0</v>
      </c>
      <c r="MV39" s="68">
        <f t="shared" si="77"/>
        <v>0</v>
      </c>
    </row>
    <row r="40" spans="1:360" x14ac:dyDescent="0.15">
      <c r="A40" s="182" t="s">
        <v>338</v>
      </c>
      <c r="B40" s="76" t="s">
        <v>424</v>
      </c>
      <c r="C40" s="90">
        <v>157085</v>
      </c>
      <c r="D40" s="90">
        <v>2014</v>
      </c>
      <c r="E40" s="90">
        <v>1</v>
      </c>
      <c r="F40" s="91">
        <v>5</v>
      </c>
      <c r="G40" s="92">
        <v>9582</v>
      </c>
      <c r="H40" s="92">
        <v>10220</v>
      </c>
      <c r="I40" s="93">
        <v>2441583000</v>
      </c>
      <c r="J40" s="93">
        <v>2331968000</v>
      </c>
      <c r="K40" s="93">
        <v>2735083</v>
      </c>
      <c r="L40" s="93">
        <v>9636742</v>
      </c>
      <c r="M40" s="93">
        <v>79360000</v>
      </c>
      <c r="N40" s="93">
        <v>85954000</v>
      </c>
      <c r="O40" s="93">
        <v>119039963</v>
      </c>
      <c r="P40" s="93">
        <v>14900000</v>
      </c>
      <c r="Q40" s="93">
        <v>838179000</v>
      </c>
      <c r="R40" s="93">
        <v>647790000</v>
      </c>
      <c r="S40" s="93">
        <v>1095432000</v>
      </c>
      <c r="T40" s="93">
        <v>1095584000</v>
      </c>
      <c r="U40" s="93">
        <v>21922</v>
      </c>
      <c r="V40" s="93">
        <v>20808</v>
      </c>
      <c r="W40" s="93">
        <v>34194</v>
      </c>
      <c r="X40" s="93">
        <v>30989</v>
      </c>
      <c r="Y40" s="93">
        <v>25400</v>
      </c>
      <c r="Z40" s="93">
        <v>23100</v>
      </c>
      <c r="AA40" s="93">
        <v>38000</v>
      </c>
      <c r="AB40" s="93">
        <v>33300</v>
      </c>
      <c r="AC40" s="114">
        <v>10</v>
      </c>
      <c r="AD40" s="114">
        <v>11</v>
      </c>
      <c r="AE40" s="114">
        <v>1</v>
      </c>
      <c r="AF40" s="115">
        <v>5623706</v>
      </c>
      <c r="AG40" s="115">
        <v>3880694</v>
      </c>
      <c r="AH40" s="115">
        <v>1277762</v>
      </c>
      <c r="AI40" s="115">
        <v>718157</v>
      </c>
      <c r="AJ40" s="115">
        <v>1291589.3333333333</v>
      </c>
      <c r="AK40" s="116">
        <v>7.5</v>
      </c>
      <c r="AL40" s="115">
        <v>1076324.4444444445</v>
      </c>
      <c r="AM40" s="116">
        <v>9</v>
      </c>
      <c r="AN40" s="115">
        <v>328610.82352941175</v>
      </c>
      <c r="AO40" s="116">
        <v>8.5</v>
      </c>
      <c r="AP40" s="115">
        <v>279319.2</v>
      </c>
      <c r="AQ40" s="116">
        <v>10</v>
      </c>
      <c r="AR40" s="115">
        <v>245396.7659574468</v>
      </c>
      <c r="AS40" s="116">
        <v>23.5</v>
      </c>
      <c r="AT40" s="115">
        <v>198856</v>
      </c>
      <c r="AU40" s="116">
        <v>29</v>
      </c>
      <c r="AV40" s="115">
        <v>108688.27027027027</v>
      </c>
      <c r="AW40" s="116">
        <v>18.5</v>
      </c>
      <c r="AX40" s="115">
        <v>83780.541666666672</v>
      </c>
      <c r="AY40" s="116">
        <v>24</v>
      </c>
      <c r="AZ40" s="139">
        <v>15256006</v>
      </c>
      <c r="BA40" s="139">
        <v>16448308</v>
      </c>
      <c r="BB40" s="139">
        <v>358003</v>
      </c>
      <c r="BC40" s="139">
        <v>169202</v>
      </c>
      <c r="BD40" s="139">
        <v>562107</v>
      </c>
      <c r="BE40" s="139">
        <v>32793626</v>
      </c>
      <c r="BF40" s="139">
        <v>0</v>
      </c>
      <c r="BG40" s="139">
        <v>0</v>
      </c>
      <c r="BH40" s="139">
        <v>0</v>
      </c>
      <c r="BI40" s="139">
        <v>0</v>
      </c>
      <c r="BJ40" s="139">
        <v>861548</v>
      </c>
      <c r="BK40" s="139">
        <v>861548</v>
      </c>
      <c r="BL40" s="139">
        <v>411518</v>
      </c>
      <c r="BM40" s="139">
        <v>402453</v>
      </c>
      <c r="BN40" s="139">
        <v>0</v>
      </c>
      <c r="BO40" s="139">
        <v>8000</v>
      </c>
      <c r="BP40" s="139">
        <v>0</v>
      </c>
      <c r="BQ40" s="139">
        <v>821971</v>
      </c>
      <c r="BR40" s="139">
        <v>0</v>
      </c>
      <c r="BS40" s="139">
        <v>0</v>
      </c>
      <c r="BT40" s="139">
        <v>0</v>
      </c>
      <c r="BU40" s="139">
        <v>0</v>
      </c>
      <c r="BV40" s="139">
        <v>19058601</v>
      </c>
      <c r="BW40" s="139">
        <v>19058601</v>
      </c>
      <c r="BX40" s="139">
        <v>0</v>
      </c>
      <c r="BY40" s="139">
        <v>0</v>
      </c>
      <c r="BZ40" s="139">
        <v>0</v>
      </c>
      <c r="CA40" s="139">
        <v>0</v>
      </c>
      <c r="CB40" s="139">
        <v>0</v>
      </c>
      <c r="CC40" s="139">
        <v>0</v>
      </c>
      <c r="CD40" s="139">
        <v>0</v>
      </c>
      <c r="CE40" s="139">
        <v>0</v>
      </c>
      <c r="CF40" s="139">
        <v>0</v>
      </c>
      <c r="CG40" s="139">
        <v>0</v>
      </c>
      <c r="CH40" s="139">
        <v>0</v>
      </c>
      <c r="CI40" s="139">
        <v>0</v>
      </c>
      <c r="CJ40" s="139">
        <v>0</v>
      </c>
      <c r="CK40" s="139">
        <v>0</v>
      </c>
      <c r="CL40" s="139">
        <v>0</v>
      </c>
      <c r="CM40" s="139">
        <v>0</v>
      </c>
      <c r="CN40" s="139">
        <v>0</v>
      </c>
      <c r="CO40" s="139">
        <v>0</v>
      </c>
      <c r="CP40" s="139">
        <v>0</v>
      </c>
      <c r="CQ40" s="139">
        <v>0</v>
      </c>
      <c r="CR40" s="139">
        <v>0</v>
      </c>
      <c r="CS40" s="139">
        <v>0</v>
      </c>
      <c r="CT40" s="139">
        <v>0</v>
      </c>
      <c r="CU40" s="139">
        <v>0</v>
      </c>
      <c r="CV40" s="139">
        <v>15499415</v>
      </c>
      <c r="CW40" s="139">
        <v>5832490</v>
      </c>
      <c r="CX40" s="139">
        <v>61346</v>
      </c>
      <c r="CY40" s="139">
        <v>167742</v>
      </c>
      <c r="CZ40" s="139">
        <v>480513</v>
      </c>
      <c r="DA40" s="139">
        <v>22041506</v>
      </c>
      <c r="DB40" s="139">
        <v>20000</v>
      </c>
      <c r="DC40" s="139">
        <v>40742</v>
      </c>
      <c r="DD40" s="139">
        <v>0</v>
      </c>
      <c r="DE40" s="139">
        <v>0</v>
      </c>
      <c r="DF40" s="139">
        <v>8804120</v>
      </c>
      <c r="DG40" s="139">
        <v>8864862</v>
      </c>
      <c r="DH40" s="139">
        <v>2603254</v>
      </c>
      <c r="DI40" s="139">
        <v>19500</v>
      </c>
      <c r="DJ40" s="139">
        <v>32843</v>
      </c>
      <c r="DK40" s="139">
        <v>51967</v>
      </c>
      <c r="DL40" s="139">
        <v>548212</v>
      </c>
      <c r="DM40" s="139">
        <v>3255776</v>
      </c>
      <c r="DN40" s="139">
        <v>187500</v>
      </c>
      <c r="DO40" s="139">
        <v>65500</v>
      </c>
      <c r="DP40" s="139">
        <v>65000</v>
      </c>
      <c r="DQ40" s="139">
        <v>394500</v>
      </c>
      <c r="DR40" s="139">
        <v>5188337</v>
      </c>
      <c r="DS40" s="139">
        <v>5900837</v>
      </c>
      <c r="DT40" s="139">
        <v>103413</v>
      </c>
      <c r="DU40" s="139">
        <v>793132</v>
      </c>
      <c r="DV40" s="139">
        <v>94014</v>
      </c>
      <c r="DW40" s="139">
        <v>866198</v>
      </c>
      <c r="DX40" s="139">
        <v>266905</v>
      </c>
      <c r="DY40" s="139">
        <v>2123662</v>
      </c>
      <c r="DZ40" s="139">
        <v>0</v>
      </c>
      <c r="EA40" s="139">
        <v>0</v>
      </c>
      <c r="EB40" s="139">
        <v>0</v>
      </c>
      <c r="EC40" s="139">
        <v>0</v>
      </c>
      <c r="ED40" s="139">
        <v>540597</v>
      </c>
      <c r="EE40" s="139">
        <v>540597</v>
      </c>
      <c r="EF40" s="139">
        <v>3306</v>
      </c>
      <c r="EG40" s="139">
        <v>53524</v>
      </c>
      <c r="EH40" s="139">
        <v>405</v>
      </c>
      <c r="EI40" s="139">
        <v>9002</v>
      </c>
      <c r="EJ40" s="139">
        <v>356266</v>
      </c>
      <c r="EK40" s="139">
        <v>422503</v>
      </c>
      <c r="EL40" s="139">
        <v>34084412</v>
      </c>
      <c r="EM40" s="139">
        <v>23655649</v>
      </c>
      <c r="EN40" s="139">
        <v>611611</v>
      </c>
      <c r="EO40" s="139">
        <v>1666611</v>
      </c>
      <c r="EP40" s="139">
        <v>36667206</v>
      </c>
      <c r="EQ40" s="139">
        <v>96685489</v>
      </c>
      <c r="ER40" s="139">
        <v>3214236</v>
      </c>
      <c r="ES40" s="139">
        <v>594399</v>
      </c>
      <c r="ET40" s="139">
        <v>513004</v>
      </c>
      <c r="EU40" s="139">
        <v>5960980</v>
      </c>
      <c r="EV40" s="139">
        <v>772476</v>
      </c>
      <c r="EW40" s="139">
        <v>11055095</v>
      </c>
      <c r="EX40" s="139">
        <v>1300000</v>
      </c>
      <c r="EY40" s="139">
        <v>981794</v>
      </c>
      <c r="EZ40" s="139">
        <v>144305</v>
      </c>
      <c r="FA40" s="139">
        <v>77761</v>
      </c>
      <c r="FB40" s="139">
        <v>78180</v>
      </c>
      <c r="FC40" s="139">
        <v>2582040</v>
      </c>
      <c r="FD40" s="139">
        <v>5255304</v>
      </c>
      <c r="FE40" s="139">
        <v>7568110</v>
      </c>
      <c r="FF40" s="139">
        <v>1849288</v>
      </c>
      <c r="FG40" s="139">
        <v>5584967</v>
      </c>
      <c r="FH40" s="139">
        <v>0</v>
      </c>
      <c r="FI40" s="139">
        <v>20257669</v>
      </c>
      <c r="FJ40" s="139">
        <v>0</v>
      </c>
      <c r="FK40" s="139">
        <v>0</v>
      </c>
      <c r="FL40" s="139">
        <v>0</v>
      </c>
      <c r="FM40" s="139">
        <v>0</v>
      </c>
      <c r="FN40" s="139">
        <v>0</v>
      </c>
      <c r="FO40" s="139">
        <v>0</v>
      </c>
      <c r="FP40" s="139">
        <v>799326</v>
      </c>
      <c r="FQ40" s="139">
        <v>1149537</v>
      </c>
      <c r="FR40" s="139">
        <v>304644</v>
      </c>
      <c r="FS40" s="139">
        <v>532969</v>
      </c>
      <c r="FT40" s="139">
        <v>12773249</v>
      </c>
      <c r="FU40" s="139">
        <v>15559725</v>
      </c>
      <c r="FV40" s="139">
        <v>0</v>
      </c>
      <c r="FW40" s="139">
        <v>0</v>
      </c>
      <c r="FX40" s="139">
        <v>0</v>
      </c>
      <c r="FY40" s="139">
        <v>0</v>
      </c>
      <c r="FZ40" s="139">
        <v>0</v>
      </c>
      <c r="GA40" s="139">
        <v>0</v>
      </c>
      <c r="GB40" s="139">
        <v>1276146</v>
      </c>
      <c r="GC40" s="139">
        <v>0</v>
      </c>
      <c r="GD40" s="139">
        <v>107693</v>
      </c>
      <c r="GE40" s="139">
        <v>52365</v>
      </c>
      <c r="GF40" s="139">
        <v>0</v>
      </c>
      <c r="GG40" s="139">
        <v>1436204</v>
      </c>
      <c r="GH40" s="139">
        <v>514835</v>
      </c>
      <c r="GI40" s="139">
        <v>457641</v>
      </c>
      <c r="GJ40" s="139">
        <v>311887</v>
      </c>
      <c r="GK40" s="139">
        <v>721701</v>
      </c>
      <c r="GL40" s="139">
        <v>0</v>
      </c>
      <c r="GM40" s="139">
        <v>2006064</v>
      </c>
      <c r="GN40" s="139">
        <v>965921</v>
      </c>
      <c r="GO40" s="139">
        <v>2244154</v>
      </c>
      <c r="GP40" s="139">
        <v>798254</v>
      </c>
      <c r="GQ40" s="139">
        <v>3024401</v>
      </c>
      <c r="GR40" s="139">
        <v>32148</v>
      </c>
      <c r="GS40" s="139">
        <v>7064878</v>
      </c>
      <c r="GT40" s="139">
        <v>1152468</v>
      </c>
      <c r="GU40" s="139">
        <v>308020</v>
      </c>
      <c r="GV40" s="139">
        <v>106676</v>
      </c>
      <c r="GW40" s="139">
        <v>1043554</v>
      </c>
      <c r="GX40" s="139">
        <v>1485037</v>
      </c>
      <c r="GY40" s="139">
        <v>4095755</v>
      </c>
      <c r="GZ40" s="139">
        <v>183980</v>
      </c>
      <c r="HA40" s="139">
        <v>824029</v>
      </c>
      <c r="HB40" s="139">
        <v>167661</v>
      </c>
      <c r="HC40" s="139">
        <v>271082</v>
      </c>
      <c r="HD40" s="139">
        <v>2916738</v>
      </c>
      <c r="HE40" s="139">
        <v>4363490</v>
      </c>
      <c r="HF40" s="139">
        <v>609</v>
      </c>
      <c r="HG40" s="139">
        <v>11947</v>
      </c>
      <c r="HH40" s="139">
        <v>2022</v>
      </c>
      <c r="HI40" s="139">
        <v>1797</v>
      </c>
      <c r="HJ40" s="139">
        <v>2996316</v>
      </c>
      <c r="HK40" s="139">
        <v>3012691</v>
      </c>
      <c r="HL40" s="139">
        <v>91297</v>
      </c>
      <c r="HM40" s="139">
        <v>334883</v>
      </c>
      <c r="HN40" s="139">
        <v>60988</v>
      </c>
      <c r="HO40" s="139">
        <v>514595</v>
      </c>
      <c r="HP40" s="139">
        <v>266905</v>
      </c>
      <c r="HQ40" s="139">
        <v>1268668</v>
      </c>
      <c r="HR40" s="149">
        <v>401746</v>
      </c>
      <c r="HS40" s="139">
        <v>887317</v>
      </c>
      <c r="HT40" s="139">
        <v>11639</v>
      </c>
      <c r="HU40" s="139">
        <v>72044</v>
      </c>
      <c r="HV40" s="139">
        <v>10773770</v>
      </c>
      <c r="HW40" s="139">
        <v>12146516</v>
      </c>
      <c r="HX40" s="139">
        <v>0</v>
      </c>
      <c r="HY40" s="139">
        <v>0</v>
      </c>
      <c r="HZ40" s="139">
        <v>0</v>
      </c>
      <c r="IA40" s="139">
        <v>0</v>
      </c>
      <c r="IB40" s="139">
        <v>935160</v>
      </c>
      <c r="IC40" s="139">
        <v>935160</v>
      </c>
      <c r="ID40" s="139">
        <v>0</v>
      </c>
      <c r="IE40" s="139">
        <v>0</v>
      </c>
      <c r="IF40" s="139">
        <v>0</v>
      </c>
      <c r="IG40" s="139">
        <v>0</v>
      </c>
      <c r="IH40" s="139">
        <v>0</v>
      </c>
      <c r="II40" s="139">
        <v>0</v>
      </c>
      <c r="IJ40" s="139">
        <v>311414</v>
      </c>
      <c r="IK40" s="139">
        <v>56885</v>
      </c>
      <c r="IL40" s="139">
        <v>39406</v>
      </c>
      <c r="IM40" s="139">
        <v>297911</v>
      </c>
      <c r="IN40" s="139">
        <v>233202</v>
      </c>
      <c r="IO40" s="139">
        <v>938818</v>
      </c>
      <c r="IP40" s="139">
        <v>0</v>
      </c>
      <c r="IQ40" s="139">
        <v>0</v>
      </c>
      <c r="IR40" s="139">
        <v>0</v>
      </c>
      <c r="IS40" s="139">
        <v>8420</v>
      </c>
      <c r="IT40" s="139">
        <v>0</v>
      </c>
      <c r="IU40" s="139">
        <v>8420</v>
      </c>
      <c r="IV40" s="139">
        <v>1046651</v>
      </c>
      <c r="IW40" s="139">
        <v>479809</v>
      </c>
      <c r="IX40" s="139">
        <v>191222</v>
      </c>
      <c r="IY40" s="139">
        <v>575143</v>
      </c>
      <c r="IZ40" s="139">
        <v>5588413</v>
      </c>
      <c r="JA40" s="139">
        <v>7881238</v>
      </c>
      <c r="JB40" s="139">
        <v>16513933</v>
      </c>
      <c r="JC40" s="139">
        <v>15898525</v>
      </c>
      <c r="JD40" s="139">
        <v>4608689</v>
      </c>
      <c r="JE40" s="139">
        <v>18067681</v>
      </c>
      <c r="JF40" s="139">
        <v>39523603</v>
      </c>
      <c r="JG40" s="139">
        <v>94612431</v>
      </c>
      <c r="JH40" s="139">
        <v>700000</v>
      </c>
      <c r="JI40" s="139">
        <v>300000</v>
      </c>
      <c r="JJ40" s="139">
        <v>0</v>
      </c>
      <c r="JK40" s="139">
        <v>0</v>
      </c>
      <c r="JL40" s="139">
        <v>660000</v>
      </c>
      <c r="JM40" s="139">
        <v>1660000</v>
      </c>
      <c r="JN40" s="139">
        <v>17213933</v>
      </c>
      <c r="JO40" s="139">
        <v>16198525</v>
      </c>
      <c r="JP40" s="139">
        <v>4608689</v>
      </c>
      <c r="JQ40" s="139">
        <v>18067681</v>
      </c>
      <c r="JR40" s="139">
        <v>40183603</v>
      </c>
      <c r="JS40" s="139">
        <v>96272431</v>
      </c>
      <c r="JU40" s="70">
        <f t="shared" si="80"/>
        <v>32793626</v>
      </c>
      <c r="JV40" s="70">
        <f t="shared" si="81"/>
        <v>0</v>
      </c>
      <c r="JW40" s="70">
        <f t="shared" si="82"/>
        <v>861548</v>
      </c>
      <c r="JX40" s="70">
        <f t="shared" si="83"/>
        <v>0</v>
      </c>
      <c r="JY40" s="70">
        <f t="shared" si="84"/>
        <v>821971</v>
      </c>
      <c r="JZ40" s="70">
        <f t="shared" si="85"/>
        <v>0</v>
      </c>
      <c r="KA40" s="70">
        <f t="shared" si="86"/>
        <v>19058601</v>
      </c>
      <c r="KB40" s="70">
        <f t="shared" si="87"/>
        <v>0</v>
      </c>
      <c r="KC40" s="70">
        <f t="shared" si="88"/>
        <v>0</v>
      </c>
      <c r="KD40" s="70">
        <f t="shared" si="89"/>
        <v>0</v>
      </c>
      <c r="KE40" s="70">
        <f t="shared" si="90"/>
        <v>0</v>
      </c>
      <c r="KF40" s="70">
        <f t="shared" si="91"/>
        <v>0</v>
      </c>
      <c r="KG40" s="70">
        <f t="shared" si="92"/>
        <v>0</v>
      </c>
      <c r="KH40" s="70">
        <f t="shared" si="93"/>
        <v>0</v>
      </c>
      <c r="KI40" s="70">
        <f t="shared" si="94"/>
        <v>0</v>
      </c>
      <c r="KJ40" s="70">
        <f t="shared" si="95"/>
        <v>0</v>
      </c>
      <c r="KK40" s="70">
        <f t="shared" si="96"/>
        <v>22041506</v>
      </c>
      <c r="KL40" s="70">
        <f t="shared" si="97"/>
        <v>0</v>
      </c>
      <c r="KM40" s="70">
        <f t="shared" si="98"/>
        <v>8864862</v>
      </c>
      <c r="KN40" s="70">
        <f t="shared" si="99"/>
        <v>0</v>
      </c>
      <c r="KO40" s="70">
        <f t="shared" si="100"/>
        <v>3255776</v>
      </c>
      <c r="KP40" s="70">
        <f t="shared" si="101"/>
        <v>0</v>
      </c>
      <c r="KQ40" s="70">
        <f t="shared" si="102"/>
        <v>5900837</v>
      </c>
      <c r="KR40" s="70">
        <f t="shared" si="103"/>
        <v>0</v>
      </c>
      <c r="KS40" s="70">
        <f t="shared" si="104"/>
        <v>2123662</v>
      </c>
      <c r="KT40" s="70">
        <f t="shared" si="105"/>
        <v>0</v>
      </c>
      <c r="KU40" s="70">
        <f t="shared" si="106"/>
        <v>540597</v>
      </c>
      <c r="KV40" s="70">
        <f t="shared" si="107"/>
        <v>0</v>
      </c>
      <c r="KW40" s="70">
        <f t="shared" si="108"/>
        <v>422503</v>
      </c>
      <c r="KX40" s="70">
        <f t="shared" si="109"/>
        <v>0</v>
      </c>
      <c r="KY40" s="70">
        <f t="shared" si="110"/>
        <v>96685489</v>
      </c>
      <c r="KZ40" s="70">
        <f t="shared" si="111"/>
        <v>0</v>
      </c>
      <c r="LA40" s="70">
        <f t="shared" si="150"/>
        <v>11055095</v>
      </c>
      <c r="LB40" s="70">
        <f t="shared" si="112"/>
        <v>0</v>
      </c>
      <c r="LC40" s="70">
        <f t="shared" si="113"/>
        <v>2582040</v>
      </c>
      <c r="LD40" s="70">
        <f t="shared" si="114"/>
        <v>0</v>
      </c>
      <c r="LE40" s="70">
        <f t="shared" si="115"/>
        <v>20257669</v>
      </c>
      <c r="LF40" s="70">
        <f t="shared" si="116"/>
        <v>0</v>
      </c>
      <c r="LG40" s="70">
        <f t="shared" si="78"/>
        <v>0</v>
      </c>
      <c r="LH40" s="70">
        <f t="shared" si="79"/>
        <v>0</v>
      </c>
      <c r="LI40" s="70">
        <f t="shared" si="151"/>
        <v>15559725</v>
      </c>
      <c r="LJ40" s="70">
        <f t="shared" si="152"/>
        <v>0</v>
      </c>
      <c r="LK40" s="70">
        <f t="shared" si="153"/>
        <v>0</v>
      </c>
      <c r="LL40" s="70">
        <f t="shared" si="154"/>
        <v>0</v>
      </c>
      <c r="LM40" s="70">
        <f t="shared" si="117"/>
        <v>1436204</v>
      </c>
      <c r="LN40" s="70">
        <f t="shared" si="118"/>
        <v>0</v>
      </c>
      <c r="LO40" s="70">
        <f t="shared" si="119"/>
        <v>2006064</v>
      </c>
      <c r="LP40" s="70">
        <f t="shared" si="120"/>
        <v>0</v>
      </c>
      <c r="LQ40" s="70">
        <f t="shared" si="121"/>
        <v>7064878</v>
      </c>
      <c r="LR40" s="70">
        <f t="shared" si="122"/>
        <v>0</v>
      </c>
      <c r="LS40" s="70">
        <f t="shared" si="123"/>
        <v>4095755</v>
      </c>
      <c r="LT40" s="70">
        <f t="shared" si="124"/>
        <v>0</v>
      </c>
      <c r="LU40" s="70">
        <f t="shared" si="125"/>
        <v>4363490</v>
      </c>
      <c r="LV40" s="70">
        <f t="shared" si="126"/>
        <v>0</v>
      </c>
      <c r="LW40" s="70">
        <f t="shared" si="127"/>
        <v>3012691</v>
      </c>
      <c r="LX40" s="70">
        <f t="shared" si="128"/>
        <v>0</v>
      </c>
      <c r="LY40" s="70">
        <f t="shared" si="129"/>
        <v>1268668</v>
      </c>
      <c r="LZ40" s="70">
        <f t="shared" si="130"/>
        <v>0</v>
      </c>
      <c r="MA40" s="70">
        <f t="shared" si="131"/>
        <v>12146516</v>
      </c>
      <c r="MB40" s="70">
        <f t="shared" si="132"/>
        <v>0</v>
      </c>
      <c r="MC40" s="70">
        <f t="shared" si="133"/>
        <v>935160</v>
      </c>
      <c r="MD40" s="70">
        <f t="shared" si="134"/>
        <v>0</v>
      </c>
      <c r="ME40" s="70">
        <f t="shared" si="135"/>
        <v>0</v>
      </c>
      <c r="MF40" s="70">
        <f t="shared" si="136"/>
        <v>0</v>
      </c>
      <c r="MG40" s="70">
        <f t="shared" si="137"/>
        <v>938818</v>
      </c>
      <c r="MH40" s="70">
        <f t="shared" si="138"/>
        <v>0</v>
      </c>
      <c r="MI40" s="70">
        <f t="shared" si="139"/>
        <v>8420</v>
      </c>
      <c r="MJ40" s="70">
        <f t="shared" si="140"/>
        <v>0</v>
      </c>
      <c r="MK40" s="70">
        <f t="shared" si="141"/>
        <v>7881238</v>
      </c>
      <c r="ML40" s="70">
        <f t="shared" si="142"/>
        <v>0</v>
      </c>
      <c r="MM40" s="70">
        <f t="shared" si="143"/>
        <v>94612431</v>
      </c>
      <c r="MN40" s="70">
        <f t="shared" si="144"/>
        <v>0</v>
      </c>
      <c r="MO40" s="70">
        <f t="shared" si="145"/>
        <v>1660000</v>
      </c>
      <c r="MP40" s="70">
        <f t="shared" si="146"/>
        <v>0</v>
      </c>
      <c r="MQ40" s="70">
        <f t="shared" si="147"/>
        <v>96272431</v>
      </c>
      <c r="MR40" s="70">
        <f t="shared" si="148"/>
        <v>0</v>
      </c>
      <c r="MT40" s="70">
        <f t="shared" si="149"/>
        <v>0</v>
      </c>
      <c r="MV40" s="68">
        <f t="shared" si="77"/>
        <v>0</v>
      </c>
    </row>
    <row r="41" spans="1:360" x14ac:dyDescent="0.15">
      <c r="A41" s="182" t="s">
        <v>558</v>
      </c>
      <c r="B41" s="76" t="s">
        <v>424</v>
      </c>
      <c r="C41" s="90">
        <v>160658</v>
      </c>
      <c r="D41" s="90">
        <v>2014</v>
      </c>
      <c r="E41" s="90">
        <v>1</v>
      </c>
      <c r="F41" s="91">
        <v>11</v>
      </c>
      <c r="G41" s="92">
        <v>5643</v>
      </c>
      <c r="H41" s="92">
        <v>6631</v>
      </c>
      <c r="I41" s="93">
        <v>255940752</v>
      </c>
      <c r="J41" s="93">
        <v>251781747</v>
      </c>
      <c r="K41" s="93">
        <v>356243</v>
      </c>
      <c r="L41" s="93">
        <v>0</v>
      </c>
      <c r="M41" s="93">
        <v>9893426</v>
      </c>
      <c r="N41" s="93">
        <v>8394060</v>
      </c>
      <c r="O41" s="93">
        <v>23605000</v>
      </c>
      <c r="P41" s="93">
        <v>0</v>
      </c>
      <c r="Q41" s="93">
        <v>206360000</v>
      </c>
      <c r="R41" s="93">
        <v>148575000</v>
      </c>
      <c r="S41" s="93">
        <v>215236969</v>
      </c>
      <c r="T41" s="93">
        <v>213648173</v>
      </c>
      <c r="U41" s="93">
        <v>13618</v>
      </c>
      <c r="V41" s="93">
        <v>12586</v>
      </c>
      <c r="W41" s="93">
        <v>23168</v>
      </c>
      <c r="X41" s="93">
        <v>21556</v>
      </c>
      <c r="Y41" s="93">
        <v>19185</v>
      </c>
      <c r="Z41" s="93">
        <v>18379</v>
      </c>
      <c r="AA41" s="93">
        <v>28735</v>
      </c>
      <c r="AB41" s="93">
        <v>27349</v>
      </c>
      <c r="AC41" s="114">
        <v>8</v>
      </c>
      <c r="AD41" s="114">
        <v>8</v>
      </c>
      <c r="AE41" s="114">
        <v>0</v>
      </c>
      <c r="AF41" s="115">
        <v>2448227</v>
      </c>
      <c r="AG41" s="115">
        <v>1494076</v>
      </c>
      <c r="AH41" s="115">
        <v>295296</v>
      </c>
      <c r="AI41" s="115">
        <v>130402</v>
      </c>
      <c r="AJ41" s="115">
        <v>361597.27272727271</v>
      </c>
      <c r="AK41" s="116">
        <v>5.5</v>
      </c>
      <c r="AL41" s="115">
        <v>331464.16666666669</v>
      </c>
      <c r="AM41" s="116">
        <v>6</v>
      </c>
      <c r="AN41" s="115">
        <v>126553.77777777778</v>
      </c>
      <c r="AO41" s="116">
        <v>4.5</v>
      </c>
      <c r="AP41" s="115">
        <v>113898.4</v>
      </c>
      <c r="AQ41" s="116">
        <v>5</v>
      </c>
      <c r="AR41" s="115">
        <v>137053</v>
      </c>
      <c r="AS41" s="116">
        <v>16</v>
      </c>
      <c r="AT41" s="115">
        <v>121824.88888888889</v>
      </c>
      <c r="AU41" s="116">
        <v>18</v>
      </c>
      <c r="AV41" s="115">
        <v>58181.666666666664</v>
      </c>
      <c r="AW41" s="116">
        <v>9</v>
      </c>
      <c r="AX41" s="115">
        <v>47603.181818181816</v>
      </c>
      <c r="AY41" s="116">
        <v>11</v>
      </c>
      <c r="AZ41" s="139">
        <v>2314496</v>
      </c>
      <c r="BA41" s="139">
        <v>331129</v>
      </c>
      <c r="BB41" s="139">
        <v>6268</v>
      </c>
      <c r="BC41" s="139">
        <v>878041</v>
      </c>
      <c r="BD41" s="139">
        <v>0</v>
      </c>
      <c r="BE41" s="139">
        <v>3529934</v>
      </c>
      <c r="BF41" s="139">
        <v>0</v>
      </c>
      <c r="BG41" s="139">
        <v>0</v>
      </c>
      <c r="BH41" s="139">
        <v>0</v>
      </c>
      <c r="BI41" s="139">
        <v>0</v>
      </c>
      <c r="BJ41" s="139">
        <v>0</v>
      </c>
      <c r="BK41" s="139">
        <v>0</v>
      </c>
      <c r="BL41" s="139">
        <v>1500000</v>
      </c>
      <c r="BM41" s="139">
        <v>250000</v>
      </c>
      <c r="BN41" s="139">
        <v>0</v>
      </c>
      <c r="BO41" s="139">
        <v>10650</v>
      </c>
      <c r="BP41" s="139">
        <v>0</v>
      </c>
      <c r="BQ41" s="139">
        <v>1760650</v>
      </c>
      <c r="BR41" s="139">
        <v>2857765</v>
      </c>
      <c r="BS41" s="139">
        <v>1084312</v>
      </c>
      <c r="BT41" s="139">
        <v>251797</v>
      </c>
      <c r="BU41" s="139">
        <v>1750904</v>
      </c>
      <c r="BV41" s="139">
        <v>693296</v>
      </c>
      <c r="BW41" s="139">
        <v>6638074</v>
      </c>
      <c r="BX41" s="139">
        <v>0</v>
      </c>
      <c r="BY41" s="139">
        <v>0</v>
      </c>
      <c r="BZ41" s="139">
        <v>0</v>
      </c>
      <c r="CA41" s="139">
        <v>0</v>
      </c>
      <c r="CB41" s="139">
        <v>0</v>
      </c>
      <c r="CC41" s="139">
        <v>0</v>
      </c>
      <c r="CD41" s="139">
        <v>0</v>
      </c>
      <c r="CE41" s="139">
        <v>0</v>
      </c>
      <c r="CF41" s="139">
        <v>0</v>
      </c>
      <c r="CG41" s="139">
        <v>0</v>
      </c>
      <c r="CH41" s="139">
        <v>0</v>
      </c>
      <c r="CI41" s="139">
        <v>0</v>
      </c>
      <c r="CJ41" s="139">
        <v>1053880</v>
      </c>
      <c r="CK41" s="139">
        <v>454605</v>
      </c>
      <c r="CL41" s="139">
        <v>826844</v>
      </c>
      <c r="CM41" s="139">
        <v>2517310</v>
      </c>
      <c r="CN41" s="139">
        <v>735050</v>
      </c>
      <c r="CO41" s="139">
        <v>5587689</v>
      </c>
      <c r="CP41" s="139">
        <v>10535</v>
      </c>
      <c r="CQ41" s="139">
        <v>4430</v>
      </c>
      <c r="CR41" s="139">
        <v>4430</v>
      </c>
      <c r="CS41" s="139">
        <v>19683</v>
      </c>
      <c r="CT41" s="139">
        <v>22626</v>
      </c>
      <c r="CU41" s="139">
        <v>61704</v>
      </c>
      <c r="CV41" s="139">
        <v>293899</v>
      </c>
      <c r="CW41" s="139">
        <v>42044</v>
      </c>
      <c r="CX41" s="139">
        <v>7356</v>
      </c>
      <c r="CY41" s="139">
        <v>136158</v>
      </c>
      <c r="CZ41" s="139">
        <v>1505588</v>
      </c>
      <c r="DA41" s="139">
        <v>1985045</v>
      </c>
      <c r="DB41" s="139">
        <v>0</v>
      </c>
      <c r="DC41" s="139">
        <v>0</v>
      </c>
      <c r="DD41" s="139">
        <v>0</v>
      </c>
      <c r="DE41" s="139">
        <v>0</v>
      </c>
      <c r="DF41" s="139">
        <v>41435</v>
      </c>
      <c r="DG41" s="139">
        <v>41435</v>
      </c>
      <c r="DH41" s="139">
        <v>287914</v>
      </c>
      <c r="DI41" s="139">
        <v>0</v>
      </c>
      <c r="DJ41" s="139">
        <v>54</v>
      </c>
      <c r="DK41" s="139">
        <v>223213</v>
      </c>
      <c r="DL41" s="139">
        <v>11818</v>
      </c>
      <c r="DM41" s="139">
        <v>522999</v>
      </c>
      <c r="DN41" s="139">
        <v>152096</v>
      </c>
      <c r="DO41" s="139">
        <v>12110</v>
      </c>
      <c r="DP41" s="139">
        <v>11983</v>
      </c>
      <c r="DQ41" s="139">
        <v>118561</v>
      </c>
      <c r="DR41" s="139">
        <v>675556</v>
      </c>
      <c r="DS41" s="139">
        <v>970306</v>
      </c>
      <c r="DT41" s="139">
        <v>0</v>
      </c>
      <c r="DU41" s="139">
        <v>0</v>
      </c>
      <c r="DV41" s="139">
        <v>0</v>
      </c>
      <c r="DW41" s="139">
        <v>0</v>
      </c>
      <c r="DX41" s="139">
        <v>0</v>
      </c>
      <c r="DY41" s="139">
        <v>0</v>
      </c>
      <c r="DZ41" s="139">
        <v>3900</v>
      </c>
      <c r="EA41" s="139">
        <v>400</v>
      </c>
      <c r="EB41" s="139">
        <v>400</v>
      </c>
      <c r="EC41" s="139">
        <v>25602</v>
      </c>
      <c r="ED41" s="139">
        <v>2000</v>
      </c>
      <c r="EE41" s="139">
        <v>32302</v>
      </c>
      <c r="EF41" s="139">
        <v>34117</v>
      </c>
      <c r="EG41" s="139">
        <v>0</v>
      </c>
      <c r="EH41" s="139">
        <v>0</v>
      </c>
      <c r="EI41" s="139">
        <v>0</v>
      </c>
      <c r="EJ41" s="139">
        <v>132859</v>
      </c>
      <c r="EK41" s="139">
        <v>166976</v>
      </c>
      <c r="EL41" s="139">
        <v>8508602</v>
      </c>
      <c r="EM41" s="139">
        <v>2179030</v>
      </c>
      <c r="EN41" s="139">
        <v>1109132</v>
      </c>
      <c r="EO41" s="139">
        <v>5680122</v>
      </c>
      <c r="EP41" s="139">
        <v>3820228</v>
      </c>
      <c r="EQ41" s="139">
        <v>21297114</v>
      </c>
      <c r="ER41" s="139">
        <v>1589869</v>
      </c>
      <c r="ES41" s="139">
        <v>253092</v>
      </c>
      <c r="ET41" s="139">
        <v>272137</v>
      </c>
      <c r="EU41" s="139">
        <v>2176877</v>
      </c>
      <c r="EV41" s="139">
        <v>0</v>
      </c>
      <c r="EW41" s="139">
        <v>4291975</v>
      </c>
      <c r="EX41" s="139">
        <v>335000</v>
      </c>
      <c r="EY41" s="139">
        <v>24000</v>
      </c>
      <c r="EZ41" s="139">
        <v>8000</v>
      </c>
      <c r="FA41" s="139">
        <v>30971</v>
      </c>
      <c r="FB41" s="139">
        <v>0</v>
      </c>
      <c r="FC41" s="139">
        <v>397971</v>
      </c>
      <c r="FD41" s="139">
        <v>2597275</v>
      </c>
      <c r="FE41" s="139">
        <v>896056</v>
      </c>
      <c r="FF41" s="139">
        <v>381937</v>
      </c>
      <c r="FG41" s="139">
        <v>1399492</v>
      </c>
      <c r="FH41" s="139">
        <v>0</v>
      </c>
      <c r="FI41" s="139">
        <v>5274760</v>
      </c>
      <c r="FJ41" s="139">
        <v>0</v>
      </c>
      <c r="FK41" s="139">
        <v>0</v>
      </c>
      <c r="FL41" s="139">
        <v>0</v>
      </c>
      <c r="FM41" s="139">
        <v>0</v>
      </c>
      <c r="FN41" s="139">
        <v>0</v>
      </c>
      <c r="FO41" s="139">
        <v>0</v>
      </c>
      <c r="FP41" s="139">
        <v>174626</v>
      </c>
      <c r="FQ41" s="139">
        <v>50865</v>
      </c>
      <c r="FR41" s="139">
        <v>35116</v>
      </c>
      <c r="FS41" s="139">
        <v>43150</v>
      </c>
      <c r="FT41" s="139">
        <v>1814595</v>
      </c>
      <c r="FU41" s="139">
        <v>2118352</v>
      </c>
      <c r="FV41" s="139">
        <v>0</v>
      </c>
      <c r="FW41" s="139">
        <v>0</v>
      </c>
      <c r="FX41" s="139">
        <v>0</v>
      </c>
      <c r="FY41" s="139">
        <v>0</v>
      </c>
      <c r="FZ41" s="139">
        <v>0</v>
      </c>
      <c r="GA41" s="139">
        <v>0</v>
      </c>
      <c r="GB41" s="139">
        <v>0</v>
      </c>
      <c r="GC41" s="139">
        <v>3024</v>
      </c>
      <c r="GD41" s="139">
        <v>1873</v>
      </c>
      <c r="GE41" s="139">
        <v>1846</v>
      </c>
      <c r="GF41" s="139">
        <v>22038</v>
      </c>
      <c r="GG41" s="139">
        <v>28781</v>
      </c>
      <c r="GH41" s="139">
        <v>134999</v>
      </c>
      <c r="GI41" s="139">
        <v>103365</v>
      </c>
      <c r="GJ41" s="139">
        <v>67095</v>
      </c>
      <c r="GK41" s="139">
        <v>120239</v>
      </c>
      <c r="GL41" s="139">
        <v>3275</v>
      </c>
      <c r="GM41" s="139">
        <v>428973</v>
      </c>
      <c r="GN41" s="139">
        <v>1178337</v>
      </c>
      <c r="GO41" s="139">
        <v>423180</v>
      </c>
      <c r="GP41" s="139">
        <v>129016</v>
      </c>
      <c r="GQ41" s="139">
        <v>671714</v>
      </c>
      <c r="GR41" s="139">
        <v>0</v>
      </c>
      <c r="GS41" s="139">
        <v>2402247</v>
      </c>
      <c r="GT41" s="139">
        <v>683520</v>
      </c>
      <c r="GU41" s="139">
        <v>62706</v>
      </c>
      <c r="GV41" s="139">
        <v>36848</v>
      </c>
      <c r="GW41" s="139">
        <v>519743</v>
      </c>
      <c r="GX41" s="139">
        <v>244295</v>
      </c>
      <c r="GY41" s="139">
        <v>1547112</v>
      </c>
      <c r="GZ41" s="139">
        <v>993765</v>
      </c>
      <c r="HA41" s="139">
        <v>242660</v>
      </c>
      <c r="HB41" s="139">
        <v>119782</v>
      </c>
      <c r="HC41" s="139">
        <v>562377</v>
      </c>
      <c r="HD41" s="139">
        <v>176514</v>
      </c>
      <c r="HE41" s="139">
        <v>2095098</v>
      </c>
      <c r="HF41" s="139">
        <v>312730</v>
      </c>
      <c r="HG41" s="139">
        <v>53677</v>
      </c>
      <c r="HH41" s="139">
        <v>19056</v>
      </c>
      <c r="HI41" s="139">
        <v>167723</v>
      </c>
      <c r="HJ41" s="139">
        <v>317405</v>
      </c>
      <c r="HK41" s="139">
        <v>870591</v>
      </c>
      <c r="HL41" s="139">
        <v>0</v>
      </c>
      <c r="HM41" s="139">
        <v>0</v>
      </c>
      <c r="HN41" s="139">
        <v>0</v>
      </c>
      <c r="HO41" s="139">
        <v>0</v>
      </c>
      <c r="HP41" s="139">
        <v>0</v>
      </c>
      <c r="HQ41" s="139">
        <v>0</v>
      </c>
      <c r="HR41" s="149">
        <v>198451</v>
      </c>
      <c r="HS41" s="139">
        <v>19330</v>
      </c>
      <c r="HT41" s="139">
        <v>8759</v>
      </c>
      <c r="HU41" s="139">
        <v>201444</v>
      </c>
      <c r="HV41" s="139">
        <v>209993</v>
      </c>
      <c r="HW41" s="139">
        <v>637977</v>
      </c>
      <c r="HX41" s="139">
        <v>78485</v>
      </c>
      <c r="HY41" s="139">
        <v>2422</v>
      </c>
      <c r="HZ41" s="139">
        <v>0</v>
      </c>
      <c r="IA41" s="139">
        <v>0</v>
      </c>
      <c r="IB41" s="139">
        <v>3938</v>
      </c>
      <c r="IC41" s="139">
        <v>84845</v>
      </c>
      <c r="ID41" s="139">
        <v>10535</v>
      </c>
      <c r="IE41" s="139">
        <v>4430</v>
      </c>
      <c r="IF41" s="139">
        <v>4430</v>
      </c>
      <c r="IG41" s="139">
        <v>19683</v>
      </c>
      <c r="IH41" s="139">
        <v>22626</v>
      </c>
      <c r="II41" s="139">
        <v>61704</v>
      </c>
      <c r="IJ41" s="139">
        <v>8505</v>
      </c>
      <c r="IK41" s="139">
        <v>284</v>
      </c>
      <c r="IL41" s="139">
        <v>0</v>
      </c>
      <c r="IM41" s="139">
        <v>3589</v>
      </c>
      <c r="IN41" s="139">
        <v>692691</v>
      </c>
      <c r="IO41" s="139">
        <v>705069</v>
      </c>
      <c r="IP41" s="139">
        <v>2445</v>
      </c>
      <c r="IQ41" s="139">
        <v>1030</v>
      </c>
      <c r="IR41" s="139">
        <v>1008</v>
      </c>
      <c r="IS41" s="139">
        <v>4693</v>
      </c>
      <c r="IT41" s="139">
        <v>90775</v>
      </c>
      <c r="IU41" s="139">
        <v>99951</v>
      </c>
      <c r="IV41" s="139">
        <v>210060</v>
      </c>
      <c r="IW41" s="139">
        <v>38909</v>
      </c>
      <c r="IX41" s="139">
        <v>24075</v>
      </c>
      <c r="IY41" s="139">
        <v>36498</v>
      </c>
      <c r="IZ41" s="139">
        <v>187695</v>
      </c>
      <c r="JA41" s="139">
        <v>497237</v>
      </c>
      <c r="JB41" s="139">
        <v>8508602</v>
      </c>
      <c r="JC41" s="139">
        <v>2179030</v>
      </c>
      <c r="JD41" s="139">
        <v>1109132</v>
      </c>
      <c r="JE41" s="139">
        <v>5610367</v>
      </c>
      <c r="JF41" s="139">
        <v>4135512</v>
      </c>
      <c r="JG41" s="139">
        <v>21542643</v>
      </c>
      <c r="JH41" s="139">
        <v>0</v>
      </c>
      <c r="JI41" s="139">
        <v>0</v>
      </c>
      <c r="JJ41" s="139">
        <v>0</v>
      </c>
      <c r="JK41" s="139">
        <v>0</v>
      </c>
      <c r="JL41" s="139">
        <v>0</v>
      </c>
      <c r="JM41" s="139">
        <v>0</v>
      </c>
      <c r="JN41" s="139">
        <v>8508602</v>
      </c>
      <c r="JO41" s="139">
        <v>2179030</v>
      </c>
      <c r="JP41" s="139">
        <v>1109132</v>
      </c>
      <c r="JQ41" s="139">
        <v>5610367</v>
      </c>
      <c r="JR41" s="139">
        <v>4135512</v>
      </c>
      <c r="JS41" s="139">
        <v>21542643</v>
      </c>
      <c r="JU41" s="70">
        <f t="shared" si="80"/>
        <v>3529934</v>
      </c>
      <c r="JV41" s="70">
        <f t="shared" si="81"/>
        <v>0</v>
      </c>
      <c r="JW41" s="70">
        <f t="shared" si="82"/>
        <v>0</v>
      </c>
      <c r="JX41" s="70">
        <f t="shared" si="83"/>
        <v>0</v>
      </c>
      <c r="JY41" s="70">
        <f t="shared" si="84"/>
        <v>1760650</v>
      </c>
      <c r="JZ41" s="70">
        <f t="shared" si="85"/>
        <v>0</v>
      </c>
      <c r="KA41" s="70">
        <f t="shared" si="86"/>
        <v>6638074</v>
      </c>
      <c r="KB41" s="70">
        <f t="shared" si="87"/>
        <v>0</v>
      </c>
      <c r="KC41" s="70">
        <f t="shared" si="88"/>
        <v>0</v>
      </c>
      <c r="KD41" s="70">
        <f t="shared" si="89"/>
        <v>0</v>
      </c>
      <c r="KE41" s="70">
        <f t="shared" si="90"/>
        <v>0</v>
      </c>
      <c r="KF41" s="70">
        <f t="shared" si="91"/>
        <v>0</v>
      </c>
      <c r="KG41" s="70">
        <f t="shared" si="92"/>
        <v>5587689</v>
      </c>
      <c r="KH41" s="70">
        <f t="shared" si="93"/>
        <v>0</v>
      </c>
      <c r="KI41" s="70">
        <f t="shared" si="94"/>
        <v>61704</v>
      </c>
      <c r="KJ41" s="70">
        <f t="shared" si="95"/>
        <v>0</v>
      </c>
      <c r="KK41" s="70">
        <f t="shared" si="96"/>
        <v>1985045</v>
      </c>
      <c r="KL41" s="70">
        <f t="shared" si="97"/>
        <v>0</v>
      </c>
      <c r="KM41" s="70">
        <f t="shared" si="98"/>
        <v>41435</v>
      </c>
      <c r="KN41" s="70">
        <f t="shared" si="99"/>
        <v>0</v>
      </c>
      <c r="KO41" s="70">
        <f t="shared" si="100"/>
        <v>522999</v>
      </c>
      <c r="KP41" s="70">
        <f t="shared" si="101"/>
        <v>0</v>
      </c>
      <c r="KQ41" s="70">
        <f t="shared" si="102"/>
        <v>970306</v>
      </c>
      <c r="KR41" s="70">
        <f t="shared" si="103"/>
        <v>0</v>
      </c>
      <c r="KS41" s="70">
        <f t="shared" si="104"/>
        <v>0</v>
      </c>
      <c r="KT41" s="70">
        <f t="shared" si="105"/>
        <v>0</v>
      </c>
      <c r="KU41" s="70">
        <f t="shared" si="106"/>
        <v>32302</v>
      </c>
      <c r="KV41" s="70">
        <f t="shared" si="107"/>
        <v>0</v>
      </c>
      <c r="KW41" s="70">
        <f t="shared" si="108"/>
        <v>166976</v>
      </c>
      <c r="KX41" s="70">
        <f t="shared" si="109"/>
        <v>0</v>
      </c>
      <c r="KY41" s="70">
        <f t="shared" si="110"/>
        <v>21297114</v>
      </c>
      <c r="KZ41" s="70">
        <f t="shared" si="111"/>
        <v>0</v>
      </c>
      <c r="LA41" s="70">
        <f t="shared" si="150"/>
        <v>4291975</v>
      </c>
      <c r="LB41" s="70">
        <f t="shared" si="112"/>
        <v>0</v>
      </c>
      <c r="LC41" s="70">
        <f t="shared" si="113"/>
        <v>397971</v>
      </c>
      <c r="LD41" s="70">
        <f t="shared" si="114"/>
        <v>0</v>
      </c>
      <c r="LE41" s="70">
        <f t="shared" si="115"/>
        <v>5274760</v>
      </c>
      <c r="LF41" s="70">
        <f t="shared" si="116"/>
        <v>0</v>
      </c>
      <c r="LG41" s="70">
        <f t="shared" si="78"/>
        <v>0</v>
      </c>
      <c r="LH41" s="70">
        <f t="shared" si="79"/>
        <v>0</v>
      </c>
      <c r="LI41" s="70">
        <f t="shared" si="151"/>
        <v>2118352</v>
      </c>
      <c r="LJ41" s="70">
        <f t="shared" si="152"/>
        <v>0</v>
      </c>
      <c r="LK41" s="70">
        <f t="shared" si="153"/>
        <v>0</v>
      </c>
      <c r="LL41" s="70">
        <f t="shared" si="154"/>
        <v>0</v>
      </c>
      <c r="LM41" s="70">
        <f t="shared" si="117"/>
        <v>28781</v>
      </c>
      <c r="LN41" s="70">
        <f t="shared" si="118"/>
        <v>0</v>
      </c>
      <c r="LO41" s="70">
        <f t="shared" si="119"/>
        <v>428973</v>
      </c>
      <c r="LP41" s="70">
        <f t="shared" si="120"/>
        <v>0</v>
      </c>
      <c r="LQ41" s="70">
        <f t="shared" si="121"/>
        <v>2402247</v>
      </c>
      <c r="LR41" s="70">
        <f t="shared" si="122"/>
        <v>0</v>
      </c>
      <c r="LS41" s="70">
        <f t="shared" si="123"/>
        <v>1547112</v>
      </c>
      <c r="LT41" s="70">
        <f t="shared" si="124"/>
        <v>0</v>
      </c>
      <c r="LU41" s="70">
        <f t="shared" si="125"/>
        <v>2095098</v>
      </c>
      <c r="LV41" s="70">
        <f t="shared" si="126"/>
        <v>0</v>
      </c>
      <c r="LW41" s="70">
        <f t="shared" si="127"/>
        <v>870591</v>
      </c>
      <c r="LX41" s="70">
        <f t="shared" si="128"/>
        <v>0</v>
      </c>
      <c r="LY41" s="70">
        <f t="shared" si="129"/>
        <v>0</v>
      </c>
      <c r="LZ41" s="70">
        <f t="shared" si="130"/>
        <v>0</v>
      </c>
      <c r="MA41" s="70">
        <f t="shared" si="131"/>
        <v>637977</v>
      </c>
      <c r="MB41" s="70">
        <f t="shared" si="132"/>
        <v>0</v>
      </c>
      <c r="MC41" s="70">
        <f t="shared" si="133"/>
        <v>84845</v>
      </c>
      <c r="MD41" s="70">
        <f t="shared" si="134"/>
        <v>0</v>
      </c>
      <c r="ME41" s="70">
        <f t="shared" si="135"/>
        <v>61704</v>
      </c>
      <c r="MF41" s="70">
        <f t="shared" si="136"/>
        <v>0</v>
      </c>
      <c r="MG41" s="70">
        <f t="shared" si="137"/>
        <v>705069</v>
      </c>
      <c r="MH41" s="70">
        <f t="shared" si="138"/>
        <v>0</v>
      </c>
      <c r="MI41" s="70">
        <f t="shared" si="139"/>
        <v>99951</v>
      </c>
      <c r="MJ41" s="70">
        <f t="shared" si="140"/>
        <v>0</v>
      </c>
      <c r="MK41" s="70">
        <f t="shared" si="141"/>
        <v>497237</v>
      </c>
      <c r="ML41" s="70">
        <f t="shared" si="142"/>
        <v>0</v>
      </c>
      <c r="MM41" s="70">
        <f t="shared" si="143"/>
        <v>21542643</v>
      </c>
      <c r="MN41" s="70">
        <f t="shared" si="144"/>
        <v>0</v>
      </c>
      <c r="MO41" s="70">
        <f t="shared" si="145"/>
        <v>0</v>
      </c>
      <c r="MP41" s="70">
        <f t="shared" si="146"/>
        <v>0</v>
      </c>
      <c r="MQ41" s="70">
        <f t="shared" si="147"/>
        <v>21542643</v>
      </c>
      <c r="MR41" s="70">
        <f t="shared" si="148"/>
        <v>0</v>
      </c>
      <c r="MT41" s="70">
        <f t="shared" si="149"/>
        <v>0</v>
      </c>
      <c r="MV41" s="68">
        <f t="shared" si="77"/>
        <v>0</v>
      </c>
    </row>
    <row r="42" spans="1:360" x14ac:dyDescent="0.15">
      <c r="A42" s="182" t="s">
        <v>339</v>
      </c>
      <c r="B42" s="76" t="s">
        <v>424</v>
      </c>
      <c r="C42" s="90">
        <v>159647</v>
      </c>
      <c r="D42" s="90">
        <v>2014</v>
      </c>
      <c r="E42" s="90">
        <v>1</v>
      </c>
      <c r="F42" s="91">
        <v>8</v>
      </c>
      <c r="G42" s="92">
        <v>3550</v>
      </c>
      <c r="H42" s="92">
        <v>2723</v>
      </c>
      <c r="I42" s="93">
        <v>154009510</v>
      </c>
      <c r="J42" s="93">
        <v>155721249</v>
      </c>
      <c r="K42" s="93">
        <v>0</v>
      </c>
      <c r="L42" s="93">
        <v>0</v>
      </c>
      <c r="M42" s="93">
        <v>1977668</v>
      </c>
      <c r="N42" s="93">
        <v>1397759</v>
      </c>
      <c r="O42" s="93">
        <v>9000000</v>
      </c>
      <c r="P42" s="93">
        <v>0</v>
      </c>
      <c r="Q42" s="93">
        <v>79284375</v>
      </c>
      <c r="R42" s="93">
        <v>72262059</v>
      </c>
      <c r="S42" s="93">
        <v>127787543</v>
      </c>
      <c r="T42" s="93">
        <v>126353582</v>
      </c>
      <c r="U42" s="93">
        <v>14660</v>
      </c>
      <c r="V42" s="93">
        <v>13952</v>
      </c>
      <c r="W42" s="93">
        <v>23432</v>
      </c>
      <c r="X42" s="93">
        <v>20621</v>
      </c>
      <c r="Y42" s="93">
        <v>18927</v>
      </c>
      <c r="Z42" s="93">
        <v>17127</v>
      </c>
      <c r="AA42" s="93">
        <v>30066</v>
      </c>
      <c r="AB42" s="93">
        <v>26748</v>
      </c>
      <c r="AC42" s="114">
        <v>7</v>
      </c>
      <c r="AD42" s="114">
        <v>9</v>
      </c>
      <c r="AE42" s="114">
        <v>0</v>
      </c>
      <c r="AF42" s="115">
        <v>2540646</v>
      </c>
      <c r="AG42" s="115">
        <v>1675891</v>
      </c>
      <c r="AH42" s="115">
        <v>213297</v>
      </c>
      <c r="AI42" s="115">
        <v>86668</v>
      </c>
      <c r="AJ42" s="115">
        <v>308402.88888888888</v>
      </c>
      <c r="AK42" s="116">
        <v>4.5</v>
      </c>
      <c r="AL42" s="115">
        <v>277562.59999999998</v>
      </c>
      <c r="AM42" s="116">
        <v>5</v>
      </c>
      <c r="AN42" s="115">
        <v>96860.833333333328</v>
      </c>
      <c r="AO42" s="116">
        <v>6</v>
      </c>
      <c r="AP42" s="115">
        <v>83023.571428571435</v>
      </c>
      <c r="AQ42" s="116">
        <v>7</v>
      </c>
      <c r="AR42" s="115">
        <v>113914.83870967742</v>
      </c>
      <c r="AS42" s="116">
        <v>15.5</v>
      </c>
      <c r="AT42" s="115">
        <v>103863.5294117647</v>
      </c>
      <c r="AU42" s="116">
        <v>17</v>
      </c>
      <c r="AV42" s="115">
        <v>42568.476190476191</v>
      </c>
      <c r="AW42" s="116">
        <v>10.5</v>
      </c>
      <c r="AX42" s="115">
        <v>37247.416666666664</v>
      </c>
      <c r="AY42" s="116">
        <v>12</v>
      </c>
      <c r="AZ42" s="139">
        <v>1678855</v>
      </c>
      <c r="BA42" s="139">
        <v>217927</v>
      </c>
      <c r="BB42" s="139">
        <v>75698</v>
      </c>
      <c r="BC42" s="139">
        <v>46853</v>
      </c>
      <c r="BD42" s="139">
        <v>0</v>
      </c>
      <c r="BE42" s="139">
        <v>2019333</v>
      </c>
      <c r="BF42" s="139">
        <v>0</v>
      </c>
      <c r="BG42" s="139">
        <v>0</v>
      </c>
      <c r="BH42" s="139">
        <v>0</v>
      </c>
      <c r="BI42" s="139">
        <v>0</v>
      </c>
      <c r="BJ42" s="139">
        <v>0</v>
      </c>
      <c r="BK42" s="139">
        <v>0</v>
      </c>
      <c r="BL42" s="139">
        <v>1650000</v>
      </c>
      <c r="BM42" s="139">
        <v>260000</v>
      </c>
      <c r="BN42" s="139">
        <v>38000</v>
      </c>
      <c r="BO42" s="139">
        <v>17300</v>
      </c>
      <c r="BP42" s="139">
        <v>0</v>
      </c>
      <c r="BQ42" s="139">
        <v>1965300</v>
      </c>
      <c r="BR42" s="139">
        <v>717078</v>
      </c>
      <c r="BS42" s="139">
        <v>569539</v>
      </c>
      <c r="BT42" s="139">
        <v>147415</v>
      </c>
      <c r="BU42" s="139">
        <v>206879</v>
      </c>
      <c r="BV42" s="139">
        <v>1447993</v>
      </c>
      <c r="BW42" s="139">
        <v>3088904</v>
      </c>
      <c r="BX42" s="139">
        <v>0</v>
      </c>
      <c r="BY42" s="139">
        <v>0</v>
      </c>
      <c r="BZ42" s="139">
        <v>0</v>
      </c>
      <c r="CA42" s="139">
        <v>0</v>
      </c>
      <c r="CB42" s="139">
        <v>0</v>
      </c>
      <c r="CC42" s="139">
        <v>0</v>
      </c>
      <c r="CD42" s="139">
        <v>0</v>
      </c>
      <c r="CE42" s="139">
        <v>0</v>
      </c>
      <c r="CF42" s="139">
        <v>0</v>
      </c>
      <c r="CG42" s="139">
        <v>0</v>
      </c>
      <c r="CH42" s="139">
        <v>0</v>
      </c>
      <c r="CI42" s="139">
        <v>0</v>
      </c>
      <c r="CJ42" s="139">
        <v>1667342</v>
      </c>
      <c r="CK42" s="139">
        <v>980347</v>
      </c>
      <c r="CL42" s="139">
        <v>1051661</v>
      </c>
      <c r="CM42" s="139">
        <v>3598438</v>
      </c>
      <c r="CN42" s="139">
        <v>274439</v>
      </c>
      <c r="CO42" s="139">
        <v>7572227</v>
      </c>
      <c r="CP42" s="139">
        <v>0</v>
      </c>
      <c r="CQ42" s="139">
        <v>0</v>
      </c>
      <c r="CR42" s="139">
        <v>0</v>
      </c>
      <c r="CS42" s="139">
        <v>0</v>
      </c>
      <c r="CT42" s="139">
        <v>2079145</v>
      </c>
      <c r="CU42" s="139">
        <v>2079145</v>
      </c>
      <c r="CV42" s="139">
        <v>304791</v>
      </c>
      <c r="CW42" s="139">
        <v>262222</v>
      </c>
      <c r="CX42" s="139">
        <v>209221</v>
      </c>
      <c r="CY42" s="139">
        <v>586327</v>
      </c>
      <c r="CZ42" s="139">
        <v>869324</v>
      </c>
      <c r="DA42" s="139">
        <v>2231885</v>
      </c>
      <c r="DB42" s="139">
        <v>0</v>
      </c>
      <c r="DC42" s="139">
        <v>0</v>
      </c>
      <c r="DD42" s="139">
        <v>0</v>
      </c>
      <c r="DE42" s="139">
        <v>0</v>
      </c>
      <c r="DF42" s="139">
        <v>0</v>
      </c>
      <c r="DG42" s="139">
        <v>0</v>
      </c>
      <c r="DH42" s="139">
        <v>29990</v>
      </c>
      <c r="DI42" s="139">
        <v>7632</v>
      </c>
      <c r="DJ42" s="139">
        <v>2286</v>
      </c>
      <c r="DK42" s="139">
        <v>1046</v>
      </c>
      <c r="DL42" s="139">
        <v>78629</v>
      </c>
      <c r="DM42" s="139">
        <v>119583</v>
      </c>
      <c r="DN42" s="139">
        <v>0</v>
      </c>
      <c r="DO42" s="139">
        <v>0</v>
      </c>
      <c r="DP42" s="139">
        <v>0</v>
      </c>
      <c r="DQ42" s="139">
        <v>0</v>
      </c>
      <c r="DR42" s="139">
        <v>192054</v>
      </c>
      <c r="DS42" s="139">
        <v>192054</v>
      </c>
      <c r="DT42" s="139">
        <v>0</v>
      </c>
      <c r="DU42" s="139">
        <v>0</v>
      </c>
      <c r="DV42" s="139">
        <v>0</v>
      </c>
      <c r="DW42" s="139">
        <v>0</v>
      </c>
      <c r="DX42" s="139">
        <v>0</v>
      </c>
      <c r="DY42" s="139">
        <v>0</v>
      </c>
      <c r="DZ42" s="139">
        <v>0</v>
      </c>
      <c r="EA42" s="139">
        <v>0</v>
      </c>
      <c r="EB42" s="139">
        <v>0</v>
      </c>
      <c r="EC42" s="139">
        <v>0</v>
      </c>
      <c r="ED42" s="139">
        <v>0</v>
      </c>
      <c r="EE42" s="139">
        <v>0</v>
      </c>
      <c r="EF42" s="139">
        <v>0</v>
      </c>
      <c r="EG42" s="139">
        <v>0</v>
      </c>
      <c r="EH42" s="139">
        <v>0</v>
      </c>
      <c r="EI42" s="139">
        <v>0</v>
      </c>
      <c r="EJ42" s="139">
        <v>9270</v>
      </c>
      <c r="EK42" s="139">
        <v>9270</v>
      </c>
      <c r="EL42" s="139">
        <v>6048056</v>
      </c>
      <c r="EM42" s="139">
        <v>2297667</v>
      </c>
      <c r="EN42" s="139">
        <v>1524281</v>
      </c>
      <c r="EO42" s="139">
        <v>4456843</v>
      </c>
      <c r="EP42" s="139">
        <v>4950854</v>
      </c>
      <c r="EQ42" s="139">
        <v>19277701</v>
      </c>
      <c r="ER42" s="139">
        <v>1595292</v>
      </c>
      <c r="ES42" s="139">
        <v>324133</v>
      </c>
      <c r="ET42" s="139">
        <v>292494</v>
      </c>
      <c r="EU42" s="139">
        <v>2381810</v>
      </c>
      <c r="EV42" s="139">
        <v>0</v>
      </c>
      <c r="EW42" s="139">
        <v>4593729</v>
      </c>
      <c r="EX42" s="139">
        <v>475000</v>
      </c>
      <c r="EY42" s="139">
        <v>138228</v>
      </c>
      <c r="EZ42" s="139">
        <v>14089</v>
      </c>
      <c r="FA42" s="139">
        <v>13963</v>
      </c>
      <c r="FB42" s="139">
        <v>0</v>
      </c>
      <c r="FC42" s="139">
        <v>641280</v>
      </c>
      <c r="FD42" s="139">
        <v>1745936</v>
      </c>
      <c r="FE42" s="139">
        <v>1030439</v>
      </c>
      <c r="FF42" s="139">
        <v>539679</v>
      </c>
      <c r="FG42" s="139">
        <v>865573</v>
      </c>
      <c r="FH42" s="139">
        <v>0</v>
      </c>
      <c r="FI42" s="139">
        <v>4181627</v>
      </c>
      <c r="FJ42" s="139">
        <v>0</v>
      </c>
      <c r="FK42" s="139">
        <v>0</v>
      </c>
      <c r="FL42" s="139">
        <v>0</v>
      </c>
      <c r="FM42" s="139">
        <v>0</v>
      </c>
      <c r="FN42" s="139">
        <v>0</v>
      </c>
      <c r="FO42" s="139">
        <v>0</v>
      </c>
      <c r="FP42" s="139">
        <v>221917</v>
      </c>
      <c r="FQ42" s="139">
        <v>100128</v>
      </c>
      <c r="FR42" s="139">
        <v>79601</v>
      </c>
      <c r="FS42" s="139">
        <v>41991</v>
      </c>
      <c r="FT42" s="139">
        <v>1230184</v>
      </c>
      <c r="FU42" s="139">
        <v>1673821</v>
      </c>
      <c r="FV42" s="139">
        <v>0</v>
      </c>
      <c r="FW42" s="139">
        <v>0</v>
      </c>
      <c r="FX42" s="139">
        <v>0</v>
      </c>
      <c r="FY42" s="139">
        <v>0</v>
      </c>
      <c r="FZ42" s="139">
        <v>0</v>
      </c>
      <c r="GA42" s="139">
        <v>0</v>
      </c>
      <c r="GB42" s="139">
        <v>0</v>
      </c>
      <c r="GC42" s="139">
        <v>0</v>
      </c>
      <c r="GD42" s="139">
        <v>56025</v>
      </c>
      <c r="GE42" s="139">
        <v>0</v>
      </c>
      <c r="GF42" s="139">
        <v>45000</v>
      </c>
      <c r="GG42" s="139">
        <v>101025</v>
      </c>
      <c r="GH42" s="139">
        <v>137889</v>
      </c>
      <c r="GI42" s="139">
        <v>49665</v>
      </c>
      <c r="GJ42" s="139">
        <v>39877</v>
      </c>
      <c r="GK42" s="139">
        <v>72534</v>
      </c>
      <c r="GL42" s="139">
        <v>6430</v>
      </c>
      <c r="GM42" s="139">
        <v>306395</v>
      </c>
      <c r="GN42" s="139">
        <v>743198</v>
      </c>
      <c r="GO42" s="139">
        <v>219991</v>
      </c>
      <c r="GP42" s="139">
        <v>215599</v>
      </c>
      <c r="GQ42" s="139">
        <v>619174</v>
      </c>
      <c r="GR42" s="139">
        <v>14755</v>
      </c>
      <c r="GS42" s="139">
        <v>1812717</v>
      </c>
      <c r="GT42" s="139">
        <v>643076</v>
      </c>
      <c r="GU42" s="139">
        <v>118658</v>
      </c>
      <c r="GV42" s="139">
        <v>46267</v>
      </c>
      <c r="GW42" s="139">
        <v>329813</v>
      </c>
      <c r="GX42" s="139">
        <v>801480</v>
      </c>
      <c r="GY42" s="139">
        <v>1939294</v>
      </c>
      <c r="GZ42" s="139">
        <v>98474</v>
      </c>
      <c r="HA42" s="139">
        <v>116706</v>
      </c>
      <c r="HB42" s="139">
        <v>76900</v>
      </c>
      <c r="HC42" s="139">
        <v>79460</v>
      </c>
      <c r="HD42" s="139">
        <v>91955</v>
      </c>
      <c r="HE42" s="139">
        <v>463495</v>
      </c>
      <c r="HF42" s="139">
        <v>22435</v>
      </c>
      <c r="HG42" s="139">
        <v>2628</v>
      </c>
      <c r="HH42" s="139">
        <v>1998</v>
      </c>
      <c r="HI42" s="139">
        <v>10535</v>
      </c>
      <c r="HJ42" s="139">
        <v>233198</v>
      </c>
      <c r="HK42" s="139">
        <v>270794</v>
      </c>
      <c r="HL42" s="139">
        <v>0</v>
      </c>
      <c r="HM42" s="139">
        <v>0</v>
      </c>
      <c r="HN42" s="139">
        <v>0</v>
      </c>
      <c r="HO42" s="139">
        <v>0</v>
      </c>
      <c r="HP42" s="139">
        <v>0</v>
      </c>
      <c r="HQ42" s="139">
        <v>0</v>
      </c>
      <c r="HR42" s="139">
        <v>133163</v>
      </c>
      <c r="HS42" s="139">
        <v>29259</v>
      </c>
      <c r="HT42" s="139">
        <v>18608</v>
      </c>
      <c r="HU42" s="139">
        <v>15692</v>
      </c>
      <c r="HV42" s="139">
        <v>325595</v>
      </c>
      <c r="HW42" s="139">
        <v>522317</v>
      </c>
      <c r="HX42" s="139">
        <v>0</v>
      </c>
      <c r="HY42" s="139">
        <v>0</v>
      </c>
      <c r="HZ42" s="139">
        <v>0</v>
      </c>
      <c r="IA42" s="139">
        <v>0</v>
      </c>
      <c r="IB42" s="139">
        <v>0</v>
      </c>
      <c r="IC42" s="139">
        <v>0</v>
      </c>
      <c r="ID42" s="139">
        <v>0</v>
      </c>
      <c r="IE42" s="139">
        <v>0</v>
      </c>
      <c r="IF42" s="139">
        <v>0</v>
      </c>
      <c r="IG42" s="139">
        <v>0</v>
      </c>
      <c r="IH42" s="139">
        <v>2079145</v>
      </c>
      <c r="II42" s="139">
        <v>2079145</v>
      </c>
      <c r="IJ42" s="139">
        <v>0</v>
      </c>
      <c r="IK42" s="139">
        <v>0</v>
      </c>
      <c r="IL42" s="139">
        <v>0</v>
      </c>
      <c r="IM42" s="139">
        <v>0</v>
      </c>
      <c r="IN42" s="139">
        <v>230553</v>
      </c>
      <c r="IO42" s="139">
        <v>230553</v>
      </c>
      <c r="IP42" s="139">
        <v>1750</v>
      </c>
      <c r="IQ42" s="139">
        <v>3015</v>
      </c>
      <c r="IR42" s="139">
        <v>653</v>
      </c>
      <c r="IS42" s="139">
        <v>2351</v>
      </c>
      <c r="IT42" s="139">
        <v>277631</v>
      </c>
      <c r="IU42" s="139">
        <v>285400</v>
      </c>
      <c r="IV42" s="139">
        <v>17576</v>
      </c>
      <c r="IW42" s="139">
        <v>31067</v>
      </c>
      <c r="IX42" s="139">
        <v>11266</v>
      </c>
      <c r="IY42" s="139">
        <v>7826</v>
      </c>
      <c r="IZ42" s="139">
        <v>69690</v>
      </c>
      <c r="JA42" s="139">
        <v>137425</v>
      </c>
      <c r="JB42" s="139">
        <v>5835706</v>
      </c>
      <c r="JC42" s="139">
        <v>2163917</v>
      </c>
      <c r="JD42" s="139">
        <v>1393056</v>
      </c>
      <c r="JE42" s="139">
        <v>4063530</v>
      </c>
      <c r="JF42" s="139">
        <v>5782808</v>
      </c>
      <c r="JG42" s="139">
        <v>19239017</v>
      </c>
      <c r="JH42" s="139">
        <v>0</v>
      </c>
      <c r="JI42" s="139">
        <v>0</v>
      </c>
      <c r="JJ42" s="139">
        <v>0</v>
      </c>
      <c r="JK42" s="139">
        <v>0</v>
      </c>
      <c r="JL42" s="139">
        <v>0</v>
      </c>
      <c r="JM42" s="139">
        <v>0</v>
      </c>
      <c r="JN42" s="139">
        <v>5835706</v>
      </c>
      <c r="JO42" s="139">
        <v>2163917</v>
      </c>
      <c r="JP42" s="139">
        <v>1393056</v>
      </c>
      <c r="JQ42" s="139">
        <v>4063530</v>
      </c>
      <c r="JR42" s="139">
        <v>5782808</v>
      </c>
      <c r="JS42" s="139">
        <v>19239017</v>
      </c>
      <c r="JU42" s="70">
        <f t="shared" si="80"/>
        <v>2019333</v>
      </c>
      <c r="JV42" s="70">
        <f t="shared" si="81"/>
        <v>0</v>
      </c>
      <c r="JW42" s="70">
        <f t="shared" si="82"/>
        <v>0</v>
      </c>
      <c r="JX42" s="70">
        <f t="shared" si="83"/>
        <v>0</v>
      </c>
      <c r="JY42" s="70">
        <f t="shared" si="84"/>
        <v>1965300</v>
      </c>
      <c r="JZ42" s="70">
        <f t="shared" si="85"/>
        <v>0</v>
      </c>
      <c r="KA42" s="70">
        <f t="shared" si="86"/>
        <v>3088904</v>
      </c>
      <c r="KB42" s="70">
        <f t="shared" si="87"/>
        <v>0</v>
      </c>
      <c r="KC42" s="70">
        <f t="shared" si="88"/>
        <v>0</v>
      </c>
      <c r="KD42" s="70">
        <f t="shared" si="89"/>
        <v>0</v>
      </c>
      <c r="KE42" s="70">
        <f t="shared" si="90"/>
        <v>0</v>
      </c>
      <c r="KF42" s="70">
        <f t="shared" si="91"/>
        <v>0</v>
      </c>
      <c r="KG42" s="70">
        <f t="shared" si="92"/>
        <v>7572227</v>
      </c>
      <c r="KH42" s="70">
        <f t="shared" si="93"/>
        <v>0</v>
      </c>
      <c r="KI42" s="70">
        <f t="shared" si="94"/>
        <v>2079145</v>
      </c>
      <c r="KJ42" s="70">
        <f t="shared" si="95"/>
        <v>0</v>
      </c>
      <c r="KK42" s="70">
        <f t="shared" si="96"/>
        <v>2231885</v>
      </c>
      <c r="KL42" s="70">
        <f t="shared" si="97"/>
        <v>0</v>
      </c>
      <c r="KM42" s="70">
        <f t="shared" si="98"/>
        <v>0</v>
      </c>
      <c r="KN42" s="70">
        <f t="shared" si="99"/>
        <v>0</v>
      </c>
      <c r="KO42" s="70">
        <f t="shared" si="100"/>
        <v>119583</v>
      </c>
      <c r="KP42" s="70">
        <f t="shared" si="101"/>
        <v>0</v>
      </c>
      <c r="KQ42" s="70">
        <f t="shared" si="102"/>
        <v>192054</v>
      </c>
      <c r="KR42" s="70">
        <f t="shared" si="103"/>
        <v>0</v>
      </c>
      <c r="KS42" s="70">
        <f t="shared" si="104"/>
        <v>0</v>
      </c>
      <c r="KT42" s="70">
        <f t="shared" si="105"/>
        <v>0</v>
      </c>
      <c r="KU42" s="70">
        <f t="shared" si="106"/>
        <v>0</v>
      </c>
      <c r="KV42" s="70">
        <f t="shared" si="107"/>
        <v>0</v>
      </c>
      <c r="KW42" s="70">
        <f t="shared" si="108"/>
        <v>9270</v>
      </c>
      <c r="KX42" s="70">
        <f t="shared" si="109"/>
        <v>0</v>
      </c>
      <c r="KY42" s="70">
        <f t="shared" si="110"/>
        <v>19277701</v>
      </c>
      <c r="KZ42" s="70">
        <f t="shared" si="111"/>
        <v>0</v>
      </c>
      <c r="LA42" s="70">
        <f t="shared" si="150"/>
        <v>4593729</v>
      </c>
      <c r="LB42" s="70">
        <f t="shared" si="112"/>
        <v>0</v>
      </c>
      <c r="LC42" s="70">
        <f t="shared" si="113"/>
        <v>641280</v>
      </c>
      <c r="LD42" s="70">
        <f t="shared" si="114"/>
        <v>0</v>
      </c>
      <c r="LE42" s="70">
        <f t="shared" si="115"/>
        <v>4181627</v>
      </c>
      <c r="LF42" s="70">
        <f t="shared" si="116"/>
        <v>0</v>
      </c>
      <c r="LG42" s="70">
        <f t="shared" si="78"/>
        <v>0</v>
      </c>
      <c r="LH42" s="70">
        <f t="shared" si="79"/>
        <v>0</v>
      </c>
      <c r="LI42" s="70">
        <f t="shared" si="151"/>
        <v>1673821</v>
      </c>
      <c r="LJ42" s="70">
        <f t="shared" si="152"/>
        <v>0</v>
      </c>
      <c r="LK42" s="70">
        <f t="shared" si="153"/>
        <v>0</v>
      </c>
      <c r="LL42" s="70">
        <f t="shared" si="154"/>
        <v>0</v>
      </c>
      <c r="LM42" s="70">
        <f t="shared" si="117"/>
        <v>101025</v>
      </c>
      <c r="LN42" s="70">
        <f t="shared" si="118"/>
        <v>0</v>
      </c>
      <c r="LO42" s="70">
        <f t="shared" si="119"/>
        <v>306395</v>
      </c>
      <c r="LP42" s="70">
        <f t="shared" si="120"/>
        <v>0</v>
      </c>
      <c r="LQ42" s="70">
        <f t="shared" si="121"/>
        <v>1812717</v>
      </c>
      <c r="LR42" s="70">
        <f t="shared" si="122"/>
        <v>0</v>
      </c>
      <c r="LS42" s="70">
        <f t="shared" si="123"/>
        <v>1939294</v>
      </c>
      <c r="LT42" s="70">
        <f t="shared" si="124"/>
        <v>0</v>
      </c>
      <c r="LU42" s="70">
        <f t="shared" si="125"/>
        <v>463495</v>
      </c>
      <c r="LV42" s="70">
        <f t="shared" si="126"/>
        <v>0</v>
      </c>
      <c r="LW42" s="70">
        <f t="shared" si="127"/>
        <v>270794</v>
      </c>
      <c r="LX42" s="70">
        <f t="shared" si="128"/>
        <v>0</v>
      </c>
      <c r="LY42" s="70">
        <f t="shared" si="129"/>
        <v>0</v>
      </c>
      <c r="LZ42" s="70">
        <f t="shared" si="130"/>
        <v>0</v>
      </c>
      <c r="MA42" s="70">
        <f t="shared" si="131"/>
        <v>522317</v>
      </c>
      <c r="MB42" s="70">
        <f t="shared" si="132"/>
        <v>0</v>
      </c>
      <c r="MC42" s="70">
        <f t="shared" si="133"/>
        <v>0</v>
      </c>
      <c r="MD42" s="70">
        <f t="shared" si="134"/>
        <v>0</v>
      </c>
      <c r="ME42" s="70">
        <f t="shared" si="135"/>
        <v>2079145</v>
      </c>
      <c r="MF42" s="70">
        <f t="shared" si="136"/>
        <v>0</v>
      </c>
      <c r="MG42" s="70">
        <f t="shared" si="137"/>
        <v>230553</v>
      </c>
      <c r="MH42" s="70">
        <f t="shared" si="138"/>
        <v>0</v>
      </c>
      <c r="MI42" s="70">
        <f t="shared" si="139"/>
        <v>285400</v>
      </c>
      <c r="MJ42" s="70">
        <f t="shared" si="140"/>
        <v>0</v>
      </c>
      <c r="MK42" s="70">
        <f t="shared" si="141"/>
        <v>137425</v>
      </c>
      <c r="ML42" s="70">
        <f t="shared" si="142"/>
        <v>0</v>
      </c>
      <c r="MM42" s="70">
        <f t="shared" si="143"/>
        <v>19239017</v>
      </c>
      <c r="MN42" s="70">
        <f t="shared" si="144"/>
        <v>0</v>
      </c>
      <c r="MO42" s="70">
        <f t="shared" si="145"/>
        <v>0</v>
      </c>
      <c r="MP42" s="70">
        <f t="shared" si="146"/>
        <v>0</v>
      </c>
      <c r="MQ42" s="70">
        <f t="shared" si="147"/>
        <v>19239017</v>
      </c>
      <c r="MR42" s="70">
        <f t="shared" si="148"/>
        <v>0</v>
      </c>
      <c r="MT42" s="70">
        <f t="shared" si="149"/>
        <v>0</v>
      </c>
      <c r="MV42" s="68">
        <f t="shared" si="77"/>
        <v>0</v>
      </c>
    </row>
    <row r="43" spans="1:360" x14ac:dyDescent="0.15">
      <c r="A43" s="182" t="s">
        <v>340</v>
      </c>
      <c r="B43" s="76" t="s">
        <v>424</v>
      </c>
      <c r="C43" s="90">
        <v>157289</v>
      </c>
      <c r="D43" s="90">
        <v>2014</v>
      </c>
      <c r="E43" s="90">
        <v>1</v>
      </c>
      <c r="F43" s="91">
        <v>1</v>
      </c>
      <c r="G43" s="92">
        <v>7882</v>
      </c>
      <c r="H43" s="92">
        <v>8269</v>
      </c>
      <c r="I43" s="93">
        <v>870672000</v>
      </c>
      <c r="J43" s="93">
        <v>852005000</v>
      </c>
      <c r="K43" s="93">
        <v>11499487</v>
      </c>
      <c r="L43" s="93">
        <v>11389377</v>
      </c>
      <c r="M43" s="93">
        <v>36895732</v>
      </c>
      <c r="N43" s="93">
        <v>36116860</v>
      </c>
      <c r="O43" s="93">
        <v>89809701</v>
      </c>
      <c r="P43" s="93">
        <v>97789948</v>
      </c>
      <c r="Q43" s="93">
        <v>266512745</v>
      </c>
      <c r="R43" s="93">
        <v>291472994</v>
      </c>
      <c r="S43" s="93">
        <v>680116000</v>
      </c>
      <c r="T43" s="93">
        <v>652927000</v>
      </c>
      <c r="U43" s="93">
        <v>20050</v>
      </c>
      <c r="V43" s="93">
        <v>19766</v>
      </c>
      <c r="W43" s="93">
        <v>33930</v>
      </c>
      <c r="X43" s="93">
        <v>33250</v>
      </c>
      <c r="Y43" s="93">
        <v>22832</v>
      </c>
      <c r="Z43" s="93">
        <v>22528</v>
      </c>
      <c r="AA43" s="93">
        <v>34746</v>
      </c>
      <c r="AB43" s="93">
        <v>34020</v>
      </c>
      <c r="AC43" s="114">
        <v>10</v>
      </c>
      <c r="AD43" s="114">
        <v>13</v>
      </c>
      <c r="AE43" s="114">
        <v>0</v>
      </c>
      <c r="AF43" s="115">
        <v>5053181</v>
      </c>
      <c r="AG43" s="115">
        <v>5019012</v>
      </c>
      <c r="AH43" s="115">
        <v>966269</v>
      </c>
      <c r="AI43" s="115">
        <v>407995</v>
      </c>
      <c r="AJ43" s="115">
        <v>1419945.7142857143</v>
      </c>
      <c r="AK43" s="116">
        <v>7</v>
      </c>
      <c r="AL43" s="115">
        <v>1242452.5</v>
      </c>
      <c r="AM43" s="116">
        <v>8</v>
      </c>
      <c r="AN43" s="115">
        <v>273220.5</v>
      </c>
      <c r="AO43" s="116">
        <v>10</v>
      </c>
      <c r="AP43" s="115">
        <v>248382.27272727274</v>
      </c>
      <c r="AQ43" s="116">
        <v>11</v>
      </c>
      <c r="AR43" s="115">
        <v>277979.82222222222</v>
      </c>
      <c r="AS43" s="116">
        <v>22.5</v>
      </c>
      <c r="AT43" s="115">
        <v>231649.85185185185</v>
      </c>
      <c r="AU43" s="116">
        <v>27</v>
      </c>
      <c r="AV43" s="115">
        <v>91064.651162790702</v>
      </c>
      <c r="AW43" s="116">
        <v>21.5</v>
      </c>
      <c r="AX43" s="115">
        <v>75303.461538461532</v>
      </c>
      <c r="AY43" s="116">
        <v>26</v>
      </c>
      <c r="AZ43" s="139">
        <v>13255425</v>
      </c>
      <c r="BA43" s="139">
        <v>12827219</v>
      </c>
      <c r="BB43" s="139">
        <v>732997</v>
      </c>
      <c r="BC43" s="139">
        <v>112994</v>
      </c>
      <c r="BD43" s="139">
        <v>0</v>
      </c>
      <c r="BE43" s="139">
        <v>26928635</v>
      </c>
      <c r="BF43" s="139">
        <v>0</v>
      </c>
      <c r="BG43" s="139">
        <v>0</v>
      </c>
      <c r="BH43" s="139">
        <v>0</v>
      </c>
      <c r="BI43" s="139">
        <v>0</v>
      </c>
      <c r="BJ43" s="139">
        <v>1960346</v>
      </c>
      <c r="BK43" s="139">
        <v>1960346</v>
      </c>
      <c r="BL43" s="139">
        <v>300318</v>
      </c>
      <c r="BM43" s="139">
        <v>0</v>
      </c>
      <c r="BN43" s="139">
        <v>0</v>
      </c>
      <c r="BO43" s="139">
        <v>4500</v>
      </c>
      <c r="BP43" s="139">
        <v>0</v>
      </c>
      <c r="BQ43" s="139">
        <v>304818</v>
      </c>
      <c r="BR43" s="139">
        <v>5676051</v>
      </c>
      <c r="BS43" s="139">
        <v>21690098</v>
      </c>
      <c r="BT43" s="139">
        <v>221273</v>
      </c>
      <c r="BU43" s="139">
        <v>570666</v>
      </c>
      <c r="BV43" s="139">
        <v>1221524</v>
      </c>
      <c r="BW43" s="139">
        <v>29379612</v>
      </c>
      <c r="BX43" s="139">
        <v>0</v>
      </c>
      <c r="BY43" s="139">
        <v>0</v>
      </c>
      <c r="BZ43" s="139">
        <v>0</v>
      </c>
      <c r="CA43" s="139">
        <v>0</v>
      </c>
      <c r="CB43" s="139">
        <v>0</v>
      </c>
      <c r="CC43" s="139">
        <v>0</v>
      </c>
      <c r="CD43" s="139">
        <v>0</v>
      </c>
      <c r="CE43" s="139">
        <v>0</v>
      </c>
      <c r="CF43" s="139">
        <v>0</v>
      </c>
      <c r="CG43" s="139">
        <v>0</v>
      </c>
      <c r="CH43" s="139">
        <v>0</v>
      </c>
      <c r="CI43" s="139">
        <v>0</v>
      </c>
      <c r="CJ43" s="139">
        <v>0</v>
      </c>
      <c r="CK43" s="139">
        <v>0</v>
      </c>
      <c r="CL43" s="139">
        <v>0</v>
      </c>
      <c r="CM43" s="139">
        <v>0</v>
      </c>
      <c r="CN43" s="139">
        <v>2087567</v>
      </c>
      <c r="CO43" s="139">
        <v>2087567</v>
      </c>
      <c r="CP43" s="139">
        <v>0</v>
      </c>
      <c r="CQ43" s="139">
        <v>0</v>
      </c>
      <c r="CR43" s="139">
        <v>0</v>
      </c>
      <c r="CS43" s="139">
        <v>0</v>
      </c>
      <c r="CT43" s="139">
        <v>3720686</v>
      </c>
      <c r="CU43" s="139">
        <v>3720686</v>
      </c>
      <c r="CV43" s="139">
        <v>5593880</v>
      </c>
      <c r="CW43" s="139">
        <v>2816270</v>
      </c>
      <c r="CX43" s="139">
        <v>108752</v>
      </c>
      <c r="CY43" s="139">
        <v>370410</v>
      </c>
      <c r="CZ43" s="139">
        <v>1571794</v>
      </c>
      <c r="DA43" s="139">
        <v>10461106</v>
      </c>
      <c r="DB43" s="139">
        <v>0</v>
      </c>
      <c r="DC43" s="139">
        <v>0</v>
      </c>
      <c r="DD43" s="139">
        <v>0</v>
      </c>
      <c r="DE43" s="139">
        <v>0</v>
      </c>
      <c r="DF43" s="139">
        <v>0</v>
      </c>
      <c r="DG43" s="139">
        <v>0</v>
      </c>
      <c r="DH43" s="139">
        <v>1609891</v>
      </c>
      <c r="DI43" s="139">
        <v>1048166</v>
      </c>
      <c r="DJ43" s="139">
        <v>27000</v>
      </c>
      <c r="DK43" s="139">
        <v>2380</v>
      </c>
      <c r="DL43" s="139">
        <v>396472</v>
      </c>
      <c r="DM43" s="139">
        <v>3083909</v>
      </c>
      <c r="DN43" s="139">
        <v>0</v>
      </c>
      <c r="DO43" s="139">
        <v>0</v>
      </c>
      <c r="DP43" s="139">
        <v>0</v>
      </c>
      <c r="DQ43" s="139">
        <v>0</v>
      </c>
      <c r="DR43" s="139">
        <v>4956633</v>
      </c>
      <c r="DS43" s="139">
        <v>4956633</v>
      </c>
      <c r="DT43" s="139">
        <v>0</v>
      </c>
      <c r="DU43" s="139">
        <v>0</v>
      </c>
      <c r="DV43" s="139">
        <v>0</v>
      </c>
      <c r="DW43" s="139">
        <v>0</v>
      </c>
      <c r="DX43" s="139">
        <v>0</v>
      </c>
      <c r="DY43" s="139">
        <v>0</v>
      </c>
      <c r="DZ43" s="139">
        <v>0</v>
      </c>
      <c r="EA43" s="139">
        <v>0</v>
      </c>
      <c r="EB43" s="139">
        <v>0</v>
      </c>
      <c r="EC43" s="139">
        <v>0</v>
      </c>
      <c r="ED43" s="139">
        <v>268477</v>
      </c>
      <c r="EE43" s="139">
        <v>268477</v>
      </c>
      <c r="EF43" s="139">
        <v>79845</v>
      </c>
      <c r="EG43" s="139">
        <v>2190732</v>
      </c>
      <c r="EH43" s="139">
        <v>0</v>
      </c>
      <c r="EI43" s="139">
        <v>254</v>
      </c>
      <c r="EJ43" s="139">
        <v>3322728</v>
      </c>
      <c r="EK43" s="139">
        <v>5593559</v>
      </c>
      <c r="EL43" s="139">
        <v>26515410</v>
      </c>
      <c r="EM43" s="139">
        <v>40572485</v>
      </c>
      <c r="EN43" s="139">
        <v>1090022</v>
      </c>
      <c r="EO43" s="139">
        <v>1061204</v>
      </c>
      <c r="EP43" s="139">
        <v>19506227</v>
      </c>
      <c r="EQ43" s="139">
        <v>88745348</v>
      </c>
      <c r="ER43" s="139">
        <v>2766338</v>
      </c>
      <c r="ES43" s="139">
        <v>422944</v>
      </c>
      <c r="ET43" s="139">
        <v>494981</v>
      </c>
      <c r="EU43" s="139">
        <v>6387930</v>
      </c>
      <c r="EV43" s="139">
        <v>529281</v>
      </c>
      <c r="EW43" s="139">
        <v>10601474</v>
      </c>
      <c r="EX43" s="139">
        <v>1225000</v>
      </c>
      <c r="EY43" s="139">
        <v>780000</v>
      </c>
      <c r="EZ43" s="139">
        <v>71250</v>
      </c>
      <c r="FA43" s="139">
        <v>47500</v>
      </c>
      <c r="FB43" s="139">
        <v>0</v>
      </c>
      <c r="FC43" s="139">
        <v>2123750</v>
      </c>
      <c r="FD43" s="139">
        <v>7755110</v>
      </c>
      <c r="FE43" s="139">
        <v>5662569</v>
      </c>
      <c r="FF43" s="139">
        <v>1722985</v>
      </c>
      <c r="FG43" s="139">
        <v>5743597</v>
      </c>
      <c r="FH43" s="139">
        <v>0</v>
      </c>
      <c r="FI43" s="139">
        <v>20884261</v>
      </c>
      <c r="FJ43" s="139">
        <v>0</v>
      </c>
      <c r="FK43" s="139">
        <v>0</v>
      </c>
      <c r="FL43" s="139">
        <v>0</v>
      </c>
      <c r="FM43" s="139">
        <v>0</v>
      </c>
      <c r="FN43" s="139">
        <v>0</v>
      </c>
      <c r="FO43" s="139">
        <v>0</v>
      </c>
      <c r="FP43" s="139">
        <v>1476723</v>
      </c>
      <c r="FQ43" s="139">
        <v>670576</v>
      </c>
      <c r="FR43" s="139">
        <v>168887</v>
      </c>
      <c r="FS43" s="139">
        <v>562566</v>
      </c>
      <c r="FT43" s="139">
        <v>11965568</v>
      </c>
      <c r="FU43" s="139">
        <v>14844320</v>
      </c>
      <c r="FV43" s="139">
        <v>0</v>
      </c>
      <c r="FW43" s="139">
        <v>0</v>
      </c>
      <c r="FX43" s="139">
        <v>0</v>
      </c>
      <c r="FY43" s="139">
        <v>0</v>
      </c>
      <c r="FZ43" s="139">
        <v>0</v>
      </c>
      <c r="GA43" s="139">
        <v>0</v>
      </c>
      <c r="GB43" s="139">
        <v>0</v>
      </c>
      <c r="GC43" s="139">
        <v>0</v>
      </c>
      <c r="GD43" s="139">
        <v>0</v>
      </c>
      <c r="GE43" s="139">
        <v>0</v>
      </c>
      <c r="GF43" s="139">
        <v>0</v>
      </c>
      <c r="GG43" s="139">
        <v>0</v>
      </c>
      <c r="GH43" s="139">
        <v>303474</v>
      </c>
      <c r="GI43" s="139">
        <v>533763</v>
      </c>
      <c r="GJ43" s="139">
        <v>97716</v>
      </c>
      <c r="GK43" s="139">
        <v>439311</v>
      </c>
      <c r="GL43" s="139">
        <v>0</v>
      </c>
      <c r="GM43" s="139">
        <v>1374264</v>
      </c>
      <c r="GN43" s="139">
        <v>1492344</v>
      </c>
      <c r="GO43" s="139">
        <v>1370600</v>
      </c>
      <c r="GP43" s="139">
        <v>539804</v>
      </c>
      <c r="GQ43" s="139">
        <v>2706723</v>
      </c>
      <c r="GR43" s="139">
        <v>0</v>
      </c>
      <c r="GS43" s="139">
        <v>6109471</v>
      </c>
      <c r="GT43" s="139">
        <v>741904</v>
      </c>
      <c r="GU43" s="139">
        <v>250665</v>
      </c>
      <c r="GV43" s="139">
        <v>27423</v>
      </c>
      <c r="GW43" s="139">
        <v>535967</v>
      </c>
      <c r="GX43" s="139">
        <v>804362</v>
      </c>
      <c r="GY43" s="139">
        <v>2360321</v>
      </c>
      <c r="GZ43" s="139">
        <v>2091628</v>
      </c>
      <c r="HA43" s="139">
        <v>457838</v>
      </c>
      <c r="HB43" s="139">
        <v>216968</v>
      </c>
      <c r="HC43" s="139">
        <v>804778</v>
      </c>
      <c r="HD43" s="139">
        <v>35160</v>
      </c>
      <c r="HE43" s="139">
        <v>3606372</v>
      </c>
      <c r="HF43" s="139">
        <v>68881</v>
      </c>
      <c r="HG43" s="139">
        <v>41538</v>
      </c>
      <c r="HH43" s="139">
        <v>15382</v>
      </c>
      <c r="HI43" s="139">
        <v>54391</v>
      </c>
      <c r="HJ43" s="139">
        <v>383219</v>
      </c>
      <c r="HK43" s="139">
        <v>563411</v>
      </c>
      <c r="HL43" s="139">
        <v>0</v>
      </c>
      <c r="HM43" s="139">
        <v>0</v>
      </c>
      <c r="HN43" s="139">
        <v>0</v>
      </c>
      <c r="HO43" s="139">
        <v>0</v>
      </c>
      <c r="HP43" s="139">
        <v>0</v>
      </c>
      <c r="HQ43" s="139">
        <v>0</v>
      </c>
      <c r="HR43" s="139">
        <v>83185</v>
      </c>
      <c r="HS43" s="139">
        <v>4456413</v>
      </c>
      <c r="HT43" s="139">
        <v>126324</v>
      </c>
      <c r="HU43" s="139">
        <v>168048</v>
      </c>
      <c r="HV43" s="139">
        <v>3604138</v>
      </c>
      <c r="HW43" s="139">
        <v>8438108</v>
      </c>
      <c r="HX43" s="139">
        <v>0</v>
      </c>
      <c r="HY43" s="139">
        <v>0</v>
      </c>
      <c r="HZ43" s="139">
        <v>0</v>
      </c>
      <c r="IA43" s="139">
        <v>0</v>
      </c>
      <c r="IB43" s="139">
        <v>295623</v>
      </c>
      <c r="IC43" s="139">
        <v>295623</v>
      </c>
      <c r="ID43" s="139">
        <v>0</v>
      </c>
      <c r="IE43" s="139">
        <v>0</v>
      </c>
      <c r="IF43" s="139">
        <v>0</v>
      </c>
      <c r="IG43" s="139">
        <v>0</v>
      </c>
      <c r="IH43" s="139">
        <v>3720686</v>
      </c>
      <c r="II43" s="139">
        <v>3720686</v>
      </c>
      <c r="IJ43" s="139">
        <v>281421</v>
      </c>
      <c r="IK43" s="139">
        <v>102666</v>
      </c>
      <c r="IL43" s="139">
        <v>37166</v>
      </c>
      <c r="IM43" s="139">
        <v>405626</v>
      </c>
      <c r="IN43" s="139">
        <v>0</v>
      </c>
      <c r="IO43" s="139">
        <v>826879</v>
      </c>
      <c r="IP43" s="139">
        <v>15438</v>
      </c>
      <c r="IQ43" s="139">
        <v>260</v>
      </c>
      <c r="IR43" s="139">
        <v>5630</v>
      </c>
      <c r="IS43" s="139">
        <v>111480</v>
      </c>
      <c r="IT43" s="139">
        <v>53761</v>
      </c>
      <c r="IU43" s="139">
        <v>186569</v>
      </c>
      <c r="IV43" s="139">
        <v>3266046</v>
      </c>
      <c r="IW43" s="139">
        <v>1605144</v>
      </c>
      <c r="IX43" s="139">
        <v>395949</v>
      </c>
      <c r="IY43" s="139">
        <v>1402706</v>
      </c>
      <c r="IZ43" s="139">
        <v>5569120</v>
      </c>
      <c r="JA43" s="139">
        <v>12238965</v>
      </c>
      <c r="JB43" s="139">
        <v>21567492</v>
      </c>
      <c r="JC43" s="139">
        <v>16354976</v>
      </c>
      <c r="JD43" s="139">
        <v>3920465</v>
      </c>
      <c r="JE43" s="139">
        <v>19370623</v>
      </c>
      <c r="JF43" s="139">
        <v>26960918</v>
      </c>
      <c r="JG43" s="139">
        <v>88174474</v>
      </c>
      <c r="JH43" s="139">
        <v>0</v>
      </c>
      <c r="JI43" s="139">
        <v>0</v>
      </c>
      <c r="JJ43" s="139">
        <v>0</v>
      </c>
      <c r="JK43" s="139">
        <v>0</v>
      </c>
      <c r="JL43" s="139">
        <v>0</v>
      </c>
      <c r="JM43" s="139">
        <v>0</v>
      </c>
      <c r="JN43" s="139">
        <v>21567492</v>
      </c>
      <c r="JO43" s="139">
        <v>16354976</v>
      </c>
      <c r="JP43" s="139">
        <v>3920465</v>
      </c>
      <c r="JQ43" s="139">
        <v>19370623</v>
      </c>
      <c r="JR43" s="139">
        <v>26960918</v>
      </c>
      <c r="JS43" s="139">
        <v>88174474</v>
      </c>
      <c r="JU43" s="70">
        <f t="shared" si="80"/>
        <v>26928635</v>
      </c>
      <c r="JV43" s="70">
        <f t="shared" si="81"/>
        <v>0</v>
      </c>
      <c r="JW43" s="70">
        <f t="shared" si="82"/>
        <v>1960346</v>
      </c>
      <c r="JX43" s="70">
        <f t="shared" si="83"/>
        <v>0</v>
      </c>
      <c r="JY43" s="70">
        <f t="shared" si="84"/>
        <v>304818</v>
      </c>
      <c r="JZ43" s="70">
        <f t="shared" si="85"/>
        <v>0</v>
      </c>
      <c r="KA43" s="70">
        <f t="shared" si="86"/>
        <v>29379612</v>
      </c>
      <c r="KB43" s="70">
        <f t="shared" si="87"/>
        <v>0</v>
      </c>
      <c r="KC43" s="70">
        <f t="shared" si="88"/>
        <v>0</v>
      </c>
      <c r="KD43" s="70">
        <f t="shared" si="89"/>
        <v>0</v>
      </c>
      <c r="KE43" s="70">
        <f t="shared" si="90"/>
        <v>0</v>
      </c>
      <c r="KF43" s="70">
        <f t="shared" si="91"/>
        <v>0</v>
      </c>
      <c r="KG43" s="70">
        <f t="shared" si="92"/>
        <v>2087567</v>
      </c>
      <c r="KH43" s="70">
        <f t="shared" si="93"/>
        <v>0</v>
      </c>
      <c r="KI43" s="70">
        <f t="shared" si="94"/>
        <v>3720686</v>
      </c>
      <c r="KJ43" s="70">
        <f t="shared" si="95"/>
        <v>0</v>
      </c>
      <c r="KK43" s="70">
        <f t="shared" si="96"/>
        <v>10461106</v>
      </c>
      <c r="KL43" s="70">
        <f t="shared" si="97"/>
        <v>0</v>
      </c>
      <c r="KM43" s="70">
        <f t="shared" si="98"/>
        <v>0</v>
      </c>
      <c r="KN43" s="70">
        <f t="shared" si="99"/>
        <v>0</v>
      </c>
      <c r="KO43" s="70">
        <f t="shared" si="100"/>
        <v>3083909</v>
      </c>
      <c r="KP43" s="70">
        <f t="shared" si="101"/>
        <v>0</v>
      </c>
      <c r="KQ43" s="70">
        <f t="shared" si="102"/>
        <v>4956633</v>
      </c>
      <c r="KR43" s="70">
        <f t="shared" si="103"/>
        <v>0</v>
      </c>
      <c r="KS43" s="70">
        <f t="shared" si="104"/>
        <v>0</v>
      </c>
      <c r="KT43" s="70">
        <f t="shared" si="105"/>
        <v>0</v>
      </c>
      <c r="KU43" s="70">
        <f t="shared" si="106"/>
        <v>268477</v>
      </c>
      <c r="KV43" s="70">
        <f t="shared" si="107"/>
        <v>0</v>
      </c>
      <c r="KW43" s="70">
        <f t="shared" si="108"/>
        <v>5593559</v>
      </c>
      <c r="KX43" s="70">
        <f t="shared" si="109"/>
        <v>0</v>
      </c>
      <c r="KY43" s="70">
        <f t="shared" si="110"/>
        <v>88745348</v>
      </c>
      <c r="KZ43" s="70">
        <f t="shared" si="111"/>
        <v>0</v>
      </c>
      <c r="LA43" s="70">
        <f t="shared" si="150"/>
        <v>10601474</v>
      </c>
      <c r="LB43" s="70">
        <f t="shared" si="112"/>
        <v>0</v>
      </c>
      <c r="LC43" s="70">
        <f t="shared" si="113"/>
        <v>2123750</v>
      </c>
      <c r="LD43" s="70">
        <f t="shared" si="114"/>
        <v>0</v>
      </c>
      <c r="LE43" s="70">
        <f t="shared" si="115"/>
        <v>20884261</v>
      </c>
      <c r="LF43" s="70">
        <f t="shared" si="116"/>
        <v>0</v>
      </c>
      <c r="LG43" s="70">
        <f t="shared" si="78"/>
        <v>0</v>
      </c>
      <c r="LH43" s="70">
        <f t="shared" si="79"/>
        <v>0</v>
      </c>
      <c r="LI43" s="70">
        <f t="shared" si="151"/>
        <v>14844320</v>
      </c>
      <c r="LJ43" s="70">
        <f t="shared" si="152"/>
        <v>0</v>
      </c>
      <c r="LK43" s="70">
        <f t="shared" si="153"/>
        <v>0</v>
      </c>
      <c r="LL43" s="70">
        <f t="shared" si="154"/>
        <v>0</v>
      </c>
      <c r="LM43" s="70">
        <f t="shared" si="117"/>
        <v>0</v>
      </c>
      <c r="LN43" s="70">
        <f t="shared" si="118"/>
        <v>0</v>
      </c>
      <c r="LO43" s="70">
        <f t="shared" si="119"/>
        <v>1374264</v>
      </c>
      <c r="LP43" s="70">
        <f t="shared" si="120"/>
        <v>0</v>
      </c>
      <c r="LQ43" s="70">
        <f t="shared" si="121"/>
        <v>6109471</v>
      </c>
      <c r="LR43" s="70">
        <f t="shared" si="122"/>
        <v>0</v>
      </c>
      <c r="LS43" s="70">
        <f t="shared" si="123"/>
        <v>2360321</v>
      </c>
      <c r="LT43" s="70">
        <f t="shared" si="124"/>
        <v>0</v>
      </c>
      <c r="LU43" s="70">
        <f t="shared" si="125"/>
        <v>3606372</v>
      </c>
      <c r="LV43" s="70">
        <f t="shared" si="126"/>
        <v>0</v>
      </c>
      <c r="LW43" s="70">
        <f t="shared" si="127"/>
        <v>563411</v>
      </c>
      <c r="LX43" s="70">
        <f t="shared" si="128"/>
        <v>0</v>
      </c>
      <c r="LY43" s="70">
        <f t="shared" si="129"/>
        <v>0</v>
      </c>
      <c r="LZ43" s="70">
        <f t="shared" si="130"/>
        <v>0</v>
      </c>
      <c r="MA43" s="70">
        <f t="shared" si="131"/>
        <v>8438108</v>
      </c>
      <c r="MB43" s="70">
        <f t="shared" si="132"/>
        <v>0</v>
      </c>
      <c r="MC43" s="70">
        <f t="shared" si="133"/>
        <v>295623</v>
      </c>
      <c r="MD43" s="70">
        <f t="shared" si="134"/>
        <v>0</v>
      </c>
      <c r="ME43" s="70">
        <f t="shared" si="135"/>
        <v>3720686</v>
      </c>
      <c r="MF43" s="70">
        <f t="shared" si="136"/>
        <v>0</v>
      </c>
      <c r="MG43" s="70">
        <f t="shared" si="137"/>
        <v>826879</v>
      </c>
      <c r="MH43" s="70">
        <f t="shared" si="138"/>
        <v>0</v>
      </c>
      <c r="MI43" s="70">
        <f t="shared" si="139"/>
        <v>186569</v>
      </c>
      <c r="MJ43" s="70">
        <f t="shared" si="140"/>
        <v>0</v>
      </c>
      <c r="MK43" s="70">
        <f t="shared" si="141"/>
        <v>12238965</v>
      </c>
      <c r="ML43" s="70">
        <f t="shared" si="142"/>
        <v>0</v>
      </c>
      <c r="MM43" s="70">
        <f t="shared" si="143"/>
        <v>88174474</v>
      </c>
      <c r="MN43" s="70">
        <f t="shared" si="144"/>
        <v>0</v>
      </c>
      <c r="MO43" s="70">
        <f t="shared" si="145"/>
        <v>0</v>
      </c>
      <c r="MP43" s="70">
        <f t="shared" si="146"/>
        <v>0</v>
      </c>
      <c r="MQ43" s="70">
        <f t="shared" si="147"/>
        <v>88174474</v>
      </c>
      <c r="MR43" s="70">
        <f t="shared" si="148"/>
        <v>0</v>
      </c>
      <c r="MT43" s="70">
        <f t="shared" si="149"/>
        <v>0</v>
      </c>
      <c r="MV43" s="68">
        <f t="shared" si="77"/>
        <v>0</v>
      </c>
    </row>
    <row r="44" spans="1:360" x14ac:dyDescent="0.15">
      <c r="A44" s="182" t="s">
        <v>560</v>
      </c>
      <c r="B44" s="76" t="s">
        <v>424</v>
      </c>
      <c r="C44" s="90">
        <v>159391</v>
      </c>
      <c r="D44" s="90">
        <v>2014</v>
      </c>
      <c r="E44" s="90">
        <v>1</v>
      </c>
      <c r="F44" s="91">
        <v>5</v>
      </c>
      <c r="G44" s="92">
        <v>10920</v>
      </c>
      <c r="H44" s="92">
        <v>11787</v>
      </c>
      <c r="I44" s="93">
        <v>801588764</v>
      </c>
      <c r="J44" s="93">
        <v>788806157</v>
      </c>
      <c r="K44" s="93">
        <v>15369889</v>
      </c>
      <c r="L44" s="93">
        <v>13479926</v>
      </c>
      <c r="M44" s="93">
        <v>34922260</v>
      </c>
      <c r="N44" s="93">
        <v>33875753</v>
      </c>
      <c r="O44" s="93">
        <v>193334531</v>
      </c>
      <c r="P44" s="93">
        <v>197214131</v>
      </c>
      <c r="Q44" s="93">
        <v>455405251</v>
      </c>
      <c r="R44" s="93">
        <v>459450000</v>
      </c>
      <c r="S44" s="93">
        <v>653097118</v>
      </c>
      <c r="T44" s="93">
        <v>644086523</v>
      </c>
      <c r="U44" s="93">
        <v>21975</v>
      </c>
      <c r="V44" s="93">
        <v>20798</v>
      </c>
      <c r="W44" s="93">
        <v>37245</v>
      </c>
      <c r="X44" s="93">
        <v>33802</v>
      </c>
      <c r="Y44" s="93">
        <v>28272</v>
      </c>
      <c r="Z44" s="93">
        <v>24849</v>
      </c>
      <c r="AA44" s="93">
        <v>46190</v>
      </c>
      <c r="AB44" s="93">
        <v>40118</v>
      </c>
      <c r="AC44" s="114">
        <v>9</v>
      </c>
      <c r="AD44" s="114">
        <v>12</v>
      </c>
      <c r="AE44" s="114">
        <v>0</v>
      </c>
      <c r="AF44" s="115">
        <v>6394995</v>
      </c>
      <c r="AG44" s="115">
        <v>5351088</v>
      </c>
      <c r="AH44" s="115">
        <v>892996</v>
      </c>
      <c r="AI44" s="115">
        <v>420265</v>
      </c>
      <c r="AJ44" s="115">
        <v>1104050.4615384615</v>
      </c>
      <c r="AK44" s="116">
        <v>6.5</v>
      </c>
      <c r="AL44" s="115">
        <v>897041</v>
      </c>
      <c r="AM44" s="116">
        <v>8</v>
      </c>
      <c r="AN44" s="115">
        <v>284151.36842105264</v>
      </c>
      <c r="AO44" s="116">
        <v>9.5</v>
      </c>
      <c r="AP44" s="115">
        <v>245403.45454545456</v>
      </c>
      <c r="AQ44" s="116">
        <v>11</v>
      </c>
      <c r="AR44" s="115">
        <v>429474.25</v>
      </c>
      <c r="AS44" s="116">
        <v>20</v>
      </c>
      <c r="AT44" s="115">
        <v>357895.20833333331</v>
      </c>
      <c r="AU44" s="116">
        <v>24</v>
      </c>
      <c r="AV44" s="115">
        <v>117779.64705882352</v>
      </c>
      <c r="AW44" s="116">
        <v>17</v>
      </c>
      <c r="AX44" s="115">
        <v>95345.428571428565</v>
      </c>
      <c r="AY44" s="116">
        <v>21</v>
      </c>
      <c r="AZ44" s="139">
        <v>31841481</v>
      </c>
      <c r="BA44" s="139">
        <v>1602840</v>
      </c>
      <c r="BB44" s="139">
        <v>238175</v>
      </c>
      <c r="BC44" s="139">
        <v>2894734</v>
      </c>
      <c r="BD44" s="139">
        <v>1109745</v>
      </c>
      <c r="BE44" s="139">
        <v>37686975</v>
      </c>
      <c r="BF44" s="139">
        <v>0</v>
      </c>
      <c r="BG44" s="139">
        <v>0</v>
      </c>
      <c r="BH44" s="139">
        <v>0</v>
      </c>
      <c r="BI44" s="139">
        <v>0</v>
      </c>
      <c r="BJ44" s="139">
        <v>0</v>
      </c>
      <c r="BK44" s="139">
        <v>0</v>
      </c>
      <c r="BL44" s="139">
        <v>3041000</v>
      </c>
      <c r="BM44" s="139">
        <v>0</v>
      </c>
      <c r="BN44" s="139">
        <v>0</v>
      </c>
      <c r="BO44" s="139">
        <v>0</v>
      </c>
      <c r="BP44" s="139">
        <v>0</v>
      </c>
      <c r="BQ44" s="139">
        <v>3041000</v>
      </c>
      <c r="BR44" s="139">
        <v>35003478</v>
      </c>
      <c r="BS44" s="139">
        <v>1024851</v>
      </c>
      <c r="BT44" s="139">
        <v>110192</v>
      </c>
      <c r="BU44" s="139">
        <v>7255186</v>
      </c>
      <c r="BV44" s="139">
        <v>5939875</v>
      </c>
      <c r="BW44" s="139">
        <v>49333582</v>
      </c>
      <c r="BX44" s="139">
        <v>633105</v>
      </c>
      <c r="BY44" s="139">
        <v>14083</v>
      </c>
      <c r="BZ44" s="139">
        <v>0</v>
      </c>
      <c r="CA44" s="139">
        <v>45394</v>
      </c>
      <c r="CB44" s="139">
        <v>160245</v>
      </c>
      <c r="CC44" s="139">
        <v>852827</v>
      </c>
      <c r="CD44" s="139">
        <v>0</v>
      </c>
      <c r="CE44" s="139">
        <v>0</v>
      </c>
      <c r="CF44" s="139">
        <v>0</v>
      </c>
      <c r="CG44" s="139">
        <v>0</v>
      </c>
      <c r="CH44" s="139">
        <v>0</v>
      </c>
      <c r="CI44" s="139">
        <v>0</v>
      </c>
      <c r="CJ44" s="139">
        <v>0</v>
      </c>
      <c r="CK44" s="139">
        <v>0</v>
      </c>
      <c r="CL44" s="139">
        <v>0</v>
      </c>
      <c r="CM44" s="139">
        <v>0</v>
      </c>
      <c r="CN44" s="139">
        <v>0</v>
      </c>
      <c r="CO44" s="139">
        <v>0</v>
      </c>
      <c r="CP44" s="139">
        <v>0</v>
      </c>
      <c r="CQ44" s="139">
        <v>0</v>
      </c>
      <c r="CR44" s="139">
        <v>0</v>
      </c>
      <c r="CS44" s="139">
        <v>0</v>
      </c>
      <c r="CT44" s="139">
        <v>0</v>
      </c>
      <c r="CU44" s="139">
        <v>0</v>
      </c>
      <c r="CV44" s="139">
        <v>15358314</v>
      </c>
      <c r="CW44" s="139">
        <v>5146876</v>
      </c>
      <c r="CX44" s="139">
        <v>54035</v>
      </c>
      <c r="CY44" s="139">
        <v>325066</v>
      </c>
      <c r="CZ44" s="139">
        <v>2002561</v>
      </c>
      <c r="DA44" s="139">
        <v>22886852</v>
      </c>
      <c r="DB44" s="139">
        <v>0</v>
      </c>
      <c r="DC44" s="139">
        <v>0</v>
      </c>
      <c r="DD44" s="139">
        <v>0</v>
      </c>
      <c r="DE44" s="139">
        <v>0</v>
      </c>
      <c r="DF44" s="139">
        <v>6984591</v>
      </c>
      <c r="DG44" s="139">
        <v>6984591</v>
      </c>
      <c r="DH44" s="139">
        <v>2622995</v>
      </c>
      <c r="DI44" s="139">
        <v>84200</v>
      </c>
      <c r="DJ44" s="139">
        <v>12000</v>
      </c>
      <c r="DK44" s="139">
        <v>288624</v>
      </c>
      <c r="DL44" s="139">
        <v>3703273</v>
      </c>
      <c r="DM44" s="139">
        <v>6711092</v>
      </c>
      <c r="DN44" s="139">
        <v>0</v>
      </c>
      <c r="DO44" s="139">
        <v>0</v>
      </c>
      <c r="DP44" s="139">
        <v>0</v>
      </c>
      <c r="DQ44" s="139">
        <v>0</v>
      </c>
      <c r="DR44" s="139">
        <v>3437777</v>
      </c>
      <c r="DS44" s="139">
        <v>3437777</v>
      </c>
      <c r="DT44" s="139">
        <v>0</v>
      </c>
      <c r="DU44" s="139">
        <v>0</v>
      </c>
      <c r="DV44" s="139">
        <v>0</v>
      </c>
      <c r="DW44" s="139">
        <v>0</v>
      </c>
      <c r="DX44" s="139">
        <v>0</v>
      </c>
      <c r="DY44" s="139">
        <v>0</v>
      </c>
      <c r="DZ44" s="139">
        <v>0</v>
      </c>
      <c r="EA44" s="139">
        <v>0</v>
      </c>
      <c r="EB44" s="139">
        <v>0</v>
      </c>
      <c r="EC44" s="139">
        <v>0</v>
      </c>
      <c r="ED44" s="139">
        <v>1062725</v>
      </c>
      <c r="EE44" s="139">
        <v>1062725</v>
      </c>
      <c r="EF44" s="139">
        <v>0</v>
      </c>
      <c r="EG44" s="139">
        <v>0</v>
      </c>
      <c r="EH44" s="139">
        <v>0</v>
      </c>
      <c r="EI44" s="139">
        <v>0</v>
      </c>
      <c r="EJ44" s="139">
        <v>1681835</v>
      </c>
      <c r="EK44" s="139">
        <v>1681835</v>
      </c>
      <c r="EL44" s="139">
        <v>88500373</v>
      </c>
      <c r="EM44" s="139">
        <v>7872850</v>
      </c>
      <c r="EN44" s="139">
        <v>414402</v>
      </c>
      <c r="EO44" s="139">
        <v>10809004</v>
      </c>
      <c r="EP44" s="139">
        <v>26082627</v>
      </c>
      <c r="EQ44" s="139">
        <v>133679256</v>
      </c>
      <c r="ER44" s="139">
        <v>3344380</v>
      </c>
      <c r="ES44" s="139">
        <v>682158</v>
      </c>
      <c r="ET44" s="139">
        <v>721675</v>
      </c>
      <c r="EU44" s="139">
        <v>7949669</v>
      </c>
      <c r="EV44" s="139">
        <v>0</v>
      </c>
      <c r="EW44" s="139">
        <v>12697882</v>
      </c>
      <c r="EX44" s="139">
        <v>2430000</v>
      </c>
      <c r="EY44" s="139">
        <v>438000</v>
      </c>
      <c r="EZ44" s="139">
        <v>76135</v>
      </c>
      <c r="FA44" s="139">
        <v>132765</v>
      </c>
      <c r="FB44" s="139">
        <v>0</v>
      </c>
      <c r="FC44" s="139">
        <v>3076900</v>
      </c>
      <c r="FD44" s="139">
        <v>10794471</v>
      </c>
      <c r="FE44" s="139">
        <v>2181714</v>
      </c>
      <c r="FF44" s="139">
        <v>1608374</v>
      </c>
      <c r="FG44" s="139">
        <v>5882946</v>
      </c>
      <c r="FH44" s="139">
        <v>0</v>
      </c>
      <c r="FI44" s="139">
        <v>20467505</v>
      </c>
      <c r="FJ44" s="139">
        <v>612603</v>
      </c>
      <c r="FK44" s="139">
        <v>14083</v>
      </c>
      <c r="FL44" s="139">
        <v>0</v>
      </c>
      <c r="FM44" s="139">
        <v>45394</v>
      </c>
      <c r="FN44" s="139">
        <v>0</v>
      </c>
      <c r="FO44" s="139">
        <v>672080</v>
      </c>
      <c r="FP44" s="139">
        <v>1634061</v>
      </c>
      <c r="FQ44" s="139">
        <v>239016</v>
      </c>
      <c r="FR44" s="139">
        <v>257546</v>
      </c>
      <c r="FS44" s="139">
        <v>579633</v>
      </c>
      <c r="FT44" s="139">
        <v>13754118</v>
      </c>
      <c r="FU44" s="139">
        <v>16464374</v>
      </c>
      <c r="FV44" s="139">
        <v>20502</v>
      </c>
      <c r="FW44" s="139">
        <v>0</v>
      </c>
      <c r="FX44" s="139">
        <v>0</v>
      </c>
      <c r="FY44" s="139">
        <v>0</v>
      </c>
      <c r="FZ44" s="139">
        <v>160245</v>
      </c>
      <c r="GA44" s="139">
        <v>180747</v>
      </c>
      <c r="GB44" s="139">
        <v>96667</v>
      </c>
      <c r="GC44" s="139">
        <v>7115</v>
      </c>
      <c r="GD44" s="139">
        <v>0</v>
      </c>
      <c r="GE44" s="139">
        <v>28916</v>
      </c>
      <c r="GF44" s="139">
        <v>52982</v>
      </c>
      <c r="GG44" s="139">
        <v>185680</v>
      </c>
      <c r="GH44" s="139">
        <v>523543</v>
      </c>
      <c r="GI44" s="139">
        <v>159462</v>
      </c>
      <c r="GJ44" s="139">
        <v>139010</v>
      </c>
      <c r="GK44" s="139">
        <v>491246</v>
      </c>
      <c r="GL44" s="139">
        <v>55296</v>
      </c>
      <c r="GM44" s="139">
        <v>1368557</v>
      </c>
      <c r="GN44" s="139">
        <v>1309805</v>
      </c>
      <c r="GO44" s="139">
        <v>719217</v>
      </c>
      <c r="GP44" s="139">
        <v>741650</v>
      </c>
      <c r="GQ44" s="139">
        <v>2756127</v>
      </c>
      <c r="GR44" s="139">
        <v>30944</v>
      </c>
      <c r="GS44" s="139">
        <v>5557743</v>
      </c>
      <c r="GT44" s="139">
        <v>1160746</v>
      </c>
      <c r="GU44" s="139">
        <v>106881</v>
      </c>
      <c r="GV44" s="139">
        <v>103802</v>
      </c>
      <c r="GW44" s="139">
        <v>1240691</v>
      </c>
      <c r="GX44" s="139">
        <v>429605</v>
      </c>
      <c r="GY44" s="139">
        <v>3041725</v>
      </c>
      <c r="GZ44" s="139">
        <v>929407</v>
      </c>
      <c r="HA44" s="139">
        <v>200864</v>
      </c>
      <c r="HB44" s="139">
        <v>157642</v>
      </c>
      <c r="HC44" s="139">
        <v>555435</v>
      </c>
      <c r="HD44" s="139">
        <v>5432576</v>
      </c>
      <c r="HE44" s="139">
        <v>7275924</v>
      </c>
      <c r="HF44" s="139">
        <v>148895</v>
      </c>
      <c r="HG44" s="139">
        <v>38332</v>
      </c>
      <c r="HH44" s="139">
        <v>21526</v>
      </c>
      <c r="HI44" s="139">
        <v>210629</v>
      </c>
      <c r="HJ44" s="139">
        <v>774156</v>
      </c>
      <c r="HK44" s="139">
        <v>1193538</v>
      </c>
      <c r="HL44" s="139">
        <v>0</v>
      </c>
      <c r="HM44" s="139">
        <v>0</v>
      </c>
      <c r="HN44" s="139">
        <v>0</v>
      </c>
      <c r="HO44" s="139">
        <v>0</v>
      </c>
      <c r="HP44" s="139">
        <v>0</v>
      </c>
      <c r="HQ44" s="139">
        <v>0</v>
      </c>
      <c r="HR44" s="149">
        <v>20576</v>
      </c>
      <c r="HS44" s="139">
        <v>4153</v>
      </c>
      <c r="HT44" s="139">
        <v>0</v>
      </c>
      <c r="HU44" s="139">
        <v>45664</v>
      </c>
      <c r="HV44" s="139">
        <v>18618115</v>
      </c>
      <c r="HW44" s="139">
        <v>18688508</v>
      </c>
      <c r="HX44" s="139">
        <v>0</v>
      </c>
      <c r="HY44" s="139">
        <v>0</v>
      </c>
      <c r="HZ44" s="139">
        <v>0</v>
      </c>
      <c r="IA44" s="139">
        <v>0</v>
      </c>
      <c r="IB44" s="139">
        <v>1174128</v>
      </c>
      <c r="IC44" s="139">
        <v>1174128</v>
      </c>
      <c r="ID44" s="139">
        <v>0</v>
      </c>
      <c r="IE44" s="139">
        <v>0</v>
      </c>
      <c r="IF44" s="139">
        <v>0</v>
      </c>
      <c r="IG44" s="139">
        <v>0</v>
      </c>
      <c r="IH44" s="139">
        <v>0</v>
      </c>
      <c r="II44" s="139">
        <v>0</v>
      </c>
      <c r="IJ44" s="139">
        <v>156690</v>
      </c>
      <c r="IK44" s="139">
        <v>6392</v>
      </c>
      <c r="IL44" s="139">
        <v>30821</v>
      </c>
      <c r="IM44" s="139">
        <v>139293</v>
      </c>
      <c r="IN44" s="139">
        <v>235044</v>
      </c>
      <c r="IO44" s="139">
        <v>568240</v>
      </c>
      <c r="IP44" s="139">
        <v>18655</v>
      </c>
      <c r="IQ44" s="139">
        <v>3186</v>
      </c>
      <c r="IR44" s="139">
        <v>725</v>
      </c>
      <c r="IS44" s="139">
        <v>29589</v>
      </c>
      <c r="IT44" s="139">
        <v>31491</v>
      </c>
      <c r="IU44" s="139">
        <v>83646</v>
      </c>
      <c r="IV44" s="139">
        <v>15289224</v>
      </c>
      <c r="IW44" s="139">
        <v>524297</v>
      </c>
      <c r="IX44" s="139">
        <v>238615</v>
      </c>
      <c r="IY44" s="139">
        <v>5543031</v>
      </c>
      <c r="IZ44" s="139">
        <v>8653366</v>
      </c>
      <c r="JA44" s="139">
        <v>30248533</v>
      </c>
      <c r="JB44" s="139">
        <v>38490225</v>
      </c>
      <c r="JC44" s="139">
        <v>5324870</v>
      </c>
      <c r="JD44" s="139">
        <v>4097521</v>
      </c>
      <c r="JE44" s="139">
        <v>24679229</v>
      </c>
      <c r="JF44" s="139">
        <v>50353865</v>
      </c>
      <c r="JG44" s="139">
        <v>122945710</v>
      </c>
      <c r="JH44" s="139">
        <v>0</v>
      </c>
      <c r="JI44" s="139">
        <v>0</v>
      </c>
      <c r="JJ44" s="139">
        <v>0</v>
      </c>
      <c r="JK44" s="139">
        <v>0</v>
      </c>
      <c r="JL44" s="139">
        <v>4684602</v>
      </c>
      <c r="JM44" s="139">
        <v>4684602</v>
      </c>
      <c r="JN44" s="139">
        <v>38490225</v>
      </c>
      <c r="JO44" s="139">
        <v>5324870</v>
      </c>
      <c r="JP44" s="139">
        <v>4097521</v>
      </c>
      <c r="JQ44" s="139">
        <v>24679229</v>
      </c>
      <c r="JR44" s="139">
        <v>55038467</v>
      </c>
      <c r="JS44" s="139">
        <v>127630312</v>
      </c>
      <c r="JU44" s="70">
        <f t="shared" si="80"/>
        <v>37686975</v>
      </c>
      <c r="JV44" s="70">
        <f t="shared" si="81"/>
        <v>0</v>
      </c>
      <c r="JW44" s="70">
        <f t="shared" si="82"/>
        <v>0</v>
      </c>
      <c r="JX44" s="70">
        <f t="shared" si="83"/>
        <v>0</v>
      </c>
      <c r="JY44" s="70">
        <f t="shared" si="84"/>
        <v>3041000</v>
      </c>
      <c r="JZ44" s="70">
        <f t="shared" si="85"/>
        <v>0</v>
      </c>
      <c r="KA44" s="70">
        <f t="shared" si="86"/>
        <v>49333582</v>
      </c>
      <c r="KB44" s="70">
        <f t="shared" si="87"/>
        <v>0</v>
      </c>
      <c r="KC44" s="70">
        <f t="shared" si="88"/>
        <v>852827</v>
      </c>
      <c r="KD44" s="70">
        <f t="shared" si="89"/>
        <v>0</v>
      </c>
      <c r="KE44" s="70">
        <f t="shared" si="90"/>
        <v>0</v>
      </c>
      <c r="KF44" s="70">
        <f t="shared" si="91"/>
        <v>0</v>
      </c>
      <c r="KG44" s="70">
        <f t="shared" si="92"/>
        <v>0</v>
      </c>
      <c r="KH44" s="70">
        <f t="shared" si="93"/>
        <v>0</v>
      </c>
      <c r="KI44" s="70">
        <f t="shared" si="94"/>
        <v>0</v>
      </c>
      <c r="KJ44" s="70">
        <f t="shared" si="95"/>
        <v>0</v>
      </c>
      <c r="KK44" s="70">
        <f t="shared" si="96"/>
        <v>22886852</v>
      </c>
      <c r="KL44" s="70">
        <f t="shared" si="97"/>
        <v>0</v>
      </c>
      <c r="KM44" s="70">
        <f t="shared" si="98"/>
        <v>6984591</v>
      </c>
      <c r="KN44" s="70">
        <f t="shared" si="99"/>
        <v>0</v>
      </c>
      <c r="KO44" s="70">
        <f t="shared" si="100"/>
        <v>6711092</v>
      </c>
      <c r="KP44" s="70">
        <f t="shared" si="101"/>
        <v>0</v>
      </c>
      <c r="KQ44" s="70">
        <f t="shared" si="102"/>
        <v>3437777</v>
      </c>
      <c r="KR44" s="70">
        <f t="shared" si="103"/>
        <v>0</v>
      </c>
      <c r="KS44" s="70">
        <f t="shared" si="104"/>
        <v>0</v>
      </c>
      <c r="KT44" s="70">
        <f t="shared" si="105"/>
        <v>0</v>
      </c>
      <c r="KU44" s="70">
        <f t="shared" si="106"/>
        <v>1062725</v>
      </c>
      <c r="KV44" s="70">
        <f t="shared" si="107"/>
        <v>0</v>
      </c>
      <c r="KW44" s="70">
        <f t="shared" si="108"/>
        <v>1681835</v>
      </c>
      <c r="KX44" s="70">
        <f t="shared" si="109"/>
        <v>0</v>
      </c>
      <c r="KY44" s="70">
        <f t="shared" si="110"/>
        <v>133679256</v>
      </c>
      <c r="KZ44" s="70">
        <f t="shared" si="111"/>
        <v>0</v>
      </c>
      <c r="LA44" s="70">
        <f t="shared" si="150"/>
        <v>12697882</v>
      </c>
      <c r="LB44" s="70">
        <f t="shared" si="112"/>
        <v>0</v>
      </c>
      <c r="LC44" s="70">
        <f t="shared" si="113"/>
        <v>3076900</v>
      </c>
      <c r="LD44" s="70">
        <f t="shared" si="114"/>
        <v>0</v>
      </c>
      <c r="LE44" s="70">
        <f t="shared" si="115"/>
        <v>20467505</v>
      </c>
      <c r="LF44" s="70">
        <f t="shared" si="116"/>
        <v>0</v>
      </c>
      <c r="LG44" s="70">
        <f t="shared" si="78"/>
        <v>672080</v>
      </c>
      <c r="LH44" s="70">
        <f t="shared" si="79"/>
        <v>0</v>
      </c>
      <c r="LI44" s="70">
        <f t="shared" si="151"/>
        <v>16464374</v>
      </c>
      <c r="LJ44" s="70">
        <f t="shared" si="152"/>
        <v>0</v>
      </c>
      <c r="LK44" s="70">
        <f t="shared" si="153"/>
        <v>180747</v>
      </c>
      <c r="LL44" s="70">
        <f t="shared" si="154"/>
        <v>0</v>
      </c>
      <c r="LM44" s="70">
        <f t="shared" si="117"/>
        <v>185680</v>
      </c>
      <c r="LN44" s="70">
        <f t="shared" si="118"/>
        <v>0</v>
      </c>
      <c r="LO44" s="70">
        <f t="shared" si="119"/>
        <v>1368557</v>
      </c>
      <c r="LP44" s="70">
        <f t="shared" si="120"/>
        <v>0</v>
      </c>
      <c r="LQ44" s="70">
        <f t="shared" si="121"/>
        <v>5557743</v>
      </c>
      <c r="LR44" s="70">
        <f t="shared" si="122"/>
        <v>0</v>
      </c>
      <c r="LS44" s="70">
        <f t="shared" si="123"/>
        <v>3041725</v>
      </c>
      <c r="LT44" s="70">
        <f t="shared" si="124"/>
        <v>0</v>
      </c>
      <c r="LU44" s="70">
        <f t="shared" si="125"/>
        <v>7275924</v>
      </c>
      <c r="LV44" s="70">
        <f t="shared" si="126"/>
        <v>0</v>
      </c>
      <c r="LW44" s="70">
        <f t="shared" si="127"/>
        <v>1193538</v>
      </c>
      <c r="LX44" s="70">
        <f t="shared" si="128"/>
        <v>0</v>
      </c>
      <c r="LY44" s="70">
        <f t="shared" si="129"/>
        <v>0</v>
      </c>
      <c r="LZ44" s="70">
        <f t="shared" si="130"/>
        <v>0</v>
      </c>
      <c r="MA44" s="70">
        <f t="shared" si="131"/>
        <v>18688508</v>
      </c>
      <c r="MB44" s="70">
        <f t="shared" si="132"/>
        <v>0</v>
      </c>
      <c r="MC44" s="70">
        <f t="shared" si="133"/>
        <v>1174128</v>
      </c>
      <c r="MD44" s="70">
        <f t="shared" si="134"/>
        <v>0</v>
      </c>
      <c r="ME44" s="70">
        <f t="shared" si="135"/>
        <v>0</v>
      </c>
      <c r="MF44" s="70">
        <f t="shared" si="136"/>
        <v>0</v>
      </c>
      <c r="MG44" s="70">
        <f t="shared" si="137"/>
        <v>568240</v>
      </c>
      <c r="MH44" s="70">
        <f t="shared" si="138"/>
        <v>0</v>
      </c>
      <c r="MI44" s="70">
        <f t="shared" si="139"/>
        <v>83646</v>
      </c>
      <c r="MJ44" s="70">
        <f t="shared" si="140"/>
        <v>0</v>
      </c>
      <c r="MK44" s="70">
        <f t="shared" si="141"/>
        <v>30248533</v>
      </c>
      <c r="ML44" s="70">
        <f t="shared" si="142"/>
        <v>0</v>
      </c>
      <c r="MM44" s="70">
        <f t="shared" si="143"/>
        <v>122945710</v>
      </c>
      <c r="MN44" s="70">
        <f t="shared" si="144"/>
        <v>0</v>
      </c>
      <c r="MO44" s="70">
        <f t="shared" si="145"/>
        <v>4684602</v>
      </c>
      <c r="MP44" s="70">
        <f t="shared" si="146"/>
        <v>0</v>
      </c>
      <c r="MQ44" s="70">
        <f t="shared" si="147"/>
        <v>127630312</v>
      </c>
      <c r="MR44" s="70">
        <f t="shared" si="148"/>
        <v>0</v>
      </c>
      <c r="MT44" s="70">
        <f t="shared" si="149"/>
        <v>0</v>
      </c>
      <c r="MV44" s="68">
        <f t="shared" si="77"/>
        <v>0</v>
      </c>
    </row>
    <row r="45" spans="1:360" x14ac:dyDescent="0.15">
      <c r="A45" s="182" t="s">
        <v>341</v>
      </c>
      <c r="B45" s="76" t="s">
        <v>424</v>
      </c>
      <c r="C45" s="90">
        <v>237525</v>
      </c>
      <c r="D45" s="90">
        <v>2014</v>
      </c>
      <c r="E45" s="90">
        <v>1</v>
      </c>
      <c r="F45" s="91">
        <v>8</v>
      </c>
      <c r="G45" s="92">
        <v>3567</v>
      </c>
      <c r="H45" s="92">
        <v>4449</v>
      </c>
      <c r="I45" s="93">
        <v>260517059</v>
      </c>
      <c r="J45" s="93">
        <v>256275124</v>
      </c>
      <c r="K45" s="93">
        <v>1426458</v>
      </c>
      <c r="L45" s="93">
        <v>658810</v>
      </c>
      <c r="M45" s="93">
        <v>9362138</v>
      </c>
      <c r="N45" s="93">
        <v>9338531</v>
      </c>
      <c r="O45" s="93">
        <v>15685148</v>
      </c>
      <c r="P45" s="93">
        <v>13361726</v>
      </c>
      <c r="Q45" s="93">
        <v>115312716</v>
      </c>
      <c r="R45" s="93">
        <v>114154332</v>
      </c>
      <c r="S45" s="93">
        <v>194518848</v>
      </c>
      <c r="T45" s="93">
        <v>193943752</v>
      </c>
      <c r="U45" s="93">
        <v>16889</v>
      </c>
      <c r="V45" s="93">
        <v>15578</v>
      </c>
      <c r="W45" s="93">
        <v>25640</v>
      </c>
      <c r="X45" s="93">
        <v>23578</v>
      </c>
      <c r="Y45" s="93">
        <v>19450</v>
      </c>
      <c r="Z45" s="93">
        <v>18282</v>
      </c>
      <c r="AA45" s="93">
        <v>27950</v>
      </c>
      <c r="AB45" s="93">
        <v>26282</v>
      </c>
      <c r="AC45" s="114">
        <v>6</v>
      </c>
      <c r="AD45" s="114">
        <v>10</v>
      </c>
      <c r="AE45" s="114">
        <v>0</v>
      </c>
      <c r="AF45" s="115">
        <v>3371824</v>
      </c>
      <c r="AG45" s="115">
        <v>2337501</v>
      </c>
      <c r="AH45" s="115">
        <v>393056</v>
      </c>
      <c r="AI45" s="115">
        <v>148955</v>
      </c>
      <c r="AJ45" s="115">
        <v>261430.24118738406</v>
      </c>
      <c r="AK45" s="116">
        <v>5.39</v>
      </c>
      <c r="AL45" s="115">
        <v>234851.5</v>
      </c>
      <c r="AM45" s="116">
        <v>6</v>
      </c>
      <c r="AN45" s="115">
        <v>96853.824756606395</v>
      </c>
      <c r="AO45" s="116">
        <v>7.19</v>
      </c>
      <c r="AP45" s="115">
        <v>87047.375</v>
      </c>
      <c r="AQ45" s="116">
        <v>8</v>
      </c>
      <c r="AR45" s="115">
        <v>110229.91706161138</v>
      </c>
      <c r="AS45" s="116">
        <v>16.88</v>
      </c>
      <c r="AT45" s="115">
        <v>93034.05</v>
      </c>
      <c r="AU45" s="116">
        <v>20</v>
      </c>
      <c r="AV45" s="115">
        <v>42876.229508196717</v>
      </c>
      <c r="AW45" s="116">
        <v>10.98</v>
      </c>
      <c r="AX45" s="115">
        <v>29423.8125</v>
      </c>
      <c r="AY45" s="116">
        <v>16</v>
      </c>
      <c r="AZ45" s="139">
        <v>2521229</v>
      </c>
      <c r="BA45" s="139">
        <v>696724</v>
      </c>
      <c r="BB45" s="139">
        <v>7954</v>
      </c>
      <c r="BC45" s="139">
        <v>22441</v>
      </c>
      <c r="BD45" s="139">
        <v>77790</v>
      </c>
      <c r="BE45" s="139">
        <v>3326138</v>
      </c>
      <c r="BF45" s="139">
        <v>0</v>
      </c>
      <c r="BG45" s="139">
        <v>0</v>
      </c>
      <c r="BH45" s="139">
        <v>635285</v>
      </c>
      <c r="BI45" s="139">
        <v>1497616</v>
      </c>
      <c r="BJ45" s="139">
        <v>1864153</v>
      </c>
      <c r="BK45" s="139">
        <v>3997054</v>
      </c>
      <c r="BL45" s="139">
        <v>350000</v>
      </c>
      <c r="BM45" s="139">
        <v>198937</v>
      </c>
      <c r="BN45" s="139">
        <v>0</v>
      </c>
      <c r="BO45" s="139">
        <v>13536</v>
      </c>
      <c r="BP45" s="139">
        <v>0</v>
      </c>
      <c r="BQ45" s="139">
        <v>562473</v>
      </c>
      <c r="BR45" s="139">
        <v>1226844</v>
      </c>
      <c r="BS45" s="139">
        <v>73479</v>
      </c>
      <c r="BT45" s="139">
        <v>3239</v>
      </c>
      <c r="BU45" s="139">
        <v>65546</v>
      </c>
      <c r="BV45" s="139">
        <v>2406066</v>
      </c>
      <c r="BW45" s="139">
        <v>3775174</v>
      </c>
      <c r="BX45" s="139">
        <v>0</v>
      </c>
      <c r="BY45" s="139">
        <v>0</v>
      </c>
      <c r="BZ45" s="139">
        <v>0</v>
      </c>
      <c r="CA45" s="139">
        <v>0</v>
      </c>
      <c r="CB45" s="139">
        <v>0</v>
      </c>
      <c r="CC45" s="139">
        <v>0</v>
      </c>
      <c r="CD45" s="139">
        <v>0</v>
      </c>
      <c r="CE45" s="139">
        <v>0</v>
      </c>
      <c r="CF45" s="139">
        <v>0</v>
      </c>
      <c r="CG45" s="139">
        <v>0</v>
      </c>
      <c r="CH45" s="139">
        <v>0</v>
      </c>
      <c r="CI45" s="139">
        <v>0</v>
      </c>
      <c r="CJ45" s="139">
        <v>1702194</v>
      </c>
      <c r="CK45" s="139">
        <v>243917</v>
      </c>
      <c r="CL45" s="139">
        <v>246993</v>
      </c>
      <c r="CM45" s="139">
        <v>1579055</v>
      </c>
      <c r="CN45" s="139">
        <v>3665022</v>
      </c>
      <c r="CO45" s="139">
        <v>7437181</v>
      </c>
      <c r="CP45" s="139">
        <v>113942</v>
      </c>
      <c r="CQ45" s="139">
        <v>5396</v>
      </c>
      <c r="CR45" s="139">
        <v>0</v>
      </c>
      <c r="CS45" s="139">
        <v>0</v>
      </c>
      <c r="CT45" s="139">
        <v>2502822</v>
      </c>
      <c r="CU45" s="139">
        <v>2622160</v>
      </c>
      <c r="CV45" s="139">
        <v>1473611</v>
      </c>
      <c r="CW45" s="139">
        <v>284935</v>
      </c>
      <c r="CX45" s="139">
        <v>3826</v>
      </c>
      <c r="CY45" s="139">
        <v>0</v>
      </c>
      <c r="CZ45" s="139">
        <v>2022385</v>
      </c>
      <c r="DA45" s="139">
        <v>3784757</v>
      </c>
      <c r="DB45" s="139">
        <v>784233</v>
      </c>
      <c r="DC45" s="139">
        <v>536681</v>
      </c>
      <c r="DD45" s="139">
        <v>0</v>
      </c>
      <c r="DE45" s="139">
        <v>0</v>
      </c>
      <c r="DF45" s="139">
        <v>26140</v>
      </c>
      <c r="DG45" s="139">
        <v>1347054</v>
      </c>
      <c r="DH45" s="139">
        <v>292531</v>
      </c>
      <c r="DI45" s="139">
        <v>24061</v>
      </c>
      <c r="DJ45" s="139">
        <v>3740</v>
      </c>
      <c r="DK45" s="139">
        <v>6484</v>
      </c>
      <c r="DL45" s="139">
        <v>56753</v>
      </c>
      <c r="DM45" s="139">
        <v>383569</v>
      </c>
      <c r="DN45" s="139">
        <v>82416</v>
      </c>
      <c r="DO45" s="139">
        <v>0</v>
      </c>
      <c r="DP45" s="139">
        <v>0</v>
      </c>
      <c r="DQ45" s="139">
        <v>0</v>
      </c>
      <c r="DR45" s="139">
        <v>75000</v>
      </c>
      <c r="DS45" s="139">
        <v>157416</v>
      </c>
      <c r="DT45" s="139">
        <v>17195</v>
      </c>
      <c r="DU45" s="139">
        <v>14860</v>
      </c>
      <c r="DV45" s="139">
        <v>25</v>
      </c>
      <c r="DW45" s="139">
        <v>106988</v>
      </c>
      <c r="DX45" s="139">
        <v>0</v>
      </c>
      <c r="DY45" s="139">
        <v>139068</v>
      </c>
      <c r="DZ45" s="139">
        <v>619</v>
      </c>
      <c r="EA45" s="139">
        <v>2</v>
      </c>
      <c r="EB45" s="139">
        <v>0</v>
      </c>
      <c r="EC45" s="139">
        <v>0</v>
      </c>
      <c r="ED45" s="139">
        <v>275346</v>
      </c>
      <c r="EE45" s="139">
        <v>275967</v>
      </c>
      <c r="EF45" s="139">
        <v>192767</v>
      </c>
      <c r="EG45" s="139">
        <v>3842</v>
      </c>
      <c r="EH45" s="139">
        <v>13368</v>
      </c>
      <c r="EI45" s="139">
        <v>117585</v>
      </c>
      <c r="EJ45" s="139">
        <v>571554</v>
      </c>
      <c r="EK45" s="139">
        <v>899116</v>
      </c>
      <c r="EL45" s="139">
        <v>8757581</v>
      </c>
      <c r="EM45" s="139">
        <v>2082834</v>
      </c>
      <c r="EN45" s="139">
        <v>914430</v>
      </c>
      <c r="EO45" s="139">
        <v>3409215</v>
      </c>
      <c r="EP45" s="139">
        <v>13543031</v>
      </c>
      <c r="EQ45" s="139">
        <v>28707091</v>
      </c>
      <c r="ER45" s="139">
        <v>2372750</v>
      </c>
      <c r="ES45" s="139">
        <v>323258</v>
      </c>
      <c r="ET45" s="139">
        <v>408496</v>
      </c>
      <c r="EU45" s="139">
        <v>2604821</v>
      </c>
      <c r="EV45" s="139">
        <v>110146</v>
      </c>
      <c r="EW45" s="139">
        <v>5819471</v>
      </c>
      <c r="EX45" s="139">
        <v>550000</v>
      </c>
      <c r="EY45" s="139">
        <v>337000</v>
      </c>
      <c r="EZ45" s="139">
        <v>38950</v>
      </c>
      <c r="FA45" s="139">
        <v>16760</v>
      </c>
      <c r="FB45" s="139">
        <v>0</v>
      </c>
      <c r="FC45" s="139">
        <v>942710</v>
      </c>
      <c r="FD45" s="139">
        <v>2075192</v>
      </c>
      <c r="FE45" s="139">
        <v>793728</v>
      </c>
      <c r="FF45" s="139">
        <v>375884</v>
      </c>
      <c r="FG45" s="139">
        <v>1192146</v>
      </c>
      <c r="FH45" s="139">
        <v>0</v>
      </c>
      <c r="FI45" s="139">
        <v>4436950</v>
      </c>
      <c r="FJ45" s="139">
        <v>0</v>
      </c>
      <c r="FK45" s="139">
        <v>0</v>
      </c>
      <c r="FL45" s="139">
        <v>0</v>
      </c>
      <c r="FM45" s="139">
        <v>0</v>
      </c>
      <c r="FN45" s="139">
        <v>0</v>
      </c>
      <c r="FO45" s="139">
        <v>0</v>
      </c>
      <c r="FP45" s="139">
        <v>305894</v>
      </c>
      <c r="FQ45" s="139">
        <v>87562</v>
      </c>
      <c r="FR45" s="139">
        <v>53929</v>
      </c>
      <c r="FS45" s="139">
        <v>22035</v>
      </c>
      <c r="FT45" s="139">
        <v>3021836</v>
      </c>
      <c r="FU45" s="139">
        <v>3491256</v>
      </c>
      <c r="FV45" s="139">
        <v>0</v>
      </c>
      <c r="FW45" s="139">
        <v>0</v>
      </c>
      <c r="FX45" s="139">
        <v>0</v>
      </c>
      <c r="FY45" s="139">
        <v>0</v>
      </c>
      <c r="FZ45" s="139">
        <v>0</v>
      </c>
      <c r="GA45" s="139">
        <v>0</v>
      </c>
      <c r="GB45" s="139">
        <v>0</v>
      </c>
      <c r="GC45" s="139">
        <v>727382</v>
      </c>
      <c r="GD45" s="139">
        <v>0</v>
      </c>
      <c r="GE45" s="139">
        <v>0</v>
      </c>
      <c r="GF45" s="139">
        <v>0</v>
      </c>
      <c r="GG45" s="139">
        <v>727382</v>
      </c>
      <c r="GH45" s="139">
        <v>257396</v>
      </c>
      <c r="GI45" s="139">
        <v>79985</v>
      </c>
      <c r="GJ45" s="139">
        <v>53789</v>
      </c>
      <c r="GK45" s="139">
        <v>150841</v>
      </c>
      <c r="GL45" s="139">
        <v>0</v>
      </c>
      <c r="GM45" s="139">
        <v>542011</v>
      </c>
      <c r="GN45" s="139">
        <v>1530904</v>
      </c>
      <c r="GO45" s="139">
        <v>366721</v>
      </c>
      <c r="GP45" s="139">
        <v>211479</v>
      </c>
      <c r="GQ45" s="139">
        <v>1099488</v>
      </c>
      <c r="GR45" s="139">
        <v>0</v>
      </c>
      <c r="GS45" s="139">
        <v>3208592</v>
      </c>
      <c r="GT45" s="139">
        <v>246899</v>
      </c>
      <c r="GU45" s="139">
        <v>41258</v>
      </c>
      <c r="GV45" s="139">
        <v>36277</v>
      </c>
      <c r="GW45" s="139">
        <v>254781</v>
      </c>
      <c r="GX45" s="139">
        <v>48290</v>
      </c>
      <c r="GY45" s="139">
        <v>627505</v>
      </c>
      <c r="GZ45" s="139">
        <v>396374</v>
      </c>
      <c r="HA45" s="139">
        <v>192937</v>
      </c>
      <c r="HB45" s="139">
        <v>98287</v>
      </c>
      <c r="HC45" s="139">
        <v>108349</v>
      </c>
      <c r="HD45" s="139">
        <v>60765</v>
      </c>
      <c r="HE45" s="139">
        <v>856712</v>
      </c>
      <c r="HF45" s="139">
        <v>143878</v>
      </c>
      <c r="HG45" s="139">
        <v>16554</v>
      </c>
      <c r="HH45" s="139">
        <v>16433</v>
      </c>
      <c r="HI45" s="139">
        <v>53149</v>
      </c>
      <c r="HJ45" s="139">
        <v>780889</v>
      </c>
      <c r="HK45" s="139">
        <v>1010903</v>
      </c>
      <c r="HL45" s="139">
        <v>8597</v>
      </c>
      <c r="HM45" s="139">
        <v>16731</v>
      </c>
      <c r="HN45" s="139">
        <v>7821</v>
      </c>
      <c r="HO45" s="139">
        <v>76591</v>
      </c>
      <c r="HP45" s="139">
        <v>0</v>
      </c>
      <c r="HQ45" s="139">
        <v>109740</v>
      </c>
      <c r="HR45" s="139">
        <v>5721</v>
      </c>
      <c r="HS45" s="139">
        <v>2918</v>
      </c>
      <c r="HT45" s="139">
        <v>0</v>
      </c>
      <c r="HU45" s="139">
        <v>18674</v>
      </c>
      <c r="HV45" s="139">
        <v>1415196</v>
      </c>
      <c r="HW45" s="139">
        <v>1442509</v>
      </c>
      <c r="HX45" s="139">
        <v>0</v>
      </c>
      <c r="HY45" s="139">
        <v>0</v>
      </c>
      <c r="HZ45" s="139">
        <v>0</v>
      </c>
      <c r="IA45" s="139">
        <v>0</v>
      </c>
      <c r="IB45" s="139">
        <v>111267</v>
      </c>
      <c r="IC45" s="139">
        <v>111267</v>
      </c>
      <c r="ID45" s="139">
        <v>113942</v>
      </c>
      <c r="IE45" s="139">
        <v>5396</v>
      </c>
      <c r="IF45" s="139">
        <v>0</v>
      </c>
      <c r="IG45" s="139">
        <v>0</v>
      </c>
      <c r="IH45" s="139">
        <v>2502822</v>
      </c>
      <c r="II45" s="139">
        <v>2622160</v>
      </c>
      <c r="IJ45" s="139">
        <v>0</v>
      </c>
      <c r="IK45" s="139">
        <v>0</v>
      </c>
      <c r="IL45" s="139">
        <v>0</v>
      </c>
      <c r="IM45" s="139">
        <v>0</v>
      </c>
      <c r="IN45" s="139">
        <v>868205</v>
      </c>
      <c r="IO45" s="139">
        <v>868205</v>
      </c>
      <c r="IP45" s="139">
        <v>2210</v>
      </c>
      <c r="IQ45" s="139">
        <v>815</v>
      </c>
      <c r="IR45" s="139">
        <v>480</v>
      </c>
      <c r="IS45" s="139">
        <v>15086</v>
      </c>
      <c r="IT45" s="139">
        <v>279596</v>
      </c>
      <c r="IU45" s="139">
        <v>298187</v>
      </c>
      <c r="IV45" s="139">
        <v>356024</v>
      </c>
      <c r="IW45" s="139">
        <v>78801</v>
      </c>
      <c r="IX45" s="139">
        <v>50479</v>
      </c>
      <c r="IY45" s="139">
        <v>161780</v>
      </c>
      <c r="IZ45" s="139">
        <v>1678500</v>
      </c>
      <c r="JA45" s="139">
        <v>2325584</v>
      </c>
      <c r="JB45" s="139">
        <v>8365781</v>
      </c>
      <c r="JC45" s="139">
        <v>3071046</v>
      </c>
      <c r="JD45" s="139">
        <v>1352304</v>
      </c>
      <c r="JE45" s="139">
        <v>5774501</v>
      </c>
      <c r="JF45" s="139">
        <v>10877512</v>
      </c>
      <c r="JG45" s="139">
        <v>29441144</v>
      </c>
      <c r="JH45" s="139">
        <v>0</v>
      </c>
      <c r="JI45" s="139">
        <v>0</v>
      </c>
      <c r="JJ45" s="139">
        <v>0</v>
      </c>
      <c r="JK45" s="139">
        <v>0</v>
      </c>
      <c r="JL45" s="139">
        <v>0</v>
      </c>
      <c r="JM45" s="139">
        <v>0</v>
      </c>
      <c r="JN45" s="139">
        <v>8365781</v>
      </c>
      <c r="JO45" s="139">
        <v>3071046</v>
      </c>
      <c r="JP45" s="139">
        <v>1352304</v>
      </c>
      <c r="JQ45" s="139">
        <v>5774501</v>
      </c>
      <c r="JR45" s="139">
        <v>10877512</v>
      </c>
      <c r="JS45" s="139">
        <v>29441144</v>
      </c>
      <c r="JU45" s="70">
        <f t="shared" si="80"/>
        <v>3326138</v>
      </c>
      <c r="JV45" s="70">
        <f t="shared" si="81"/>
        <v>0</v>
      </c>
      <c r="JW45" s="70">
        <f t="shared" si="82"/>
        <v>3997054</v>
      </c>
      <c r="JX45" s="70">
        <f t="shared" si="83"/>
        <v>0</v>
      </c>
      <c r="JY45" s="70">
        <f t="shared" si="84"/>
        <v>562473</v>
      </c>
      <c r="JZ45" s="70">
        <f t="shared" si="85"/>
        <v>0</v>
      </c>
      <c r="KA45" s="70">
        <f t="shared" si="86"/>
        <v>3775174</v>
      </c>
      <c r="KB45" s="70">
        <f t="shared" si="87"/>
        <v>0</v>
      </c>
      <c r="KC45" s="70">
        <f t="shared" si="88"/>
        <v>0</v>
      </c>
      <c r="KD45" s="70">
        <f t="shared" si="89"/>
        <v>0</v>
      </c>
      <c r="KE45" s="70">
        <f t="shared" si="90"/>
        <v>0</v>
      </c>
      <c r="KF45" s="70">
        <f t="shared" si="91"/>
        <v>0</v>
      </c>
      <c r="KG45" s="70">
        <f t="shared" si="92"/>
        <v>7437181</v>
      </c>
      <c r="KH45" s="70">
        <f t="shared" si="93"/>
        <v>0</v>
      </c>
      <c r="KI45" s="70">
        <f t="shared" si="94"/>
        <v>2622160</v>
      </c>
      <c r="KJ45" s="70">
        <f t="shared" si="95"/>
        <v>0</v>
      </c>
      <c r="KK45" s="70">
        <f t="shared" si="96"/>
        <v>3784757</v>
      </c>
      <c r="KL45" s="70">
        <f t="shared" si="97"/>
        <v>0</v>
      </c>
      <c r="KM45" s="70">
        <f t="shared" si="98"/>
        <v>1347054</v>
      </c>
      <c r="KN45" s="70">
        <f t="shared" si="99"/>
        <v>0</v>
      </c>
      <c r="KO45" s="70">
        <f t="shared" si="100"/>
        <v>383569</v>
      </c>
      <c r="KP45" s="70">
        <f t="shared" si="101"/>
        <v>0</v>
      </c>
      <c r="KQ45" s="70">
        <f t="shared" si="102"/>
        <v>157416</v>
      </c>
      <c r="KR45" s="70">
        <f t="shared" si="103"/>
        <v>0</v>
      </c>
      <c r="KS45" s="70">
        <f t="shared" si="104"/>
        <v>139068</v>
      </c>
      <c r="KT45" s="70">
        <f t="shared" si="105"/>
        <v>0</v>
      </c>
      <c r="KU45" s="70">
        <f t="shared" si="106"/>
        <v>275967</v>
      </c>
      <c r="KV45" s="70">
        <f t="shared" si="107"/>
        <v>0</v>
      </c>
      <c r="KW45" s="70">
        <f t="shared" si="108"/>
        <v>899116</v>
      </c>
      <c r="KX45" s="70">
        <f t="shared" si="109"/>
        <v>0</v>
      </c>
      <c r="KY45" s="70">
        <f t="shared" si="110"/>
        <v>28707091</v>
      </c>
      <c r="KZ45" s="70">
        <f t="shared" si="111"/>
        <v>0</v>
      </c>
      <c r="LA45" s="70">
        <f t="shared" si="150"/>
        <v>5819471</v>
      </c>
      <c r="LB45" s="70">
        <f t="shared" si="112"/>
        <v>0</v>
      </c>
      <c r="LC45" s="70">
        <f t="shared" si="113"/>
        <v>942710</v>
      </c>
      <c r="LD45" s="70">
        <f t="shared" si="114"/>
        <v>0</v>
      </c>
      <c r="LE45" s="70">
        <f t="shared" si="115"/>
        <v>4436950</v>
      </c>
      <c r="LF45" s="70">
        <f t="shared" si="116"/>
        <v>0</v>
      </c>
      <c r="LG45" s="70">
        <f t="shared" si="78"/>
        <v>0</v>
      </c>
      <c r="LH45" s="70">
        <f t="shared" si="79"/>
        <v>0</v>
      </c>
      <c r="LI45" s="70">
        <f t="shared" si="151"/>
        <v>3491256</v>
      </c>
      <c r="LJ45" s="70">
        <f t="shared" si="152"/>
        <v>0</v>
      </c>
      <c r="LK45" s="70">
        <f t="shared" si="153"/>
        <v>0</v>
      </c>
      <c r="LL45" s="70">
        <f t="shared" si="154"/>
        <v>0</v>
      </c>
      <c r="LM45" s="70">
        <f t="shared" si="117"/>
        <v>727382</v>
      </c>
      <c r="LN45" s="70">
        <f t="shared" si="118"/>
        <v>0</v>
      </c>
      <c r="LO45" s="70">
        <f t="shared" si="119"/>
        <v>542011</v>
      </c>
      <c r="LP45" s="70">
        <f t="shared" si="120"/>
        <v>0</v>
      </c>
      <c r="LQ45" s="70">
        <f t="shared" si="121"/>
        <v>3208592</v>
      </c>
      <c r="LR45" s="70">
        <f t="shared" si="122"/>
        <v>0</v>
      </c>
      <c r="LS45" s="70">
        <f t="shared" si="123"/>
        <v>627505</v>
      </c>
      <c r="LT45" s="70">
        <f t="shared" si="124"/>
        <v>0</v>
      </c>
      <c r="LU45" s="70">
        <f t="shared" si="125"/>
        <v>856712</v>
      </c>
      <c r="LV45" s="70">
        <f t="shared" si="126"/>
        <v>0</v>
      </c>
      <c r="LW45" s="70">
        <f t="shared" si="127"/>
        <v>1010903</v>
      </c>
      <c r="LX45" s="70">
        <f t="shared" si="128"/>
        <v>0</v>
      </c>
      <c r="LY45" s="70">
        <f t="shared" si="129"/>
        <v>109740</v>
      </c>
      <c r="LZ45" s="70">
        <f t="shared" si="130"/>
        <v>0</v>
      </c>
      <c r="MA45" s="70">
        <f t="shared" si="131"/>
        <v>1442509</v>
      </c>
      <c r="MB45" s="70">
        <f t="shared" si="132"/>
        <v>0</v>
      </c>
      <c r="MC45" s="70">
        <f t="shared" si="133"/>
        <v>111267</v>
      </c>
      <c r="MD45" s="70">
        <f t="shared" si="134"/>
        <v>0</v>
      </c>
      <c r="ME45" s="70">
        <f t="shared" si="135"/>
        <v>2622160</v>
      </c>
      <c r="MF45" s="70">
        <f t="shared" si="136"/>
        <v>0</v>
      </c>
      <c r="MG45" s="70">
        <f t="shared" si="137"/>
        <v>868205</v>
      </c>
      <c r="MH45" s="70">
        <f t="shared" si="138"/>
        <v>0</v>
      </c>
      <c r="MI45" s="70">
        <f t="shared" si="139"/>
        <v>298187</v>
      </c>
      <c r="MJ45" s="70">
        <f t="shared" si="140"/>
        <v>0</v>
      </c>
      <c r="MK45" s="70">
        <f t="shared" si="141"/>
        <v>2325584</v>
      </c>
      <c r="ML45" s="70">
        <f t="shared" si="142"/>
        <v>0</v>
      </c>
      <c r="MM45" s="70">
        <f t="shared" si="143"/>
        <v>29441144</v>
      </c>
      <c r="MN45" s="70">
        <f t="shared" si="144"/>
        <v>0</v>
      </c>
      <c r="MO45" s="70">
        <f t="shared" si="145"/>
        <v>0</v>
      </c>
      <c r="MP45" s="70">
        <f t="shared" si="146"/>
        <v>0</v>
      </c>
      <c r="MQ45" s="70">
        <f t="shared" si="147"/>
        <v>29441144</v>
      </c>
      <c r="MR45" s="70">
        <f t="shared" si="148"/>
        <v>0</v>
      </c>
      <c r="MT45" s="70">
        <f t="shared" si="149"/>
        <v>0</v>
      </c>
      <c r="MV45" s="68">
        <f t="shared" si="77"/>
        <v>0</v>
      </c>
    </row>
    <row r="46" spans="1:360" x14ac:dyDescent="0.15">
      <c r="A46" s="182" t="s">
        <v>342</v>
      </c>
      <c r="B46" s="76" t="s">
        <v>424</v>
      </c>
      <c r="C46" s="90">
        <v>163286</v>
      </c>
      <c r="D46" s="90">
        <v>2014</v>
      </c>
      <c r="E46" s="90">
        <v>1</v>
      </c>
      <c r="F46" s="91">
        <v>3</v>
      </c>
      <c r="G46" s="92">
        <v>12891</v>
      </c>
      <c r="H46" s="92">
        <v>11509</v>
      </c>
      <c r="I46" s="93">
        <v>1665472673</v>
      </c>
      <c r="J46" s="93">
        <v>1594226259</v>
      </c>
      <c r="K46" s="93">
        <v>6809026</v>
      </c>
      <c r="L46" s="93">
        <v>7841368</v>
      </c>
      <c r="M46" s="93">
        <v>63674471</v>
      </c>
      <c r="N46" s="93">
        <v>29301765</v>
      </c>
      <c r="O46" s="93">
        <v>47063749</v>
      </c>
      <c r="P46" s="93">
        <v>74558830</v>
      </c>
      <c r="Q46" s="93">
        <v>390615532</v>
      </c>
      <c r="R46" s="93">
        <v>350750928</v>
      </c>
      <c r="S46" s="93">
        <v>952483184</v>
      </c>
      <c r="T46" s="93">
        <v>891810739</v>
      </c>
      <c r="U46" s="93">
        <v>26894</v>
      </c>
      <c r="V46" s="93">
        <v>24459</v>
      </c>
      <c r="W46" s="93">
        <v>47187</v>
      </c>
      <c r="X46" s="93">
        <v>41830</v>
      </c>
      <c r="Y46" s="93">
        <v>23733</v>
      </c>
      <c r="Z46" s="93">
        <v>23094</v>
      </c>
      <c r="AA46" s="93">
        <v>42919</v>
      </c>
      <c r="AB46" s="93">
        <v>41473</v>
      </c>
      <c r="AC46" s="114">
        <v>8</v>
      </c>
      <c r="AD46" s="114">
        <v>12</v>
      </c>
      <c r="AE46" s="114">
        <v>0</v>
      </c>
      <c r="AF46" s="115">
        <v>7273141</v>
      </c>
      <c r="AG46" s="115">
        <v>5797773</v>
      </c>
      <c r="AH46" s="115">
        <v>524013</v>
      </c>
      <c r="AI46" s="115">
        <v>275954</v>
      </c>
      <c r="AJ46" s="115">
        <v>778005.6</v>
      </c>
      <c r="AK46" s="116">
        <v>7.5</v>
      </c>
      <c r="AL46" s="115">
        <v>729380.25</v>
      </c>
      <c r="AM46" s="116">
        <v>8</v>
      </c>
      <c r="AN46" s="115">
        <v>263967.66666666669</v>
      </c>
      <c r="AO46" s="116">
        <v>9</v>
      </c>
      <c r="AP46" s="115">
        <v>237570.9</v>
      </c>
      <c r="AQ46" s="116">
        <v>10</v>
      </c>
      <c r="AR46" s="115">
        <v>173834.74747474748</v>
      </c>
      <c r="AS46" s="116">
        <v>24.75</v>
      </c>
      <c r="AT46" s="115">
        <v>159348.51851851851</v>
      </c>
      <c r="AU46" s="116">
        <v>27</v>
      </c>
      <c r="AV46" s="115">
        <v>87981.386666666673</v>
      </c>
      <c r="AW46" s="116">
        <v>18.75</v>
      </c>
      <c r="AX46" s="115">
        <v>78554.809523809527</v>
      </c>
      <c r="AY46" s="116">
        <v>21</v>
      </c>
      <c r="AZ46" s="139">
        <v>6392258</v>
      </c>
      <c r="BA46" s="139">
        <v>6096790</v>
      </c>
      <c r="BB46" s="139">
        <v>369071</v>
      </c>
      <c r="BC46" s="139">
        <v>174496</v>
      </c>
      <c r="BD46" s="139">
        <v>409969</v>
      </c>
      <c r="BE46" s="139">
        <v>13442584</v>
      </c>
      <c r="BF46" s="139">
        <v>0</v>
      </c>
      <c r="BG46" s="139">
        <v>0</v>
      </c>
      <c r="BH46" s="139">
        <v>0</v>
      </c>
      <c r="BI46" s="139">
        <v>0</v>
      </c>
      <c r="BJ46" s="139">
        <v>11315001</v>
      </c>
      <c r="BK46" s="139">
        <v>11315001</v>
      </c>
      <c r="BL46" s="139">
        <v>419923</v>
      </c>
      <c r="BM46" s="139">
        <v>0</v>
      </c>
      <c r="BN46" s="139">
        <v>0</v>
      </c>
      <c r="BO46" s="139">
        <v>36500</v>
      </c>
      <c r="BP46" s="139">
        <v>0</v>
      </c>
      <c r="BQ46" s="139">
        <v>456423</v>
      </c>
      <c r="BR46" s="139">
        <v>2918785</v>
      </c>
      <c r="BS46" s="139">
        <v>1275713</v>
      </c>
      <c r="BT46" s="139">
        <v>418748</v>
      </c>
      <c r="BU46" s="139">
        <v>4840070</v>
      </c>
      <c r="BV46" s="139">
        <v>1772606</v>
      </c>
      <c r="BW46" s="139">
        <v>11225922</v>
      </c>
      <c r="BX46" s="139">
        <v>0</v>
      </c>
      <c r="BY46" s="139">
        <v>0</v>
      </c>
      <c r="BZ46" s="139">
        <v>0</v>
      </c>
      <c r="CA46" s="139">
        <v>0</v>
      </c>
      <c r="CB46" s="139">
        <v>0</v>
      </c>
      <c r="CC46" s="139">
        <v>0</v>
      </c>
      <c r="CD46" s="139">
        <v>0</v>
      </c>
      <c r="CE46" s="139">
        <v>0</v>
      </c>
      <c r="CF46" s="139">
        <v>0</v>
      </c>
      <c r="CG46" s="139">
        <v>0</v>
      </c>
      <c r="CH46" s="139">
        <v>0</v>
      </c>
      <c r="CI46" s="139">
        <v>0</v>
      </c>
      <c r="CJ46" s="139">
        <v>844184</v>
      </c>
      <c r="CK46" s="139">
        <v>134302</v>
      </c>
      <c r="CL46" s="139">
        <v>201453</v>
      </c>
      <c r="CM46" s="139">
        <v>1621217</v>
      </c>
      <c r="CN46" s="139">
        <v>4004956</v>
      </c>
      <c r="CO46" s="139">
        <v>6806112</v>
      </c>
      <c r="CP46" s="139">
        <v>0</v>
      </c>
      <c r="CQ46" s="139">
        <v>0</v>
      </c>
      <c r="CR46" s="139">
        <v>0</v>
      </c>
      <c r="CS46" s="139">
        <v>0</v>
      </c>
      <c r="CT46" s="139">
        <v>0</v>
      </c>
      <c r="CU46" s="139">
        <v>0</v>
      </c>
      <c r="CV46" s="139">
        <v>11577025</v>
      </c>
      <c r="CW46" s="139">
        <v>5686795</v>
      </c>
      <c r="CX46" s="139">
        <v>7089</v>
      </c>
      <c r="CY46" s="139">
        <v>4043</v>
      </c>
      <c r="CZ46" s="139">
        <v>1763904</v>
      </c>
      <c r="DA46" s="139">
        <v>19038856</v>
      </c>
      <c r="DB46" s="139">
        <v>0</v>
      </c>
      <c r="DC46" s="139">
        <v>0</v>
      </c>
      <c r="DD46" s="139">
        <v>0</v>
      </c>
      <c r="DE46" s="139">
        <v>0</v>
      </c>
      <c r="DF46" s="139">
        <v>0</v>
      </c>
      <c r="DG46" s="139">
        <v>0</v>
      </c>
      <c r="DH46" s="139">
        <v>407056</v>
      </c>
      <c r="DI46" s="139">
        <v>385486</v>
      </c>
      <c r="DJ46" s="139">
        <v>56042</v>
      </c>
      <c r="DK46" s="139">
        <v>36359</v>
      </c>
      <c r="DL46" s="139">
        <v>463036</v>
      </c>
      <c r="DM46" s="139">
        <v>1347979</v>
      </c>
      <c r="DN46" s="139">
        <v>0</v>
      </c>
      <c r="DO46" s="139">
        <v>0</v>
      </c>
      <c r="DP46" s="139">
        <v>0</v>
      </c>
      <c r="DQ46" s="139">
        <v>0</v>
      </c>
      <c r="DR46" s="139">
        <v>9038376</v>
      </c>
      <c r="DS46" s="139">
        <v>9038376</v>
      </c>
      <c r="DT46" s="139">
        <v>0</v>
      </c>
      <c r="DU46" s="139">
        <v>0</v>
      </c>
      <c r="DV46" s="139">
        <v>0</v>
      </c>
      <c r="DW46" s="139">
        <v>0</v>
      </c>
      <c r="DX46" s="139">
        <v>0</v>
      </c>
      <c r="DY46" s="139">
        <v>0</v>
      </c>
      <c r="DZ46" s="139">
        <v>1923</v>
      </c>
      <c r="EA46" s="139">
        <v>80361</v>
      </c>
      <c r="EB46" s="139">
        <v>0</v>
      </c>
      <c r="EC46" s="139">
        <v>367813</v>
      </c>
      <c r="ED46" s="139">
        <v>171158</v>
      </c>
      <c r="EE46" s="139">
        <v>621255</v>
      </c>
      <c r="EF46" s="139">
        <v>0</v>
      </c>
      <c r="EG46" s="139">
        <v>0</v>
      </c>
      <c r="EH46" s="139">
        <v>0</v>
      </c>
      <c r="EI46" s="139">
        <v>318</v>
      </c>
      <c r="EJ46" s="139">
        <v>142043</v>
      </c>
      <c r="EK46" s="139">
        <v>142361</v>
      </c>
      <c r="EL46" s="139">
        <v>22561154</v>
      </c>
      <c r="EM46" s="139">
        <v>13659447</v>
      </c>
      <c r="EN46" s="139">
        <v>1052403</v>
      </c>
      <c r="EO46" s="139">
        <v>7080816</v>
      </c>
      <c r="EP46" s="139">
        <v>29081049</v>
      </c>
      <c r="EQ46" s="139">
        <v>73434869</v>
      </c>
      <c r="ER46" s="139">
        <v>4171523</v>
      </c>
      <c r="ES46" s="139">
        <v>724931</v>
      </c>
      <c r="ET46" s="139">
        <v>845447</v>
      </c>
      <c r="EU46" s="139">
        <v>6998071</v>
      </c>
      <c r="EV46" s="139">
        <v>550335</v>
      </c>
      <c r="EW46" s="139">
        <v>13290307</v>
      </c>
      <c r="EX46" s="139">
        <v>3203940</v>
      </c>
      <c r="EY46" s="139">
        <v>815000</v>
      </c>
      <c r="EZ46" s="139">
        <v>110000</v>
      </c>
      <c r="FA46" s="139">
        <v>25212</v>
      </c>
      <c r="FB46" s="139">
        <v>0</v>
      </c>
      <c r="FC46" s="139">
        <v>4154152</v>
      </c>
      <c r="FD46" s="139">
        <v>4969229</v>
      </c>
      <c r="FE46" s="139">
        <v>2932567</v>
      </c>
      <c r="FF46" s="139">
        <v>1719934</v>
      </c>
      <c r="FG46" s="139">
        <v>4541082</v>
      </c>
      <c r="FH46" s="139">
        <v>0</v>
      </c>
      <c r="FI46" s="139">
        <v>14162812</v>
      </c>
      <c r="FJ46" s="139">
        <v>0</v>
      </c>
      <c r="FK46" s="139">
        <v>0</v>
      </c>
      <c r="FL46" s="139">
        <v>0</v>
      </c>
      <c r="FM46" s="139">
        <v>0</v>
      </c>
      <c r="FN46" s="139">
        <v>0</v>
      </c>
      <c r="FO46" s="139">
        <v>0</v>
      </c>
      <c r="FP46" s="139">
        <v>704726</v>
      </c>
      <c r="FQ46" s="139">
        <v>383749</v>
      </c>
      <c r="FR46" s="139">
        <v>304963</v>
      </c>
      <c r="FS46" s="139">
        <v>173389</v>
      </c>
      <c r="FT46" s="139">
        <v>11541588</v>
      </c>
      <c r="FU46" s="139">
        <v>13108415</v>
      </c>
      <c r="FV46" s="139">
        <v>0</v>
      </c>
      <c r="FW46" s="139">
        <v>0</v>
      </c>
      <c r="FX46" s="139">
        <v>0</v>
      </c>
      <c r="FY46" s="139">
        <v>0</v>
      </c>
      <c r="FZ46" s="139">
        <v>0</v>
      </c>
      <c r="GA46" s="139">
        <v>0</v>
      </c>
      <c r="GB46" s="139">
        <v>0</v>
      </c>
      <c r="GC46" s="139">
        <v>13696</v>
      </c>
      <c r="GD46" s="139">
        <v>21365</v>
      </c>
      <c r="GE46" s="139">
        <v>0</v>
      </c>
      <c r="GF46" s="139">
        <v>70129</v>
      </c>
      <c r="GG46" s="139">
        <v>105190</v>
      </c>
      <c r="GH46" s="139">
        <v>267867</v>
      </c>
      <c r="GI46" s="139">
        <v>104889</v>
      </c>
      <c r="GJ46" s="139">
        <v>124685</v>
      </c>
      <c r="GK46" s="139">
        <v>302001</v>
      </c>
      <c r="GL46" s="139">
        <v>533</v>
      </c>
      <c r="GM46" s="139">
        <v>799975</v>
      </c>
      <c r="GN46" s="139">
        <v>1258984</v>
      </c>
      <c r="GO46" s="139">
        <v>1305707</v>
      </c>
      <c r="GP46" s="139">
        <v>653974</v>
      </c>
      <c r="GQ46" s="139">
        <v>2176729</v>
      </c>
      <c r="GR46" s="139">
        <v>21201</v>
      </c>
      <c r="GS46" s="139">
        <v>5416595</v>
      </c>
      <c r="GT46" s="139">
        <v>495216</v>
      </c>
      <c r="GU46" s="139">
        <v>157515</v>
      </c>
      <c r="GV46" s="139">
        <v>88133</v>
      </c>
      <c r="GW46" s="139">
        <v>379883</v>
      </c>
      <c r="GX46" s="139">
        <v>186042</v>
      </c>
      <c r="GY46" s="139">
        <v>1306789</v>
      </c>
      <c r="GZ46" s="139">
        <v>135721</v>
      </c>
      <c r="HA46" s="139">
        <v>158013</v>
      </c>
      <c r="HB46" s="139">
        <v>125205</v>
      </c>
      <c r="HC46" s="139">
        <v>214402</v>
      </c>
      <c r="HD46" s="139">
        <v>1189731</v>
      </c>
      <c r="HE46" s="139">
        <v>1823072</v>
      </c>
      <c r="HF46" s="139">
        <v>0</v>
      </c>
      <c r="HG46" s="139">
        <v>0</v>
      </c>
      <c r="HH46" s="139">
        <v>0</v>
      </c>
      <c r="HI46" s="139">
        <v>0</v>
      </c>
      <c r="HJ46" s="139">
        <v>1907683</v>
      </c>
      <c r="HK46" s="139">
        <v>1907683</v>
      </c>
      <c r="HL46" s="139">
        <v>0</v>
      </c>
      <c r="HM46" s="139">
        <v>0</v>
      </c>
      <c r="HN46" s="139">
        <v>0</v>
      </c>
      <c r="HO46" s="139">
        <v>0</v>
      </c>
      <c r="HP46" s="139">
        <v>0</v>
      </c>
      <c r="HQ46" s="139">
        <v>0</v>
      </c>
      <c r="HR46" s="139">
        <v>158939</v>
      </c>
      <c r="HS46" s="139">
        <v>45466</v>
      </c>
      <c r="HT46" s="139">
        <v>7632</v>
      </c>
      <c r="HU46" s="139">
        <v>147488</v>
      </c>
      <c r="HV46" s="139">
        <v>11145791</v>
      </c>
      <c r="HW46" s="139">
        <v>11505316</v>
      </c>
      <c r="HX46" s="139">
        <v>0</v>
      </c>
      <c r="HY46" s="139">
        <v>0</v>
      </c>
      <c r="HZ46" s="139">
        <v>0</v>
      </c>
      <c r="IA46" s="139">
        <v>0</v>
      </c>
      <c r="IB46" s="139">
        <v>208705</v>
      </c>
      <c r="IC46" s="139">
        <v>208705</v>
      </c>
      <c r="ID46" s="139">
        <v>0</v>
      </c>
      <c r="IE46" s="139">
        <v>0</v>
      </c>
      <c r="IF46" s="139">
        <v>0</v>
      </c>
      <c r="IG46" s="139">
        <v>0</v>
      </c>
      <c r="IH46" s="139">
        <v>0</v>
      </c>
      <c r="II46" s="139">
        <v>0</v>
      </c>
      <c r="IJ46" s="139">
        <v>22378</v>
      </c>
      <c r="IK46" s="139">
        <v>15509</v>
      </c>
      <c r="IL46" s="139">
        <v>903</v>
      </c>
      <c r="IM46" s="139">
        <v>2047</v>
      </c>
      <c r="IN46" s="139">
        <v>926680</v>
      </c>
      <c r="IO46" s="139">
        <v>967517</v>
      </c>
      <c r="IP46" s="139">
        <v>365</v>
      </c>
      <c r="IQ46" s="139">
        <v>1218</v>
      </c>
      <c r="IR46" s="139">
        <v>895</v>
      </c>
      <c r="IS46" s="139">
        <v>13808</v>
      </c>
      <c r="IT46" s="139">
        <v>22894</v>
      </c>
      <c r="IU46" s="139">
        <v>39180</v>
      </c>
      <c r="IV46" s="139">
        <v>880520</v>
      </c>
      <c r="IW46" s="139">
        <v>179389</v>
      </c>
      <c r="IX46" s="139">
        <v>118921</v>
      </c>
      <c r="IY46" s="139">
        <v>169310</v>
      </c>
      <c r="IZ46" s="139">
        <v>2809046</v>
      </c>
      <c r="JA46" s="139">
        <v>4157186</v>
      </c>
      <c r="JB46" s="139">
        <v>16269408</v>
      </c>
      <c r="JC46" s="139">
        <v>6837649</v>
      </c>
      <c r="JD46" s="139">
        <v>4122057</v>
      </c>
      <c r="JE46" s="139">
        <v>15143422</v>
      </c>
      <c r="JF46" s="139">
        <v>30580358</v>
      </c>
      <c r="JG46" s="139">
        <v>72952894</v>
      </c>
      <c r="JH46" s="139">
        <v>0</v>
      </c>
      <c r="JI46" s="139">
        <v>0</v>
      </c>
      <c r="JJ46" s="139">
        <v>0</v>
      </c>
      <c r="JK46" s="139">
        <v>0</v>
      </c>
      <c r="JL46" s="139">
        <v>0</v>
      </c>
      <c r="JM46" s="139">
        <v>0</v>
      </c>
      <c r="JN46" s="139">
        <v>16269408</v>
      </c>
      <c r="JO46" s="139">
        <v>6837649</v>
      </c>
      <c r="JP46" s="139">
        <v>4122057</v>
      </c>
      <c r="JQ46" s="139">
        <v>15143422</v>
      </c>
      <c r="JR46" s="139">
        <v>30580358</v>
      </c>
      <c r="JS46" s="139">
        <v>72952894</v>
      </c>
      <c r="JU46" s="70">
        <f t="shared" si="80"/>
        <v>13442584</v>
      </c>
      <c r="JV46" s="70">
        <f t="shared" si="81"/>
        <v>0</v>
      </c>
      <c r="JW46" s="70">
        <f t="shared" si="82"/>
        <v>11315001</v>
      </c>
      <c r="JX46" s="70">
        <f t="shared" si="83"/>
        <v>0</v>
      </c>
      <c r="JY46" s="70">
        <f t="shared" si="84"/>
        <v>456423</v>
      </c>
      <c r="JZ46" s="70">
        <f t="shared" si="85"/>
        <v>0</v>
      </c>
      <c r="KA46" s="70">
        <f t="shared" si="86"/>
        <v>11225922</v>
      </c>
      <c r="KB46" s="70">
        <f t="shared" si="87"/>
        <v>0</v>
      </c>
      <c r="KC46" s="70">
        <f t="shared" si="88"/>
        <v>0</v>
      </c>
      <c r="KD46" s="70">
        <f t="shared" si="89"/>
        <v>0</v>
      </c>
      <c r="KE46" s="70">
        <f t="shared" si="90"/>
        <v>0</v>
      </c>
      <c r="KF46" s="70">
        <f t="shared" si="91"/>
        <v>0</v>
      </c>
      <c r="KG46" s="70">
        <f t="shared" si="92"/>
        <v>6806112</v>
      </c>
      <c r="KH46" s="70">
        <f t="shared" si="93"/>
        <v>0</v>
      </c>
      <c r="KI46" s="70">
        <f t="shared" si="94"/>
        <v>0</v>
      </c>
      <c r="KJ46" s="70">
        <f t="shared" si="95"/>
        <v>0</v>
      </c>
      <c r="KK46" s="70">
        <f t="shared" si="96"/>
        <v>19038856</v>
      </c>
      <c r="KL46" s="70">
        <f t="shared" si="97"/>
        <v>0</v>
      </c>
      <c r="KM46" s="70">
        <f t="shared" si="98"/>
        <v>0</v>
      </c>
      <c r="KN46" s="70">
        <f t="shared" si="99"/>
        <v>0</v>
      </c>
      <c r="KO46" s="70">
        <f t="shared" si="100"/>
        <v>1347979</v>
      </c>
      <c r="KP46" s="70">
        <f t="shared" si="101"/>
        <v>0</v>
      </c>
      <c r="KQ46" s="70">
        <f t="shared" si="102"/>
        <v>9038376</v>
      </c>
      <c r="KR46" s="70">
        <f t="shared" si="103"/>
        <v>0</v>
      </c>
      <c r="KS46" s="70">
        <f t="shared" si="104"/>
        <v>0</v>
      </c>
      <c r="KT46" s="70">
        <f t="shared" si="105"/>
        <v>0</v>
      </c>
      <c r="KU46" s="70">
        <f t="shared" si="106"/>
        <v>621255</v>
      </c>
      <c r="KV46" s="70">
        <f t="shared" si="107"/>
        <v>0</v>
      </c>
      <c r="KW46" s="70">
        <f t="shared" si="108"/>
        <v>142361</v>
      </c>
      <c r="KX46" s="70">
        <f t="shared" si="109"/>
        <v>0</v>
      </c>
      <c r="KY46" s="70">
        <f t="shared" si="110"/>
        <v>73434869</v>
      </c>
      <c r="KZ46" s="70">
        <f t="shared" si="111"/>
        <v>0</v>
      </c>
      <c r="LA46" s="70">
        <f t="shared" si="150"/>
        <v>13290307</v>
      </c>
      <c r="LB46" s="70">
        <f t="shared" si="112"/>
        <v>0</v>
      </c>
      <c r="LC46" s="70">
        <f t="shared" si="113"/>
        <v>4154152</v>
      </c>
      <c r="LD46" s="70">
        <f t="shared" si="114"/>
        <v>0</v>
      </c>
      <c r="LE46" s="70">
        <f t="shared" si="115"/>
        <v>14162812</v>
      </c>
      <c r="LF46" s="70">
        <f t="shared" si="116"/>
        <v>0</v>
      </c>
      <c r="LG46" s="70">
        <f t="shared" si="78"/>
        <v>0</v>
      </c>
      <c r="LH46" s="70">
        <f t="shared" si="79"/>
        <v>0</v>
      </c>
      <c r="LI46" s="70">
        <f t="shared" si="151"/>
        <v>13108415</v>
      </c>
      <c r="LJ46" s="70">
        <f t="shared" si="152"/>
        <v>0</v>
      </c>
      <c r="LK46" s="70">
        <f t="shared" si="153"/>
        <v>0</v>
      </c>
      <c r="LL46" s="70">
        <f t="shared" si="154"/>
        <v>0</v>
      </c>
      <c r="LM46" s="70">
        <f t="shared" si="117"/>
        <v>105190</v>
      </c>
      <c r="LN46" s="70">
        <f t="shared" si="118"/>
        <v>0</v>
      </c>
      <c r="LO46" s="70">
        <f t="shared" si="119"/>
        <v>799975</v>
      </c>
      <c r="LP46" s="70">
        <f t="shared" si="120"/>
        <v>0</v>
      </c>
      <c r="LQ46" s="70">
        <f t="shared" si="121"/>
        <v>5416595</v>
      </c>
      <c r="LR46" s="70">
        <f t="shared" si="122"/>
        <v>0</v>
      </c>
      <c r="LS46" s="70">
        <f t="shared" si="123"/>
        <v>1306789</v>
      </c>
      <c r="LT46" s="70">
        <f t="shared" si="124"/>
        <v>0</v>
      </c>
      <c r="LU46" s="70">
        <f t="shared" si="125"/>
        <v>1823072</v>
      </c>
      <c r="LV46" s="70">
        <f t="shared" si="126"/>
        <v>0</v>
      </c>
      <c r="LW46" s="70">
        <f t="shared" si="127"/>
        <v>1907683</v>
      </c>
      <c r="LX46" s="70">
        <f t="shared" si="128"/>
        <v>0</v>
      </c>
      <c r="LY46" s="70">
        <f t="shared" si="129"/>
        <v>0</v>
      </c>
      <c r="LZ46" s="70">
        <f t="shared" si="130"/>
        <v>0</v>
      </c>
      <c r="MA46" s="70">
        <f t="shared" si="131"/>
        <v>11505316</v>
      </c>
      <c r="MB46" s="70">
        <f t="shared" si="132"/>
        <v>0</v>
      </c>
      <c r="MC46" s="70">
        <f t="shared" si="133"/>
        <v>208705</v>
      </c>
      <c r="MD46" s="70">
        <f t="shared" si="134"/>
        <v>0</v>
      </c>
      <c r="ME46" s="70">
        <f t="shared" si="135"/>
        <v>0</v>
      </c>
      <c r="MF46" s="70">
        <f t="shared" si="136"/>
        <v>0</v>
      </c>
      <c r="MG46" s="70">
        <f t="shared" si="137"/>
        <v>967517</v>
      </c>
      <c r="MH46" s="70">
        <f t="shared" si="138"/>
        <v>0</v>
      </c>
      <c r="MI46" s="70">
        <f t="shared" si="139"/>
        <v>39180</v>
      </c>
      <c r="MJ46" s="70">
        <f t="shared" si="140"/>
        <v>0</v>
      </c>
      <c r="MK46" s="70">
        <f t="shared" si="141"/>
        <v>4157186</v>
      </c>
      <c r="ML46" s="70">
        <f t="shared" si="142"/>
        <v>0</v>
      </c>
      <c r="MM46" s="70">
        <f t="shared" si="143"/>
        <v>72952894</v>
      </c>
      <c r="MN46" s="70">
        <f t="shared" si="144"/>
        <v>0</v>
      </c>
      <c r="MO46" s="70">
        <f t="shared" si="145"/>
        <v>0</v>
      </c>
      <c r="MP46" s="70">
        <f t="shared" si="146"/>
        <v>0</v>
      </c>
      <c r="MQ46" s="70">
        <f t="shared" si="147"/>
        <v>72952894</v>
      </c>
      <c r="MR46" s="70">
        <f t="shared" si="148"/>
        <v>0</v>
      </c>
      <c r="MT46" s="70">
        <f t="shared" si="149"/>
        <v>0</v>
      </c>
      <c r="MV46" s="68">
        <f t="shared" si="77"/>
        <v>0</v>
      </c>
    </row>
    <row r="47" spans="1:360" x14ac:dyDescent="0.15">
      <c r="A47" s="182" t="s">
        <v>561</v>
      </c>
      <c r="B47" s="76" t="s">
        <v>424</v>
      </c>
      <c r="C47" s="90">
        <v>166629</v>
      </c>
      <c r="D47" s="90">
        <v>2014</v>
      </c>
      <c r="E47" s="90">
        <v>1</v>
      </c>
      <c r="F47" s="91">
        <v>9</v>
      </c>
      <c r="G47" s="92">
        <v>10557</v>
      </c>
      <c r="H47" s="92">
        <v>9827</v>
      </c>
      <c r="I47" s="93">
        <v>985118000</v>
      </c>
      <c r="J47" s="93">
        <v>923948000</v>
      </c>
      <c r="K47" s="93">
        <v>2414955</v>
      </c>
      <c r="L47" s="93">
        <v>2417321</v>
      </c>
      <c r="M47" s="93">
        <v>71370011</v>
      </c>
      <c r="N47" s="93">
        <v>56963580</v>
      </c>
      <c r="O47" s="93">
        <v>41329840</v>
      </c>
      <c r="P47" s="93">
        <v>2625260</v>
      </c>
      <c r="Q47" s="93">
        <v>934233000</v>
      </c>
      <c r="R47" s="93">
        <v>826365000</v>
      </c>
      <c r="S47" s="93">
        <v>793658695</v>
      </c>
      <c r="T47" s="93">
        <v>826365000</v>
      </c>
      <c r="U47" s="93">
        <v>25373</v>
      </c>
      <c r="V47" s="93">
        <v>24946</v>
      </c>
      <c r="W47" s="93">
        <v>40088</v>
      </c>
      <c r="X47" s="93">
        <v>38361</v>
      </c>
      <c r="Y47" s="93">
        <v>26773</v>
      </c>
      <c r="Z47" s="93">
        <v>26346</v>
      </c>
      <c r="AA47" s="93">
        <v>41488</v>
      </c>
      <c r="AB47" s="93">
        <v>39761</v>
      </c>
      <c r="AC47" s="114">
        <v>10</v>
      </c>
      <c r="AD47" s="114">
        <v>11</v>
      </c>
      <c r="AE47" s="114">
        <v>0</v>
      </c>
      <c r="AF47" s="115">
        <v>5139676</v>
      </c>
      <c r="AG47" s="115">
        <v>3924589</v>
      </c>
      <c r="AH47" s="115">
        <v>605588</v>
      </c>
      <c r="AI47" s="115">
        <v>279022</v>
      </c>
      <c r="AJ47" s="115">
        <v>247405.64705882352</v>
      </c>
      <c r="AK47" s="116">
        <v>8.5</v>
      </c>
      <c r="AL47" s="115">
        <v>233660.88888888888</v>
      </c>
      <c r="AM47" s="116">
        <v>9</v>
      </c>
      <c r="AN47" s="115">
        <v>116507.11111111111</v>
      </c>
      <c r="AO47" s="116">
        <v>9</v>
      </c>
      <c r="AP47" s="115">
        <v>116507.11111111111</v>
      </c>
      <c r="AQ47" s="116">
        <v>9</v>
      </c>
      <c r="AR47" s="115">
        <v>74623.01176470588</v>
      </c>
      <c r="AS47" s="116">
        <v>21.25</v>
      </c>
      <c r="AT47" s="115">
        <v>60989.961538461539</v>
      </c>
      <c r="AU47" s="116">
        <v>26</v>
      </c>
      <c r="AV47" s="115">
        <v>49257.627118644064</v>
      </c>
      <c r="AW47" s="116">
        <v>14.75</v>
      </c>
      <c r="AX47" s="115">
        <v>40363.888888888891</v>
      </c>
      <c r="AY47" s="116">
        <v>18</v>
      </c>
      <c r="AZ47" s="139">
        <v>409652</v>
      </c>
      <c r="BA47" s="139">
        <v>981277</v>
      </c>
      <c r="BB47" s="139">
        <v>7116</v>
      </c>
      <c r="BC47" s="139">
        <v>297089</v>
      </c>
      <c r="BD47" s="139">
        <v>0</v>
      </c>
      <c r="BE47" s="139">
        <v>1695134</v>
      </c>
      <c r="BF47" s="139">
        <v>0</v>
      </c>
      <c r="BG47" s="139">
        <v>0</v>
      </c>
      <c r="BH47" s="139">
        <v>0</v>
      </c>
      <c r="BI47" s="139">
        <v>0</v>
      </c>
      <c r="BJ47" s="139">
        <v>8081072</v>
      </c>
      <c r="BK47" s="139">
        <v>8081072</v>
      </c>
      <c r="BL47" s="139">
        <v>1650000</v>
      </c>
      <c r="BM47" s="139">
        <v>50000</v>
      </c>
      <c r="BN47" s="139">
        <v>1000</v>
      </c>
      <c r="BO47" s="139">
        <v>15500</v>
      </c>
      <c r="BP47" s="139">
        <v>0</v>
      </c>
      <c r="BQ47" s="139">
        <v>1716500</v>
      </c>
      <c r="BR47" s="139">
        <v>331701</v>
      </c>
      <c r="BS47" s="139">
        <v>903903</v>
      </c>
      <c r="BT47" s="139">
        <v>10410</v>
      </c>
      <c r="BU47" s="139">
        <v>300860</v>
      </c>
      <c r="BV47" s="139">
        <v>32506</v>
      </c>
      <c r="BW47" s="139">
        <v>1579380</v>
      </c>
      <c r="BX47" s="139">
        <v>0</v>
      </c>
      <c r="BY47" s="139">
        <v>0</v>
      </c>
      <c r="BZ47" s="139">
        <v>0</v>
      </c>
      <c r="CA47" s="139">
        <v>0</v>
      </c>
      <c r="CB47" s="139">
        <v>0</v>
      </c>
      <c r="CC47" s="139">
        <v>0</v>
      </c>
      <c r="CD47" s="139">
        <v>0</v>
      </c>
      <c r="CE47" s="139">
        <v>0</v>
      </c>
      <c r="CF47" s="139">
        <v>0</v>
      </c>
      <c r="CG47" s="139">
        <v>0</v>
      </c>
      <c r="CH47" s="139">
        <v>0</v>
      </c>
      <c r="CI47" s="139">
        <v>0</v>
      </c>
      <c r="CJ47" s="139">
        <v>0</v>
      </c>
      <c r="CK47" s="139">
        <v>0</v>
      </c>
      <c r="CL47" s="139">
        <v>0</v>
      </c>
      <c r="CM47" s="139">
        <v>0</v>
      </c>
      <c r="CN47" s="139">
        <v>16088082</v>
      </c>
      <c r="CO47" s="139">
        <v>16088082</v>
      </c>
      <c r="CP47" s="139">
        <v>0</v>
      </c>
      <c r="CQ47" s="139">
        <v>0</v>
      </c>
      <c r="CR47" s="139">
        <v>0</v>
      </c>
      <c r="CS47" s="139">
        <v>0</v>
      </c>
      <c r="CT47" s="139">
        <v>2255975</v>
      </c>
      <c r="CU47" s="139">
        <v>2255975</v>
      </c>
      <c r="CV47" s="139">
        <v>0</v>
      </c>
      <c r="CW47" s="139">
        <v>0</v>
      </c>
      <c r="CX47" s="139">
        <v>0</v>
      </c>
      <c r="CY47" s="139">
        <v>6355</v>
      </c>
      <c r="CZ47" s="139">
        <v>1465918</v>
      </c>
      <c r="DA47" s="139">
        <v>1472273</v>
      </c>
      <c r="DB47" s="139">
        <v>0</v>
      </c>
      <c r="DC47" s="139">
        <v>0</v>
      </c>
      <c r="DD47" s="139">
        <v>0</v>
      </c>
      <c r="DE47" s="139">
        <v>0</v>
      </c>
      <c r="DF47" s="139">
        <v>7919</v>
      </c>
      <c r="DG47" s="139">
        <v>7919</v>
      </c>
      <c r="DH47" s="139">
        <v>0</v>
      </c>
      <c r="DI47" s="139">
        <v>0</v>
      </c>
      <c r="DJ47" s="139">
        <v>0</v>
      </c>
      <c r="DK47" s="139">
        <v>0</v>
      </c>
      <c r="DL47" s="139">
        <v>12163</v>
      </c>
      <c r="DM47" s="139">
        <v>12163</v>
      </c>
      <c r="DN47" s="139">
        <v>0</v>
      </c>
      <c r="DO47" s="139">
        <v>0</v>
      </c>
      <c r="DP47" s="139">
        <v>0</v>
      </c>
      <c r="DQ47" s="139">
        <v>0</v>
      </c>
      <c r="DR47" s="139">
        <v>219454</v>
      </c>
      <c r="DS47" s="139">
        <v>219454</v>
      </c>
      <c r="DT47" s="139">
        <v>0</v>
      </c>
      <c r="DU47" s="139">
        <v>0</v>
      </c>
      <c r="DV47" s="139">
        <v>0</v>
      </c>
      <c r="DW47" s="139">
        <v>0</v>
      </c>
      <c r="DX47" s="139">
        <v>18055</v>
      </c>
      <c r="DY47" s="139">
        <v>18055</v>
      </c>
      <c r="DZ47" s="139">
        <v>14332</v>
      </c>
      <c r="EA47" s="139">
        <v>16334</v>
      </c>
      <c r="EB47" s="139">
        <v>0</v>
      </c>
      <c r="EC47" s="139">
        <v>62547</v>
      </c>
      <c r="ED47" s="139">
        <v>12152</v>
      </c>
      <c r="EE47" s="139">
        <v>105365</v>
      </c>
      <c r="EF47" s="139">
        <v>44321</v>
      </c>
      <c r="EG47" s="139">
        <v>40657</v>
      </c>
      <c r="EH47" s="139">
        <v>14089</v>
      </c>
      <c r="EI47" s="139">
        <v>327907</v>
      </c>
      <c r="EJ47" s="139">
        <v>197572</v>
      </c>
      <c r="EK47" s="139">
        <v>624546</v>
      </c>
      <c r="EL47" s="139">
        <v>2450006</v>
      </c>
      <c r="EM47" s="139">
        <v>1992171</v>
      </c>
      <c r="EN47" s="139">
        <v>32615</v>
      </c>
      <c r="EO47" s="139">
        <v>1010258</v>
      </c>
      <c r="EP47" s="139">
        <v>28390868</v>
      </c>
      <c r="EQ47" s="139">
        <v>33875918</v>
      </c>
      <c r="ER47" s="139">
        <v>3118097</v>
      </c>
      <c r="ES47" s="139">
        <v>660246</v>
      </c>
      <c r="ET47" s="139">
        <v>614618</v>
      </c>
      <c r="EU47" s="139">
        <v>4671304</v>
      </c>
      <c r="EV47" s="139">
        <v>0</v>
      </c>
      <c r="EW47" s="139">
        <v>9064265</v>
      </c>
      <c r="EX47" s="139">
        <v>160000</v>
      </c>
      <c r="EY47" s="139">
        <v>70000</v>
      </c>
      <c r="EZ47" s="139">
        <v>0</v>
      </c>
      <c r="FA47" s="139">
        <v>0</v>
      </c>
      <c r="FB47" s="139">
        <v>0</v>
      </c>
      <c r="FC47" s="139">
        <v>230000</v>
      </c>
      <c r="FD47" s="139">
        <v>1292792</v>
      </c>
      <c r="FE47" s="139">
        <v>1136953</v>
      </c>
      <c r="FF47" s="139">
        <v>515044</v>
      </c>
      <c r="FG47" s="139">
        <v>2519012</v>
      </c>
      <c r="FH47" s="139">
        <v>0</v>
      </c>
      <c r="FI47" s="139">
        <v>5463801</v>
      </c>
      <c r="FJ47" s="139">
        <v>0</v>
      </c>
      <c r="FK47" s="139">
        <v>0</v>
      </c>
      <c r="FL47" s="139">
        <v>0</v>
      </c>
      <c r="FM47" s="139">
        <v>0</v>
      </c>
      <c r="FN47" s="139">
        <v>0</v>
      </c>
      <c r="FO47" s="139">
        <v>0</v>
      </c>
      <c r="FP47" s="139">
        <v>200806</v>
      </c>
      <c r="FQ47" s="139">
        <v>317993</v>
      </c>
      <c r="FR47" s="139">
        <v>97554</v>
      </c>
      <c r="FS47" s="139">
        <v>119971</v>
      </c>
      <c r="FT47" s="139">
        <v>4614641</v>
      </c>
      <c r="FU47" s="139">
        <v>5350965</v>
      </c>
      <c r="FV47" s="139">
        <v>0</v>
      </c>
      <c r="FW47" s="139">
        <v>0</v>
      </c>
      <c r="FX47" s="139">
        <v>0</v>
      </c>
      <c r="FY47" s="139">
        <v>0</v>
      </c>
      <c r="FZ47" s="139">
        <v>0</v>
      </c>
      <c r="GA47" s="139">
        <v>0</v>
      </c>
      <c r="GB47" s="139">
        <v>1041092</v>
      </c>
      <c r="GC47" s="139">
        <v>11257</v>
      </c>
      <c r="GD47" s="139">
        <v>11407</v>
      </c>
      <c r="GE47" s="139">
        <v>15357</v>
      </c>
      <c r="GF47" s="139">
        <v>86029</v>
      </c>
      <c r="GG47" s="139">
        <v>1165142</v>
      </c>
      <c r="GH47" s="139">
        <v>247332</v>
      </c>
      <c r="GI47" s="139">
        <v>204057</v>
      </c>
      <c r="GJ47" s="139">
        <v>109750</v>
      </c>
      <c r="GK47" s="139">
        <v>323471</v>
      </c>
      <c r="GL47" s="139">
        <v>0</v>
      </c>
      <c r="GM47" s="139">
        <v>884610</v>
      </c>
      <c r="GN47" s="139">
        <v>913727</v>
      </c>
      <c r="GO47" s="139">
        <v>679815</v>
      </c>
      <c r="GP47" s="139">
        <v>220666</v>
      </c>
      <c r="GQ47" s="139">
        <v>1525599</v>
      </c>
      <c r="GR47" s="139">
        <v>0</v>
      </c>
      <c r="GS47" s="139">
        <v>3339807</v>
      </c>
      <c r="GT47" s="139">
        <v>197655</v>
      </c>
      <c r="GU47" s="139">
        <v>20300</v>
      </c>
      <c r="GV47" s="139">
        <v>46891</v>
      </c>
      <c r="GW47" s="139">
        <v>388622</v>
      </c>
      <c r="GX47" s="139">
        <v>0</v>
      </c>
      <c r="GY47" s="139">
        <v>653468</v>
      </c>
      <c r="GZ47" s="139">
        <v>208034</v>
      </c>
      <c r="HA47" s="139">
        <v>635366</v>
      </c>
      <c r="HB47" s="139">
        <v>165011</v>
      </c>
      <c r="HC47" s="139">
        <v>334570</v>
      </c>
      <c r="HD47" s="139">
        <v>0</v>
      </c>
      <c r="HE47" s="139">
        <v>1342981</v>
      </c>
      <c r="HF47" s="139">
        <v>30396</v>
      </c>
      <c r="HG47" s="139">
        <v>12871</v>
      </c>
      <c r="HH47" s="139">
        <v>10775</v>
      </c>
      <c r="HI47" s="139">
        <v>32389</v>
      </c>
      <c r="HJ47" s="139">
        <v>229728</v>
      </c>
      <c r="HK47" s="139">
        <v>316159</v>
      </c>
      <c r="HL47" s="139">
        <v>0</v>
      </c>
      <c r="HM47" s="139">
        <v>0</v>
      </c>
      <c r="HN47" s="139">
        <v>0</v>
      </c>
      <c r="HO47" s="139">
        <v>0</v>
      </c>
      <c r="HP47" s="139">
        <v>16136</v>
      </c>
      <c r="HQ47" s="139">
        <v>16136</v>
      </c>
      <c r="HR47" s="139">
        <v>51503</v>
      </c>
      <c r="HS47" s="139">
        <v>30742</v>
      </c>
      <c r="HT47" s="139">
        <v>20743</v>
      </c>
      <c r="HU47" s="139">
        <v>166698</v>
      </c>
      <c r="HV47" s="139">
        <v>765282</v>
      </c>
      <c r="HW47" s="139">
        <v>1034968</v>
      </c>
      <c r="HX47" s="139">
        <v>0</v>
      </c>
      <c r="HY47" s="139">
        <v>0</v>
      </c>
      <c r="HZ47" s="139">
        <v>0</v>
      </c>
      <c r="IA47" s="139">
        <v>0</v>
      </c>
      <c r="IB47" s="139">
        <v>52927</v>
      </c>
      <c r="IC47" s="139">
        <v>52927</v>
      </c>
      <c r="ID47" s="139">
        <v>0</v>
      </c>
      <c r="IE47" s="139">
        <v>0</v>
      </c>
      <c r="IF47" s="139">
        <v>0</v>
      </c>
      <c r="IG47" s="139">
        <v>0</v>
      </c>
      <c r="IH47" s="139">
        <v>2255975</v>
      </c>
      <c r="II47" s="139">
        <v>2255975</v>
      </c>
      <c r="IJ47" s="139">
        <v>13649</v>
      </c>
      <c r="IK47" s="139">
        <v>0</v>
      </c>
      <c r="IL47" s="139">
        <v>0</v>
      </c>
      <c r="IM47" s="139">
        <v>6328</v>
      </c>
      <c r="IN47" s="139">
        <v>370917</v>
      </c>
      <c r="IO47" s="139">
        <v>390894</v>
      </c>
      <c r="IP47" s="139">
        <v>252500</v>
      </c>
      <c r="IQ47" s="139">
        <v>202</v>
      </c>
      <c r="IR47" s="139">
        <v>640</v>
      </c>
      <c r="IS47" s="139">
        <v>9943</v>
      </c>
      <c r="IT47" s="139">
        <v>17766</v>
      </c>
      <c r="IU47" s="139">
        <v>281051</v>
      </c>
      <c r="IV47" s="139">
        <v>93286</v>
      </c>
      <c r="IW47" s="139">
        <v>133916</v>
      </c>
      <c r="IX47" s="139">
        <v>84094</v>
      </c>
      <c r="IY47" s="139">
        <v>300367</v>
      </c>
      <c r="IZ47" s="139">
        <v>1020430</v>
      </c>
      <c r="JA47" s="139">
        <v>1632093</v>
      </c>
      <c r="JB47" s="139">
        <v>7820869</v>
      </c>
      <c r="JC47" s="139">
        <v>3913718</v>
      </c>
      <c r="JD47" s="139">
        <v>1897193</v>
      </c>
      <c r="JE47" s="139">
        <v>10413631</v>
      </c>
      <c r="JF47" s="139">
        <v>9429831</v>
      </c>
      <c r="JG47" s="139">
        <v>33475242</v>
      </c>
      <c r="JH47" s="139">
        <v>0</v>
      </c>
      <c r="JI47" s="139">
        <v>0</v>
      </c>
      <c r="JJ47" s="139">
        <v>0</v>
      </c>
      <c r="JK47" s="139">
        <v>0</v>
      </c>
      <c r="JL47" s="139">
        <v>0</v>
      </c>
      <c r="JM47" s="139">
        <v>0</v>
      </c>
      <c r="JN47" s="139">
        <v>7820869</v>
      </c>
      <c r="JO47" s="139">
        <v>3913718</v>
      </c>
      <c r="JP47" s="139">
        <v>1897193</v>
      </c>
      <c r="JQ47" s="139">
        <v>10413631</v>
      </c>
      <c r="JR47" s="139">
        <v>9429831</v>
      </c>
      <c r="JS47" s="139">
        <v>33475242</v>
      </c>
      <c r="JU47" s="70">
        <f t="shared" si="80"/>
        <v>1695134</v>
      </c>
      <c r="JV47" s="70">
        <f t="shared" si="81"/>
        <v>0</v>
      </c>
      <c r="JW47" s="70">
        <f t="shared" si="82"/>
        <v>8081072</v>
      </c>
      <c r="JX47" s="70">
        <f t="shared" si="83"/>
        <v>0</v>
      </c>
      <c r="JY47" s="70">
        <f t="shared" si="84"/>
        <v>1716500</v>
      </c>
      <c r="JZ47" s="70">
        <f t="shared" si="85"/>
        <v>0</v>
      </c>
      <c r="KA47" s="70">
        <f t="shared" si="86"/>
        <v>1579380</v>
      </c>
      <c r="KB47" s="70">
        <f t="shared" si="87"/>
        <v>0</v>
      </c>
      <c r="KC47" s="70">
        <f t="shared" si="88"/>
        <v>0</v>
      </c>
      <c r="KD47" s="70">
        <f t="shared" si="89"/>
        <v>0</v>
      </c>
      <c r="KE47" s="70">
        <f t="shared" si="90"/>
        <v>0</v>
      </c>
      <c r="KF47" s="70">
        <f t="shared" si="91"/>
        <v>0</v>
      </c>
      <c r="KG47" s="70">
        <f t="shared" si="92"/>
        <v>16088082</v>
      </c>
      <c r="KH47" s="70">
        <f t="shared" si="93"/>
        <v>0</v>
      </c>
      <c r="KI47" s="70">
        <f t="shared" si="94"/>
        <v>2255975</v>
      </c>
      <c r="KJ47" s="70">
        <f t="shared" si="95"/>
        <v>0</v>
      </c>
      <c r="KK47" s="70">
        <f t="shared" si="96"/>
        <v>1472273</v>
      </c>
      <c r="KL47" s="70">
        <f t="shared" si="97"/>
        <v>0</v>
      </c>
      <c r="KM47" s="70">
        <f t="shared" si="98"/>
        <v>7919</v>
      </c>
      <c r="KN47" s="70">
        <f t="shared" si="99"/>
        <v>0</v>
      </c>
      <c r="KO47" s="70">
        <f t="shared" si="100"/>
        <v>12163</v>
      </c>
      <c r="KP47" s="70">
        <f t="shared" si="101"/>
        <v>0</v>
      </c>
      <c r="KQ47" s="70">
        <f t="shared" si="102"/>
        <v>219454</v>
      </c>
      <c r="KR47" s="70">
        <f t="shared" si="103"/>
        <v>0</v>
      </c>
      <c r="KS47" s="70">
        <f t="shared" si="104"/>
        <v>18055</v>
      </c>
      <c r="KT47" s="70">
        <f t="shared" si="105"/>
        <v>0</v>
      </c>
      <c r="KU47" s="70">
        <f t="shared" si="106"/>
        <v>105365</v>
      </c>
      <c r="KV47" s="70">
        <f t="shared" si="107"/>
        <v>0</v>
      </c>
      <c r="KW47" s="70">
        <f t="shared" si="108"/>
        <v>624546</v>
      </c>
      <c r="KX47" s="70">
        <f t="shared" si="109"/>
        <v>0</v>
      </c>
      <c r="KY47" s="70">
        <f t="shared" si="110"/>
        <v>33875918</v>
      </c>
      <c r="KZ47" s="70">
        <f t="shared" si="111"/>
        <v>0</v>
      </c>
      <c r="LA47" s="70">
        <f t="shared" si="150"/>
        <v>9064265</v>
      </c>
      <c r="LB47" s="70">
        <f t="shared" si="112"/>
        <v>0</v>
      </c>
      <c r="LC47" s="70">
        <f t="shared" si="113"/>
        <v>230000</v>
      </c>
      <c r="LD47" s="70">
        <f t="shared" si="114"/>
        <v>0</v>
      </c>
      <c r="LE47" s="70">
        <f t="shared" si="115"/>
        <v>5463801</v>
      </c>
      <c r="LF47" s="70">
        <f t="shared" si="116"/>
        <v>0</v>
      </c>
      <c r="LG47" s="70">
        <f t="shared" ref="LG47:LG78" si="155">SUM(FJ47:FN47)</f>
        <v>0</v>
      </c>
      <c r="LH47" s="70">
        <f t="shared" ref="LH47:LH78" si="156">FO47-LG47</f>
        <v>0</v>
      </c>
      <c r="LI47" s="70">
        <f t="shared" si="151"/>
        <v>5350965</v>
      </c>
      <c r="LJ47" s="70">
        <f t="shared" si="152"/>
        <v>0</v>
      </c>
      <c r="LK47" s="70">
        <f t="shared" si="153"/>
        <v>0</v>
      </c>
      <c r="LL47" s="70">
        <f t="shared" si="154"/>
        <v>0</v>
      </c>
      <c r="LM47" s="70">
        <f t="shared" si="117"/>
        <v>1165142</v>
      </c>
      <c r="LN47" s="70">
        <f t="shared" si="118"/>
        <v>0</v>
      </c>
      <c r="LO47" s="70">
        <f t="shared" si="119"/>
        <v>884610</v>
      </c>
      <c r="LP47" s="70">
        <f t="shared" si="120"/>
        <v>0</v>
      </c>
      <c r="LQ47" s="70">
        <f t="shared" si="121"/>
        <v>3339807</v>
      </c>
      <c r="LR47" s="70">
        <f t="shared" si="122"/>
        <v>0</v>
      </c>
      <c r="LS47" s="70">
        <f t="shared" si="123"/>
        <v>653468</v>
      </c>
      <c r="LT47" s="70">
        <f t="shared" si="124"/>
        <v>0</v>
      </c>
      <c r="LU47" s="70">
        <f t="shared" si="125"/>
        <v>1342981</v>
      </c>
      <c r="LV47" s="70">
        <f t="shared" si="126"/>
        <v>0</v>
      </c>
      <c r="LW47" s="70">
        <f t="shared" si="127"/>
        <v>316159</v>
      </c>
      <c r="LX47" s="70">
        <f t="shared" si="128"/>
        <v>0</v>
      </c>
      <c r="LY47" s="70">
        <f t="shared" si="129"/>
        <v>16136</v>
      </c>
      <c r="LZ47" s="70">
        <f t="shared" si="130"/>
        <v>0</v>
      </c>
      <c r="MA47" s="70">
        <f t="shared" si="131"/>
        <v>1034968</v>
      </c>
      <c r="MB47" s="70">
        <f t="shared" si="132"/>
        <v>0</v>
      </c>
      <c r="MC47" s="70">
        <f t="shared" si="133"/>
        <v>52927</v>
      </c>
      <c r="MD47" s="70">
        <f t="shared" si="134"/>
        <v>0</v>
      </c>
      <c r="ME47" s="70">
        <f t="shared" si="135"/>
        <v>2255975</v>
      </c>
      <c r="MF47" s="70">
        <f t="shared" si="136"/>
        <v>0</v>
      </c>
      <c r="MG47" s="70">
        <f t="shared" si="137"/>
        <v>390894</v>
      </c>
      <c r="MH47" s="70">
        <f t="shared" si="138"/>
        <v>0</v>
      </c>
      <c r="MI47" s="70">
        <f t="shared" si="139"/>
        <v>281051</v>
      </c>
      <c r="MJ47" s="70">
        <f t="shared" si="140"/>
        <v>0</v>
      </c>
      <c r="MK47" s="70">
        <f t="shared" si="141"/>
        <v>1632093</v>
      </c>
      <c r="ML47" s="70">
        <f t="shared" si="142"/>
        <v>0</v>
      </c>
      <c r="MM47" s="70">
        <f t="shared" si="143"/>
        <v>33475242</v>
      </c>
      <c r="MN47" s="70">
        <f t="shared" si="144"/>
        <v>0</v>
      </c>
      <c r="MO47" s="70">
        <f t="shared" si="145"/>
        <v>0</v>
      </c>
      <c r="MP47" s="70">
        <f t="shared" si="146"/>
        <v>0</v>
      </c>
      <c r="MQ47" s="70">
        <f t="shared" si="147"/>
        <v>33475242</v>
      </c>
      <c r="MR47" s="70">
        <f t="shared" si="148"/>
        <v>0</v>
      </c>
      <c r="MT47" s="70">
        <f t="shared" si="149"/>
        <v>0</v>
      </c>
      <c r="MV47" s="68">
        <f t="shared" si="77"/>
        <v>0</v>
      </c>
    </row>
    <row r="48" spans="1:360" x14ac:dyDescent="0.15">
      <c r="A48" s="182" t="s">
        <v>343</v>
      </c>
      <c r="B48" s="76" t="s">
        <v>424</v>
      </c>
      <c r="C48" s="90">
        <v>220862</v>
      </c>
      <c r="D48" s="90">
        <v>2014</v>
      </c>
      <c r="E48" s="90">
        <v>1</v>
      </c>
      <c r="F48" s="91">
        <v>6</v>
      </c>
      <c r="G48" s="92">
        <v>5092</v>
      </c>
      <c r="H48" s="92">
        <v>7190</v>
      </c>
      <c r="I48" s="93">
        <v>421775268</v>
      </c>
      <c r="J48" s="93">
        <v>416611588</v>
      </c>
      <c r="K48" s="93">
        <v>0</v>
      </c>
      <c r="L48" s="93">
        <v>0</v>
      </c>
      <c r="M48" s="93">
        <v>9779091</v>
      </c>
      <c r="N48" s="93">
        <v>9693351</v>
      </c>
      <c r="O48" s="93">
        <v>0</v>
      </c>
      <c r="P48" s="93">
        <v>0</v>
      </c>
      <c r="Q48" s="93">
        <v>109405962</v>
      </c>
      <c r="R48" s="93">
        <v>101070572</v>
      </c>
      <c r="S48" s="93">
        <v>355509372</v>
      </c>
      <c r="T48" s="93">
        <v>3503523450</v>
      </c>
      <c r="U48" s="93">
        <v>17878</v>
      </c>
      <c r="V48" s="93">
        <v>17279</v>
      </c>
      <c r="W48" s="93">
        <v>32540</v>
      </c>
      <c r="X48" s="93">
        <v>31991</v>
      </c>
      <c r="Y48" s="93">
        <v>23364</v>
      </c>
      <c r="Z48" s="93">
        <v>22813</v>
      </c>
      <c r="AA48" s="93">
        <v>38076</v>
      </c>
      <c r="AB48" s="93">
        <v>37602</v>
      </c>
      <c r="AC48" s="114">
        <v>9</v>
      </c>
      <c r="AD48" s="114">
        <v>9</v>
      </c>
      <c r="AE48" s="114">
        <v>1</v>
      </c>
      <c r="AF48" s="115">
        <v>5484185</v>
      </c>
      <c r="AG48" s="115">
        <v>2804948</v>
      </c>
      <c r="AH48" s="115">
        <v>543300</v>
      </c>
      <c r="AI48" s="115">
        <v>213201</v>
      </c>
      <c r="AJ48" s="115">
        <v>534707.4117647059</v>
      </c>
      <c r="AK48" s="116">
        <v>8.5</v>
      </c>
      <c r="AL48" s="115">
        <v>505001.44444444444</v>
      </c>
      <c r="AM48" s="116">
        <v>9</v>
      </c>
      <c r="AN48" s="115">
        <v>150472</v>
      </c>
      <c r="AO48" s="116">
        <v>8.5</v>
      </c>
      <c r="AP48" s="115">
        <v>142112</v>
      </c>
      <c r="AQ48" s="116">
        <v>9</v>
      </c>
      <c r="AR48" s="115">
        <v>217166.64864864864</v>
      </c>
      <c r="AS48" s="116">
        <v>18.5</v>
      </c>
      <c r="AT48" s="115">
        <v>191313.47619047618</v>
      </c>
      <c r="AU48" s="116">
        <v>21</v>
      </c>
      <c r="AV48" s="115">
        <v>66684</v>
      </c>
      <c r="AW48" s="116">
        <v>12.5</v>
      </c>
      <c r="AX48" s="115">
        <v>55570</v>
      </c>
      <c r="AY48" s="116">
        <v>15</v>
      </c>
      <c r="AZ48" s="139">
        <v>2316184</v>
      </c>
      <c r="BA48" s="139">
        <v>6245129</v>
      </c>
      <c r="BB48" s="139">
        <v>29673</v>
      </c>
      <c r="BC48" s="139">
        <v>5573</v>
      </c>
      <c r="BD48" s="139">
        <v>0</v>
      </c>
      <c r="BE48" s="139">
        <v>8596559</v>
      </c>
      <c r="BF48" s="139">
        <v>0</v>
      </c>
      <c r="BG48" s="139">
        <v>0</v>
      </c>
      <c r="BH48" s="139">
        <v>0</v>
      </c>
      <c r="BI48" s="139">
        <v>0</v>
      </c>
      <c r="BJ48" s="139">
        <v>7721891</v>
      </c>
      <c r="BK48" s="139">
        <v>7721891</v>
      </c>
      <c r="BL48" s="139">
        <v>150000</v>
      </c>
      <c r="BM48" s="139">
        <v>100000</v>
      </c>
      <c r="BN48" s="139">
        <v>0</v>
      </c>
      <c r="BO48" s="139">
        <v>4500</v>
      </c>
      <c r="BP48" s="139">
        <v>0</v>
      </c>
      <c r="BQ48" s="139">
        <v>254500</v>
      </c>
      <c r="BR48" s="139">
        <v>62130</v>
      </c>
      <c r="BS48" s="139">
        <v>65284</v>
      </c>
      <c r="BT48" s="139">
        <v>16462</v>
      </c>
      <c r="BU48" s="139">
        <v>125179</v>
      </c>
      <c r="BV48" s="139">
        <v>11118654</v>
      </c>
      <c r="BW48" s="139">
        <v>11387709</v>
      </c>
      <c r="BX48" s="139">
        <v>0</v>
      </c>
      <c r="BY48" s="139">
        <v>0</v>
      </c>
      <c r="BZ48" s="139">
        <v>0</v>
      </c>
      <c r="CA48" s="139">
        <v>0</v>
      </c>
      <c r="CB48" s="139">
        <v>0</v>
      </c>
      <c r="CC48" s="139">
        <v>0</v>
      </c>
      <c r="CD48" s="139">
        <v>0</v>
      </c>
      <c r="CE48" s="139">
        <v>0</v>
      </c>
      <c r="CF48" s="139">
        <v>0</v>
      </c>
      <c r="CG48" s="139">
        <v>0</v>
      </c>
      <c r="CH48" s="139">
        <v>0</v>
      </c>
      <c r="CI48" s="139">
        <v>0</v>
      </c>
      <c r="CJ48" s="139">
        <v>0</v>
      </c>
      <c r="CK48" s="139">
        <v>0</v>
      </c>
      <c r="CL48" s="139">
        <v>0</v>
      </c>
      <c r="CM48" s="139">
        <v>0</v>
      </c>
      <c r="CN48" s="139">
        <v>8132095</v>
      </c>
      <c r="CO48" s="139">
        <v>8132095</v>
      </c>
      <c r="CP48" s="139">
        <v>0</v>
      </c>
      <c r="CQ48" s="139">
        <v>0</v>
      </c>
      <c r="CR48" s="139">
        <v>0</v>
      </c>
      <c r="CS48" s="139">
        <v>0</v>
      </c>
      <c r="CT48" s="139">
        <v>3483499</v>
      </c>
      <c r="CU48" s="139">
        <v>3483499</v>
      </c>
      <c r="CV48" s="139">
        <v>0</v>
      </c>
      <c r="CW48" s="139">
        <v>0</v>
      </c>
      <c r="CX48" s="139">
        <v>0</v>
      </c>
      <c r="CY48" s="139">
        <v>0</v>
      </c>
      <c r="CZ48" s="139">
        <v>6036401</v>
      </c>
      <c r="DA48" s="139">
        <v>6036401</v>
      </c>
      <c r="DB48" s="139">
        <v>0</v>
      </c>
      <c r="DC48" s="139">
        <v>0</v>
      </c>
      <c r="DD48" s="139">
        <v>0</v>
      </c>
      <c r="DE48" s="139">
        <v>0</v>
      </c>
      <c r="DF48" s="139">
        <v>0</v>
      </c>
      <c r="DG48" s="139">
        <v>0</v>
      </c>
      <c r="DH48" s="139">
        <v>29091</v>
      </c>
      <c r="DI48" s="139">
        <v>290835</v>
      </c>
      <c r="DJ48" s="139">
        <v>0</v>
      </c>
      <c r="DK48" s="139">
        <v>0</v>
      </c>
      <c r="DL48" s="139">
        <v>8925</v>
      </c>
      <c r="DM48" s="139">
        <v>328851</v>
      </c>
      <c r="DN48" s="139">
        <v>0</v>
      </c>
      <c r="DO48" s="139">
        <v>800000</v>
      </c>
      <c r="DP48" s="139">
        <v>0</v>
      </c>
      <c r="DQ48" s="139">
        <v>0</v>
      </c>
      <c r="DR48" s="139">
        <v>2160600</v>
      </c>
      <c r="DS48" s="139">
        <v>2960600</v>
      </c>
      <c r="DT48" s="139">
        <v>0</v>
      </c>
      <c r="DU48" s="139">
        <v>0</v>
      </c>
      <c r="DV48" s="139">
        <v>0</v>
      </c>
      <c r="DW48" s="139">
        <v>0</v>
      </c>
      <c r="DX48" s="139">
        <v>0</v>
      </c>
      <c r="DY48" s="139">
        <v>0</v>
      </c>
      <c r="DZ48" s="139">
        <v>0</v>
      </c>
      <c r="EA48" s="139">
        <v>0</v>
      </c>
      <c r="EB48" s="139">
        <v>41</v>
      </c>
      <c r="EC48" s="139">
        <v>259</v>
      </c>
      <c r="ED48" s="139">
        <v>261</v>
      </c>
      <c r="EE48" s="139">
        <v>561</v>
      </c>
      <c r="EF48" s="139">
        <v>2989</v>
      </c>
      <c r="EG48" s="139">
        <v>112591</v>
      </c>
      <c r="EH48" s="139">
        <v>1388</v>
      </c>
      <c r="EI48" s="139">
        <v>15872</v>
      </c>
      <c r="EJ48" s="139">
        <v>1242997</v>
      </c>
      <c r="EK48" s="139">
        <v>1375837</v>
      </c>
      <c r="EL48" s="139">
        <v>2560394</v>
      </c>
      <c r="EM48" s="139">
        <v>7613839</v>
      </c>
      <c r="EN48" s="139">
        <v>47564</v>
      </c>
      <c r="EO48" s="139">
        <v>151383</v>
      </c>
      <c r="EP48" s="139">
        <v>39905323</v>
      </c>
      <c r="EQ48" s="139">
        <v>50278503</v>
      </c>
      <c r="ER48" s="139">
        <v>3358322</v>
      </c>
      <c r="ES48" s="139">
        <v>711735</v>
      </c>
      <c r="ET48" s="139">
        <v>464817</v>
      </c>
      <c r="EU48" s="139">
        <v>3830700</v>
      </c>
      <c r="EV48" s="139">
        <v>500461</v>
      </c>
      <c r="EW48" s="139">
        <v>8866035</v>
      </c>
      <c r="EX48" s="139">
        <v>740000</v>
      </c>
      <c r="EY48" s="139">
        <v>570000</v>
      </c>
      <c r="EZ48" s="139">
        <v>57056</v>
      </c>
      <c r="FA48" s="139">
        <v>37727</v>
      </c>
      <c r="FB48" s="139">
        <v>0</v>
      </c>
      <c r="FC48" s="139">
        <v>1404783</v>
      </c>
      <c r="FD48" s="139">
        <v>3816606</v>
      </c>
      <c r="FE48" s="139">
        <v>3883380</v>
      </c>
      <c r="FF48" s="139">
        <v>1035565</v>
      </c>
      <c r="FG48" s="139">
        <v>1939598</v>
      </c>
      <c r="FH48" s="139">
        <v>0</v>
      </c>
      <c r="FI48" s="139">
        <v>10675149</v>
      </c>
      <c r="FJ48" s="139">
        <v>0</v>
      </c>
      <c r="FK48" s="139">
        <v>0</v>
      </c>
      <c r="FL48" s="139">
        <v>0</v>
      </c>
      <c r="FM48" s="139">
        <v>0</v>
      </c>
      <c r="FN48" s="139">
        <v>0</v>
      </c>
      <c r="FO48" s="139">
        <v>0</v>
      </c>
      <c r="FP48" s="139">
        <v>566697</v>
      </c>
      <c r="FQ48" s="139">
        <v>378876</v>
      </c>
      <c r="FR48" s="139">
        <v>236691</v>
      </c>
      <c r="FS48" s="139">
        <v>118095</v>
      </c>
      <c r="FT48" s="139">
        <v>4978071</v>
      </c>
      <c r="FU48" s="139">
        <v>6278430</v>
      </c>
      <c r="FV48" s="139">
        <v>0</v>
      </c>
      <c r="FW48" s="139">
        <v>0</v>
      </c>
      <c r="FX48" s="139">
        <v>0</v>
      </c>
      <c r="FY48" s="139">
        <v>0</v>
      </c>
      <c r="FZ48" s="139">
        <v>0</v>
      </c>
      <c r="GA48" s="139">
        <v>0</v>
      </c>
      <c r="GB48" s="139">
        <v>58694</v>
      </c>
      <c r="GC48" s="139">
        <v>0</v>
      </c>
      <c r="GD48" s="139">
        <v>0</v>
      </c>
      <c r="GE48" s="139">
        <v>0</v>
      </c>
      <c r="GF48" s="139">
        <v>827238</v>
      </c>
      <c r="GG48" s="139">
        <v>885932</v>
      </c>
      <c r="GH48" s="139">
        <v>273249</v>
      </c>
      <c r="GI48" s="139">
        <v>194474</v>
      </c>
      <c r="GJ48" s="139">
        <v>114356</v>
      </c>
      <c r="GK48" s="139">
        <v>177685</v>
      </c>
      <c r="GL48" s="139">
        <v>0</v>
      </c>
      <c r="GM48" s="139">
        <v>759764</v>
      </c>
      <c r="GN48" s="139">
        <v>844660</v>
      </c>
      <c r="GO48" s="139">
        <v>1280698</v>
      </c>
      <c r="GP48" s="139">
        <v>579288</v>
      </c>
      <c r="GQ48" s="139">
        <v>1328591</v>
      </c>
      <c r="GR48" s="139">
        <v>0</v>
      </c>
      <c r="GS48" s="139">
        <v>4033237</v>
      </c>
      <c r="GT48" s="139">
        <v>677123</v>
      </c>
      <c r="GU48" s="139">
        <v>386211</v>
      </c>
      <c r="GV48" s="139">
        <v>115615</v>
      </c>
      <c r="GW48" s="139">
        <v>873150</v>
      </c>
      <c r="GX48" s="139">
        <v>93832</v>
      </c>
      <c r="GY48" s="139">
        <v>2145931</v>
      </c>
      <c r="GZ48" s="139">
        <v>760666</v>
      </c>
      <c r="HA48" s="139">
        <v>41417</v>
      </c>
      <c r="HB48" s="139">
        <v>0</v>
      </c>
      <c r="HC48" s="139">
        <v>1190866</v>
      </c>
      <c r="HD48" s="139">
        <v>0</v>
      </c>
      <c r="HE48" s="139">
        <v>1992949</v>
      </c>
      <c r="HF48" s="139">
        <v>0</v>
      </c>
      <c r="HG48" s="139">
        <v>0</v>
      </c>
      <c r="HH48" s="139">
        <v>0</v>
      </c>
      <c r="HI48" s="139">
        <v>0</v>
      </c>
      <c r="HJ48" s="139">
        <v>1579412</v>
      </c>
      <c r="HK48" s="139">
        <v>1579412</v>
      </c>
      <c r="HL48" s="139">
        <v>0</v>
      </c>
      <c r="HM48" s="139">
        <v>0</v>
      </c>
      <c r="HN48" s="139">
        <v>0</v>
      </c>
      <c r="HO48" s="139">
        <v>0</v>
      </c>
      <c r="HP48" s="139">
        <v>0</v>
      </c>
      <c r="HQ48" s="139">
        <v>0</v>
      </c>
      <c r="HR48" s="139">
        <v>642949</v>
      </c>
      <c r="HS48" s="139">
        <v>798949</v>
      </c>
      <c r="HT48" s="139">
        <v>30508</v>
      </c>
      <c r="HU48" s="139">
        <v>82847</v>
      </c>
      <c r="HV48" s="139">
        <v>155658</v>
      </c>
      <c r="HW48" s="139">
        <v>1710911</v>
      </c>
      <c r="HX48" s="139">
        <v>0</v>
      </c>
      <c r="HY48" s="139">
        <v>0</v>
      </c>
      <c r="HZ48" s="139">
        <v>0</v>
      </c>
      <c r="IA48" s="139">
        <v>0</v>
      </c>
      <c r="IB48" s="139">
        <v>220960</v>
      </c>
      <c r="IC48" s="139">
        <v>220960</v>
      </c>
      <c r="ID48" s="139">
        <v>0</v>
      </c>
      <c r="IE48" s="139">
        <v>0</v>
      </c>
      <c r="IF48" s="139">
        <v>0</v>
      </c>
      <c r="IG48" s="139">
        <v>0</v>
      </c>
      <c r="IH48" s="139">
        <v>3483499</v>
      </c>
      <c r="II48" s="139">
        <v>3483499</v>
      </c>
      <c r="IJ48" s="139">
        <v>450</v>
      </c>
      <c r="IK48" s="139">
        <v>20958</v>
      </c>
      <c r="IL48" s="139">
        <v>0</v>
      </c>
      <c r="IM48" s="139">
        <v>0</v>
      </c>
      <c r="IN48" s="139">
        <v>743379</v>
      </c>
      <c r="IO48" s="139">
        <v>764787</v>
      </c>
      <c r="IP48" s="139">
        <v>2670</v>
      </c>
      <c r="IQ48" s="139">
        <v>1700</v>
      </c>
      <c r="IR48" s="139">
        <v>2448</v>
      </c>
      <c r="IS48" s="139">
        <v>9476</v>
      </c>
      <c r="IT48" s="139">
        <v>3003514</v>
      </c>
      <c r="IU48" s="139">
        <v>3019808</v>
      </c>
      <c r="IV48" s="139">
        <v>196130</v>
      </c>
      <c r="IW48" s="139">
        <v>152634</v>
      </c>
      <c r="IX48" s="139">
        <v>52297</v>
      </c>
      <c r="IY48" s="139">
        <v>100739</v>
      </c>
      <c r="IZ48" s="139">
        <v>1943475</v>
      </c>
      <c r="JA48" s="139">
        <v>2445275</v>
      </c>
      <c r="JB48" s="139">
        <v>11937359</v>
      </c>
      <c r="JC48" s="139">
        <v>9475690</v>
      </c>
      <c r="JD48" s="139">
        <v>2731294</v>
      </c>
      <c r="JE48" s="139">
        <v>8595370</v>
      </c>
      <c r="JF48" s="139">
        <v>17527149</v>
      </c>
      <c r="JG48" s="139">
        <v>50266862</v>
      </c>
      <c r="JH48" s="139">
        <v>0</v>
      </c>
      <c r="JI48" s="139">
        <v>0</v>
      </c>
      <c r="JJ48" s="139">
        <v>0</v>
      </c>
      <c r="JK48" s="139">
        <v>0</v>
      </c>
      <c r="JL48" s="139">
        <v>0</v>
      </c>
      <c r="JM48" s="139">
        <v>0</v>
      </c>
      <c r="JN48" s="139">
        <v>11937359</v>
      </c>
      <c r="JO48" s="139">
        <v>9475690</v>
      </c>
      <c r="JP48" s="139">
        <v>2731294</v>
      </c>
      <c r="JQ48" s="139">
        <v>8595370</v>
      </c>
      <c r="JR48" s="139">
        <v>17527149</v>
      </c>
      <c r="JS48" s="139">
        <v>50266862</v>
      </c>
      <c r="JU48" s="70">
        <f t="shared" si="80"/>
        <v>8596559</v>
      </c>
      <c r="JV48" s="70">
        <f t="shared" si="81"/>
        <v>0</v>
      </c>
      <c r="JW48" s="70">
        <f t="shared" si="82"/>
        <v>7721891</v>
      </c>
      <c r="JX48" s="70">
        <f t="shared" si="83"/>
        <v>0</v>
      </c>
      <c r="JY48" s="70">
        <f t="shared" si="84"/>
        <v>254500</v>
      </c>
      <c r="JZ48" s="70">
        <f t="shared" si="85"/>
        <v>0</v>
      </c>
      <c r="KA48" s="70">
        <f t="shared" si="86"/>
        <v>11387709</v>
      </c>
      <c r="KB48" s="70">
        <f t="shared" si="87"/>
        <v>0</v>
      </c>
      <c r="KC48" s="70">
        <f t="shared" si="88"/>
        <v>0</v>
      </c>
      <c r="KD48" s="70">
        <f t="shared" si="89"/>
        <v>0</v>
      </c>
      <c r="KE48" s="70">
        <f t="shared" si="90"/>
        <v>0</v>
      </c>
      <c r="KF48" s="70">
        <f t="shared" si="91"/>
        <v>0</v>
      </c>
      <c r="KG48" s="70">
        <f t="shared" si="92"/>
        <v>8132095</v>
      </c>
      <c r="KH48" s="70">
        <f t="shared" si="93"/>
        <v>0</v>
      </c>
      <c r="KI48" s="70">
        <f t="shared" si="94"/>
        <v>3483499</v>
      </c>
      <c r="KJ48" s="70">
        <f t="shared" si="95"/>
        <v>0</v>
      </c>
      <c r="KK48" s="70">
        <f t="shared" si="96"/>
        <v>6036401</v>
      </c>
      <c r="KL48" s="70">
        <f t="shared" si="97"/>
        <v>0</v>
      </c>
      <c r="KM48" s="70">
        <f t="shared" si="98"/>
        <v>0</v>
      </c>
      <c r="KN48" s="70">
        <f t="shared" si="99"/>
        <v>0</v>
      </c>
      <c r="KO48" s="70">
        <f t="shared" si="100"/>
        <v>328851</v>
      </c>
      <c r="KP48" s="70">
        <f t="shared" si="101"/>
        <v>0</v>
      </c>
      <c r="KQ48" s="70">
        <f t="shared" si="102"/>
        <v>2960600</v>
      </c>
      <c r="KR48" s="70">
        <f t="shared" si="103"/>
        <v>0</v>
      </c>
      <c r="KS48" s="70">
        <f t="shared" si="104"/>
        <v>0</v>
      </c>
      <c r="KT48" s="70">
        <f t="shared" si="105"/>
        <v>0</v>
      </c>
      <c r="KU48" s="70">
        <f t="shared" si="106"/>
        <v>561</v>
      </c>
      <c r="KV48" s="70">
        <f t="shared" si="107"/>
        <v>0</v>
      </c>
      <c r="KW48" s="70">
        <f t="shared" si="108"/>
        <v>1375837</v>
      </c>
      <c r="KX48" s="70">
        <f t="shared" si="109"/>
        <v>0</v>
      </c>
      <c r="KY48" s="70">
        <f t="shared" si="110"/>
        <v>50278503</v>
      </c>
      <c r="KZ48" s="70">
        <f t="shared" si="111"/>
        <v>0</v>
      </c>
      <c r="LA48" s="70">
        <f t="shared" si="150"/>
        <v>8866035</v>
      </c>
      <c r="LB48" s="70">
        <f t="shared" si="112"/>
        <v>0</v>
      </c>
      <c r="LC48" s="70">
        <f t="shared" si="113"/>
        <v>1404783</v>
      </c>
      <c r="LD48" s="70">
        <f t="shared" si="114"/>
        <v>0</v>
      </c>
      <c r="LE48" s="70">
        <f t="shared" si="115"/>
        <v>10675149</v>
      </c>
      <c r="LF48" s="70">
        <f t="shared" si="116"/>
        <v>0</v>
      </c>
      <c r="LG48" s="70">
        <f t="shared" si="155"/>
        <v>0</v>
      </c>
      <c r="LH48" s="70">
        <f t="shared" si="156"/>
        <v>0</v>
      </c>
      <c r="LI48" s="70">
        <f t="shared" si="151"/>
        <v>6278430</v>
      </c>
      <c r="LJ48" s="70">
        <f t="shared" si="152"/>
        <v>0</v>
      </c>
      <c r="LK48" s="70">
        <f t="shared" si="153"/>
        <v>0</v>
      </c>
      <c r="LL48" s="70">
        <f t="shared" si="154"/>
        <v>0</v>
      </c>
      <c r="LM48" s="70">
        <f t="shared" si="117"/>
        <v>885932</v>
      </c>
      <c r="LN48" s="70">
        <f t="shared" si="118"/>
        <v>0</v>
      </c>
      <c r="LO48" s="70">
        <f t="shared" si="119"/>
        <v>759764</v>
      </c>
      <c r="LP48" s="70">
        <f t="shared" si="120"/>
        <v>0</v>
      </c>
      <c r="LQ48" s="70">
        <f t="shared" si="121"/>
        <v>4033237</v>
      </c>
      <c r="LR48" s="70">
        <f t="shared" si="122"/>
        <v>0</v>
      </c>
      <c r="LS48" s="70">
        <f t="shared" si="123"/>
        <v>2145931</v>
      </c>
      <c r="LT48" s="70">
        <f t="shared" si="124"/>
        <v>0</v>
      </c>
      <c r="LU48" s="70">
        <f t="shared" si="125"/>
        <v>1992949</v>
      </c>
      <c r="LV48" s="70">
        <f t="shared" si="126"/>
        <v>0</v>
      </c>
      <c r="LW48" s="70">
        <f t="shared" si="127"/>
        <v>1579412</v>
      </c>
      <c r="LX48" s="70">
        <f t="shared" si="128"/>
        <v>0</v>
      </c>
      <c r="LY48" s="70">
        <f t="shared" si="129"/>
        <v>0</v>
      </c>
      <c r="LZ48" s="70">
        <f t="shared" si="130"/>
        <v>0</v>
      </c>
      <c r="MA48" s="70">
        <f t="shared" si="131"/>
        <v>1710911</v>
      </c>
      <c r="MB48" s="70">
        <f t="shared" si="132"/>
        <v>0</v>
      </c>
      <c r="MC48" s="70">
        <f t="shared" si="133"/>
        <v>220960</v>
      </c>
      <c r="MD48" s="70">
        <f t="shared" si="134"/>
        <v>0</v>
      </c>
      <c r="ME48" s="70">
        <f t="shared" si="135"/>
        <v>3483499</v>
      </c>
      <c r="MF48" s="70">
        <f t="shared" si="136"/>
        <v>0</v>
      </c>
      <c r="MG48" s="70">
        <f t="shared" si="137"/>
        <v>764787</v>
      </c>
      <c r="MH48" s="70">
        <f t="shared" si="138"/>
        <v>0</v>
      </c>
      <c r="MI48" s="70">
        <f t="shared" si="139"/>
        <v>3019808</v>
      </c>
      <c r="MJ48" s="70">
        <f t="shared" si="140"/>
        <v>0</v>
      </c>
      <c r="MK48" s="70">
        <f t="shared" si="141"/>
        <v>2445275</v>
      </c>
      <c r="ML48" s="70">
        <f t="shared" si="142"/>
        <v>0</v>
      </c>
      <c r="MM48" s="70">
        <f t="shared" si="143"/>
        <v>50266862</v>
      </c>
      <c r="MN48" s="70">
        <f t="shared" si="144"/>
        <v>0</v>
      </c>
      <c r="MO48" s="70">
        <f t="shared" si="145"/>
        <v>0</v>
      </c>
      <c r="MP48" s="70">
        <f t="shared" si="146"/>
        <v>0</v>
      </c>
      <c r="MQ48" s="70">
        <f t="shared" si="147"/>
        <v>50266862</v>
      </c>
      <c r="MR48" s="70">
        <f t="shared" si="148"/>
        <v>0</v>
      </c>
      <c r="MT48" s="70">
        <f t="shared" si="149"/>
        <v>0</v>
      </c>
      <c r="MV48" s="68">
        <f t="shared" si="77"/>
        <v>0</v>
      </c>
    </row>
    <row r="49" spans="1:360" x14ac:dyDescent="0.15">
      <c r="A49" s="182" t="s">
        <v>344</v>
      </c>
      <c r="B49" s="76" t="s">
        <v>424</v>
      </c>
      <c r="C49" s="90">
        <v>204024</v>
      </c>
      <c r="D49" s="90">
        <v>2014</v>
      </c>
      <c r="E49" s="90">
        <v>1</v>
      </c>
      <c r="F49" s="91">
        <v>9</v>
      </c>
      <c r="G49" s="92">
        <v>7192</v>
      </c>
      <c r="H49" s="92">
        <v>7760</v>
      </c>
      <c r="I49" s="93">
        <v>532063374</v>
      </c>
      <c r="J49" s="93">
        <v>520014002</v>
      </c>
      <c r="K49" s="93">
        <v>2385447</v>
      </c>
      <c r="L49" s="93">
        <v>2393115</v>
      </c>
      <c r="M49" s="93">
        <v>49773533</v>
      </c>
      <c r="N49" s="93">
        <v>43589361</v>
      </c>
      <c r="O49" s="93">
        <v>20773968</v>
      </c>
      <c r="P49" s="93">
        <v>22234998</v>
      </c>
      <c r="Q49" s="93">
        <v>682268029</v>
      </c>
      <c r="R49" s="93">
        <v>548814575</v>
      </c>
      <c r="S49" s="93">
        <v>358278519</v>
      </c>
      <c r="T49" s="93">
        <v>353503496</v>
      </c>
      <c r="U49" s="93">
        <v>25949</v>
      </c>
      <c r="V49" s="93">
        <v>25629</v>
      </c>
      <c r="W49" s="93">
        <v>41739</v>
      </c>
      <c r="X49" s="93">
        <v>41193</v>
      </c>
      <c r="Y49" s="93">
        <v>31960</v>
      </c>
      <c r="Z49" s="93">
        <v>33279</v>
      </c>
      <c r="AA49" s="93">
        <v>47750</v>
      </c>
      <c r="AB49" s="93">
        <v>48843</v>
      </c>
      <c r="AC49" s="114">
        <v>8</v>
      </c>
      <c r="AD49" s="114">
        <v>11</v>
      </c>
      <c r="AE49" s="114">
        <v>0</v>
      </c>
      <c r="AF49" s="115">
        <v>5671198</v>
      </c>
      <c r="AG49" s="115">
        <v>3763321</v>
      </c>
      <c r="AH49" s="115">
        <v>250949</v>
      </c>
      <c r="AI49" s="115">
        <v>104861</v>
      </c>
      <c r="AJ49" s="115">
        <v>256772</v>
      </c>
      <c r="AK49" s="116">
        <v>7.5</v>
      </c>
      <c r="AL49" s="115">
        <v>240723.75</v>
      </c>
      <c r="AM49" s="116">
        <v>8</v>
      </c>
      <c r="AN49" s="115">
        <v>121772.21052631579</v>
      </c>
      <c r="AO49" s="116">
        <v>9.5</v>
      </c>
      <c r="AP49" s="115">
        <v>115683.6</v>
      </c>
      <c r="AQ49" s="116">
        <v>10</v>
      </c>
      <c r="AR49" s="115">
        <v>104210.21621621621</v>
      </c>
      <c r="AS49" s="116">
        <v>18.5</v>
      </c>
      <c r="AT49" s="115">
        <v>101467.84210526316</v>
      </c>
      <c r="AU49" s="116">
        <v>19</v>
      </c>
      <c r="AV49" s="115">
        <v>46993.393393393395</v>
      </c>
      <c r="AW49" s="116">
        <v>16.649999999999999</v>
      </c>
      <c r="AX49" s="115">
        <v>43468.888888888891</v>
      </c>
      <c r="AY49" s="116">
        <v>18</v>
      </c>
      <c r="AZ49" s="139">
        <v>459511</v>
      </c>
      <c r="BA49" s="139">
        <v>122106</v>
      </c>
      <c r="BB49" s="139">
        <v>7792</v>
      </c>
      <c r="BC49" s="139">
        <v>595506</v>
      </c>
      <c r="BD49" s="139">
        <v>25810</v>
      </c>
      <c r="BE49" s="139">
        <v>1210725</v>
      </c>
      <c r="BF49" s="139">
        <v>3961342</v>
      </c>
      <c r="BG49" s="139">
        <v>1137477</v>
      </c>
      <c r="BH49" s="139">
        <v>1369919</v>
      </c>
      <c r="BI49" s="139">
        <v>7585943</v>
      </c>
      <c r="BJ49" s="139">
        <v>1680365</v>
      </c>
      <c r="BK49" s="139">
        <v>15735046</v>
      </c>
      <c r="BL49" s="139">
        <v>1575000</v>
      </c>
      <c r="BM49" s="139">
        <v>196000</v>
      </c>
      <c r="BN49" s="139">
        <v>3000</v>
      </c>
      <c r="BO49" s="139">
        <v>5500</v>
      </c>
      <c r="BP49" s="139">
        <v>0</v>
      </c>
      <c r="BQ49" s="139">
        <v>1779500</v>
      </c>
      <c r="BR49" s="139">
        <v>163600</v>
      </c>
      <c r="BS49" s="139">
        <v>61210</v>
      </c>
      <c r="BT49" s="139">
        <v>14990</v>
      </c>
      <c r="BU49" s="139">
        <v>397659</v>
      </c>
      <c r="BV49" s="139">
        <v>978469</v>
      </c>
      <c r="BW49" s="139">
        <v>1615928</v>
      </c>
      <c r="BX49" s="139">
        <v>0</v>
      </c>
      <c r="BY49" s="139">
        <v>0</v>
      </c>
      <c r="BZ49" s="139">
        <v>0</v>
      </c>
      <c r="CA49" s="139">
        <v>0</v>
      </c>
      <c r="CB49" s="139">
        <v>0</v>
      </c>
      <c r="CC49" s="139">
        <v>0</v>
      </c>
      <c r="CD49" s="139">
        <v>190</v>
      </c>
      <c r="CE49" s="139">
        <v>0</v>
      </c>
      <c r="CF49" s="139">
        <v>0</v>
      </c>
      <c r="CG49" s="139">
        <v>2700</v>
      </c>
      <c r="CH49" s="139">
        <v>0</v>
      </c>
      <c r="CI49" s="139">
        <v>2890</v>
      </c>
      <c r="CJ49" s="139">
        <v>1000495</v>
      </c>
      <c r="CK49" s="139">
        <v>105252</v>
      </c>
      <c r="CL49" s="139">
        <v>97036</v>
      </c>
      <c r="CM49" s="139">
        <v>2373230</v>
      </c>
      <c r="CN49" s="139">
        <v>1773792</v>
      </c>
      <c r="CO49" s="139">
        <v>5349805</v>
      </c>
      <c r="CP49" s="139">
        <v>0</v>
      </c>
      <c r="CQ49" s="139">
        <v>0</v>
      </c>
      <c r="CR49" s="139">
        <v>0</v>
      </c>
      <c r="CS49" s="139">
        <v>0</v>
      </c>
      <c r="CT49" s="139">
        <v>27384</v>
      </c>
      <c r="CU49" s="139">
        <v>27384</v>
      </c>
      <c r="CV49" s="139">
        <v>0</v>
      </c>
      <c r="CW49" s="139">
        <v>115431</v>
      </c>
      <c r="CX49" s="139">
        <v>0</v>
      </c>
      <c r="CY49" s="139">
        <v>29011</v>
      </c>
      <c r="CZ49" s="139">
        <v>1147218</v>
      </c>
      <c r="DA49" s="139">
        <v>1291660</v>
      </c>
      <c r="DB49" s="139">
        <v>0</v>
      </c>
      <c r="DC49" s="139">
        <v>0</v>
      </c>
      <c r="DD49" s="139">
        <v>0</v>
      </c>
      <c r="DE49" s="139">
        <v>0</v>
      </c>
      <c r="DF49" s="139">
        <v>0</v>
      </c>
      <c r="DG49" s="139">
        <v>0</v>
      </c>
      <c r="DH49" s="139">
        <v>71092</v>
      </c>
      <c r="DI49" s="139">
        <v>17359</v>
      </c>
      <c r="DJ49" s="139">
        <v>0</v>
      </c>
      <c r="DK49" s="139">
        <v>12029</v>
      </c>
      <c r="DL49" s="139">
        <v>85503</v>
      </c>
      <c r="DM49" s="139">
        <v>185983</v>
      </c>
      <c r="DN49" s="139">
        <v>0</v>
      </c>
      <c r="DO49" s="139">
        <v>0</v>
      </c>
      <c r="DP49" s="139">
        <v>0</v>
      </c>
      <c r="DQ49" s="139">
        <v>0</v>
      </c>
      <c r="DR49" s="139">
        <v>618431</v>
      </c>
      <c r="DS49" s="139">
        <v>618431</v>
      </c>
      <c r="DT49" s="139">
        <v>0</v>
      </c>
      <c r="DU49" s="139">
        <v>0</v>
      </c>
      <c r="DV49" s="139">
        <v>0</v>
      </c>
      <c r="DW49" s="139">
        <v>0</v>
      </c>
      <c r="DX49" s="139">
        <v>910264</v>
      </c>
      <c r="DY49" s="139">
        <v>910264</v>
      </c>
      <c r="DZ49" s="139">
        <v>13053</v>
      </c>
      <c r="EA49" s="139">
        <v>2028</v>
      </c>
      <c r="EB49" s="139">
        <v>259</v>
      </c>
      <c r="EC49" s="139">
        <v>4592</v>
      </c>
      <c r="ED49" s="139">
        <v>206450</v>
      </c>
      <c r="EE49" s="139">
        <v>226382</v>
      </c>
      <c r="EF49" s="139">
        <v>3798</v>
      </c>
      <c r="EG49" s="139">
        <v>0</v>
      </c>
      <c r="EH49" s="139">
        <v>2208</v>
      </c>
      <c r="EI49" s="139">
        <v>74111</v>
      </c>
      <c r="EJ49" s="139">
        <v>359013</v>
      </c>
      <c r="EK49" s="139">
        <v>439130</v>
      </c>
      <c r="EL49" s="139">
        <v>7248081</v>
      </c>
      <c r="EM49" s="139">
        <v>1756863</v>
      </c>
      <c r="EN49" s="139">
        <v>1495204</v>
      </c>
      <c r="EO49" s="139">
        <v>11077581</v>
      </c>
      <c r="EP49" s="139">
        <v>7815399</v>
      </c>
      <c r="EQ49" s="139">
        <v>29393128</v>
      </c>
      <c r="ER49" s="139">
        <v>3273986</v>
      </c>
      <c r="ES49" s="139">
        <v>357633</v>
      </c>
      <c r="ET49" s="139">
        <v>447311</v>
      </c>
      <c r="EU49" s="139">
        <v>5355589</v>
      </c>
      <c r="EV49" s="139">
        <v>0</v>
      </c>
      <c r="EW49" s="139">
        <v>9434519</v>
      </c>
      <c r="EX49" s="139">
        <v>40000</v>
      </c>
      <c r="EY49" s="139">
        <v>6000</v>
      </c>
      <c r="EZ49" s="139">
        <v>3500</v>
      </c>
      <c r="FA49" s="139">
        <v>22759</v>
      </c>
      <c r="FB49" s="139">
        <v>0</v>
      </c>
      <c r="FC49" s="139">
        <v>72259</v>
      </c>
      <c r="FD49" s="139">
        <v>1857350</v>
      </c>
      <c r="FE49" s="139">
        <v>658828</v>
      </c>
      <c r="FF49" s="139">
        <v>523644</v>
      </c>
      <c r="FG49" s="139">
        <v>2753133</v>
      </c>
      <c r="FH49" s="139">
        <v>0</v>
      </c>
      <c r="FI49" s="139">
        <v>5792955</v>
      </c>
      <c r="FJ49" s="139">
        <v>0</v>
      </c>
      <c r="FK49" s="139">
        <v>0</v>
      </c>
      <c r="FL49" s="139">
        <v>0</v>
      </c>
      <c r="FM49" s="139">
        <v>0</v>
      </c>
      <c r="FN49" s="139">
        <v>0</v>
      </c>
      <c r="FO49" s="139">
        <v>0</v>
      </c>
      <c r="FP49" s="139">
        <v>185224</v>
      </c>
      <c r="FQ49" s="139">
        <v>94456</v>
      </c>
      <c r="FR49" s="139">
        <v>45508</v>
      </c>
      <c r="FS49" s="139">
        <v>142135</v>
      </c>
      <c r="FT49" s="139">
        <v>4386531</v>
      </c>
      <c r="FU49" s="139">
        <v>4853854</v>
      </c>
      <c r="FV49" s="139">
        <v>0</v>
      </c>
      <c r="FW49" s="139">
        <v>0</v>
      </c>
      <c r="FX49" s="139">
        <v>0</v>
      </c>
      <c r="FY49" s="139">
        <v>0</v>
      </c>
      <c r="FZ49" s="139">
        <v>0</v>
      </c>
      <c r="GA49" s="139">
        <v>0</v>
      </c>
      <c r="GB49" s="139">
        <v>81250</v>
      </c>
      <c r="GC49" s="139">
        <v>0</v>
      </c>
      <c r="GD49" s="139">
        <v>130812</v>
      </c>
      <c r="GE49" s="139">
        <v>0</v>
      </c>
      <c r="GF49" s="139">
        <v>0</v>
      </c>
      <c r="GG49" s="139">
        <v>212062</v>
      </c>
      <c r="GH49" s="139">
        <v>105561</v>
      </c>
      <c r="GI49" s="139">
        <v>95013</v>
      </c>
      <c r="GJ49" s="139">
        <v>25551</v>
      </c>
      <c r="GK49" s="139">
        <v>129685</v>
      </c>
      <c r="GL49" s="139">
        <v>58259</v>
      </c>
      <c r="GM49" s="139">
        <v>414069</v>
      </c>
      <c r="GN49" s="139">
        <v>422061</v>
      </c>
      <c r="GO49" s="139">
        <v>215671</v>
      </c>
      <c r="GP49" s="139">
        <v>92756</v>
      </c>
      <c r="GQ49" s="139">
        <v>1188759</v>
      </c>
      <c r="GR49" s="139">
        <v>10938</v>
      </c>
      <c r="GS49" s="139">
        <v>1930185</v>
      </c>
      <c r="GT49" s="139">
        <v>403843</v>
      </c>
      <c r="GU49" s="139">
        <v>63531</v>
      </c>
      <c r="GV49" s="139">
        <v>27575</v>
      </c>
      <c r="GW49" s="139">
        <v>463575</v>
      </c>
      <c r="GX49" s="139">
        <v>248524</v>
      </c>
      <c r="GY49" s="139">
        <v>1207048</v>
      </c>
      <c r="GZ49" s="139">
        <v>228789</v>
      </c>
      <c r="HA49" s="139">
        <v>148139</v>
      </c>
      <c r="HB49" s="139">
        <v>94279</v>
      </c>
      <c r="HC49" s="139">
        <v>384972</v>
      </c>
      <c r="HD49" s="139">
        <v>105152</v>
      </c>
      <c r="HE49" s="139">
        <v>961331</v>
      </c>
      <c r="HF49" s="139">
        <v>52955</v>
      </c>
      <c r="HG49" s="139">
        <v>2973</v>
      </c>
      <c r="HH49" s="139">
        <v>2653</v>
      </c>
      <c r="HI49" s="139">
        <v>13586</v>
      </c>
      <c r="HJ49" s="139">
        <v>128677</v>
      </c>
      <c r="HK49" s="139">
        <v>200844</v>
      </c>
      <c r="HL49" s="139">
        <v>0</v>
      </c>
      <c r="HM49" s="139">
        <v>0</v>
      </c>
      <c r="HN49" s="139">
        <v>0</v>
      </c>
      <c r="HO49" s="139">
        <v>0</v>
      </c>
      <c r="HP49" s="139">
        <v>906819</v>
      </c>
      <c r="HQ49" s="139">
        <v>906819</v>
      </c>
      <c r="HR49" s="139">
        <v>46813</v>
      </c>
      <c r="HS49" s="139">
        <v>12769</v>
      </c>
      <c r="HT49" s="139">
        <v>9610</v>
      </c>
      <c r="HU49" s="139">
        <v>68295</v>
      </c>
      <c r="HV49" s="139">
        <v>67822</v>
      </c>
      <c r="HW49" s="139">
        <v>205309</v>
      </c>
      <c r="HX49" s="139">
        <v>0</v>
      </c>
      <c r="HY49" s="139">
        <v>0</v>
      </c>
      <c r="HZ49" s="139">
        <v>0</v>
      </c>
      <c r="IA49" s="139">
        <v>0</v>
      </c>
      <c r="IB49" s="139">
        <v>52745</v>
      </c>
      <c r="IC49" s="139">
        <v>52745</v>
      </c>
      <c r="ID49" s="139">
        <v>0</v>
      </c>
      <c r="IE49" s="139">
        <v>0</v>
      </c>
      <c r="IF49" s="139">
        <v>0</v>
      </c>
      <c r="IG49" s="139">
        <v>0</v>
      </c>
      <c r="IH49" s="139">
        <v>27384</v>
      </c>
      <c r="II49" s="139">
        <v>27384</v>
      </c>
      <c r="IJ49" s="139">
        <v>57087</v>
      </c>
      <c r="IK49" s="139">
        <v>9205</v>
      </c>
      <c r="IL49" s="139">
        <v>13607</v>
      </c>
      <c r="IM49" s="139">
        <v>104864</v>
      </c>
      <c r="IN49" s="139">
        <v>198431</v>
      </c>
      <c r="IO49" s="139">
        <v>383194</v>
      </c>
      <c r="IP49" s="139">
        <v>1900</v>
      </c>
      <c r="IQ49" s="139">
        <v>4824</v>
      </c>
      <c r="IR49" s="139">
        <v>4643</v>
      </c>
      <c r="IS49" s="139">
        <v>9121</v>
      </c>
      <c r="IT49" s="139">
        <v>298577</v>
      </c>
      <c r="IU49" s="139">
        <v>319065</v>
      </c>
      <c r="IV49" s="139">
        <v>491262</v>
      </c>
      <c r="IW49" s="139">
        <v>87821</v>
      </c>
      <c r="IX49" s="139">
        <v>73755</v>
      </c>
      <c r="IY49" s="139">
        <v>480164</v>
      </c>
      <c r="IZ49" s="139">
        <v>605822</v>
      </c>
      <c r="JA49" s="139">
        <v>1738824</v>
      </c>
      <c r="JB49" s="139">
        <v>7248081</v>
      </c>
      <c r="JC49" s="139">
        <v>1756863</v>
      </c>
      <c r="JD49" s="139">
        <v>1495204</v>
      </c>
      <c r="JE49" s="139">
        <v>11116637</v>
      </c>
      <c r="JF49" s="139">
        <v>7095681</v>
      </c>
      <c r="JG49" s="139">
        <v>28712466</v>
      </c>
      <c r="JH49" s="139">
        <v>0</v>
      </c>
      <c r="JI49" s="139">
        <v>0</v>
      </c>
      <c r="JJ49" s="139">
        <v>0</v>
      </c>
      <c r="JK49" s="139">
        <v>0</v>
      </c>
      <c r="JL49" s="139">
        <v>0</v>
      </c>
      <c r="JM49" s="139">
        <v>0</v>
      </c>
      <c r="JN49" s="139">
        <v>7248081</v>
      </c>
      <c r="JO49" s="139">
        <v>1756863</v>
      </c>
      <c r="JP49" s="139">
        <v>1495204</v>
      </c>
      <c r="JQ49" s="139">
        <v>11116637</v>
      </c>
      <c r="JR49" s="139">
        <v>7095681</v>
      </c>
      <c r="JS49" s="139">
        <v>28712466</v>
      </c>
      <c r="JU49" s="70">
        <f t="shared" si="80"/>
        <v>1210725</v>
      </c>
      <c r="JV49" s="70">
        <f t="shared" si="81"/>
        <v>0</v>
      </c>
      <c r="JW49" s="70">
        <f t="shared" si="82"/>
        <v>15735046</v>
      </c>
      <c r="JX49" s="70">
        <f t="shared" si="83"/>
        <v>0</v>
      </c>
      <c r="JY49" s="70">
        <f t="shared" si="84"/>
        <v>1779500</v>
      </c>
      <c r="JZ49" s="70">
        <f t="shared" si="85"/>
        <v>0</v>
      </c>
      <c r="KA49" s="70">
        <f t="shared" si="86"/>
        <v>1615928</v>
      </c>
      <c r="KB49" s="70">
        <f t="shared" si="87"/>
        <v>0</v>
      </c>
      <c r="KC49" s="70">
        <f t="shared" si="88"/>
        <v>0</v>
      </c>
      <c r="KD49" s="70">
        <f t="shared" si="89"/>
        <v>0</v>
      </c>
      <c r="KE49" s="70">
        <f t="shared" si="90"/>
        <v>2890</v>
      </c>
      <c r="KF49" s="70">
        <f t="shared" si="91"/>
        <v>0</v>
      </c>
      <c r="KG49" s="70">
        <f t="shared" si="92"/>
        <v>5349805</v>
      </c>
      <c r="KH49" s="70">
        <f t="shared" si="93"/>
        <v>0</v>
      </c>
      <c r="KI49" s="70">
        <f t="shared" si="94"/>
        <v>27384</v>
      </c>
      <c r="KJ49" s="70">
        <f t="shared" si="95"/>
        <v>0</v>
      </c>
      <c r="KK49" s="70">
        <f t="shared" si="96"/>
        <v>1291660</v>
      </c>
      <c r="KL49" s="70">
        <f t="shared" si="97"/>
        <v>0</v>
      </c>
      <c r="KM49" s="70">
        <f t="shared" si="98"/>
        <v>0</v>
      </c>
      <c r="KN49" s="70">
        <f t="shared" si="99"/>
        <v>0</v>
      </c>
      <c r="KO49" s="70">
        <f t="shared" si="100"/>
        <v>185983</v>
      </c>
      <c r="KP49" s="70">
        <f t="shared" si="101"/>
        <v>0</v>
      </c>
      <c r="KQ49" s="70">
        <f t="shared" si="102"/>
        <v>618431</v>
      </c>
      <c r="KR49" s="70">
        <f t="shared" si="103"/>
        <v>0</v>
      </c>
      <c r="KS49" s="70">
        <f t="shared" si="104"/>
        <v>910264</v>
      </c>
      <c r="KT49" s="70">
        <f t="shared" si="105"/>
        <v>0</v>
      </c>
      <c r="KU49" s="70">
        <f t="shared" si="106"/>
        <v>226382</v>
      </c>
      <c r="KV49" s="70">
        <f t="shared" si="107"/>
        <v>0</v>
      </c>
      <c r="KW49" s="70">
        <f t="shared" si="108"/>
        <v>439130</v>
      </c>
      <c r="KX49" s="70">
        <f t="shared" si="109"/>
        <v>0</v>
      </c>
      <c r="KY49" s="70">
        <f t="shared" si="110"/>
        <v>29393128</v>
      </c>
      <c r="KZ49" s="70">
        <f t="shared" si="111"/>
        <v>0</v>
      </c>
      <c r="LA49" s="70">
        <f t="shared" si="150"/>
        <v>9434519</v>
      </c>
      <c r="LB49" s="70">
        <f t="shared" si="112"/>
        <v>0</v>
      </c>
      <c r="LC49" s="70">
        <f t="shared" si="113"/>
        <v>72259</v>
      </c>
      <c r="LD49" s="70">
        <f t="shared" si="114"/>
        <v>0</v>
      </c>
      <c r="LE49" s="70">
        <f t="shared" si="115"/>
        <v>5792955</v>
      </c>
      <c r="LF49" s="70">
        <f t="shared" si="116"/>
        <v>0</v>
      </c>
      <c r="LG49" s="70">
        <f t="shared" si="155"/>
        <v>0</v>
      </c>
      <c r="LH49" s="70">
        <f t="shared" si="156"/>
        <v>0</v>
      </c>
      <c r="LI49" s="70">
        <f t="shared" si="151"/>
        <v>4853854</v>
      </c>
      <c r="LJ49" s="70">
        <f t="shared" si="152"/>
        <v>0</v>
      </c>
      <c r="LK49" s="70">
        <f t="shared" si="153"/>
        <v>0</v>
      </c>
      <c r="LL49" s="70">
        <f t="shared" si="154"/>
        <v>0</v>
      </c>
      <c r="LM49" s="70">
        <f t="shared" si="117"/>
        <v>212062</v>
      </c>
      <c r="LN49" s="70">
        <f t="shared" si="118"/>
        <v>0</v>
      </c>
      <c r="LO49" s="70">
        <f t="shared" si="119"/>
        <v>414069</v>
      </c>
      <c r="LP49" s="70">
        <f t="shared" si="120"/>
        <v>0</v>
      </c>
      <c r="LQ49" s="70">
        <f t="shared" si="121"/>
        <v>1930185</v>
      </c>
      <c r="LR49" s="70">
        <f t="shared" si="122"/>
        <v>0</v>
      </c>
      <c r="LS49" s="70">
        <f t="shared" si="123"/>
        <v>1207048</v>
      </c>
      <c r="LT49" s="70">
        <f t="shared" si="124"/>
        <v>0</v>
      </c>
      <c r="LU49" s="70">
        <f t="shared" si="125"/>
        <v>961331</v>
      </c>
      <c r="LV49" s="70">
        <f t="shared" si="126"/>
        <v>0</v>
      </c>
      <c r="LW49" s="70">
        <f t="shared" si="127"/>
        <v>200844</v>
      </c>
      <c r="LX49" s="70">
        <f t="shared" si="128"/>
        <v>0</v>
      </c>
      <c r="LY49" s="70">
        <f t="shared" si="129"/>
        <v>906819</v>
      </c>
      <c r="LZ49" s="70">
        <f t="shared" si="130"/>
        <v>0</v>
      </c>
      <c r="MA49" s="70">
        <f t="shared" si="131"/>
        <v>205309</v>
      </c>
      <c r="MB49" s="70">
        <f t="shared" si="132"/>
        <v>0</v>
      </c>
      <c r="MC49" s="70">
        <f t="shared" si="133"/>
        <v>52745</v>
      </c>
      <c r="MD49" s="70">
        <f t="shared" si="134"/>
        <v>0</v>
      </c>
      <c r="ME49" s="70">
        <f t="shared" si="135"/>
        <v>27384</v>
      </c>
      <c r="MF49" s="70">
        <f t="shared" si="136"/>
        <v>0</v>
      </c>
      <c r="MG49" s="70">
        <f t="shared" si="137"/>
        <v>383194</v>
      </c>
      <c r="MH49" s="70">
        <f t="shared" si="138"/>
        <v>0</v>
      </c>
      <c r="MI49" s="70">
        <f t="shared" si="139"/>
        <v>319065</v>
      </c>
      <c r="MJ49" s="70">
        <f t="shared" si="140"/>
        <v>0</v>
      </c>
      <c r="MK49" s="70">
        <f t="shared" si="141"/>
        <v>1738824</v>
      </c>
      <c r="ML49" s="70">
        <f t="shared" si="142"/>
        <v>0</v>
      </c>
      <c r="MM49" s="70">
        <f t="shared" si="143"/>
        <v>28712466</v>
      </c>
      <c r="MN49" s="70">
        <f t="shared" si="144"/>
        <v>0</v>
      </c>
      <c r="MO49" s="70">
        <f t="shared" si="145"/>
        <v>0</v>
      </c>
      <c r="MP49" s="70">
        <f t="shared" si="146"/>
        <v>0</v>
      </c>
      <c r="MQ49" s="70">
        <f t="shared" si="147"/>
        <v>28712466</v>
      </c>
      <c r="MR49" s="70">
        <f t="shared" si="148"/>
        <v>0</v>
      </c>
      <c r="MT49" s="70">
        <f t="shared" si="149"/>
        <v>0</v>
      </c>
      <c r="MV49" s="68">
        <f t="shared" si="77"/>
        <v>0</v>
      </c>
    </row>
    <row r="50" spans="1:360" x14ac:dyDescent="0.15">
      <c r="A50" s="183" t="s">
        <v>345</v>
      </c>
      <c r="B50" s="76" t="s">
        <v>424</v>
      </c>
      <c r="C50" s="90">
        <v>170976</v>
      </c>
      <c r="D50" s="90">
        <v>2014</v>
      </c>
      <c r="E50" s="90">
        <v>1</v>
      </c>
      <c r="F50" s="91">
        <v>3</v>
      </c>
      <c r="G50" s="92"/>
      <c r="H50" s="92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114">
        <v>12</v>
      </c>
      <c r="AD50" s="114">
        <v>13</v>
      </c>
      <c r="AE50" s="114">
        <v>0</v>
      </c>
      <c r="AF50" s="115">
        <v>10756235</v>
      </c>
      <c r="AG50" s="115">
        <v>8575519</v>
      </c>
      <c r="AH50" s="115">
        <v>1348482</v>
      </c>
      <c r="AI50" s="115">
        <v>708563</v>
      </c>
      <c r="AJ50" s="115">
        <v>710555.84615384613</v>
      </c>
      <c r="AK50" s="116">
        <v>13</v>
      </c>
      <c r="AL50" s="115">
        <v>659801.85714285716</v>
      </c>
      <c r="AM50" s="116">
        <v>14</v>
      </c>
      <c r="AN50" s="115">
        <v>225320.71428571429</v>
      </c>
      <c r="AO50" s="116">
        <v>14</v>
      </c>
      <c r="AP50" s="115">
        <v>210299.33333333334</v>
      </c>
      <c r="AQ50" s="116">
        <v>15</v>
      </c>
      <c r="AR50" s="115">
        <v>226269.06451612903</v>
      </c>
      <c r="AS50" s="116">
        <v>31</v>
      </c>
      <c r="AT50" s="115">
        <v>200409.74285714285</v>
      </c>
      <c r="AU50" s="116">
        <v>35</v>
      </c>
      <c r="AV50" s="115">
        <v>96929.191489361707</v>
      </c>
      <c r="AW50" s="116">
        <v>23.5</v>
      </c>
      <c r="AX50" s="115">
        <v>87609.076923076922</v>
      </c>
      <c r="AY50" s="116">
        <v>26</v>
      </c>
      <c r="AZ50" s="139">
        <v>46108503</v>
      </c>
      <c r="BA50" s="139">
        <v>4768080</v>
      </c>
      <c r="BB50" s="139">
        <v>97869</v>
      </c>
      <c r="BC50" s="139">
        <v>2294604</v>
      </c>
      <c r="BD50" s="139">
        <v>0</v>
      </c>
      <c r="BE50" s="139">
        <v>53269056</v>
      </c>
      <c r="BF50" s="139">
        <v>0</v>
      </c>
      <c r="BG50" s="139">
        <v>0</v>
      </c>
      <c r="BH50" s="139">
        <v>0</v>
      </c>
      <c r="BI50" s="139">
        <v>0</v>
      </c>
      <c r="BJ50" s="139">
        <v>0</v>
      </c>
      <c r="BK50" s="139">
        <v>0</v>
      </c>
      <c r="BL50" s="139">
        <v>400000</v>
      </c>
      <c r="BM50" s="139">
        <v>197124</v>
      </c>
      <c r="BN50" s="139">
        <v>0</v>
      </c>
      <c r="BO50" s="139">
        <v>230000</v>
      </c>
      <c r="BP50" s="139">
        <v>0</v>
      </c>
      <c r="BQ50" s="139">
        <v>827124</v>
      </c>
      <c r="BR50" s="139">
        <v>26076649</v>
      </c>
      <c r="BS50" s="139">
        <v>2115387</v>
      </c>
      <c r="BT50" s="139">
        <v>5840</v>
      </c>
      <c r="BU50" s="139">
        <v>1328248</v>
      </c>
      <c r="BV50" s="139">
        <v>5741143</v>
      </c>
      <c r="BW50" s="139">
        <v>35267267</v>
      </c>
      <c r="BX50" s="139">
        <v>0</v>
      </c>
      <c r="BY50" s="139">
        <v>0</v>
      </c>
      <c r="BZ50" s="139">
        <v>0</v>
      </c>
      <c r="CA50" s="139">
        <v>0</v>
      </c>
      <c r="CB50" s="139">
        <v>0</v>
      </c>
      <c r="CC50" s="139">
        <v>0</v>
      </c>
      <c r="CD50" s="139">
        <v>0</v>
      </c>
      <c r="CE50" s="139">
        <v>0</v>
      </c>
      <c r="CF50" s="139">
        <v>0</v>
      </c>
      <c r="CG50" s="139">
        <v>0</v>
      </c>
      <c r="CH50" s="139">
        <v>0</v>
      </c>
      <c r="CI50" s="139">
        <v>0</v>
      </c>
      <c r="CJ50" s="139">
        <v>0</v>
      </c>
      <c r="CK50" s="139">
        <v>0</v>
      </c>
      <c r="CL50" s="139">
        <v>0</v>
      </c>
      <c r="CM50" s="139">
        <v>2400</v>
      </c>
      <c r="CN50" s="139">
        <v>4431</v>
      </c>
      <c r="CO50" s="139">
        <v>6831</v>
      </c>
      <c r="CP50" s="139">
        <v>0</v>
      </c>
      <c r="CQ50" s="139">
        <v>0</v>
      </c>
      <c r="CR50" s="139">
        <v>0</v>
      </c>
      <c r="CS50" s="139">
        <v>0</v>
      </c>
      <c r="CT50" s="139">
        <v>249485</v>
      </c>
      <c r="CU50" s="139">
        <v>249485</v>
      </c>
      <c r="CV50" s="139">
        <v>15279385</v>
      </c>
      <c r="CW50" s="139">
        <v>6132293</v>
      </c>
      <c r="CX50" s="139">
        <v>0</v>
      </c>
      <c r="CY50" s="139">
        <v>133383</v>
      </c>
      <c r="CZ50" s="139">
        <v>7727692</v>
      </c>
      <c r="DA50" s="139">
        <v>29272753</v>
      </c>
      <c r="DB50" s="139">
        <v>0</v>
      </c>
      <c r="DC50" s="139">
        <v>0</v>
      </c>
      <c r="DD50" s="139">
        <v>0</v>
      </c>
      <c r="DE50" s="139">
        <v>0</v>
      </c>
      <c r="DF50" s="139">
        <v>0</v>
      </c>
      <c r="DG50" s="139">
        <v>0</v>
      </c>
      <c r="DH50" s="139">
        <v>2576089</v>
      </c>
      <c r="DI50" s="139">
        <v>375935</v>
      </c>
      <c r="DJ50" s="139">
        <v>27653</v>
      </c>
      <c r="DK50" s="139">
        <v>244046</v>
      </c>
      <c r="DL50" s="139">
        <v>980689</v>
      </c>
      <c r="DM50" s="139">
        <v>4204412</v>
      </c>
      <c r="DN50" s="139">
        <v>0</v>
      </c>
      <c r="DO50" s="139">
        <v>0</v>
      </c>
      <c r="DP50" s="139">
        <v>0</v>
      </c>
      <c r="DQ50" s="139">
        <v>0</v>
      </c>
      <c r="DR50" s="139">
        <v>22123931</v>
      </c>
      <c r="DS50" s="139">
        <v>22123931</v>
      </c>
      <c r="DT50" s="139">
        <v>0</v>
      </c>
      <c r="DU50" s="139">
        <v>0</v>
      </c>
      <c r="DV50" s="139">
        <v>0</v>
      </c>
      <c r="DW50" s="139">
        <v>0</v>
      </c>
      <c r="DX50" s="139">
        <v>348053</v>
      </c>
      <c r="DY50" s="139">
        <v>348053</v>
      </c>
      <c r="DZ50" s="139">
        <v>943123</v>
      </c>
      <c r="EA50" s="139">
        <v>48147</v>
      </c>
      <c r="EB50" s="139">
        <v>64586</v>
      </c>
      <c r="EC50" s="139">
        <v>1055614</v>
      </c>
      <c r="ED50" s="139">
        <v>866249</v>
      </c>
      <c r="EE50" s="139">
        <v>2977719</v>
      </c>
      <c r="EF50" s="139">
        <v>0</v>
      </c>
      <c r="EG50" s="139">
        <v>0</v>
      </c>
      <c r="EH50" s="139">
        <v>0</v>
      </c>
      <c r="EI50" s="139">
        <v>66691</v>
      </c>
      <c r="EJ50" s="139">
        <v>9286498</v>
      </c>
      <c r="EK50" s="139">
        <v>9353189</v>
      </c>
      <c r="EL50" s="139">
        <v>91383749</v>
      </c>
      <c r="EM50" s="139">
        <v>13636966</v>
      </c>
      <c r="EN50" s="139">
        <v>195948</v>
      </c>
      <c r="EO50" s="139">
        <v>5354986</v>
      </c>
      <c r="EP50" s="139">
        <v>47328171</v>
      </c>
      <c r="EQ50" s="139">
        <v>157899820</v>
      </c>
      <c r="ER50" s="139">
        <v>5047904</v>
      </c>
      <c r="ES50" s="139">
        <v>662459</v>
      </c>
      <c r="ET50" s="139">
        <v>569353</v>
      </c>
      <c r="EU50" s="139">
        <v>13052038</v>
      </c>
      <c r="EV50" s="139">
        <v>233017</v>
      </c>
      <c r="EW50" s="139">
        <v>19564771</v>
      </c>
      <c r="EX50" s="139">
        <v>2050000</v>
      </c>
      <c r="EY50" s="139">
        <v>474570</v>
      </c>
      <c r="EZ50" s="139">
        <v>50000</v>
      </c>
      <c r="FA50" s="139">
        <v>162400</v>
      </c>
      <c r="FB50" s="139">
        <v>0</v>
      </c>
      <c r="FC50" s="139">
        <v>2736970</v>
      </c>
      <c r="FD50" s="139">
        <v>8521787</v>
      </c>
      <c r="FE50" s="139">
        <v>3683899</v>
      </c>
      <c r="FF50" s="139">
        <v>1025903</v>
      </c>
      <c r="FG50" s="139">
        <v>8452304</v>
      </c>
      <c r="FH50" s="139">
        <v>0</v>
      </c>
      <c r="FI50" s="139">
        <v>21683893</v>
      </c>
      <c r="FJ50" s="139">
        <v>0</v>
      </c>
      <c r="FK50" s="139">
        <v>0</v>
      </c>
      <c r="FL50" s="139">
        <v>0</v>
      </c>
      <c r="FM50" s="139">
        <v>0</v>
      </c>
      <c r="FN50" s="139">
        <v>0</v>
      </c>
      <c r="FO50" s="139">
        <v>0</v>
      </c>
      <c r="FP50" s="139">
        <v>1537887</v>
      </c>
      <c r="FQ50" s="139">
        <v>533043</v>
      </c>
      <c r="FR50" s="139">
        <v>267017</v>
      </c>
      <c r="FS50" s="139">
        <v>774577</v>
      </c>
      <c r="FT50" s="139">
        <v>24624756</v>
      </c>
      <c r="FU50" s="139">
        <v>27737280</v>
      </c>
      <c r="FV50" s="139">
        <v>0</v>
      </c>
      <c r="FW50" s="139">
        <v>0</v>
      </c>
      <c r="FX50" s="139">
        <v>0</v>
      </c>
      <c r="FY50" s="139">
        <v>0</v>
      </c>
      <c r="FZ50" s="139">
        <v>0</v>
      </c>
      <c r="GA50" s="139">
        <v>0</v>
      </c>
      <c r="GB50" s="139">
        <v>293185</v>
      </c>
      <c r="GC50" s="139">
        <v>0</v>
      </c>
      <c r="GD50" s="139">
        <v>0</v>
      </c>
      <c r="GE50" s="139">
        <v>149521</v>
      </c>
      <c r="GF50" s="139">
        <v>46951</v>
      </c>
      <c r="GG50" s="139">
        <v>489657</v>
      </c>
      <c r="GH50" s="139">
        <v>584721</v>
      </c>
      <c r="GI50" s="139">
        <v>234090</v>
      </c>
      <c r="GJ50" s="139">
        <v>198381</v>
      </c>
      <c r="GK50" s="139">
        <v>1039853</v>
      </c>
      <c r="GL50" s="139">
        <v>0</v>
      </c>
      <c r="GM50" s="139">
        <v>2057045</v>
      </c>
      <c r="GN50" s="139">
        <v>2455554</v>
      </c>
      <c r="GO50" s="139">
        <v>937174</v>
      </c>
      <c r="GP50" s="139">
        <v>705169</v>
      </c>
      <c r="GQ50" s="139">
        <v>6001050</v>
      </c>
      <c r="GR50" s="139">
        <v>113956</v>
      </c>
      <c r="GS50" s="139">
        <v>10212903</v>
      </c>
      <c r="GT50" s="139">
        <v>1328573</v>
      </c>
      <c r="GU50" s="139">
        <v>162496</v>
      </c>
      <c r="GV50" s="139">
        <v>124036</v>
      </c>
      <c r="GW50" s="139">
        <v>1786921</v>
      </c>
      <c r="GX50" s="139">
        <v>1955615</v>
      </c>
      <c r="GY50" s="139">
        <v>5357641</v>
      </c>
      <c r="GZ50" s="139">
        <v>2769103</v>
      </c>
      <c r="HA50" s="139">
        <v>466986</v>
      </c>
      <c r="HB50" s="139">
        <v>182587</v>
      </c>
      <c r="HC50" s="139">
        <v>673008</v>
      </c>
      <c r="HD50" s="139">
        <v>235518</v>
      </c>
      <c r="HE50" s="139">
        <v>4327202</v>
      </c>
      <c r="HF50" s="139">
        <v>495</v>
      </c>
      <c r="HG50" s="139">
        <v>316</v>
      </c>
      <c r="HH50" s="139">
        <v>292</v>
      </c>
      <c r="HI50" s="139">
        <v>1654</v>
      </c>
      <c r="HJ50" s="139">
        <v>3998666</v>
      </c>
      <c r="HK50" s="139">
        <v>4001423</v>
      </c>
      <c r="HL50" s="139">
        <v>0</v>
      </c>
      <c r="HM50" s="139">
        <v>0</v>
      </c>
      <c r="HN50" s="139">
        <v>0</v>
      </c>
      <c r="HO50" s="139">
        <v>0</v>
      </c>
      <c r="HP50" s="139">
        <v>0</v>
      </c>
      <c r="HQ50" s="139">
        <v>0</v>
      </c>
      <c r="HR50" s="139">
        <v>0</v>
      </c>
      <c r="HS50" s="139">
        <v>0</v>
      </c>
      <c r="HT50" s="139">
        <v>0</v>
      </c>
      <c r="HU50" s="139">
        <v>0</v>
      </c>
      <c r="HV50" s="139">
        <v>29776106</v>
      </c>
      <c r="HW50" s="139">
        <v>29776106</v>
      </c>
      <c r="HX50" s="139">
        <v>0</v>
      </c>
      <c r="HY50" s="139">
        <v>0</v>
      </c>
      <c r="HZ50" s="139">
        <v>0</v>
      </c>
      <c r="IA50" s="139">
        <v>0</v>
      </c>
      <c r="IB50" s="139">
        <v>1196139</v>
      </c>
      <c r="IC50" s="139">
        <v>1196139</v>
      </c>
      <c r="ID50" s="139">
        <v>0</v>
      </c>
      <c r="IE50" s="139">
        <v>0</v>
      </c>
      <c r="IF50" s="139">
        <v>0</v>
      </c>
      <c r="IG50" s="139">
        <v>0</v>
      </c>
      <c r="IH50" s="139">
        <v>249485</v>
      </c>
      <c r="II50" s="139">
        <v>249485</v>
      </c>
      <c r="IJ50" s="139">
        <v>0</v>
      </c>
      <c r="IK50" s="139">
        <v>0</v>
      </c>
      <c r="IL50" s="139">
        <v>0</v>
      </c>
      <c r="IM50" s="139">
        <v>0</v>
      </c>
      <c r="IN50" s="139">
        <v>618222</v>
      </c>
      <c r="IO50" s="139">
        <v>618222</v>
      </c>
      <c r="IP50" s="139">
        <v>2470</v>
      </c>
      <c r="IQ50" s="139">
        <v>300</v>
      </c>
      <c r="IR50" s="139">
        <v>1316</v>
      </c>
      <c r="IS50" s="139">
        <v>12463</v>
      </c>
      <c r="IT50" s="139">
        <v>210986</v>
      </c>
      <c r="IU50" s="139">
        <v>227535</v>
      </c>
      <c r="IV50" s="139">
        <v>2164053</v>
      </c>
      <c r="IW50" s="139">
        <v>302222</v>
      </c>
      <c r="IX50" s="139">
        <v>170565</v>
      </c>
      <c r="IY50" s="139">
        <v>1322119</v>
      </c>
      <c r="IZ50" s="139">
        <v>8356763</v>
      </c>
      <c r="JA50" s="139">
        <v>12315722</v>
      </c>
      <c r="JB50" s="139">
        <v>26755732</v>
      </c>
      <c r="JC50" s="139">
        <v>7457555</v>
      </c>
      <c r="JD50" s="139">
        <v>3294619</v>
      </c>
      <c r="JE50" s="139">
        <v>33427908</v>
      </c>
      <c r="JF50" s="139">
        <v>71616180</v>
      </c>
      <c r="JG50" s="139">
        <v>142551994</v>
      </c>
      <c r="JH50" s="139">
        <v>0</v>
      </c>
      <c r="JI50" s="139">
        <v>0</v>
      </c>
      <c r="JJ50" s="139">
        <v>0</v>
      </c>
      <c r="JK50" s="139">
        <v>0</v>
      </c>
      <c r="JL50" s="139">
        <v>2309198</v>
      </c>
      <c r="JM50" s="139">
        <v>2309198</v>
      </c>
      <c r="JN50" s="139">
        <v>26755732</v>
      </c>
      <c r="JO50" s="139">
        <v>7457555</v>
      </c>
      <c r="JP50" s="139">
        <v>3294619</v>
      </c>
      <c r="JQ50" s="139">
        <v>33427908</v>
      </c>
      <c r="JR50" s="139">
        <v>73925378</v>
      </c>
      <c r="JS50" s="139">
        <v>144861192</v>
      </c>
      <c r="JU50" s="70">
        <f t="shared" si="80"/>
        <v>53269056</v>
      </c>
      <c r="JV50" s="70">
        <f t="shared" si="81"/>
        <v>0</v>
      </c>
      <c r="JW50" s="70">
        <f t="shared" si="82"/>
        <v>0</v>
      </c>
      <c r="JX50" s="70">
        <f t="shared" si="83"/>
        <v>0</v>
      </c>
      <c r="JY50" s="70">
        <f t="shared" si="84"/>
        <v>827124</v>
      </c>
      <c r="JZ50" s="70">
        <f t="shared" si="85"/>
        <v>0</v>
      </c>
      <c r="KA50" s="70">
        <f t="shared" si="86"/>
        <v>35267267</v>
      </c>
      <c r="KB50" s="70">
        <f t="shared" si="87"/>
        <v>0</v>
      </c>
      <c r="KC50" s="70">
        <f t="shared" si="88"/>
        <v>0</v>
      </c>
      <c r="KD50" s="70">
        <f t="shared" si="89"/>
        <v>0</v>
      </c>
      <c r="KE50" s="70">
        <f t="shared" si="90"/>
        <v>0</v>
      </c>
      <c r="KF50" s="70">
        <f t="shared" si="91"/>
        <v>0</v>
      </c>
      <c r="KG50" s="70">
        <f t="shared" si="92"/>
        <v>6831</v>
      </c>
      <c r="KH50" s="70">
        <f t="shared" si="93"/>
        <v>0</v>
      </c>
      <c r="KI50" s="70">
        <f t="shared" si="94"/>
        <v>249485</v>
      </c>
      <c r="KJ50" s="70">
        <f t="shared" si="95"/>
        <v>0</v>
      </c>
      <c r="KK50" s="70">
        <f t="shared" si="96"/>
        <v>29272753</v>
      </c>
      <c r="KL50" s="70">
        <f t="shared" si="97"/>
        <v>0</v>
      </c>
      <c r="KM50" s="70">
        <f t="shared" si="98"/>
        <v>0</v>
      </c>
      <c r="KN50" s="70">
        <f t="shared" si="99"/>
        <v>0</v>
      </c>
      <c r="KO50" s="70">
        <f t="shared" si="100"/>
        <v>4204412</v>
      </c>
      <c r="KP50" s="70">
        <f t="shared" si="101"/>
        <v>0</v>
      </c>
      <c r="KQ50" s="70">
        <f t="shared" si="102"/>
        <v>22123931</v>
      </c>
      <c r="KR50" s="70">
        <f t="shared" si="103"/>
        <v>0</v>
      </c>
      <c r="KS50" s="70">
        <f t="shared" si="104"/>
        <v>348053</v>
      </c>
      <c r="KT50" s="70">
        <f t="shared" si="105"/>
        <v>0</v>
      </c>
      <c r="KU50" s="70">
        <f t="shared" si="106"/>
        <v>2977719</v>
      </c>
      <c r="KV50" s="70">
        <f t="shared" si="107"/>
        <v>0</v>
      </c>
      <c r="KW50" s="70">
        <f t="shared" si="108"/>
        <v>9353189</v>
      </c>
      <c r="KX50" s="70">
        <f t="shared" si="109"/>
        <v>0</v>
      </c>
      <c r="KY50" s="70">
        <f t="shared" si="110"/>
        <v>157899820</v>
      </c>
      <c r="KZ50" s="70">
        <f t="shared" si="111"/>
        <v>0</v>
      </c>
      <c r="LA50" s="70">
        <f t="shared" si="150"/>
        <v>19564771</v>
      </c>
      <c r="LB50" s="70">
        <f t="shared" si="112"/>
        <v>0</v>
      </c>
      <c r="LC50" s="70">
        <f t="shared" si="113"/>
        <v>2736970</v>
      </c>
      <c r="LD50" s="70">
        <f t="shared" si="114"/>
        <v>0</v>
      </c>
      <c r="LE50" s="70">
        <f t="shared" si="115"/>
        <v>21683893</v>
      </c>
      <c r="LF50" s="70">
        <f t="shared" si="116"/>
        <v>0</v>
      </c>
      <c r="LG50" s="70">
        <f t="shared" si="155"/>
        <v>0</v>
      </c>
      <c r="LH50" s="70">
        <f t="shared" si="156"/>
        <v>0</v>
      </c>
      <c r="LI50" s="70">
        <f t="shared" si="151"/>
        <v>27737280</v>
      </c>
      <c r="LJ50" s="70">
        <f t="shared" si="152"/>
        <v>0</v>
      </c>
      <c r="LK50" s="70">
        <f t="shared" si="153"/>
        <v>0</v>
      </c>
      <c r="LL50" s="70">
        <f t="shared" si="154"/>
        <v>0</v>
      </c>
      <c r="LM50" s="70">
        <f t="shared" si="117"/>
        <v>489657</v>
      </c>
      <c r="LN50" s="70">
        <f t="shared" si="118"/>
        <v>0</v>
      </c>
      <c r="LO50" s="70">
        <f t="shared" si="119"/>
        <v>2057045</v>
      </c>
      <c r="LP50" s="70">
        <f t="shared" si="120"/>
        <v>0</v>
      </c>
      <c r="LQ50" s="70">
        <f t="shared" si="121"/>
        <v>10212903</v>
      </c>
      <c r="LR50" s="70">
        <f t="shared" si="122"/>
        <v>0</v>
      </c>
      <c r="LS50" s="70">
        <f t="shared" si="123"/>
        <v>5357641</v>
      </c>
      <c r="LT50" s="70">
        <f t="shared" si="124"/>
        <v>0</v>
      </c>
      <c r="LU50" s="70">
        <f t="shared" si="125"/>
        <v>4327202</v>
      </c>
      <c r="LV50" s="70">
        <f t="shared" si="126"/>
        <v>0</v>
      </c>
      <c r="LW50" s="70">
        <f t="shared" si="127"/>
        <v>4001423</v>
      </c>
      <c r="LX50" s="70">
        <f t="shared" si="128"/>
        <v>0</v>
      </c>
      <c r="LY50" s="70">
        <f t="shared" si="129"/>
        <v>0</v>
      </c>
      <c r="LZ50" s="70">
        <f t="shared" si="130"/>
        <v>0</v>
      </c>
      <c r="MA50" s="70">
        <f t="shared" si="131"/>
        <v>29776106</v>
      </c>
      <c r="MB50" s="70">
        <f t="shared" si="132"/>
        <v>0</v>
      </c>
      <c r="MC50" s="70">
        <f t="shared" si="133"/>
        <v>1196139</v>
      </c>
      <c r="MD50" s="70">
        <f t="shared" si="134"/>
        <v>0</v>
      </c>
      <c r="ME50" s="70">
        <f t="shared" si="135"/>
        <v>249485</v>
      </c>
      <c r="MF50" s="70">
        <f t="shared" si="136"/>
        <v>0</v>
      </c>
      <c r="MG50" s="70">
        <f t="shared" si="137"/>
        <v>618222</v>
      </c>
      <c r="MH50" s="70">
        <f t="shared" si="138"/>
        <v>0</v>
      </c>
      <c r="MI50" s="70">
        <f t="shared" si="139"/>
        <v>227535</v>
      </c>
      <c r="MJ50" s="70">
        <f t="shared" si="140"/>
        <v>0</v>
      </c>
      <c r="MK50" s="70">
        <f t="shared" si="141"/>
        <v>12315722</v>
      </c>
      <c r="ML50" s="70">
        <f t="shared" si="142"/>
        <v>0</v>
      </c>
      <c r="MM50" s="70">
        <f t="shared" si="143"/>
        <v>142551994</v>
      </c>
      <c r="MN50" s="70">
        <f t="shared" si="144"/>
        <v>0</v>
      </c>
      <c r="MO50" s="70">
        <f t="shared" si="145"/>
        <v>2309198</v>
      </c>
      <c r="MP50" s="70">
        <f t="shared" si="146"/>
        <v>0</v>
      </c>
      <c r="MQ50" s="70">
        <f t="shared" si="147"/>
        <v>144861192</v>
      </c>
      <c r="MR50" s="70">
        <f t="shared" si="148"/>
        <v>0</v>
      </c>
      <c r="MT50" s="70">
        <f t="shared" si="149"/>
        <v>0</v>
      </c>
      <c r="MV50" s="68">
        <f t="shared" si="77"/>
        <v>0</v>
      </c>
    </row>
    <row r="51" spans="1:360" x14ac:dyDescent="0.15">
      <c r="A51" s="182" t="s">
        <v>346</v>
      </c>
      <c r="B51" s="76" t="s">
        <v>424</v>
      </c>
      <c r="C51" s="90">
        <v>171100</v>
      </c>
      <c r="D51" s="90">
        <v>2014</v>
      </c>
      <c r="E51" s="90">
        <v>1</v>
      </c>
      <c r="F51" s="91">
        <v>3</v>
      </c>
      <c r="G51" s="92">
        <v>17238</v>
      </c>
      <c r="H51" s="92">
        <v>17602</v>
      </c>
      <c r="I51" s="93">
        <v>2109938000</v>
      </c>
      <c r="J51" s="93">
        <v>2060045000</v>
      </c>
      <c r="K51" s="93">
        <v>6000000</v>
      </c>
      <c r="L51" s="93">
        <v>7766847</v>
      </c>
      <c r="M51" s="93">
        <v>85000000</v>
      </c>
      <c r="N51" s="93">
        <v>199237000</v>
      </c>
      <c r="O51" s="93">
        <v>85600000</v>
      </c>
      <c r="P51" s="93">
        <v>82200000</v>
      </c>
      <c r="Q51" s="93">
        <v>992000000</v>
      </c>
      <c r="R51" s="93">
        <v>1028820000</v>
      </c>
      <c r="S51" s="93">
        <v>1623422000</v>
      </c>
      <c r="T51" s="93">
        <v>1593119000</v>
      </c>
      <c r="U51" s="93">
        <v>23526</v>
      </c>
      <c r="V51" s="93">
        <v>22814</v>
      </c>
      <c r="W51" s="93">
        <v>44230</v>
      </c>
      <c r="X51" s="93">
        <v>42698</v>
      </c>
      <c r="Y51" s="93">
        <v>25514</v>
      </c>
      <c r="Z51" s="93">
        <v>24668</v>
      </c>
      <c r="AA51" s="93">
        <v>46872</v>
      </c>
      <c r="AB51" s="93">
        <v>44552</v>
      </c>
      <c r="AC51" s="114">
        <v>12</v>
      </c>
      <c r="AD51" s="114">
        <v>13</v>
      </c>
      <c r="AE51" s="114">
        <v>0</v>
      </c>
      <c r="AF51" s="115">
        <v>6749234</v>
      </c>
      <c r="AG51" s="115">
        <v>5683891</v>
      </c>
      <c r="AH51" s="115">
        <v>1080217</v>
      </c>
      <c r="AI51" s="115">
        <v>363572</v>
      </c>
      <c r="AJ51" s="115">
        <v>1151815.888888889</v>
      </c>
      <c r="AK51" s="116">
        <v>9</v>
      </c>
      <c r="AL51" s="115">
        <v>1036634.3</v>
      </c>
      <c r="AM51" s="116">
        <v>10</v>
      </c>
      <c r="AN51" s="115">
        <v>202504.3</v>
      </c>
      <c r="AO51" s="116">
        <v>10</v>
      </c>
      <c r="AP51" s="115">
        <v>184094.81818181818</v>
      </c>
      <c r="AQ51" s="116">
        <v>11</v>
      </c>
      <c r="AR51" s="115">
        <v>227487.94007490636</v>
      </c>
      <c r="AS51" s="116">
        <v>26.7</v>
      </c>
      <c r="AT51" s="115">
        <v>173540.8</v>
      </c>
      <c r="AU51" s="116">
        <v>35</v>
      </c>
      <c r="AV51" s="115">
        <v>89715.392156862756</v>
      </c>
      <c r="AW51" s="116">
        <v>20.399999999999999</v>
      </c>
      <c r="AX51" s="115">
        <v>70392.076923076922</v>
      </c>
      <c r="AY51" s="116">
        <v>26</v>
      </c>
      <c r="AZ51" s="139">
        <v>17671810</v>
      </c>
      <c r="BA51" s="139">
        <v>5067854</v>
      </c>
      <c r="BB51" s="139">
        <v>211798</v>
      </c>
      <c r="BC51" s="139">
        <v>1049075</v>
      </c>
      <c r="BD51" s="139">
        <v>76243</v>
      </c>
      <c r="BE51" s="139">
        <v>24076780</v>
      </c>
      <c r="BF51" s="139">
        <v>0</v>
      </c>
      <c r="BG51" s="139">
        <v>0</v>
      </c>
      <c r="BH51" s="139">
        <v>0</v>
      </c>
      <c r="BI51" s="139">
        <v>0</v>
      </c>
      <c r="BJ51" s="139">
        <v>0</v>
      </c>
      <c r="BK51" s="139">
        <v>0</v>
      </c>
      <c r="BL51" s="139">
        <v>0</v>
      </c>
      <c r="BM51" s="139">
        <v>611481</v>
      </c>
      <c r="BN51" s="139">
        <v>0</v>
      </c>
      <c r="BO51" s="139">
        <v>222784</v>
      </c>
      <c r="BP51" s="139">
        <v>0</v>
      </c>
      <c r="BQ51" s="139">
        <v>834265</v>
      </c>
      <c r="BR51" s="139">
        <v>20992206</v>
      </c>
      <c r="BS51" s="139">
        <v>2623113</v>
      </c>
      <c r="BT51" s="139">
        <v>290049</v>
      </c>
      <c r="BU51" s="139">
        <v>1989208</v>
      </c>
      <c r="BV51" s="139">
        <v>3830363</v>
      </c>
      <c r="BW51" s="139">
        <v>29724939</v>
      </c>
      <c r="BX51" s="139">
        <v>120500</v>
      </c>
      <c r="BY51" s="139">
        <v>464500</v>
      </c>
      <c r="BZ51" s="139">
        <v>1250</v>
      </c>
      <c r="CA51" s="139">
        <v>2500</v>
      </c>
      <c r="CB51" s="139">
        <v>0</v>
      </c>
      <c r="CC51" s="139">
        <v>588750</v>
      </c>
      <c r="CD51" s="139">
        <v>0</v>
      </c>
      <c r="CE51" s="139">
        <v>0</v>
      </c>
      <c r="CF51" s="139">
        <v>0</v>
      </c>
      <c r="CG51" s="139">
        <v>0</v>
      </c>
      <c r="CH51" s="139">
        <v>0</v>
      </c>
      <c r="CI51" s="139">
        <v>0</v>
      </c>
      <c r="CJ51" s="139">
        <v>9765</v>
      </c>
      <c r="CK51" s="139">
        <v>0</v>
      </c>
      <c r="CL51" s="139">
        <v>6640</v>
      </c>
      <c r="CM51" s="139">
        <v>0</v>
      </c>
      <c r="CN51" s="139">
        <v>372418</v>
      </c>
      <c r="CO51" s="139">
        <v>388823</v>
      </c>
      <c r="CP51" s="139">
        <v>0</v>
      </c>
      <c r="CQ51" s="139">
        <v>0</v>
      </c>
      <c r="CR51" s="139">
        <v>0</v>
      </c>
      <c r="CS51" s="139">
        <v>0</v>
      </c>
      <c r="CT51" s="139">
        <v>706135</v>
      </c>
      <c r="CU51" s="139">
        <v>706135</v>
      </c>
      <c r="CV51" s="139">
        <v>19851612</v>
      </c>
      <c r="CW51" s="139">
        <v>10142312</v>
      </c>
      <c r="CX51" s="139">
        <v>59940</v>
      </c>
      <c r="CY51" s="139">
        <v>101238</v>
      </c>
      <c r="CZ51" s="139">
        <v>1104967</v>
      </c>
      <c r="DA51" s="139">
        <v>31260069</v>
      </c>
      <c r="DB51" s="139">
        <v>0</v>
      </c>
      <c r="DC51" s="139">
        <v>0</v>
      </c>
      <c r="DD51" s="139">
        <v>0</v>
      </c>
      <c r="DE51" s="139">
        <v>0</v>
      </c>
      <c r="DF51" s="139">
        <v>1226173</v>
      </c>
      <c r="DG51" s="139">
        <v>1226173</v>
      </c>
      <c r="DH51" s="139">
        <v>867903</v>
      </c>
      <c r="DI51" s="139">
        <v>235894</v>
      </c>
      <c r="DJ51" s="139">
        <v>56684</v>
      </c>
      <c r="DK51" s="139">
        <v>75378</v>
      </c>
      <c r="DL51" s="139">
        <v>487952</v>
      </c>
      <c r="DM51" s="139">
        <v>1723811</v>
      </c>
      <c r="DN51" s="139">
        <v>345000</v>
      </c>
      <c r="DO51" s="139">
        <v>265320</v>
      </c>
      <c r="DP51" s="139">
        <v>120000</v>
      </c>
      <c r="DQ51" s="139">
        <v>963895</v>
      </c>
      <c r="DR51" s="139">
        <v>5804164</v>
      </c>
      <c r="DS51" s="139">
        <v>7498379</v>
      </c>
      <c r="DT51" s="139">
        <v>234558</v>
      </c>
      <c r="DU51" s="139">
        <v>371105</v>
      </c>
      <c r="DV51" s="139">
        <v>137365</v>
      </c>
      <c r="DW51" s="139">
        <v>1688855</v>
      </c>
      <c r="DX51" s="139">
        <v>51711</v>
      </c>
      <c r="DY51" s="139">
        <v>2483594</v>
      </c>
      <c r="DZ51" s="139">
        <v>90436</v>
      </c>
      <c r="EA51" s="139">
        <v>47586</v>
      </c>
      <c r="EB51" s="139">
        <v>6160</v>
      </c>
      <c r="EC51" s="139">
        <v>390537</v>
      </c>
      <c r="ED51" s="139">
        <v>1554187</v>
      </c>
      <c r="EE51" s="139">
        <v>2088906</v>
      </c>
      <c r="EF51" s="139">
        <v>435298</v>
      </c>
      <c r="EG51" s="139">
        <v>183019</v>
      </c>
      <c r="EH51" s="139">
        <v>71287</v>
      </c>
      <c r="EI51" s="139">
        <v>405850</v>
      </c>
      <c r="EJ51" s="139">
        <v>981378</v>
      </c>
      <c r="EK51" s="139">
        <v>2076832</v>
      </c>
      <c r="EL51" s="139">
        <v>60619088</v>
      </c>
      <c r="EM51" s="139">
        <v>20012184</v>
      </c>
      <c r="EN51" s="139">
        <v>961173</v>
      </c>
      <c r="EO51" s="139">
        <v>6839020</v>
      </c>
      <c r="EP51" s="139">
        <v>16245991</v>
      </c>
      <c r="EQ51" s="139">
        <v>104677456</v>
      </c>
      <c r="ER51" s="139">
        <v>3502406</v>
      </c>
      <c r="ES51" s="139">
        <v>525784</v>
      </c>
      <c r="ET51" s="139">
        <v>453514</v>
      </c>
      <c r="EU51" s="139">
        <v>7842178</v>
      </c>
      <c r="EV51" s="139">
        <v>153867</v>
      </c>
      <c r="EW51" s="139">
        <v>12477749</v>
      </c>
      <c r="EX51" s="139">
        <v>2144133</v>
      </c>
      <c r="EY51" s="139">
        <v>697034</v>
      </c>
      <c r="EZ51" s="139">
        <v>150000</v>
      </c>
      <c r="FA51" s="139">
        <v>74863</v>
      </c>
      <c r="FB51" s="139">
        <v>0</v>
      </c>
      <c r="FC51" s="139">
        <v>3066030</v>
      </c>
      <c r="FD51" s="139">
        <v>9517026</v>
      </c>
      <c r="FE51" s="139">
        <v>4336255</v>
      </c>
      <c r="FF51" s="139">
        <v>1204291</v>
      </c>
      <c r="FG51" s="139">
        <v>5237936</v>
      </c>
      <c r="FH51" s="139">
        <v>0</v>
      </c>
      <c r="FI51" s="139">
        <v>20295508</v>
      </c>
      <c r="FJ51" s="139">
        <v>120500</v>
      </c>
      <c r="FK51" s="139">
        <v>464500</v>
      </c>
      <c r="FL51" s="139">
        <v>1250</v>
      </c>
      <c r="FM51" s="139">
        <v>2500</v>
      </c>
      <c r="FN51" s="139">
        <v>0</v>
      </c>
      <c r="FO51" s="139">
        <v>588750</v>
      </c>
      <c r="FP51" s="139">
        <v>1438560</v>
      </c>
      <c r="FQ51" s="139">
        <v>433196</v>
      </c>
      <c r="FR51" s="139">
        <v>238135</v>
      </c>
      <c r="FS51" s="139">
        <v>343644</v>
      </c>
      <c r="FT51" s="139">
        <v>12212905</v>
      </c>
      <c r="FU51" s="139">
        <v>14666440</v>
      </c>
      <c r="FV51" s="139">
        <v>0</v>
      </c>
      <c r="FW51" s="139">
        <v>0</v>
      </c>
      <c r="FX51" s="139">
        <v>0</v>
      </c>
      <c r="FY51" s="139">
        <v>0</v>
      </c>
      <c r="FZ51" s="139">
        <v>0</v>
      </c>
      <c r="GA51" s="139">
        <v>0</v>
      </c>
      <c r="GB51" s="139">
        <v>0</v>
      </c>
      <c r="GC51" s="139">
        <v>0</v>
      </c>
      <c r="GD51" s="139">
        <v>0</v>
      </c>
      <c r="GE51" s="139">
        <v>0</v>
      </c>
      <c r="GF51" s="139">
        <v>156137</v>
      </c>
      <c r="GG51" s="139">
        <v>156137</v>
      </c>
      <c r="GH51" s="139">
        <v>647875</v>
      </c>
      <c r="GI51" s="139">
        <v>256167</v>
      </c>
      <c r="GJ51" s="139">
        <v>153375</v>
      </c>
      <c r="GK51" s="139">
        <v>386372</v>
      </c>
      <c r="GL51" s="139">
        <v>0</v>
      </c>
      <c r="GM51" s="139">
        <v>1443789</v>
      </c>
      <c r="GN51" s="139">
        <v>2619739</v>
      </c>
      <c r="GO51" s="139">
        <v>1386932</v>
      </c>
      <c r="GP51" s="139">
        <v>523737</v>
      </c>
      <c r="GQ51" s="139">
        <v>2984608</v>
      </c>
      <c r="GR51" s="139">
        <v>0</v>
      </c>
      <c r="GS51" s="139">
        <v>7515016</v>
      </c>
      <c r="GT51" s="139">
        <v>675128</v>
      </c>
      <c r="GU51" s="139">
        <v>251974</v>
      </c>
      <c r="GV51" s="139">
        <v>124841</v>
      </c>
      <c r="GW51" s="139">
        <v>1574963</v>
      </c>
      <c r="GX51" s="139">
        <v>34789</v>
      </c>
      <c r="GY51" s="139">
        <v>2661695</v>
      </c>
      <c r="GZ51" s="139">
        <v>2259450</v>
      </c>
      <c r="HA51" s="139">
        <v>988944</v>
      </c>
      <c r="HB51" s="139">
        <v>434259</v>
      </c>
      <c r="HC51" s="139">
        <v>521035</v>
      </c>
      <c r="HD51" s="139">
        <v>0</v>
      </c>
      <c r="HE51" s="139">
        <v>4203688</v>
      </c>
      <c r="HF51" s="139">
        <v>157281</v>
      </c>
      <c r="HG51" s="139">
        <v>86459</v>
      </c>
      <c r="HH51" s="139">
        <v>24929</v>
      </c>
      <c r="HI51" s="139">
        <v>86438</v>
      </c>
      <c r="HJ51" s="139">
        <v>1699970</v>
      </c>
      <c r="HK51" s="139">
        <v>2055077</v>
      </c>
      <c r="HL51" s="139">
        <v>130478</v>
      </c>
      <c r="HM51" s="139">
        <v>263642</v>
      </c>
      <c r="HN51" s="139">
        <v>81830</v>
      </c>
      <c r="HO51" s="139">
        <v>852978</v>
      </c>
      <c r="HP51" s="139">
        <v>190209</v>
      </c>
      <c r="HQ51" s="139">
        <v>1519137</v>
      </c>
      <c r="HR51" s="139">
        <v>7633428</v>
      </c>
      <c r="HS51" s="139">
        <v>1223456</v>
      </c>
      <c r="HT51" s="139">
        <v>43723</v>
      </c>
      <c r="HU51" s="139">
        <v>155416</v>
      </c>
      <c r="HV51" s="139">
        <v>13943360</v>
      </c>
      <c r="HW51" s="139">
        <v>22999383</v>
      </c>
      <c r="HX51" s="139">
        <v>823788</v>
      </c>
      <c r="HY51" s="139">
        <v>0</v>
      </c>
      <c r="HZ51" s="139">
        <v>0</v>
      </c>
      <c r="IA51" s="139">
        <v>0</v>
      </c>
      <c r="IB51" s="139">
        <v>242539</v>
      </c>
      <c r="IC51" s="139">
        <v>1066327</v>
      </c>
      <c r="ID51" s="139">
        <v>0</v>
      </c>
      <c r="IE51" s="139">
        <v>0</v>
      </c>
      <c r="IF51" s="139">
        <v>0</v>
      </c>
      <c r="IG51" s="139">
        <v>0</v>
      </c>
      <c r="IH51" s="139">
        <v>706135</v>
      </c>
      <c r="II51" s="139">
        <v>706135</v>
      </c>
      <c r="IJ51" s="139">
        <v>40550</v>
      </c>
      <c r="IK51" s="139">
        <v>39835</v>
      </c>
      <c r="IL51" s="139">
        <v>5326</v>
      </c>
      <c r="IM51" s="139">
        <v>62291</v>
      </c>
      <c r="IN51" s="139">
        <v>1282581</v>
      </c>
      <c r="IO51" s="139">
        <v>1430583</v>
      </c>
      <c r="IP51" s="139">
        <v>3405</v>
      </c>
      <c r="IQ51" s="139">
        <v>451</v>
      </c>
      <c r="IR51" s="139">
        <v>963</v>
      </c>
      <c r="IS51" s="139">
        <v>6869</v>
      </c>
      <c r="IT51" s="139">
        <v>115019</v>
      </c>
      <c r="IU51" s="139">
        <v>126707</v>
      </c>
      <c r="IV51" s="139">
        <v>2790341</v>
      </c>
      <c r="IW51" s="139">
        <v>583253</v>
      </c>
      <c r="IX51" s="139">
        <v>240133</v>
      </c>
      <c r="IY51" s="139">
        <v>1361112</v>
      </c>
      <c r="IZ51" s="139">
        <v>5469842</v>
      </c>
      <c r="JA51" s="139">
        <v>10444681</v>
      </c>
      <c r="JB51" s="139">
        <v>34504088</v>
      </c>
      <c r="JC51" s="139">
        <v>11537882</v>
      </c>
      <c r="JD51" s="139">
        <v>3680306</v>
      </c>
      <c r="JE51" s="139">
        <v>21493203</v>
      </c>
      <c r="JF51" s="139">
        <v>36207353</v>
      </c>
      <c r="JG51" s="139">
        <v>107422832</v>
      </c>
      <c r="JH51" s="139">
        <v>0</v>
      </c>
      <c r="JI51" s="139">
        <v>0</v>
      </c>
      <c r="JJ51" s="139">
        <v>0</v>
      </c>
      <c r="JK51" s="139">
        <v>0</v>
      </c>
      <c r="JL51" s="139">
        <v>475000</v>
      </c>
      <c r="JM51" s="139">
        <v>475000</v>
      </c>
      <c r="JN51" s="139">
        <v>34504088</v>
      </c>
      <c r="JO51" s="139">
        <v>11537882</v>
      </c>
      <c r="JP51" s="139">
        <v>3680306</v>
      </c>
      <c r="JQ51" s="139">
        <v>21493203</v>
      </c>
      <c r="JR51" s="139">
        <v>36682353</v>
      </c>
      <c r="JS51" s="139">
        <v>107897832</v>
      </c>
      <c r="JU51" s="70">
        <f t="shared" si="80"/>
        <v>24076780</v>
      </c>
      <c r="JV51" s="70">
        <f t="shared" si="81"/>
        <v>0</v>
      </c>
      <c r="JW51" s="70">
        <f t="shared" si="82"/>
        <v>0</v>
      </c>
      <c r="JX51" s="70">
        <f t="shared" si="83"/>
        <v>0</v>
      </c>
      <c r="JY51" s="70">
        <f t="shared" si="84"/>
        <v>834265</v>
      </c>
      <c r="JZ51" s="70">
        <f t="shared" si="85"/>
        <v>0</v>
      </c>
      <c r="KA51" s="70">
        <f t="shared" si="86"/>
        <v>29724939</v>
      </c>
      <c r="KB51" s="70">
        <f t="shared" si="87"/>
        <v>0</v>
      </c>
      <c r="KC51" s="70">
        <f t="shared" si="88"/>
        <v>588750</v>
      </c>
      <c r="KD51" s="70">
        <f t="shared" si="89"/>
        <v>0</v>
      </c>
      <c r="KE51" s="70">
        <f t="shared" si="90"/>
        <v>0</v>
      </c>
      <c r="KF51" s="70">
        <f t="shared" si="91"/>
        <v>0</v>
      </c>
      <c r="KG51" s="70">
        <f t="shared" si="92"/>
        <v>388823</v>
      </c>
      <c r="KH51" s="70">
        <f t="shared" si="93"/>
        <v>0</v>
      </c>
      <c r="KI51" s="70">
        <f t="shared" si="94"/>
        <v>706135</v>
      </c>
      <c r="KJ51" s="70">
        <f t="shared" si="95"/>
        <v>0</v>
      </c>
      <c r="KK51" s="70">
        <f t="shared" si="96"/>
        <v>31260069</v>
      </c>
      <c r="KL51" s="70">
        <f t="shared" si="97"/>
        <v>0</v>
      </c>
      <c r="KM51" s="70">
        <f t="shared" si="98"/>
        <v>1226173</v>
      </c>
      <c r="KN51" s="70">
        <f t="shared" si="99"/>
        <v>0</v>
      </c>
      <c r="KO51" s="70">
        <f t="shared" si="100"/>
        <v>1723811</v>
      </c>
      <c r="KP51" s="70">
        <f t="shared" si="101"/>
        <v>0</v>
      </c>
      <c r="KQ51" s="70">
        <f t="shared" si="102"/>
        <v>7498379</v>
      </c>
      <c r="KR51" s="70">
        <f t="shared" si="103"/>
        <v>0</v>
      </c>
      <c r="KS51" s="70">
        <f t="shared" si="104"/>
        <v>2483594</v>
      </c>
      <c r="KT51" s="70">
        <f t="shared" si="105"/>
        <v>0</v>
      </c>
      <c r="KU51" s="70">
        <f t="shared" si="106"/>
        <v>2088906</v>
      </c>
      <c r="KV51" s="70">
        <f t="shared" si="107"/>
        <v>0</v>
      </c>
      <c r="KW51" s="70">
        <f t="shared" si="108"/>
        <v>2076832</v>
      </c>
      <c r="KX51" s="70">
        <f t="shared" si="109"/>
        <v>0</v>
      </c>
      <c r="KY51" s="70">
        <f t="shared" si="110"/>
        <v>104677456</v>
      </c>
      <c r="KZ51" s="70">
        <f t="shared" si="111"/>
        <v>0</v>
      </c>
      <c r="LA51" s="70">
        <f t="shared" si="150"/>
        <v>12477749</v>
      </c>
      <c r="LB51" s="70">
        <f t="shared" si="112"/>
        <v>0</v>
      </c>
      <c r="LC51" s="70">
        <f t="shared" si="113"/>
        <v>3066030</v>
      </c>
      <c r="LD51" s="70">
        <f t="shared" si="114"/>
        <v>0</v>
      </c>
      <c r="LE51" s="70">
        <f t="shared" si="115"/>
        <v>20295508</v>
      </c>
      <c r="LF51" s="70">
        <f t="shared" si="116"/>
        <v>0</v>
      </c>
      <c r="LG51" s="70">
        <f t="shared" si="155"/>
        <v>588750</v>
      </c>
      <c r="LH51" s="70">
        <f t="shared" si="156"/>
        <v>0</v>
      </c>
      <c r="LI51" s="70">
        <f t="shared" si="151"/>
        <v>14666440</v>
      </c>
      <c r="LJ51" s="70">
        <f t="shared" si="152"/>
        <v>0</v>
      </c>
      <c r="LK51" s="70">
        <f t="shared" si="153"/>
        <v>0</v>
      </c>
      <c r="LL51" s="70">
        <f t="shared" si="154"/>
        <v>0</v>
      </c>
      <c r="LM51" s="70">
        <f t="shared" si="117"/>
        <v>156137</v>
      </c>
      <c r="LN51" s="70">
        <f t="shared" si="118"/>
        <v>0</v>
      </c>
      <c r="LO51" s="70">
        <f t="shared" si="119"/>
        <v>1443789</v>
      </c>
      <c r="LP51" s="70">
        <f t="shared" si="120"/>
        <v>0</v>
      </c>
      <c r="LQ51" s="70">
        <f t="shared" si="121"/>
        <v>7515016</v>
      </c>
      <c r="LR51" s="70">
        <f t="shared" si="122"/>
        <v>0</v>
      </c>
      <c r="LS51" s="70">
        <f t="shared" si="123"/>
        <v>2661695</v>
      </c>
      <c r="LT51" s="70">
        <f t="shared" si="124"/>
        <v>0</v>
      </c>
      <c r="LU51" s="70">
        <f t="shared" si="125"/>
        <v>4203688</v>
      </c>
      <c r="LV51" s="70">
        <f t="shared" si="126"/>
        <v>0</v>
      </c>
      <c r="LW51" s="70">
        <f t="shared" si="127"/>
        <v>2055077</v>
      </c>
      <c r="LX51" s="70">
        <f t="shared" si="128"/>
        <v>0</v>
      </c>
      <c r="LY51" s="70">
        <f t="shared" si="129"/>
        <v>1519137</v>
      </c>
      <c r="LZ51" s="70">
        <f t="shared" si="130"/>
        <v>0</v>
      </c>
      <c r="MA51" s="70">
        <f t="shared" si="131"/>
        <v>22999383</v>
      </c>
      <c r="MB51" s="70">
        <f t="shared" si="132"/>
        <v>0</v>
      </c>
      <c r="MC51" s="70">
        <f t="shared" si="133"/>
        <v>1066327</v>
      </c>
      <c r="MD51" s="70">
        <f t="shared" si="134"/>
        <v>0</v>
      </c>
      <c r="ME51" s="70">
        <f t="shared" si="135"/>
        <v>706135</v>
      </c>
      <c r="MF51" s="70">
        <f t="shared" si="136"/>
        <v>0</v>
      </c>
      <c r="MG51" s="70">
        <f t="shared" si="137"/>
        <v>1430583</v>
      </c>
      <c r="MH51" s="70">
        <f t="shared" si="138"/>
        <v>0</v>
      </c>
      <c r="MI51" s="70">
        <f t="shared" si="139"/>
        <v>126707</v>
      </c>
      <c r="MJ51" s="70">
        <f t="shared" si="140"/>
        <v>0</v>
      </c>
      <c r="MK51" s="70">
        <f t="shared" si="141"/>
        <v>10444681</v>
      </c>
      <c r="ML51" s="70">
        <f t="shared" si="142"/>
        <v>0</v>
      </c>
      <c r="MM51" s="70">
        <f t="shared" si="143"/>
        <v>107422832</v>
      </c>
      <c r="MN51" s="70">
        <f t="shared" si="144"/>
        <v>0</v>
      </c>
      <c r="MO51" s="70">
        <f t="shared" si="145"/>
        <v>475000</v>
      </c>
      <c r="MP51" s="70">
        <f t="shared" si="146"/>
        <v>0</v>
      </c>
      <c r="MQ51" s="70">
        <f t="shared" si="147"/>
        <v>107897832</v>
      </c>
      <c r="MR51" s="70">
        <f t="shared" si="148"/>
        <v>0</v>
      </c>
      <c r="MT51" s="70">
        <f t="shared" si="149"/>
        <v>0</v>
      </c>
      <c r="MV51" s="68">
        <f t="shared" si="77"/>
        <v>0</v>
      </c>
    </row>
    <row r="52" spans="1:360" x14ac:dyDescent="0.15">
      <c r="A52" s="182" t="s">
        <v>616</v>
      </c>
      <c r="B52" s="76" t="s">
        <v>425</v>
      </c>
      <c r="C52" s="90">
        <v>220978</v>
      </c>
      <c r="D52" s="90">
        <v>2014</v>
      </c>
      <c r="E52" s="90">
        <v>1</v>
      </c>
      <c r="F52" s="91">
        <v>8</v>
      </c>
      <c r="G52" s="92">
        <v>8091</v>
      </c>
      <c r="H52" s="92">
        <v>9263</v>
      </c>
      <c r="I52" s="93">
        <v>360268379</v>
      </c>
      <c r="J52" s="93">
        <v>348358664</v>
      </c>
      <c r="K52" s="93">
        <v>1467714</v>
      </c>
      <c r="L52" s="93">
        <v>1636834</v>
      </c>
      <c r="M52" s="93">
        <v>20240196</v>
      </c>
      <c r="N52" s="93">
        <v>17927287</v>
      </c>
      <c r="O52" s="93">
        <v>20665225</v>
      </c>
      <c r="P52" s="93">
        <v>22151581</v>
      </c>
      <c r="Q52" s="93">
        <v>251749865</v>
      </c>
      <c r="R52" s="93">
        <v>245824737</v>
      </c>
      <c r="S52" s="93">
        <v>361568357</v>
      </c>
      <c r="T52" s="93">
        <v>380237292</v>
      </c>
      <c r="U52" s="93">
        <v>18348</v>
      </c>
      <c r="V52" s="93">
        <v>17302</v>
      </c>
      <c r="W52" s="93">
        <v>35140</v>
      </c>
      <c r="X52" s="93">
        <v>32550</v>
      </c>
      <c r="Y52" s="93">
        <v>21664</v>
      </c>
      <c r="Z52" s="93">
        <v>19124</v>
      </c>
      <c r="AA52" s="93">
        <v>38592</v>
      </c>
      <c r="AB52" s="93">
        <v>33212</v>
      </c>
      <c r="AC52" s="114">
        <v>8</v>
      </c>
      <c r="AD52" s="114">
        <v>9</v>
      </c>
      <c r="AE52" s="114">
        <v>0</v>
      </c>
      <c r="AF52" s="115">
        <v>4410049</v>
      </c>
      <c r="AG52" s="115">
        <v>2528624</v>
      </c>
      <c r="AH52" s="115">
        <v>338556</v>
      </c>
      <c r="AI52" s="115">
        <v>116251</v>
      </c>
      <c r="AJ52" s="115">
        <v>311812</v>
      </c>
      <c r="AK52" s="116">
        <v>5.19</v>
      </c>
      <c r="AL52" s="115">
        <v>269717</v>
      </c>
      <c r="AM52" s="116">
        <v>6</v>
      </c>
      <c r="AN52" s="115">
        <v>127689</v>
      </c>
      <c r="AO52" s="116">
        <v>5.86</v>
      </c>
      <c r="AP52" s="115">
        <v>106894</v>
      </c>
      <c r="AQ52" s="116">
        <v>7</v>
      </c>
      <c r="AR52" s="115">
        <v>125176</v>
      </c>
      <c r="AS52" s="116">
        <v>17</v>
      </c>
      <c r="AT52" s="115">
        <v>85120</v>
      </c>
      <c r="AU52" s="116">
        <v>25</v>
      </c>
      <c r="AV52" s="115">
        <v>60722</v>
      </c>
      <c r="AW52" s="116">
        <v>10.7</v>
      </c>
      <c r="AX52" s="115">
        <v>40608</v>
      </c>
      <c r="AY52" s="116">
        <v>16</v>
      </c>
      <c r="AZ52" s="139">
        <v>918786</v>
      </c>
      <c r="BA52" s="139">
        <v>232233</v>
      </c>
      <c r="BB52" s="139">
        <v>192257</v>
      </c>
      <c r="BC52" s="139">
        <v>41152</v>
      </c>
      <c r="BD52" s="139">
        <v>0</v>
      </c>
      <c r="BE52" s="139">
        <v>1384428</v>
      </c>
      <c r="BF52" s="139">
        <v>3609506</v>
      </c>
      <c r="BG52" s="139">
        <v>1745753</v>
      </c>
      <c r="BH52" s="139">
        <v>1377630</v>
      </c>
      <c r="BI52" s="139">
        <v>707123</v>
      </c>
      <c r="BJ52" s="139">
        <v>0</v>
      </c>
      <c r="BK52" s="139">
        <v>7440012</v>
      </c>
      <c r="BL52" s="139">
        <v>950000</v>
      </c>
      <c r="BM52" s="139">
        <v>80000</v>
      </c>
      <c r="BN52" s="139">
        <v>0</v>
      </c>
      <c r="BO52" s="139">
        <v>2500</v>
      </c>
      <c r="BP52" s="139">
        <v>0</v>
      </c>
      <c r="BQ52" s="139">
        <v>1032500</v>
      </c>
      <c r="BR52" s="139">
        <v>39530</v>
      </c>
      <c r="BS52" s="139">
        <v>60750</v>
      </c>
      <c r="BT52" s="139">
        <v>58975</v>
      </c>
      <c r="BU52" s="139">
        <v>826376</v>
      </c>
      <c r="BV52" s="139">
        <v>1684541</v>
      </c>
      <c r="BW52" s="139">
        <v>2670172</v>
      </c>
      <c r="BX52" s="139">
        <v>0</v>
      </c>
      <c r="BY52" s="139">
        <v>0</v>
      </c>
      <c r="BZ52" s="139">
        <v>0</v>
      </c>
      <c r="CA52" s="139">
        <v>0</v>
      </c>
      <c r="CB52" s="139">
        <v>0</v>
      </c>
      <c r="CC52" s="139">
        <v>0</v>
      </c>
      <c r="CD52" s="139">
        <v>0</v>
      </c>
      <c r="CE52" s="139">
        <v>0</v>
      </c>
      <c r="CF52" s="139">
        <v>0</v>
      </c>
      <c r="CG52" s="139">
        <v>0</v>
      </c>
      <c r="CH52" s="139">
        <v>0</v>
      </c>
      <c r="CI52" s="139">
        <v>0</v>
      </c>
      <c r="CJ52" s="139">
        <v>1859294</v>
      </c>
      <c r="CK52" s="139">
        <v>33413</v>
      </c>
      <c r="CL52" s="139">
        <v>23249</v>
      </c>
      <c r="CM52" s="139">
        <v>5391665</v>
      </c>
      <c r="CN52" s="139">
        <v>1361579</v>
      </c>
      <c r="CO52" s="139">
        <v>8669200</v>
      </c>
      <c r="CP52" s="139">
        <v>1053239</v>
      </c>
      <c r="CQ52" s="139">
        <v>287008</v>
      </c>
      <c r="CR52" s="139">
        <v>274661</v>
      </c>
      <c r="CS52" s="139">
        <v>977029</v>
      </c>
      <c r="CT52" s="139">
        <v>973389</v>
      </c>
      <c r="CU52" s="139">
        <v>3565326</v>
      </c>
      <c r="CV52" s="139">
        <v>737769</v>
      </c>
      <c r="CW52" s="139">
        <v>4230</v>
      </c>
      <c r="CX52" s="139">
        <v>45855</v>
      </c>
      <c r="CY52" s="139">
        <v>12436</v>
      </c>
      <c r="CZ52" s="139">
        <v>2613729</v>
      </c>
      <c r="DA52" s="139">
        <v>3414019</v>
      </c>
      <c r="DB52" s="139">
        <v>0</v>
      </c>
      <c r="DC52" s="139">
        <v>0</v>
      </c>
      <c r="DD52" s="139">
        <v>0</v>
      </c>
      <c r="DE52" s="139">
        <v>0</v>
      </c>
      <c r="DF52" s="139">
        <v>0</v>
      </c>
      <c r="DG52" s="139">
        <v>0</v>
      </c>
      <c r="DH52" s="139">
        <v>74987</v>
      </c>
      <c r="DI52" s="139">
        <v>32750</v>
      </c>
      <c r="DJ52" s="139">
        <v>27191</v>
      </c>
      <c r="DK52" s="139">
        <v>14262</v>
      </c>
      <c r="DL52" s="139">
        <v>76727</v>
      </c>
      <c r="DM52" s="139">
        <v>225917</v>
      </c>
      <c r="DN52" s="139">
        <v>0</v>
      </c>
      <c r="DO52" s="139">
        <v>0</v>
      </c>
      <c r="DP52" s="139">
        <v>0</v>
      </c>
      <c r="DQ52" s="139">
        <v>5833</v>
      </c>
      <c r="DR52" s="139">
        <v>1451014</v>
      </c>
      <c r="DS52" s="139">
        <v>1456847</v>
      </c>
      <c r="DT52" s="139">
        <v>0</v>
      </c>
      <c r="DU52" s="139">
        <v>0</v>
      </c>
      <c r="DV52" s="139">
        <v>0</v>
      </c>
      <c r="DW52" s="139">
        <v>0</v>
      </c>
      <c r="DX52" s="139">
        <v>0</v>
      </c>
      <c r="DY52" s="139">
        <v>0</v>
      </c>
      <c r="DZ52" s="139">
        <v>16685</v>
      </c>
      <c r="EA52" s="139">
        <v>0</v>
      </c>
      <c r="EB52" s="139">
        <v>121833</v>
      </c>
      <c r="EC52" s="139">
        <v>203896</v>
      </c>
      <c r="ED52" s="139">
        <v>180371</v>
      </c>
      <c r="EE52" s="139">
        <v>522785</v>
      </c>
      <c r="EF52" s="139">
        <v>0</v>
      </c>
      <c r="EG52" s="139">
        <v>0</v>
      </c>
      <c r="EH52" s="139">
        <v>0</v>
      </c>
      <c r="EI52" s="139">
        <v>23330</v>
      </c>
      <c r="EJ52" s="139">
        <v>5994</v>
      </c>
      <c r="EK52" s="139">
        <v>29324</v>
      </c>
      <c r="EL52" s="139">
        <v>9259796</v>
      </c>
      <c r="EM52" s="139">
        <v>2476137</v>
      </c>
      <c r="EN52" s="139">
        <v>2121651</v>
      </c>
      <c r="EO52" s="139">
        <v>8205602</v>
      </c>
      <c r="EP52" s="139">
        <v>8347344</v>
      </c>
      <c r="EQ52" s="139">
        <v>30410530</v>
      </c>
      <c r="ER52" s="139">
        <v>2986053</v>
      </c>
      <c r="ES52" s="139">
        <v>421361</v>
      </c>
      <c r="ET52" s="139">
        <v>414461</v>
      </c>
      <c r="EU52" s="139">
        <v>3116798</v>
      </c>
      <c r="EV52" s="139">
        <v>865398</v>
      </c>
      <c r="EW52" s="139">
        <v>7804071</v>
      </c>
      <c r="EX52" s="139">
        <v>400000</v>
      </c>
      <c r="EY52" s="139">
        <v>156500</v>
      </c>
      <c r="EZ52" s="139">
        <v>14728</v>
      </c>
      <c r="FA52" s="139">
        <v>12500</v>
      </c>
      <c r="FB52" s="139">
        <v>0</v>
      </c>
      <c r="FC52" s="139">
        <v>583728</v>
      </c>
      <c r="FD52" s="139">
        <v>2308339</v>
      </c>
      <c r="FE52" s="139">
        <v>866032</v>
      </c>
      <c r="FF52" s="139">
        <v>622033</v>
      </c>
      <c r="FG52" s="139">
        <v>1347875</v>
      </c>
      <c r="FH52" s="139">
        <v>0</v>
      </c>
      <c r="FI52" s="139">
        <v>5144279</v>
      </c>
      <c r="FJ52" s="139">
        <v>0</v>
      </c>
      <c r="FK52" s="139">
        <v>0</v>
      </c>
      <c r="FL52" s="139">
        <v>0</v>
      </c>
      <c r="FM52" s="139">
        <v>0</v>
      </c>
      <c r="FN52" s="139">
        <v>0</v>
      </c>
      <c r="FO52" s="139">
        <v>0</v>
      </c>
      <c r="FP52" s="139">
        <v>464568</v>
      </c>
      <c r="FQ52" s="139">
        <v>60482</v>
      </c>
      <c r="FR52" s="139">
        <v>51393</v>
      </c>
      <c r="FS52" s="139">
        <v>34869</v>
      </c>
      <c r="FT52" s="139">
        <v>2991437</v>
      </c>
      <c r="FU52" s="139">
        <v>3602749</v>
      </c>
      <c r="FV52" s="139">
        <v>0</v>
      </c>
      <c r="FW52" s="139">
        <v>0</v>
      </c>
      <c r="FX52" s="139">
        <v>0</v>
      </c>
      <c r="FY52" s="139">
        <v>0</v>
      </c>
      <c r="FZ52" s="139">
        <v>0</v>
      </c>
      <c r="GA52" s="139">
        <v>0</v>
      </c>
      <c r="GB52" s="139">
        <v>0</v>
      </c>
      <c r="GC52" s="139">
        <v>0</v>
      </c>
      <c r="GD52" s="139">
        <v>0</v>
      </c>
      <c r="GE52" s="139">
        <v>0</v>
      </c>
      <c r="GF52" s="139">
        <v>0</v>
      </c>
      <c r="GG52" s="139">
        <v>0</v>
      </c>
      <c r="GH52" s="139">
        <v>206955</v>
      </c>
      <c r="GI52" s="139">
        <v>75479</v>
      </c>
      <c r="GJ52" s="139">
        <v>31933</v>
      </c>
      <c r="GK52" s="139">
        <v>140440</v>
      </c>
      <c r="GL52" s="139">
        <v>0</v>
      </c>
      <c r="GM52" s="139">
        <v>454807</v>
      </c>
      <c r="GN52" s="139">
        <v>1306352</v>
      </c>
      <c r="GO52" s="139">
        <v>301109</v>
      </c>
      <c r="GP52" s="139">
        <v>429289</v>
      </c>
      <c r="GQ52" s="139">
        <v>1016917</v>
      </c>
      <c r="GR52" s="139">
        <v>0</v>
      </c>
      <c r="GS52" s="139">
        <v>3053667</v>
      </c>
      <c r="GT52" s="139">
        <v>552498</v>
      </c>
      <c r="GU52" s="139">
        <v>62199</v>
      </c>
      <c r="GV52" s="139">
        <v>28063</v>
      </c>
      <c r="GW52" s="139">
        <v>288013</v>
      </c>
      <c r="GX52" s="139">
        <v>0</v>
      </c>
      <c r="GY52" s="139">
        <v>930773</v>
      </c>
      <c r="GZ52" s="139">
        <v>293183</v>
      </c>
      <c r="HA52" s="139">
        <v>161867</v>
      </c>
      <c r="HB52" s="139">
        <v>90382</v>
      </c>
      <c r="HC52" s="139">
        <v>135248</v>
      </c>
      <c r="HD52" s="139">
        <v>0</v>
      </c>
      <c r="HE52" s="139">
        <v>680680</v>
      </c>
      <c r="HF52" s="139">
        <v>39494</v>
      </c>
      <c r="HG52" s="139">
        <v>16872</v>
      </c>
      <c r="HH52" s="139">
        <v>10312</v>
      </c>
      <c r="HI52" s="139">
        <v>10552</v>
      </c>
      <c r="HJ52" s="139">
        <v>490562</v>
      </c>
      <c r="HK52" s="139">
        <v>567792</v>
      </c>
      <c r="HL52" s="139">
        <v>0</v>
      </c>
      <c r="HM52" s="139">
        <v>0</v>
      </c>
      <c r="HN52" s="139">
        <v>0</v>
      </c>
      <c r="HO52" s="139">
        <v>0</v>
      </c>
      <c r="HP52" s="139">
        <v>0</v>
      </c>
      <c r="HQ52" s="139">
        <v>0</v>
      </c>
      <c r="HR52" s="139">
        <v>32208</v>
      </c>
      <c r="HS52" s="139">
        <v>5312</v>
      </c>
      <c r="HT52" s="139">
        <v>16943</v>
      </c>
      <c r="HU52" s="139">
        <v>68353</v>
      </c>
      <c r="HV52" s="139">
        <v>115969</v>
      </c>
      <c r="HW52" s="139">
        <v>238785</v>
      </c>
      <c r="HX52" s="139">
        <v>30495</v>
      </c>
      <c r="HY52" s="139">
        <v>0</v>
      </c>
      <c r="HZ52" s="139">
        <v>23796</v>
      </c>
      <c r="IA52" s="139">
        <v>0</v>
      </c>
      <c r="IB52" s="139">
        <v>0</v>
      </c>
      <c r="IC52" s="139">
        <v>54291</v>
      </c>
      <c r="ID52" s="139">
        <v>1053239</v>
      </c>
      <c r="IE52" s="139">
        <v>287008</v>
      </c>
      <c r="IF52" s="139">
        <v>274661</v>
      </c>
      <c r="IG52" s="139">
        <v>977029</v>
      </c>
      <c r="IH52" s="139">
        <v>973389</v>
      </c>
      <c r="II52" s="139">
        <v>3565326</v>
      </c>
      <c r="IJ52" s="139">
        <v>0</v>
      </c>
      <c r="IK52" s="139">
        <v>0</v>
      </c>
      <c r="IL52" s="139">
        <v>0</v>
      </c>
      <c r="IM52" s="139">
        <v>248</v>
      </c>
      <c r="IN52" s="139">
        <v>321781</v>
      </c>
      <c r="IO52" s="139">
        <v>322029</v>
      </c>
      <c r="IP52" s="139">
        <v>2165</v>
      </c>
      <c r="IQ52" s="139">
        <v>1205</v>
      </c>
      <c r="IR52" s="139">
        <v>1169</v>
      </c>
      <c r="IS52" s="139">
        <v>3899</v>
      </c>
      <c r="IT52" s="139">
        <v>18270</v>
      </c>
      <c r="IU52" s="139">
        <v>26708</v>
      </c>
      <c r="IV52" s="139">
        <v>418059</v>
      </c>
      <c r="IW52" s="139">
        <v>101592</v>
      </c>
      <c r="IX52" s="139">
        <v>74010</v>
      </c>
      <c r="IY52" s="139">
        <v>168960</v>
      </c>
      <c r="IZ52" s="139">
        <v>1244354</v>
      </c>
      <c r="JA52" s="139">
        <v>2006975</v>
      </c>
      <c r="JB52" s="139">
        <v>10093608</v>
      </c>
      <c r="JC52" s="139">
        <v>2517018</v>
      </c>
      <c r="JD52" s="139">
        <v>2083173</v>
      </c>
      <c r="JE52" s="139">
        <v>7321701</v>
      </c>
      <c r="JF52" s="139">
        <v>7021160</v>
      </c>
      <c r="JG52" s="139">
        <v>29036660</v>
      </c>
      <c r="JH52" s="139">
        <v>0</v>
      </c>
      <c r="JI52" s="139">
        <v>0</v>
      </c>
      <c r="JJ52" s="139">
        <v>0</v>
      </c>
      <c r="JK52" s="139">
        <v>0</v>
      </c>
      <c r="JL52" s="139">
        <v>0</v>
      </c>
      <c r="JM52" s="139">
        <v>0</v>
      </c>
      <c r="JN52" s="139">
        <v>10093608</v>
      </c>
      <c r="JO52" s="139">
        <v>2517018</v>
      </c>
      <c r="JP52" s="139">
        <v>2083173</v>
      </c>
      <c r="JQ52" s="139">
        <v>7321701</v>
      </c>
      <c r="JR52" s="139">
        <v>7021160</v>
      </c>
      <c r="JS52" s="139">
        <v>29036660</v>
      </c>
      <c r="JU52" s="70">
        <f t="shared" si="80"/>
        <v>1384428</v>
      </c>
      <c r="JV52" s="70">
        <f t="shared" si="81"/>
        <v>0</v>
      </c>
      <c r="JW52" s="70">
        <f t="shared" si="82"/>
        <v>7440012</v>
      </c>
      <c r="JX52" s="70">
        <f t="shared" si="83"/>
        <v>0</v>
      </c>
      <c r="JY52" s="70">
        <f t="shared" si="84"/>
        <v>1032500</v>
      </c>
      <c r="JZ52" s="70">
        <f t="shared" si="85"/>
        <v>0</v>
      </c>
      <c r="KA52" s="70">
        <f t="shared" si="86"/>
        <v>2670172</v>
      </c>
      <c r="KB52" s="70">
        <f t="shared" si="87"/>
        <v>0</v>
      </c>
      <c r="KC52" s="70">
        <f t="shared" si="88"/>
        <v>0</v>
      </c>
      <c r="KD52" s="70">
        <f t="shared" si="89"/>
        <v>0</v>
      </c>
      <c r="KE52" s="70">
        <f t="shared" si="90"/>
        <v>0</v>
      </c>
      <c r="KF52" s="70">
        <f t="shared" si="91"/>
        <v>0</v>
      </c>
      <c r="KG52" s="70">
        <f t="shared" si="92"/>
        <v>8669200</v>
      </c>
      <c r="KH52" s="70">
        <f t="shared" si="93"/>
        <v>0</v>
      </c>
      <c r="KI52" s="70">
        <f t="shared" si="94"/>
        <v>3565326</v>
      </c>
      <c r="KJ52" s="70">
        <f t="shared" si="95"/>
        <v>0</v>
      </c>
      <c r="KK52" s="70">
        <f t="shared" si="96"/>
        <v>3414019</v>
      </c>
      <c r="KL52" s="70">
        <f t="shared" si="97"/>
        <v>0</v>
      </c>
      <c r="KM52" s="70">
        <f t="shared" si="98"/>
        <v>0</v>
      </c>
      <c r="KN52" s="70">
        <f t="shared" si="99"/>
        <v>0</v>
      </c>
      <c r="KO52" s="70">
        <f t="shared" si="100"/>
        <v>225917</v>
      </c>
      <c r="KP52" s="70">
        <f t="shared" si="101"/>
        <v>0</v>
      </c>
      <c r="KQ52" s="70">
        <f t="shared" si="102"/>
        <v>1456847</v>
      </c>
      <c r="KR52" s="70">
        <f t="shared" si="103"/>
        <v>0</v>
      </c>
      <c r="KS52" s="70">
        <f t="shared" si="104"/>
        <v>0</v>
      </c>
      <c r="KT52" s="70">
        <f t="shared" si="105"/>
        <v>0</v>
      </c>
      <c r="KU52" s="70">
        <f t="shared" si="106"/>
        <v>522785</v>
      </c>
      <c r="KV52" s="70">
        <f t="shared" si="107"/>
        <v>0</v>
      </c>
      <c r="KW52" s="70">
        <f t="shared" si="108"/>
        <v>29324</v>
      </c>
      <c r="KX52" s="70">
        <f t="shared" si="109"/>
        <v>0</v>
      </c>
      <c r="KY52" s="70">
        <f t="shared" si="110"/>
        <v>30410530</v>
      </c>
      <c r="KZ52" s="70">
        <f t="shared" si="111"/>
        <v>0</v>
      </c>
      <c r="LA52" s="70">
        <f t="shared" si="150"/>
        <v>7804071</v>
      </c>
      <c r="LB52" s="70">
        <f t="shared" si="112"/>
        <v>0</v>
      </c>
      <c r="LC52" s="70">
        <f t="shared" si="113"/>
        <v>583728</v>
      </c>
      <c r="LD52" s="70">
        <f t="shared" si="114"/>
        <v>0</v>
      </c>
      <c r="LE52" s="70">
        <f t="shared" si="115"/>
        <v>5144279</v>
      </c>
      <c r="LF52" s="70">
        <f t="shared" si="116"/>
        <v>0</v>
      </c>
      <c r="LG52" s="70">
        <f t="shared" si="155"/>
        <v>0</v>
      </c>
      <c r="LH52" s="70">
        <f t="shared" si="156"/>
        <v>0</v>
      </c>
      <c r="LI52" s="70">
        <f t="shared" si="151"/>
        <v>3602749</v>
      </c>
      <c r="LJ52" s="70">
        <f t="shared" si="152"/>
        <v>0</v>
      </c>
      <c r="LK52" s="70">
        <f t="shared" si="153"/>
        <v>0</v>
      </c>
      <c r="LL52" s="70">
        <f t="shared" si="154"/>
        <v>0</v>
      </c>
      <c r="LM52" s="70">
        <f t="shared" si="117"/>
        <v>0</v>
      </c>
      <c r="LN52" s="70">
        <f t="shared" si="118"/>
        <v>0</v>
      </c>
      <c r="LO52" s="70">
        <f t="shared" si="119"/>
        <v>454807</v>
      </c>
      <c r="LP52" s="70">
        <f t="shared" si="120"/>
        <v>0</v>
      </c>
      <c r="LQ52" s="70">
        <f t="shared" si="121"/>
        <v>3053667</v>
      </c>
      <c r="LR52" s="70">
        <f t="shared" si="122"/>
        <v>0</v>
      </c>
      <c r="LS52" s="70">
        <f t="shared" si="123"/>
        <v>930773</v>
      </c>
      <c r="LT52" s="70">
        <f t="shared" si="124"/>
        <v>0</v>
      </c>
      <c r="LU52" s="70">
        <f t="shared" si="125"/>
        <v>680680</v>
      </c>
      <c r="LV52" s="70">
        <f t="shared" si="126"/>
        <v>0</v>
      </c>
      <c r="LW52" s="70">
        <f t="shared" si="127"/>
        <v>567792</v>
      </c>
      <c r="LX52" s="70">
        <f t="shared" si="128"/>
        <v>0</v>
      </c>
      <c r="LY52" s="70">
        <f t="shared" si="129"/>
        <v>0</v>
      </c>
      <c r="LZ52" s="70">
        <f t="shared" si="130"/>
        <v>0</v>
      </c>
      <c r="MA52" s="70">
        <f t="shared" si="131"/>
        <v>238785</v>
      </c>
      <c r="MB52" s="70">
        <f t="shared" si="132"/>
        <v>0</v>
      </c>
      <c r="MC52" s="70">
        <f t="shared" si="133"/>
        <v>54291</v>
      </c>
      <c r="MD52" s="70">
        <f t="shared" si="134"/>
        <v>0</v>
      </c>
      <c r="ME52" s="70">
        <f t="shared" si="135"/>
        <v>3565326</v>
      </c>
      <c r="MF52" s="70">
        <f t="shared" si="136"/>
        <v>0</v>
      </c>
      <c r="MG52" s="70">
        <f t="shared" si="137"/>
        <v>322029</v>
      </c>
      <c r="MH52" s="70">
        <f t="shared" si="138"/>
        <v>0</v>
      </c>
      <c r="MI52" s="70">
        <f t="shared" si="139"/>
        <v>26708</v>
      </c>
      <c r="MJ52" s="70">
        <f t="shared" si="140"/>
        <v>0</v>
      </c>
      <c r="MK52" s="70">
        <f t="shared" si="141"/>
        <v>2006975</v>
      </c>
      <c r="ML52" s="70">
        <f t="shared" si="142"/>
        <v>0</v>
      </c>
      <c r="MM52" s="70">
        <f t="shared" si="143"/>
        <v>29036660</v>
      </c>
      <c r="MN52" s="70">
        <f t="shared" si="144"/>
        <v>0</v>
      </c>
      <c r="MO52" s="70">
        <f t="shared" si="145"/>
        <v>0</v>
      </c>
      <c r="MP52" s="70">
        <f t="shared" si="146"/>
        <v>0</v>
      </c>
      <c r="MQ52" s="70">
        <f t="shared" si="147"/>
        <v>29036660</v>
      </c>
      <c r="MR52" s="70">
        <f t="shared" si="148"/>
        <v>0</v>
      </c>
      <c r="MT52" s="70">
        <f t="shared" si="149"/>
        <v>0</v>
      </c>
      <c r="MV52" s="68">
        <f t="shared" si="77"/>
        <v>0</v>
      </c>
    </row>
    <row r="53" spans="1:360" x14ac:dyDescent="0.15">
      <c r="A53" s="182" t="s">
        <v>327</v>
      </c>
      <c r="B53" s="76" t="s">
        <v>425</v>
      </c>
      <c r="C53" s="90">
        <v>174066</v>
      </c>
      <c r="D53" s="90">
        <v>2014</v>
      </c>
      <c r="E53" s="90">
        <v>1</v>
      </c>
      <c r="F53" s="91">
        <v>3</v>
      </c>
      <c r="G53" s="92">
        <v>13616</v>
      </c>
      <c r="H53" s="92">
        <v>14250</v>
      </c>
      <c r="I53" s="93">
        <v>3260294669</v>
      </c>
      <c r="J53" s="93">
        <v>3064215901</v>
      </c>
      <c r="K53" s="93">
        <v>17663000</v>
      </c>
      <c r="L53" s="93">
        <v>16160000</v>
      </c>
      <c r="M53" s="93">
        <v>112758000</v>
      </c>
      <c r="N53" s="93">
        <v>111482644</v>
      </c>
      <c r="O53" s="93">
        <v>201395000</v>
      </c>
      <c r="P53" s="93">
        <v>213240000</v>
      </c>
      <c r="Q53" s="93">
        <v>1282507000</v>
      </c>
      <c r="R53" s="93">
        <v>1300729844</v>
      </c>
      <c r="S53" s="93">
        <v>3003643507</v>
      </c>
      <c r="T53" s="93">
        <v>2828786471</v>
      </c>
      <c r="U53" s="93">
        <v>23568</v>
      </c>
      <c r="V53" s="93">
        <v>23132</v>
      </c>
      <c r="W53" s="93">
        <v>29818</v>
      </c>
      <c r="X53" s="93">
        <v>28382</v>
      </c>
      <c r="Y53" s="93">
        <v>25294</v>
      </c>
      <c r="Z53" s="93">
        <v>24872</v>
      </c>
      <c r="AA53" s="93">
        <v>31544</v>
      </c>
      <c r="AB53" s="93">
        <v>30122</v>
      </c>
      <c r="AC53" s="114">
        <v>12</v>
      </c>
      <c r="AD53" s="114">
        <v>13</v>
      </c>
      <c r="AE53" s="114">
        <v>0</v>
      </c>
      <c r="AF53" s="115">
        <v>4809510</v>
      </c>
      <c r="AG53" s="115">
        <v>3930837</v>
      </c>
      <c r="AH53" s="115">
        <v>1159504</v>
      </c>
      <c r="AI53" s="115">
        <v>466144</v>
      </c>
      <c r="AJ53" s="115">
        <v>442953</v>
      </c>
      <c r="AK53" s="116">
        <v>10</v>
      </c>
      <c r="AL53" s="115">
        <v>402684</v>
      </c>
      <c r="AM53" s="116">
        <v>11</v>
      </c>
      <c r="AN53" s="115">
        <v>154909</v>
      </c>
      <c r="AO53" s="116">
        <v>12</v>
      </c>
      <c r="AP53" s="115">
        <v>142993</v>
      </c>
      <c r="AQ53" s="116">
        <v>13</v>
      </c>
      <c r="AR53" s="115">
        <v>174946</v>
      </c>
      <c r="AS53" s="116">
        <v>26</v>
      </c>
      <c r="AT53" s="115">
        <v>174946</v>
      </c>
      <c r="AU53" s="116">
        <v>26</v>
      </c>
      <c r="AV53" s="115">
        <v>65007</v>
      </c>
      <c r="AW53" s="116">
        <v>20</v>
      </c>
      <c r="AX53" s="115">
        <v>65007</v>
      </c>
      <c r="AY53" s="116">
        <v>20</v>
      </c>
      <c r="AZ53" s="164">
        <v>14024130</v>
      </c>
      <c r="BA53" s="164">
        <v>5604895</v>
      </c>
      <c r="BB53" s="164">
        <v>242767</v>
      </c>
      <c r="BC53" s="164">
        <v>7477875</v>
      </c>
      <c r="BD53" s="164">
        <v>1145945</v>
      </c>
      <c r="BE53" s="164">
        <v>28495612</v>
      </c>
      <c r="BF53" s="164">
        <v>0</v>
      </c>
      <c r="BG53" s="164">
        <v>0</v>
      </c>
      <c r="BH53" s="164">
        <v>0</v>
      </c>
      <c r="BI53" s="164">
        <v>0</v>
      </c>
      <c r="BJ53" s="164">
        <v>0</v>
      </c>
      <c r="BK53" s="164">
        <v>0</v>
      </c>
      <c r="BL53" s="164">
        <v>250000</v>
      </c>
      <c r="BM53" s="164">
        <v>40120</v>
      </c>
      <c r="BN53" s="164">
        <v>0</v>
      </c>
      <c r="BO53" s="164">
        <v>34450</v>
      </c>
      <c r="BP53" s="164">
        <v>0</v>
      </c>
      <c r="BQ53" s="164">
        <v>324570</v>
      </c>
      <c r="BR53" s="164">
        <v>1586205</v>
      </c>
      <c r="BS53" s="164">
        <v>753958</v>
      </c>
      <c r="BT53" s="164">
        <v>87315</v>
      </c>
      <c r="BU53" s="164">
        <v>1986611</v>
      </c>
      <c r="BV53" s="164">
        <v>5918198</v>
      </c>
      <c r="BW53" s="164">
        <v>10332287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164">
        <v>0</v>
      </c>
      <c r="CF53" s="164">
        <v>0</v>
      </c>
      <c r="CG53" s="164">
        <v>0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0</v>
      </c>
      <c r="CN53" s="164">
        <v>1542547</v>
      </c>
      <c r="CO53" s="164">
        <v>1542547</v>
      </c>
      <c r="CP53" s="164">
        <v>0</v>
      </c>
      <c r="CQ53" s="164">
        <v>0</v>
      </c>
      <c r="CR53" s="164">
        <v>0</v>
      </c>
      <c r="CS53" s="164">
        <v>0</v>
      </c>
      <c r="CT53" s="164">
        <v>5468519</v>
      </c>
      <c r="CU53" s="164">
        <v>5468519</v>
      </c>
      <c r="CV53" s="164">
        <v>21242809</v>
      </c>
      <c r="CW53" s="164">
        <v>6370645</v>
      </c>
      <c r="CX53" s="164">
        <v>0</v>
      </c>
      <c r="CY53" s="164">
        <v>0</v>
      </c>
      <c r="CZ53" s="164">
        <v>998358</v>
      </c>
      <c r="DA53" s="164">
        <v>28611812</v>
      </c>
      <c r="DB53" s="164">
        <v>0</v>
      </c>
      <c r="DC53" s="164">
        <v>0</v>
      </c>
      <c r="DD53" s="164">
        <v>0</v>
      </c>
      <c r="DE53" s="164">
        <v>0</v>
      </c>
      <c r="DF53" s="164">
        <v>0</v>
      </c>
      <c r="DG53" s="164">
        <v>0</v>
      </c>
      <c r="DH53" s="164">
        <v>0</v>
      </c>
      <c r="DI53" s="164">
        <v>0</v>
      </c>
      <c r="DJ53" s="164">
        <v>0</v>
      </c>
      <c r="DK53" s="164">
        <v>0</v>
      </c>
      <c r="DL53" s="164">
        <v>2437910</v>
      </c>
      <c r="DM53" s="164">
        <v>2437910</v>
      </c>
      <c r="DN53" s="164">
        <v>0</v>
      </c>
      <c r="DO53" s="164">
        <v>0</v>
      </c>
      <c r="DP53" s="164">
        <v>0</v>
      </c>
      <c r="DQ53" s="164">
        <v>0</v>
      </c>
      <c r="DR53" s="164">
        <v>10098211</v>
      </c>
      <c r="DS53" s="164">
        <v>10098211</v>
      </c>
      <c r="DT53" s="164">
        <v>0</v>
      </c>
      <c r="DU53" s="164">
        <v>0</v>
      </c>
      <c r="DV53" s="164">
        <v>0</v>
      </c>
      <c r="DW53" s="164">
        <v>0</v>
      </c>
      <c r="DX53" s="164">
        <v>0</v>
      </c>
      <c r="DY53" s="164">
        <v>0</v>
      </c>
      <c r="DZ53" s="164">
        <v>2397701</v>
      </c>
      <c r="EA53" s="164">
        <v>375292</v>
      </c>
      <c r="EB53" s="164">
        <v>317356</v>
      </c>
      <c r="EC53" s="164">
        <v>5687298</v>
      </c>
      <c r="ED53" s="152">
        <v>33611</v>
      </c>
      <c r="EE53" s="164">
        <v>8811258</v>
      </c>
      <c r="EF53" s="164">
        <v>319981</v>
      </c>
      <c r="EG53" s="164">
        <v>0</v>
      </c>
      <c r="EH53" s="164">
        <v>0</v>
      </c>
      <c r="EI53" s="164">
        <v>26424</v>
      </c>
      <c r="EJ53" s="164">
        <v>9707025</v>
      </c>
      <c r="EK53" s="164">
        <v>10053430</v>
      </c>
      <c r="EL53" s="164">
        <v>39820826</v>
      </c>
      <c r="EM53" s="164">
        <v>13144910</v>
      </c>
      <c r="EN53" s="164">
        <v>647438</v>
      </c>
      <c r="EO53" s="164">
        <v>15212658</v>
      </c>
      <c r="EP53" s="164">
        <v>37350324</v>
      </c>
      <c r="EQ53" s="164">
        <v>106176156</v>
      </c>
      <c r="ER53" s="164">
        <v>2397701</v>
      </c>
      <c r="ES53" s="164">
        <v>375292</v>
      </c>
      <c r="ET53" s="164">
        <v>280056</v>
      </c>
      <c r="EU53" s="164">
        <v>5687298</v>
      </c>
      <c r="EV53" s="164">
        <v>1897760</v>
      </c>
      <c r="EW53" s="164">
        <v>10638107</v>
      </c>
      <c r="EX53" s="164">
        <v>4279293</v>
      </c>
      <c r="EY53" s="164">
        <v>1314000</v>
      </c>
      <c r="EZ53" s="164">
        <v>80000</v>
      </c>
      <c r="FA53" s="164">
        <v>1245586</v>
      </c>
      <c r="FB53" s="164">
        <v>459563</v>
      </c>
      <c r="FC53" s="164">
        <v>7378442</v>
      </c>
      <c r="FD53" s="164">
        <v>4414537</v>
      </c>
      <c r="FE53" s="164">
        <v>2225259</v>
      </c>
      <c r="FF53" s="164">
        <v>841742</v>
      </c>
      <c r="FG53" s="164">
        <v>4655638</v>
      </c>
      <c r="FH53" s="164">
        <v>0</v>
      </c>
      <c r="FI53" s="164">
        <v>12137176</v>
      </c>
      <c r="FJ53" s="164">
        <v>0</v>
      </c>
      <c r="FK53" s="164">
        <v>0</v>
      </c>
      <c r="FL53" s="164">
        <v>0</v>
      </c>
      <c r="FM53" s="164">
        <v>0</v>
      </c>
      <c r="FN53" s="164">
        <v>0</v>
      </c>
      <c r="FO53" s="164">
        <v>0</v>
      </c>
      <c r="FP53" s="164">
        <v>1462153</v>
      </c>
      <c r="FQ53" s="164">
        <v>200650</v>
      </c>
      <c r="FR53" s="164">
        <v>119660</v>
      </c>
      <c r="FS53" s="164">
        <v>630710</v>
      </c>
      <c r="FT53" s="164">
        <v>9599637</v>
      </c>
      <c r="FU53" s="164">
        <v>12012810</v>
      </c>
      <c r="FV53" s="164">
        <v>0</v>
      </c>
      <c r="FW53" s="164">
        <v>0</v>
      </c>
      <c r="FX53" s="164">
        <v>0</v>
      </c>
      <c r="FY53" s="164">
        <v>0</v>
      </c>
      <c r="FZ53" s="164">
        <v>0</v>
      </c>
      <c r="GA53" s="164">
        <v>0</v>
      </c>
      <c r="GB53" s="164">
        <v>0</v>
      </c>
      <c r="GC53" s="164">
        <v>2677470</v>
      </c>
      <c r="GD53" s="164">
        <v>524722</v>
      </c>
      <c r="GE53" s="164">
        <v>59111</v>
      </c>
      <c r="GF53" s="164">
        <v>45180</v>
      </c>
      <c r="GG53" s="164">
        <v>3306483</v>
      </c>
      <c r="GH53" s="164">
        <v>555755</v>
      </c>
      <c r="GI53" s="164">
        <v>359056</v>
      </c>
      <c r="GJ53" s="164">
        <v>118325</v>
      </c>
      <c r="GK53" s="164">
        <v>592512</v>
      </c>
      <c r="GL53" s="164">
        <v>0</v>
      </c>
      <c r="GM53" s="164">
        <v>1625648</v>
      </c>
      <c r="GN53" s="164">
        <v>3414850</v>
      </c>
      <c r="GO53" s="164">
        <v>1102522</v>
      </c>
      <c r="GP53" s="164">
        <v>548611</v>
      </c>
      <c r="GQ53" s="164">
        <v>3828135</v>
      </c>
      <c r="GR53" s="164">
        <v>1051836</v>
      </c>
      <c r="GS53" s="164">
        <v>9945954</v>
      </c>
      <c r="GT53" s="164">
        <v>1077068</v>
      </c>
      <c r="GU53" s="164">
        <v>227168</v>
      </c>
      <c r="GV53" s="164">
        <v>177928</v>
      </c>
      <c r="GW53" s="164">
        <v>1446821</v>
      </c>
      <c r="GX53" s="164">
        <v>0</v>
      </c>
      <c r="GY53" s="164">
        <v>2928985</v>
      </c>
      <c r="GZ53" s="164">
        <v>1914056</v>
      </c>
      <c r="HA53" s="164">
        <v>463412</v>
      </c>
      <c r="HB53" s="164">
        <v>246052</v>
      </c>
      <c r="HC53" s="164">
        <v>1503573</v>
      </c>
      <c r="HD53" s="164">
        <v>451653</v>
      </c>
      <c r="HE53" s="164">
        <v>4578746</v>
      </c>
      <c r="HF53" s="164">
        <v>0</v>
      </c>
      <c r="HG53" s="164">
        <v>0</v>
      </c>
      <c r="HH53" s="164">
        <v>0</v>
      </c>
      <c r="HI53" s="164">
        <v>0</v>
      </c>
      <c r="HJ53" s="164">
        <v>1768677</v>
      </c>
      <c r="HK53" s="164">
        <v>1768677</v>
      </c>
      <c r="HL53" s="164">
        <v>0</v>
      </c>
      <c r="HM53" s="164">
        <v>0</v>
      </c>
      <c r="HN53" s="164">
        <v>0</v>
      </c>
      <c r="HO53" s="164">
        <v>0</v>
      </c>
      <c r="HP53" s="164">
        <v>0</v>
      </c>
      <c r="HQ53" s="164">
        <v>0</v>
      </c>
      <c r="HR53" s="164">
        <v>5637886</v>
      </c>
      <c r="HS53" s="164">
        <v>764204</v>
      </c>
      <c r="HT53" s="164">
        <v>496546</v>
      </c>
      <c r="HU53" s="164">
        <v>4172798</v>
      </c>
      <c r="HV53" s="164">
        <v>5174355</v>
      </c>
      <c r="HW53" s="164">
        <v>16245789</v>
      </c>
      <c r="HX53" s="164">
        <v>0</v>
      </c>
      <c r="HY53" s="164">
        <v>0</v>
      </c>
      <c r="HZ53" s="164">
        <v>0</v>
      </c>
      <c r="IA53" s="164">
        <v>0</v>
      </c>
      <c r="IB53" s="164">
        <v>619737</v>
      </c>
      <c r="IC53" s="164">
        <v>619737</v>
      </c>
      <c r="ID53" s="164">
        <v>0</v>
      </c>
      <c r="IE53" s="164">
        <v>0</v>
      </c>
      <c r="IF53" s="164">
        <v>0</v>
      </c>
      <c r="IG53" s="164">
        <v>0</v>
      </c>
      <c r="IH53" s="164">
        <v>5468519</v>
      </c>
      <c r="II53" s="164">
        <v>5468519</v>
      </c>
      <c r="IJ53" s="164">
        <v>0</v>
      </c>
      <c r="IK53" s="164">
        <v>0</v>
      </c>
      <c r="IL53" s="164">
        <v>0</v>
      </c>
      <c r="IM53" s="164">
        <v>0</v>
      </c>
      <c r="IN53" s="164">
        <v>905093</v>
      </c>
      <c r="IO53" s="164">
        <v>905093</v>
      </c>
      <c r="IP53" s="164">
        <v>0</v>
      </c>
      <c r="IQ53" s="164">
        <v>0</v>
      </c>
      <c r="IR53" s="164">
        <v>0</v>
      </c>
      <c r="IS53" s="164">
        <v>0</v>
      </c>
      <c r="IT53" s="164">
        <v>146184</v>
      </c>
      <c r="IU53" s="164">
        <v>146184</v>
      </c>
      <c r="IV53" s="164">
        <v>2603354</v>
      </c>
      <c r="IW53" s="164">
        <v>1308344</v>
      </c>
      <c r="IX53" s="164">
        <v>531458</v>
      </c>
      <c r="IY53" s="164">
        <v>2665238</v>
      </c>
      <c r="IZ53" s="164">
        <v>9361412</v>
      </c>
      <c r="JA53" s="164">
        <v>16469806</v>
      </c>
      <c r="JB53" s="164">
        <v>27756653</v>
      </c>
      <c r="JC53" s="164">
        <v>11017377</v>
      </c>
      <c r="JD53" s="164">
        <v>3965100</v>
      </c>
      <c r="JE53" s="164">
        <v>26487420</v>
      </c>
      <c r="JF53" s="164">
        <v>36949606</v>
      </c>
      <c r="JG53" s="164">
        <v>106176156</v>
      </c>
      <c r="JH53" s="164">
        <v>0</v>
      </c>
      <c r="JI53" s="152">
        <v>0</v>
      </c>
      <c r="JJ53" s="164">
        <v>0</v>
      </c>
      <c r="JK53" s="164">
        <v>0</v>
      </c>
      <c r="JL53" s="164">
        <v>0</v>
      </c>
      <c r="JM53" s="164">
        <v>0</v>
      </c>
      <c r="JN53" s="164">
        <v>27756653</v>
      </c>
      <c r="JO53" s="164">
        <v>11017377</v>
      </c>
      <c r="JP53" s="164">
        <v>3965100</v>
      </c>
      <c r="JQ53" s="164">
        <v>26487420</v>
      </c>
      <c r="JR53" s="164">
        <v>36949606</v>
      </c>
      <c r="JS53" s="164">
        <v>106176156</v>
      </c>
      <c r="JU53" s="70">
        <f t="shared" si="80"/>
        <v>28495612</v>
      </c>
      <c r="JV53" s="70">
        <f t="shared" si="81"/>
        <v>0</v>
      </c>
      <c r="JW53" s="70">
        <f t="shared" si="82"/>
        <v>0</v>
      </c>
      <c r="JX53" s="70">
        <f t="shared" si="83"/>
        <v>0</v>
      </c>
      <c r="JY53" s="70">
        <f t="shared" si="84"/>
        <v>324570</v>
      </c>
      <c r="JZ53" s="70">
        <f t="shared" si="85"/>
        <v>0</v>
      </c>
      <c r="KA53" s="70">
        <f t="shared" si="86"/>
        <v>10332287</v>
      </c>
      <c r="KB53" s="70">
        <f t="shared" si="87"/>
        <v>0</v>
      </c>
      <c r="KC53" s="70">
        <f t="shared" si="88"/>
        <v>0</v>
      </c>
      <c r="KD53" s="70">
        <f t="shared" si="89"/>
        <v>0</v>
      </c>
      <c r="KE53" s="70">
        <f t="shared" si="90"/>
        <v>0</v>
      </c>
      <c r="KF53" s="70">
        <f t="shared" si="91"/>
        <v>0</v>
      </c>
      <c r="KG53" s="70">
        <f t="shared" si="92"/>
        <v>1542547</v>
      </c>
      <c r="KH53" s="70">
        <f t="shared" si="93"/>
        <v>0</v>
      </c>
      <c r="KI53" s="70">
        <f t="shared" si="94"/>
        <v>5468519</v>
      </c>
      <c r="KJ53" s="70">
        <f t="shared" si="95"/>
        <v>0</v>
      </c>
      <c r="KK53" s="70">
        <f t="shared" si="96"/>
        <v>28611812</v>
      </c>
      <c r="KL53" s="70">
        <f t="shared" si="97"/>
        <v>0</v>
      </c>
      <c r="KM53" s="70">
        <f t="shared" si="98"/>
        <v>0</v>
      </c>
      <c r="KN53" s="70">
        <f t="shared" si="99"/>
        <v>0</v>
      </c>
      <c r="KO53" s="70">
        <f t="shared" si="100"/>
        <v>2437910</v>
      </c>
      <c r="KP53" s="70">
        <f t="shared" si="101"/>
        <v>0</v>
      </c>
      <c r="KQ53" s="70">
        <f t="shared" si="102"/>
        <v>10098211</v>
      </c>
      <c r="KR53" s="70">
        <f t="shared" si="103"/>
        <v>0</v>
      </c>
      <c r="KS53" s="70">
        <f t="shared" si="104"/>
        <v>0</v>
      </c>
      <c r="KT53" s="70">
        <f t="shared" si="105"/>
        <v>0</v>
      </c>
      <c r="KU53" s="70">
        <f t="shared" si="106"/>
        <v>8811258</v>
      </c>
      <c r="KV53" s="70">
        <f t="shared" si="107"/>
        <v>0</v>
      </c>
      <c r="KW53" s="70">
        <f t="shared" si="108"/>
        <v>10053430</v>
      </c>
      <c r="KX53" s="70">
        <f t="shared" si="109"/>
        <v>0</v>
      </c>
      <c r="KY53" s="70">
        <f t="shared" si="110"/>
        <v>106176156</v>
      </c>
      <c r="KZ53" s="70">
        <f t="shared" si="111"/>
        <v>0</v>
      </c>
      <c r="LA53" s="70">
        <f t="shared" si="150"/>
        <v>10638107</v>
      </c>
      <c r="LB53" s="70">
        <f t="shared" si="112"/>
        <v>0</v>
      </c>
      <c r="LC53" s="70">
        <f t="shared" si="113"/>
        <v>7378442</v>
      </c>
      <c r="LD53" s="70">
        <f t="shared" si="114"/>
        <v>0</v>
      </c>
      <c r="LE53" s="70">
        <f t="shared" si="115"/>
        <v>12137176</v>
      </c>
      <c r="LF53" s="70">
        <f t="shared" si="116"/>
        <v>0</v>
      </c>
      <c r="LG53" s="70">
        <f t="shared" si="155"/>
        <v>0</v>
      </c>
      <c r="LH53" s="70">
        <f t="shared" si="156"/>
        <v>0</v>
      </c>
      <c r="LI53" s="70">
        <f t="shared" si="151"/>
        <v>12012810</v>
      </c>
      <c r="LJ53" s="70">
        <f t="shared" si="152"/>
        <v>0</v>
      </c>
      <c r="LK53" s="70">
        <f t="shared" si="153"/>
        <v>0</v>
      </c>
      <c r="LL53" s="70">
        <f t="shared" si="154"/>
        <v>0</v>
      </c>
      <c r="LM53" s="70">
        <f t="shared" si="117"/>
        <v>3306483</v>
      </c>
      <c r="LN53" s="70">
        <f t="shared" si="118"/>
        <v>0</v>
      </c>
      <c r="LO53" s="70">
        <f t="shared" si="119"/>
        <v>1625648</v>
      </c>
      <c r="LP53" s="70">
        <f t="shared" si="120"/>
        <v>0</v>
      </c>
      <c r="LQ53" s="70">
        <f t="shared" si="121"/>
        <v>9945954</v>
      </c>
      <c r="LR53" s="70">
        <f t="shared" si="122"/>
        <v>0</v>
      </c>
      <c r="LS53" s="70">
        <f t="shared" si="123"/>
        <v>2928985</v>
      </c>
      <c r="LT53" s="70">
        <f t="shared" si="124"/>
        <v>0</v>
      </c>
      <c r="LU53" s="70">
        <f t="shared" si="125"/>
        <v>4578746</v>
      </c>
      <c r="LV53" s="70">
        <f t="shared" si="126"/>
        <v>0</v>
      </c>
      <c r="LW53" s="70">
        <f t="shared" si="127"/>
        <v>1768677</v>
      </c>
      <c r="LX53" s="70">
        <f t="shared" si="128"/>
        <v>0</v>
      </c>
      <c r="LY53" s="70">
        <f t="shared" si="129"/>
        <v>0</v>
      </c>
      <c r="LZ53" s="70">
        <f t="shared" si="130"/>
        <v>0</v>
      </c>
      <c r="MA53" s="70">
        <f t="shared" si="131"/>
        <v>16245789</v>
      </c>
      <c r="MB53" s="70">
        <f t="shared" si="132"/>
        <v>0</v>
      </c>
      <c r="MC53" s="70">
        <f t="shared" si="133"/>
        <v>619737</v>
      </c>
      <c r="MD53" s="70">
        <f t="shared" si="134"/>
        <v>0</v>
      </c>
      <c r="ME53" s="70">
        <f t="shared" si="135"/>
        <v>5468519</v>
      </c>
      <c r="MF53" s="70">
        <f t="shared" si="136"/>
        <v>0</v>
      </c>
      <c r="MG53" s="70">
        <f t="shared" si="137"/>
        <v>905093</v>
      </c>
      <c r="MH53" s="70">
        <f t="shared" si="138"/>
        <v>0</v>
      </c>
      <c r="MI53" s="70">
        <f t="shared" si="139"/>
        <v>146184</v>
      </c>
      <c r="MJ53" s="70">
        <f t="shared" si="140"/>
        <v>0</v>
      </c>
      <c r="MK53" s="70">
        <f t="shared" si="141"/>
        <v>16469806</v>
      </c>
      <c r="ML53" s="70">
        <f t="shared" si="142"/>
        <v>0</v>
      </c>
      <c r="MM53" s="70">
        <f t="shared" si="143"/>
        <v>106176156</v>
      </c>
      <c r="MN53" s="70">
        <f t="shared" si="144"/>
        <v>0</v>
      </c>
      <c r="MO53" s="70">
        <f t="shared" si="145"/>
        <v>0</v>
      </c>
      <c r="MP53" s="70">
        <f t="shared" si="146"/>
        <v>0</v>
      </c>
      <c r="MQ53" s="70">
        <f t="shared" si="147"/>
        <v>106176156</v>
      </c>
      <c r="MR53" s="70">
        <f t="shared" si="148"/>
        <v>0</v>
      </c>
      <c r="MT53" s="70">
        <f t="shared" si="149"/>
        <v>0</v>
      </c>
      <c r="MV53" s="68">
        <f t="shared" si="77"/>
        <v>0</v>
      </c>
    </row>
    <row r="54" spans="1:360" x14ac:dyDescent="0.15">
      <c r="A54" s="182" t="s">
        <v>328</v>
      </c>
      <c r="B54" s="76" t="s">
        <v>425</v>
      </c>
      <c r="C54" s="90">
        <v>176017</v>
      </c>
      <c r="D54" s="90">
        <v>2014</v>
      </c>
      <c r="E54" s="90">
        <v>1</v>
      </c>
      <c r="F54" s="91">
        <v>5</v>
      </c>
      <c r="G54" s="92">
        <v>7513</v>
      </c>
      <c r="H54" s="97">
        <v>9164</v>
      </c>
      <c r="I54" s="93">
        <v>550898147</v>
      </c>
      <c r="J54" s="93">
        <v>502279651</v>
      </c>
      <c r="K54" s="93">
        <v>7237559</v>
      </c>
      <c r="L54" s="93">
        <v>5096076</v>
      </c>
      <c r="M54" s="93">
        <v>12765151</v>
      </c>
      <c r="N54" s="93">
        <v>14881556</v>
      </c>
      <c r="O54" s="93">
        <v>62911862</v>
      </c>
      <c r="P54" s="93">
        <v>64293179</v>
      </c>
      <c r="Q54" s="93">
        <v>145100568</v>
      </c>
      <c r="R54" s="93">
        <v>137986487</v>
      </c>
      <c r="S54" s="93">
        <v>417576162</v>
      </c>
      <c r="T54" s="93">
        <v>394848833</v>
      </c>
      <c r="U54" s="93">
        <v>17426</v>
      </c>
      <c r="V54" s="93">
        <v>16682</v>
      </c>
      <c r="W54" s="93">
        <v>28094</v>
      </c>
      <c r="X54" s="93">
        <v>26666</v>
      </c>
      <c r="Y54" s="93">
        <v>22444</v>
      </c>
      <c r="Z54" s="93">
        <v>21802</v>
      </c>
      <c r="AA54" s="93">
        <v>33412</v>
      </c>
      <c r="AB54" s="93">
        <v>31786</v>
      </c>
      <c r="AC54" s="114">
        <v>8</v>
      </c>
      <c r="AD54" s="114">
        <v>10</v>
      </c>
      <c r="AE54" s="114">
        <v>0</v>
      </c>
      <c r="AF54" s="115">
        <v>4188323</v>
      </c>
      <c r="AG54" s="115">
        <v>3034866</v>
      </c>
      <c r="AH54" s="115">
        <v>874951</v>
      </c>
      <c r="AI54" s="115">
        <v>427549</v>
      </c>
      <c r="AJ54" s="115">
        <v>1117474</v>
      </c>
      <c r="AK54" s="116">
        <v>5.5</v>
      </c>
      <c r="AL54" s="115">
        <v>1024351</v>
      </c>
      <c r="AM54" s="116">
        <v>6</v>
      </c>
      <c r="AN54" s="123">
        <v>208317</v>
      </c>
      <c r="AO54" s="124">
        <v>7.5</v>
      </c>
      <c r="AP54" s="123">
        <v>195298</v>
      </c>
      <c r="AQ54" s="124">
        <v>8</v>
      </c>
      <c r="AR54" s="123">
        <v>251274</v>
      </c>
      <c r="AS54" s="124">
        <v>18</v>
      </c>
      <c r="AT54" s="123">
        <v>226146</v>
      </c>
      <c r="AU54" s="124">
        <v>20</v>
      </c>
      <c r="AV54" s="123">
        <v>99749</v>
      </c>
      <c r="AW54" s="124">
        <v>14</v>
      </c>
      <c r="AX54" s="123">
        <v>87280</v>
      </c>
      <c r="AY54" s="124">
        <v>16</v>
      </c>
      <c r="AZ54" s="139">
        <v>15281541</v>
      </c>
      <c r="BA54" s="139">
        <v>1072988</v>
      </c>
      <c r="BB54" s="164">
        <v>11668</v>
      </c>
      <c r="BC54" s="164">
        <v>914718</v>
      </c>
      <c r="BD54" s="139">
        <v>0</v>
      </c>
      <c r="BE54" s="139">
        <v>17280915</v>
      </c>
      <c r="BF54" s="139">
        <v>0</v>
      </c>
      <c r="BG54" s="139">
        <v>0</v>
      </c>
      <c r="BH54" s="139">
        <v>0</v>
      </c>
      <c r="BI54" s="139">
        <v>0</v>
      </c>
      <c r="BJ54" s="139">
        <v>1911778</v>
      </c>
      <c r="BK54" s="139">
        <v>1911778</v>
      </c>
      <c r="BL54" s="165">
        <v>400000</v>
      </c>
      <c r="BM54" s="165">
        <v>0</v>
      </c>
      <c r="BN54" s="165">
        <v>0</v>
      </c>
      <c r="BO54" s="165">
        <v>42500</v>
      </c>
      <c r="BP54" s="165">
        <v>0</v>
      </c>
      <c r="BQ54" s="165">
        <v>442500</v>
      </c>
      <c r="BR54" s="165">
        <v>11586202</v>
      </c>
      <c r="BS54" s="165">
        <v>928296</v>
      </c>
      <c r="BT54" s="165">
        <v>26700</v>
      </c>
      <c r="BU54" s="165">
        <v>1906065</v>
      </c>
      <c r="BV54" s="165">
        <v>1451494</v>
      </c>
      <c r="BW54" s="165">
        <v>15898757</v>
      </c>
      <c r="BX54" s="165">
        <v>51250</v>
      </c>
      <c r="BY54" s="165">
        <v>17500</v>
      </c>
      <c r="BZ54" s="165">
        <v>17500</v>
      </c>
      <c r="CA54" s="165">
        <v>58750</v>
      </c>
      <c r="CB54" s="165">
        <v>59000</v>
      </c>
      <c r="CC54" s="165">
        <v>204000</v>
      </c>
      <c r="CD54" s="165">
        <v>0</v>
      </c>
      <c r="CE54" s="165">
        <v>0</v>
      </c>
      <c r="CF54" s="165">
        <v>0</v>
      </c>
      <c r="CG54" s="165">
        <v>0</v>
      </c>
      <c r="CH54" s="165">
        <v>0</v>
      </c>
      <c r="CI54" s="165">
        <v>0</v>
      </c>
      <c r="CJ54" s="165">
        <v>0</v>
      </c>
      <c r="CK54" s="165">
        <v>0</v>
      </c>
      <c r="CL54" s="165">
        <v>0</v>
      </c>
      <c r="CM54" s="165">
        <v>0</v>
      </c>
      <c r="CN54" s="165">
        <v>1974645</v>
      </c>
      <c r="CO54" s="165">
        <v>1974645</v>
      </c>
      <c r="CP54" s="165">
        <v>0</v>
      </c>
      <c r="CQ54" s="165">
        <v>0</v>
      </c>
      <c r="CR54" s="165">
        <v>0</v>
      </c>
      <c r="CS54" s="165">
        <v>0</v>
      </c>
      <c r="CT54" s="165">
        <v>0</v>
      </c>
      <c r="CU54" s="165">
        <v>0</v>
      </c>
      <c r="CV54" s="165">
        <v>15007632</v>
      </c>
      <c r="CW54" s="165">
        <v>5172149</v>
      </c>
      <c r="CX54" s="165">
        <v>3045</v>
      </c>
      <c r="CY54" s="165">
        <v>216641</v>
      </c>
      <c r="CZ54" s="165">
        <v>2066520</v>
      </c>
      <c r="DA54" s="165">
        <v>22465987</v>
      </c>
      <c r="DB54" s="165">
        <v>0</v>
      </c>
      <c r="DC54" s="165">
        <v>0</v>
      </c>
      <c r="DD54" s="165">
        <v>0</v>
      </c>
      <c r="DE54" s="165">
        <v>0</v>
      </c>
      <c r="DF54" s="165">
        <v>2623230</v>
      </c>
      <c r="DG54" s="165">
        <v>2623230</v>
      </c>
      <c r="DH54" s="165">
        <v>1093480</v>
      </c>
      <c r="DI54" s="165">
        <v>97514</v>
      </c>
      <c r="DJ54" s="165">
        <v>12458</v>
      </c>
      <c r="DK54" s="165">
        <v>245804</v>
      </c>
      <c r="DL54" s="165">
        <v>87840</v>
      </c>
      <c r="DM54" s="165">
        <v>1537096</v>
      </c>
      <c r="DN54" s="165">
        <v>0</v>
      </c>
      <c r="DO54" s="165">
        <v>0</v>
      </c>
      <c r="DP54" s="165">
        <v>0</v>
      </c>
      <c r="DQ54" s="165">
        <v>0</v>
      </c>
      <c r="DR54" s="165">
        <v>4857343</v>
      </c>
      <c r="DS54" s="165">
        <v>4857343</v>
      </c>
      <c r="DT54" s="165">
        <v>337334</v>
      </c>
      <c r="DU54" s="165">
        <v>83815</v>
      </c>
      <c r="DV54" s="165">
        <v>30319</v>
      </c>
      <c r="DW54" s="165">
        <v>643567</v>
      </c>
      <c r="DX54" s="165">
        <v>104063</v>
      </c>
      <c r="DY54" s="165">
        <v>1199098</v>
      </c>
      <c r="DZ54" s="165">
        <v>155800</v>
      </c>
      <c r="EA54" s="165">
        <v>0</v>
      </c>
      <c r="EB54" s="165">
        <v>27647</v>
      </c>
      <c r="EC54" s="165">
        <v>162577</v>
      </c>
      <c r="ED54" s="165">
        <v>438027</v>
      </c>
      <c r="EE54" s="165">
        <v>784051</v>
      </c>
      <c r="EF54" s="165">
        <v>374138</v>
      </c>
      <c r="EG54" s="165">
        <v>43705</v>
      </c>
      <c r="EH54" s="165">
        <v>1208</v>
      </c>
      <c r="EI54" s="165">
        <v>44946</v>
      </c>
      <c r="EJ54" s="165">
        <v>4205603</v>
      </c>
      <c r="EK54" s="165">
        <v>4669600</v>
      </c>
      <c r="EL54" s="165">
        <v>44287377</v>
      </c>
      <c r="EM54" s="165">
        <v>7415967</v>
      </c>
      <c r="EN54" s="165">
        <v>130545</v>
      </c>
      <c r="EO54" s="165">
        <v>4235568</v>
      </c>
      <c r="EP54" s="165">
        <v>19779543</v>
      </c>
      <c r="EQ54" s="165">
        <v>75849000</v>
      </c>
      <c r="ER54" s="165">
        <v>2575669</v>
      </c>
      <c r="ES54" s="165">
        <v>491209</v>
      </c>
      <c r="ET54" s="165">
        <v>459803</v>
      </c>
      <c r="EU54" s="165">
        <v>3696508</v>
      </c>
      <c r="EV54" s="165">
        <v>503309</v>
      </c>
      <c r="EW54" s="165">
        <v>7726498</v>
      </c>
      <c r="EX54" s="165">
        <v>2100000</v>
      </c>
      <c r="EY54" s="165">
        <v>391000</v>
      </c>
      <c r="EZ54" s="165">
        <v>122400</v>
      </c>
      <c r="FA54" s="165">
        <v>66336</v>
      </c>
      <c r="FB54" s="165">
        <v>0</v>
      </c>
      <c r="FC54" s="165">
        <v>2679736</v>
      </c>
      <c r="FD54" s="165">
        <v>6075696</v>
      </c>
      <c r="FE54" s="165">
        <v>2582629</v>
      </c>
      <c r="FF54" s="165">
        <v>977869</v>
      </c>
      <c r="FG54" s="165">
        <v>3991698</v>
      </c>
      <c r="FH54" s="165">
        <v>0</v>
      </c>
      <c r="FI54" s="165">
        <v>13627892</v>
      </c>
      <c r="FJ54" s="165">
        <v>27500</v>
      </c>
      <c r="FK54" s="165">
        <v>12500</v>
      </c>
      <c r="FL54" s="165">
        <v>12500</v>
      </c>
      <c r="FM54" s="165">
        <v>49500</v>
      </c>
      <c r="FN54" s="165">
        <v>0</v>
      </c>
      <c r="FO54" s="165">
        <v>102000</v>
      </c>
      <c r="FP54" s="165">
        <v>2170676</v>
      </c>
      <c r="FQ54" s="165">
        <v>355500</v>
      </c>
      <c r="FR54" s="165">
        <v>340763</v>
      </c>
      <c r="FS54" s="165">
        <v>908659</v>
      </c>
      <c r="FT54" s="165">
        <v>8983162</v>
      </c>
      <c r="FU54" s="165">
        <v>12758760</v>
      </c>
      <c r="FV54" s="165">
        <v>23750</v>
      </c>
      <c r="FW54" s="165">
        <v>5000</v>
      </c>
      <c r="FX54" s="165">
        <v>5000</v>
      </c>
      <c r="FY54" s="165">
        <v>9250</v>
      </c>
      <c r="FZ54" s="165">
        <v>59000</v>
      </c>
      <c r="GA54" s="165">
        <v>102000</v>
      </c>
      <c r="GB54" s="165">
        <v>474804</v>
      </c>
      <c r="GC54" s="165">
        <v>0</v>
      </c>
      <c r="GD54" s="165">
        <v>196079</v>
      </c>
      <c r="GE54" s="165">
        <v>18898</v>
      </c>
      <c r="GF54" s="165">
        <v>170993</v>
      </c>
      <c r="GG54" s="165">
        <v>860774</v>
      </c>
      <c r="GH54" s="165">
        <v>550763</v>
      </c>
      <c r="GI54" s="165">
        <v>162689</v>
      </c>
      <c r="GJ54" s="165">
        <v>164603</v>
      </c>
      <c r="GK54" s="165">
        <v>424445</v>
      </c>
      <c r="GL54" s="165">
        <v>0</v>
      </c>
      <c r="GM54" s="165">
        <v>1302500</v>
      </c>
      <c r="GN54" s="165">
        <v>1881018</v>
      </c>
      <c r="GO54" s="165">
        <v>769630</v>
      </c>
      <c r="GP54" s="165">
        <v>444160</v>
      </c>
      <c r="GQ54" s="165">
        <v>2285203</v>
      </c>
      <c r="GR54" s="165">
        <v>0</v>
      </c>
      <c r="GS54" s="165">
        <v>5380011</v>
      </c>
      <c r="GT54" s="165">
        <v>1351480</v>
      </c>
      <c r="GU54" s="165">
        <v>185725</v>
      </c>
      <c r="GV54" s="165">
        <v>138039</v>
      </c>
      <c r="GW54" s="165">
        <v>1454317</v>
      </c>
      <c r="GX54" s="165">
        <v>0</v>
      </c>
      <c r="GY54" s="165">
        <v>3129561</v>
      </c>
      <c r="GZ54" s="165">
        <v>2360310</v>
      </c>
      <c r="HA54" s="165">
        <v>299427</v>
      </c>
      <c r="HB54" s="165">
        <v>210407</v>
      </c>
      <c r="HC54" s="165">
        <v>977154</v>
      </c>
      <c r="HD54" s="165">
        <v>95575</v>
      </c>
      <c r="HE54" s="165">
        <v>3942873</v>
      </c>
      <c r="HF54" s="165">
        <v>210632</v>
      </c>
      <c r="HG54" s="165">
        <v>108872</v>
      </c>
      <c r="HH54" s="165">
        <v>81450</v>
      </c>
      <c r="HI54" s="165">
        <v>174458</v>
      </c>
      <c r="HJ54" s="165">
        <v>2063976</v>
      </c>
      <c r="HK54" s="165">
        <v>2639388</v>
      </c>
      <c r="HL54" s="165">
        <v>146520</v>
      </c>
      <c r="HM54" s="165">
        <v>64107</v>
      </c>
      <c r="HN54" s="165">
        <v>17969</v>
      </c>
      <c r="HO54" s="165">
        <v>337920</v>
      </c>
      <c r="HP54" s="165">
        <v>75660</v>
      </c>
      <c r="HQ54" s="165">
        <v>642176</v>
      </c>
      <c r="HR54" s="165">
        <v>4560691</v>
      </c>
      <c r="HS54" s="165">
        <v>233868</v>
      </c>
      <c r="HT54" s="165">
        <v>158530</v>
      </c>
      <c r="HU54" s="165">
        <v>1135604</v>
      </c>
      <c r="HV54" s="165">
        <v>3532696</v>
      </c>
      <c r="HW54" s="165">
        <v>9621389</v>
      </c>
      <c r="HX54" s="165">
        <v>127603</v>
      </c>
      <c r="HY54" s="165">
        <v>19349</v>
      </c>
      <c r="HZ54" s="165">
        <v>5270</v>
      </c>
      <c r="IA54" s="165">
        <v>2668</v>
      </c>
      <c r="IB54" s="165">
        <v>219989</v>
      </c>
      <c r="IC54" s="165">
        <v>374879</v>
      </c>
      <c r="ID54" s="165">
        <v>0</v>
      </c>
      <c r="IE54" s="165">
        <v>0</v>
      </c>
      <c r="IF54" s="165">
        <v>0</v>
      </c>
      <c r="IG54" s="165">
        <v>0</v>
      </c>
      <c r="IH54" s="165">
        <v>0</v>
      </c>
      <c r="II54" s="165">
        <v>0</v>
      </c>
      <c r="IJ54" s="165">
        <v>229863</v>
      </c>
      <c r="IK54" s="164">
        <v>30099</v>
      </c>
      <c r="IL54" s="165">
        <v>27314</v>
      </c>
      <c r="IM54" s="165">
        <v>626941</v>
      </c>
      <c r="IN54" s="165">
        <v>16260</v>
      </c>
      <c r="IO54" s="165">
        <v>930477</v>
      </c>
      <c r="IP54" s="165">
        <v>0</v>
      </c>
      <c r="IQ54" s="165">
        <v>0</v>
      </c>
      <c r="IR54" s="165">
        <v>885</v>
      </c>
      <c r="IS54" s="165">
        <v>5119</v>
      </c>
      <c r="IT54" s="165">
        <v>43225</v>
      </c>
      <c r="IU54" s="165">
        <v>49229</v>
      </c>
      <c r="IV54" s="165">
        <v>2489475</v>
      </c>
      <c r="IW54" s="165">
        <v>244869</v>
      </c>
      <c r="IX54" s="165">
        <v>118169</v>
      </c>
      <c r="IY54" s="165">
        <v>804991</v>
      </c>
      <c r="IZ54" s="165">
        <v>3765849</v>
      </c>
      <c r="JA54" s="165">
        <v>7423353</v>
      </c>
      <c r="JB54" s="165">
        <v>27356450</v>
      </c>
      <c r="JC54" s="165">
        <v>5956473</v>
      </c>
      <c r="JD54" s="165">
        <v>3481210</v>
      </c>
      <c r="JE54" s="165">
        <v>16969669</v>
      </c>
      <c r="JF54" s="165">
        <v>19529694</v>
      </c>
      <c r="JG54" s="165">
        <v>73293496</v>
      </c>
      <c r="JH54" s="165">
        <v>0</v>
      </c>
      <c r="JI54" s="165">
        <v>0</v>
      </c>
      <c r="JJ54" s="165">
        <v>0</v>
      </c>
      <c r="JK54" s="165">
        <v>0</v>
      </c>
      <c r="JL54" s="165">
        <v>1900735</v>
      </c>
      <c r="JM54" s="165">
        <v>1900735</v>
      </c>
      <c r="JN54" s="165">
        <v>27356450</v>
      </c>
      <c r="JO54" s="165">
        <v>5956473</v>
      </c>
      <c r="JP54" s="165">
        <v>3481210</v>
      </c>
      <c r="JQ54" s="165">
        <v>16969669</v>
      </c>
      <c r="JR54" s="165">
        <v>21430429</v>
      </c>
      <c r="JS54" s="165">
        <v>75194231</v>
      </c>
      <c r="JU54" s="70">
        <f t="shared" si="80"/>
        <v>17280915</v>
      </c>
      <c r="JV54" s="70">
        <f t="shared" si="81"/>
        <v>0</v>
      </c>
      <c r="JW54" s="70">
        <f t="shared" si="82"/>
        <v>1911778</v>
      </c>
      <c r="JX54" s="70">
        <f t="shared" si="83"/>
        <v>0</v>
      </c>
      <c r="JY54" s="70">
        <f t="shared" si="84"/>
        <v>442500</v>
      </c>
      <c r="JZ54" s="70">
        <f t="shared" si="85"/>
        <v>0</v>
      </c>
      <c r="KA54" s="70">
        <f t="shared" si="86"/>
        <v>15898757</v>
      </c>
      <c r="KB54" s="70">
        <f t="shared" si="87"/>
        <v>0</v>
      </c>
      <c r="KC54" s="70">
        <f t="shared" si="88"/>
        <v>204000</v>
      </c>
      <c r="KD54" s="70">
        <f t="shared" si="89"/>
        <v>0</v>
      </c>
      <c r="KE54" s="70">
        <f t="shared" si="90"/>
        <v>0</v>
      </c>
      <c r="KF54" s="70">
        <f t="shared" si="91"/>
        <v>0</v>
      </c>
      <c r="KG54" s="70">
        <f t="shared" si="92"/>
        <v>1974645</v>
      </c>
      <c r="KH54" s="70">
        <f t="shared" si="93"/>
        <v>0</v>
      </c>
      <c r="KI54" s="70">
        <f t="shared" si="94"/>
        <v>0</v>
      </c>
      <c r="KJ54" s="70">
        <f t="shared" si="95"/>
        <v>0</v>
      </c>
      <c r="KK54" s="70">
        <f t="shared" si="96"/>
        <v>22465987</v>
      </c>
      <c r="KL54" s="70">
        <f t="shared" si="97"/>
        <v>0</v>
      </c>
      <c r="KM54" s="70">
        <f t="shared" si="98"/>
        <v>2623230</v>
      </c>
      <c r="KN54" s="70">
        <f t="shared" si="99"/>
        <v>0</v>
      </c>
      <c r="KO54" s="70">
        <f t="shared" si="100"/>
        <v>1537096</v>
      </c>
      <c r="KP54" s="70">
        <f t="shared" si="101"/>
        <v>0</v>
      </c>
      <c r="KQ54" s="70">
        <f t="shared" si="102"/>
        <v>4857343</v>
      </c>
      <c r="KR54" s="70">
        <f t="shared" si="103"/>
        <v>0</v>
      </c>
      <c r="KS54" s="70">
        <f t="shared" si="104"/>
        <v>1199098</v>
      </c>
      <c r="KT54" s="70">
        <f t="shared" si="105"/>
        <v>0</v>
      </c>
      <c r="KU54" s="70">
        <f t="shared" si="106"/>
        <v>784051</v>
      </c>
      <c r="KV54" s="70">
        <f t="shared" si="107"/>
        <v>0</v>
      </c>
      <c r="KW54" s="70">
        <f t="shared" si="108"/>
        <v>4669600</v>
      </c>
      <c r="KX54" s="70">
        <f t="shared" si="109"/>
        <v>0</v>
      </c>
      <c r="KY54" s="70">
        <f t="shared" si="110"/>
        <v>75849000</v>
      </c>
      <c r="KZ54" s="70">
        <f t="shared" si="111"/>
        <v>0</v>
      </c>
      <c r="LA54" s="70">
        <f t="shared" si="150"/>
        <v>7726498</v>
      </c>
      <c r="LB54" s="70">
        <f t="shared" si="112"/>
        <v>0</v>
      </c>
      <c r="LC54" s="70">
        <f t="shared" si="113"/>
        <v>2679736</v>
      </c>
      <c r="LD54" s="70">
        <f t="shared" si="114"/>
        <v>0</v>
      </c>
      <c r="LE54" s="70">
        <f t="shared" si="115"/>
        <v>13627892</v>
      </c>
      <c r="LF54" s="70">
        <f t="shared" si="116"/>
        <v>0</v>
      </c>
      <c r="LG54" s="70">
        <f t="shared" si="155"/>
        <v>102000</v>
      </c>
      <c r="LH54" s="70">
        <f t="shared" si="156"/>
        <v>0</v>
      </c>
      <c r="LI54" s="70">
        <f t="shared" si="151"/>
        <v>12758760</v>
      </c>
      <c r="LJ54" s="70">
        <f t="shared" si="152"/>
        <v>0</v>
      </c>
      <c r="LK54" s="70">
        <f t="shared" si="153"/>
        <v>102000</v>
      </c>
      <c r="LL54" s="70">
        <f t="shared" si="154"/>
        <v>0</v>
      </c>
      <c r="LM54" s="70">
        <f t="shared" si="117"/>
        <v>860774</v>
      </c>
      <c r="LN54" s="70">
        <f t="shared" si="118"/>
        <v>0</v>
      </c>
      <c r="LO54" s="70">
        <f t="shared" si="119"/>
        <v>1302500</v>
      </c>
      <c r="LP54" s="70">
        <f t="shared" si="120"/>
        <v>0</v>
      </c>
      <c r="LQ54" s="70">
        <f t="shared" si="121"/>
        <v>5380011</v>
      </c>
      <c r="LR54" s="70">
        <f t="shared" si="122"/>
        <v>0</v>
      </c>
      <c r="LS54" s="70">
        <f t="shared" si="123"/>
        <v>3129561</v>
      </c>
      <c r="LT54" s="70">
        <f t="shared" si="124"/>
        <v>0</v>
      </c>
      <c r="LU54" s="70">
        <f t="shared" si="125"/>
        <v>3942873</v>
      </c>
      <c r="LV54" s="70">
        <f t="shared" si="126"/>
        <v>0</v>
      </c>
      <c r="LW54" s="70">
        <f t="shared" si="127"/>
        <v>2639388</v>
      </c>
      <c r="LX54" s="70">
        <f t="shared" si="128"/>
        <v>0</v>
      </c>
      <c r="LY54" s="70">
        <f t="shared" si="129"/>
        <v>642176</v>
      </c>
      <c r="LZ54" s="70">
        <f t="shared" si="130"/>
        <v>0</v>
      </c>
      <c r="MA54" s="70">
        <f t="shared" si="131"/>
        <v>9621389</v>
      </c>
      <c r="MB54" s="70">
        <f t="shared" si="132"/>
        <v>0</v>
      </c>
      <c r="MC54" s="70">
        <f t="shared" si="133"/>
        <v>374879</v>
      </c>
      <c r="MD54" s="70">
        <f t="shared" si="134"/>
        <v>0</v>
      </c>
      <c r="ME54" s="70">
        <f t="shared" si="135"/>
        <v>0</v>
      </c>
      <c r="MF54" s="70">
        <f t="shared" si="136"/>
        <v>0</v>
      </c>
      <c r="MG54" s="70">
        <f t="shared" si="137"/>
        <v>930477</v>
      </c>
      <c r="MH54" s="70">
        <f t="shared" si="138"/>
        <v>0</v>
      </c>
      <c r="MI54" s="70">
        <f t="shared" si="139"/>
        <v>49229</v>
      </c>
      <c r="MJ54" s="70">
        <f t="shared" si="140"/>
        <v>0</v>
      </c>
      <c r="MK54" s="70">
        <f t="shared" si="141"/>
        <v>7423353</v>
      </c>
      <c r="ML54" s="70">
        <f t="shared" si="142"/>
        <v>0</v>
      </c>
      <c r="MM54" s="70">
        <f t="shared" si="143"/>
        <v>73293496</v>
      </c>
      <c r="MN54" s="70">
        <f t="shared" si="144"/>
        <v>0</v>
      </c>
      <c r="MO54" s="70">
        <f t="shared" si="145"/>
        <v>1900735</v>
      </c>
      <c r="MP54" s="70">
        <f t="shared" si="146"/>
        <v>0</v>
      </c>
      <c r="MQ54" s="70">
        <f t="shared" si="147"/>
        <v>75194231</v>
      </c>
      <c r="MR54" s="70">
        <f t="shared" si="148"/>
        <v>0</v>
      </c>
      <c r="MT54" s="70">
        <f t="shared" si="149"/>
        <v>0</v>
      </c>
      <c r="MV54" s="68">
        <f t="shared" si="77"/>
        <v>0</v>
      </c>
    </row>
    <row r="55" spans="1:360" x14ac:dyDescent="0.15">
      <c r="A55" s="182" t="s">
        <v>329</v>
      </c>
      <c r="B55" s="76" t="s">
        <v>425</v>
      </c>
      <c r="C55" s="90">
        <v>176080</v>
      </c>
      <c r="D55" s="90">
        <v>2014</v>
      </c>
      <c r="E55" s="90">
        <v>1</v>
      </c>
      <c r="F55" s="91">
        <v>5</v>
      </c>
      <c r="G55" s="97">
        <v>10406</v>
      </c>
      <c r="H55" s="97">
        <v>9755</v>
      </c>
      <c r="I55" s="93">
        <v>598644903</v>
      </c>
      <c r="J55" s="98">
        <v>574985115</v>
      </c>
      <c r="K55" s="93">
        <v>2505338</v>
      </c>
      <c r="L55" s="93">
        <v>2535017</v>
      </c>
      <c r="M55" s="98">
        <v>16616991</v>
      </c>
      <c r="N55" s="99">
        <v>16660514</v>
      </c>
      <c r="O55" s="98">
        <v>80773541</v>
      </c>
      <c r="P55" s="93">
        <v>21728735</v>
      </c>
      <c r="Q55" s="98">
        <v>281905000</v>
      </c>
      <c r="R55" s="93">
        <v>187560000</v>
      </c>
      <c r="S55" s="98">
        <v>377016465</v>
      </c>
      <c r="T55" s="93">
        <v>348040202</v>
      </c>
      <c r="U55" s="98">
        <v>16894</v>
      </c>
      <c r="V55" s="93">
        <v>15550</v>
      </c>
      <c r="W55" s="98">
        <v>28232</v>
      </c>
      <c r="X55" s="93">
        <v>25114</v>
      </c>
      <c r="Y55" s="98">
        <v>22421</v>
      </c>
      <c r="Z55" s="93">
        <v>20902</v>
      </c>
      <c r="AA55" s="98">
        <v>33759</v>
      </c>
      <c r="AB55" s="93">
        <v>30466</v>
      </c>
      <c r="AC55" s="125">
        <v>8</v>
      </c>
      <c r="AD55" s="114">
        <v>10</v>
      </c>
      <c r="AE55" s="125">
        <v>0</v>
      </c>
      <c r="AF55" s="123">
        <v>3840284</v>
      </c>
      <c r="AG55" s="123">
        <v>3135065</v>
      </c>
      <c r="AH55" s="123">
        <v>683488</v>
      </c>
      <c r="AI55" s="123">
        <v>359353</v>
      </c>
      <c r="AJ55" s="123">
        <v>892407</v>
      </c>
      <c r="AK55" s="124">
        <v>5.5</v>
      </c>
      <c r="AL55" s="126">
        <v>818040</v>
      </c>
      <c r="AM55" s="116">
        <v>6</v>
      </c>
      <c r="AN55" s="123">
        <v>183132</v>
      </c>
      <c r="AO55" s="124">
        <v>6.5</v>
      </c>
      <c r="AP55" s="126">
        <v>170051</v>
      </c>
      <c r="AQ55" s="124">
        <v>7</v>
      </c>
      <c r="AR55" s="123">
        <v>239664</v>
      </c>
      <c r="AS55" s="124">
        <v>19</v>
      </c>
      <c r="AT55" s="123">
        <v>239664</v>
      </c>
      <c r="AU55" s="124">
        <v>19</v>
      </c>
      <c r="AV55" s="123">
        <v>86893</v>
      </c>
      <c r="AW55" s="124">
        <v>13</v>
      </c>
      <c r="AX55" s="123">
        <v>86893</v>
      </c>
      <c r="AY55" s="124">
        <v>13</v>
      </c>
      <c r="AZ55" s="164">
        <v>9955405</v>
      </c>
      <c r="BA55" s="164">
        <v>1198810</v>
      </c>
      <c r="BB55" s="164">
        <v>54266</v>
      </c>
      <c r="BC55" s="164">
        <v>1239830</v>
      </c>
      <c r="BD55" s="164">
        <v>13020</v>
      </c>
      <c r="BE55" s="164">
        <v>12461331</v>
      </c>
      <c r="BF55" s="164">
        <v>0</v>
      </c>
      <c r="BG55" s="164">
        <v>0</v>
      </c>
      <c r="BH55" s="164">
        <v>0</v>
      </c>
      <c r="BI55" s="164">
        <v>0</v>
      </c>
      <c r="BJ55" s="164">
        <v>2650000</v>
      </c>
      <c r="BK55" s="164">
        <v>2650000</v>
      </c>
      <c r="BL55" s="164">
        <v>1499318</v>
      </c>
      <c r="BM55" s="164">
        <v>4882</v>
      </c>
      <c r="BN55" s="164">
        <v>0</v>
      </c>
      <c r="BO55" s="164">
        <v>50500</v>
      </c>
      <c r="BP55" s="164">
        <v>0</v>
      </c>
      <c r="BQ55" s="164">
        <v>1554700</v>
      </c>
      <c r="BR55" s="164">
        <v>119451</v>
      </c>
      <c r="BS55" s="164">
        <v>27563</v>
      </c>
      <c r="BT55" s="164">
        <v>13455</v>
      </c>
      <c r="BU55" s="164">
        <v>106297</v>
      </c>
      <c r="BV55" s="164">
        <v>13676111</v>
      </c>
      <c r="BW55" s="164">
        <v>13942877</v>
      </c>
      <c r="BX55" s="164">
        <v>2714</v>
      </c>
      <c r="BY55" s="164">
        <v>3213</v>
      </c>
      <c r="BZ55" s="164">
        <v>4808</v>
      </c>
      <c r="CA55" s="164">
        <v>32891</v>
      </c>
      <c r="CB55" s="164">
        <v>8140</v>
      </c>
      <c r="CC55" s="164">
        <v>51766</v>
      </c>
      <c r="CD55" s="164">
        <v>0</v>
      </c>
      <c r="CE55" s="164">
        <v>0</v>
      </c>
      <c r="CF55" s="164">
        <v>0</v>
      </c>
      <c r="CG55" s="164">
        <v>0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0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0</v>
      </c>
      <c r="CT55" s="164">
        <v>0</v>
      </c>
      <c r="CU55" s="164">
        <v>0</v>
      </c>
      <c r="CV55" s="164">
        <v>14420804</v>
      </c>
      <c r="CW55" s="164">
        <v>5150545</v>
      </c>
      <c r="CX55" s="164">
        <v>-16762</v>
      </c>
      <c r="CY55" s="164">
        <v>2491</v>
      </c>
      <c r="CZ55" s="164">
        <v>2012561</v>
      </c>
      <c r="DA55" s="164">
        <v>21569639</v>
      </c>
      <c r="DB55" s="164">
        <v>0</v>
      </c>
      <c r="DC55" s="164">
        <v>0</v>
      </c>
      <c r="DD55" s="164">
        <v>0</v>
      </c>
      <c r="DE55" s="164">
        <v>0</v>
      </c>
      <c r="DF55" s="164">
        <v>4131500</v>
      </c>
      <c r="DG55" s="164">
        <v>4131500</v>
      </c>
      <c r="DH55" s="164">
        <v>830210</v>
      </c>
      <c r="DI55" s="164">
        <v>83008</v>
      </c>
      <c r="DJ55" s="164">
        <v>0</v>
      </c>
      <c r="DK55" s="164">
        <v>38020</v>
      </c>
      <c r="DL55" s="164">
        <v>656060</v>
      </c>
      <c r="DM55" s="164">
        <v>1607298</v>
      </c>
      <c r="DN55" s="164">
        <v>139901</v>
      </c>
      <c r="DO55" s="164">
        <v>2285</v>
      </c>
      <c r="DP55" s="164">
        <v>0</v>
      </c>
      <c r="DQ55" s="164">
        <v>0</v>
      </c>
      <c r="DR55" s="164">
        <v>855000</v>
      </c>
      <c r="DS55" s="164">
        <v>997186</v>
      </c>
      <c r="DT55" s="164">
        <v>141779</v>
      </c>
      <c r="DU55" s="164">
        <v>89181</v>
      </c>
      <c r="DV55" s="164">
        <v>23303</v>
      </c>
      <c r="DW55" s="164">
        <v>800284</v>
      </c>
      <c r="DX55" s="164">
        <v>13889</v>
      </c>
      <c r="DY55" s="164">
        <v>1068436</v>
      </c>
      <c r="DZ55" s="164">
        <v>0</v>
      </c>
      <c r="EA55" s="164">
        <v>0</v>
      </c>
      <c r="EB55" s="164">
        <v>0</v>
      </c>
      <c r="EC55" s="164">
        <v>0</v>
      </c>
      <c r="ED55" s="164">
        <v>1883686</v>
      </c>
      <c r="EE55" s="164">
        <v>1883686</v>
      </c>
      <c r="EF55" s="164">
        <v>33939</v>
      </c>
      <c r="EG55" s="164">
        <v>15000</v>
      </c>
      <c r="EH55" s="164">
        <v>0</v>
      </c>
      <c r="EI55" s="164">
        <v>111651</v>
      </c>
      <c r="EJ55" s="164">
        <v>196102</v>
      </c>
      <c r="EK55" s="164">
        <v>356692</v>
      </c>
      <c r="EL55" s="164">
        <v>27143521</v>
      </c>
      <c r="EM55" s="164">
        <v>6574487</v>
      </c>
      <c r="EN55" s="164">
        <v>79070</v>
      </c>
      <c r="EO55" s="164">
        <v>2381964</v>
      </c>
      <c r="EP55" s="164">
        <v>26096069</v>
      </c>
      <c r="EQ55" s="164">
        <v>62275111</v>
      </c>
      <c r="ER55" s="164">
        <v>2337503</v>
      </c>
      <c r="ES55" s="164">
        <v>432340</v>
      </c>
      <c r="ET55" s="164">
        <v>523069</v>
      </c>
      <c r="EU55" s="164">
        <v>3682437</v>
      </c>
      <c r="EV55" s="164">
        <v>232659</v>
      </c>
      <c r="EW55" s="164">
        <v>7208008</v>
      </c>
      <c r="EX55" s="164">
        <v>1344330</v>
      </c>
      <c r="EY55" s="164">
        <v>631945</v>
      </c>
      <c r="EZ55" s="164">
        <v>155108</v>
      </c>
      <c r="FA55" s="164">
        <v>88469</v>
      </c>
      <c r="FB55" s="164">
        <v>0</v>
      </c>
      <c r="FC55" s="164">
        <v>2219852</v>
      </c>
      <c r="FD55" s="164">
        <v>5655778</v>
      </c>
      <c r="FE55" s="164">
        <v>1669320</v>
      </c>
      <c r="FF55" s="164">
        <v>920145</v>
      </c>
      <c r="FG55" s="164">
        <v>3536583</v>
      </c>
      <c r="FH55" s="164">
        <v>0</v>
      </c>
      <c r="FI55" s="164">
        <v>11781826</v>
      </c>
      <c r="FJ55" s="164">
        <v>2713</v>
      </c>
      <c r="FK55" s="164">
        <v>3214</v>
      </c>
      <c r="FL55" s="164">
        <v>4808</v>
      </c>
      <c r="FM55" s="164">
        <v>32891</v>
      </c>
      <c r="FN55" s="164">
        <v>0</v>
      </c>
      <c r="FO55" s="164">
        <v>43626</v>
      </c>
      <c r="FP55" s="164">
        <v>1097679</v>
      </c>
      <c r="FQ55" s="164">
        <v>203523</v>
      </c>
      <c r="FR55" s="164">
        <v>140050</v>
      </c>
      <c r="FS55" s="164">
        <v>212848</v>
      </c>
      <c r="FT55" s="164">
        <v>6641142</v>
      </c>
      <c r="FU55" s="164">
        <v>8295242</v>
      </c>
      <c r="FV55" s="139">
        <v>2713</v>
      </c>
      <c r="FW55" s="139">
        <v>0</v>
      </c>
      <c r="FX55" s="139">
        <v>0</v>
      </c>
      <c r="FY55" s="139">
        <v>0</v>
      </c>
      <c r="FZ55" s="139">
        <v>5427</v>
      </c>
      <c r="GA55" s="139">
        <v>8140</v>
      </c>
      <c r="GB55" s="139">
        <v>0</v>
      </c>
      <c r="GC55" s="139">
        <v>0</v>
      </c>
      <c r="GD55" s="139">
        <v>0</v>
      </c>
      <c r="GE55" s="139">
        <v>0</v>
      </c>
      <c r="GF55" s="139">
        <v>0</v>
      </c>
      <c r="GG55" s="139">
        <v>0</v>
      </c>
      <c r="GH55" s="139">
        <v>377177</v>
      </c>
      <c r="GI55" s="139">
        <v>153355</v>
      </c>
      <c r="GJ55" s="139">
        <v>116187</v>
      </c>
      <c r="GK55" s="139">
        <v>396122</v>
      </c>
      <c r="GL55" s="139">
        <v>0</v>
      </c>
      <c r="GM55" s="139">
        <v>1042841</v>
      </c>
      <c r="GN55" s="139">
        <v>1555315</v>
      </c>
      <c r="GO55" s="139">
        <v>635879</v>
      </c>
      <c r="GP55" s="139">
        <v>483958</v>
      </c>
      <c r="GQ55" s="139">
        <v>1759286</v>
      </c>
      <c r="GR55" s="139">
        <v>0</v>
      </c>
      <c r="GS55" s="139">
        <v>4434438</v>
      </c>
      <c r="GT55" s="139">
        <v>395352</v>
      </c>
      <c r="GU55" s="139">
        <v>8176</v>
      </c>
      <c r="GV55" s="139">
        <v>25543</v>
      </c>
      <c r="GW55" s="139">
        <v>256655</v>
      </c>
      <c r="GX55" s="139">
        <v>44899</v>
      </c>
      <c r="GY55" s="139">
        <v>730625</v>
      </c>
      <c r="GZ55" s="139">
        <v>1531937</v>
      </c>
      <c r="HA55" s="139">
        <v>368574</v>
      </c>
      <c r="HB55" s="139">
        <v>151450</v>
      </c>
      <c r="HC55" s="139">
        <v>330614</v>
      </c>
      <c r="HD55" s="139">
        <v>222323</v>
      </c>
      <c r="HE55" s="139">
        <v>2604898</v>
      </c>
      <c r="HF55" s="139">
        <v>65370</v>
      </c>
      <c r="HG55" s="139">
        <v>11646</v>
      </c>
      <c r="HH55" s="139">
        <v>0</v>
      </c>
      <c r="HI55" s="139">
        <v>8657</v>
      </c>
      <c r="HJ55" s="139">
        <v>1210689</v>
      </c>
      <c r="HK55" s="139">
        <v>1296362</v>
      </c>
      <c r="HL55" s="139">
        <v>143000</v>
      </c>
      <c r="HM55" s="139">
        <v>57900</v>
      </c>
      <c r="HN55" s="139">
        <v>30899</v>
      </c>
      <c r="HO55" s="139">
        <v>480743</v>
      </c>
      <c r="HP55" s="139">
        <v>8888</v>
      </c>
      <c r="HQ55" s="139">
        <v>721430</v>
      </c>
      <c r="HR55" s="139">
        <v>280771</v>
      </c>
      <c r="HS55" s="139">
        <v>26139</v>
      </c>
      <c r="HT55" s="139">
        <v>27084</v>
      </c>
      <c r="HU55" s="139">
        <v>124259</v>
      </c>
      <c r="HV55" s="139">
        <v>9043716</v>
      </c>
      <c r="HW55" s="139">
        <v>9501969</v>
      </c>
      <c r="HX55" s="139">
        <v>113638</v>
      </c>
      <c r="HY55" s="139">
        <v>0</v>
      </c>
      <c r="HZ55" s="139">
        <v>0</v>
      </c>
      <c r="IA55" s="139">
        <v>0</v>
      </c>
      <c r="IB55" s="139">
        <v>6795</v>
      </c>
      <c r="IC55" s="139">
        <v>120433</v>
      </c>
      <c r="ID55" s="139">
        <v>0</v>
      </c>
      <c r="IE55" s="139">
        <v>0</v>
      </c>
      <c r="IF55" s="139">
        <v>0</v>
      </c>
      <c r="IG55" s="139">
        <v>0</v>
      </c>
      <c r="IH55" s="139">
        <v>0</v>
      </c>
      <c r="II55" s="139">
        <v>0</v>
      </c>
      <c r="IJ55" s="139">
        <v>261069</v>
      </c>
      <c r="IK55" s="139">
        <v>34725</v>
      </c>
      <c r="IL55" s="139">
        <v>35863</v>
      </c>
      <c r="IM55" s="139">
        <v>264535</v>
      </c>
      <c r="IN55" s="139">
        <v>289222</v>
      </c>
      <c r="IO55" s="139">
        <v>885414</v>
      </c>
      <c r="IP55" s="139">
        <v>5290</v>
      </c>
      <c r="IQ55" s="139">
        <v>1600</v>
      </c>
      <c r="IR55" s="139">
        <v>8911</v>
      </c>
      <c r="IS55" s="139">
        <v>22897</v>
      </c>
      <c r="IT55" s="139">
        <v>29739</v>
      </c>
      <c r="IU55" s="139">
        <v>68437</v>
      </c>
      <c r="IV55" s="139">
        <v>138366</v>
      </c>
      <c r="IW55" s="139">
        <v>142635</v>
      </c>
      <c r="IX55" s="139">
        <v>160021</v>
      </c>
      <c r="IY55" s="139">
        <v>467272</v>
      </c>
      <c r="IZ55" s="139">
        <v>2516967</v>
      </c>
      <c r="JA55" s="139">
        <v>3425261</v>
      </c>
      <c r="JB55" s="139">
        <v>15308001</v>
      </c>
      <c r="JC55" s="139">
        <v>4380971</v>
      </c>
      <c r="JD55" s="139">
        <v>2783096</v>
      </c>
      <c r="JE55" s="139">
        <v>11664268</v>
      </c>
      <c r="JF55" s="139">
        <v>20252466</v>
      </c>
      <c r="JG55" s="139">
        <v>54388802</v>
      </c>
      <c r="JH55" s="139">
        <v>0</v>
      </c>
      <c r="JI55" s="139">
        <v>0</v>
      </c>
      <c r="JJ55" s="139">
        <v>0</v>
      </c>
      <c r="JK55" s="139">
        <v>0</v>
      </c>
      <c r="JL55" s="139">
        <v>750000</v>
      </c>
      <c r="JM55" s="139">
        <v>750000</v>
      </c>
      <c r="JN55" s="139">
        <v>15308001</v>
      </c>
      <c r="JO55" s="139">
        <v>4380971</v>
      </c>
      <c r="JP55" s="139">
        <v>2783096</v>
      </c>
      <c r="JQ55" s="139">
        <v>11664268</v>
      </c>
      <c r="JR55" s="139">
        <v>21002466</v>
      </c>
      <c r="JS55" s="139">
        <v>55138802</v>
      </c>
      <c r="JU55" s="70">
        <f t="shared" si="80"/>
        <v>12461331</v>
      </c>
      <c r="JV55" s="70">
        <f t="shared" si="81"/>
        <v>0</v>
      </c>
      <c r="JW55" s="70">
        <f t="shared" si="82"/>
        <v>2650000</v>
      </c>
      <c r="JX55" s="70">
        <f t="shared" si="83"/>
        <v>0</v>
      </c>
      <c r="JY55" s="70">
        <f t="shared" si="84"/>
        <v>1554700</v>
      </c>
      <c r="JZ55" s="70">
        <f t="shared" si="85"/>
        <v>0</v>
      </c>
      <c r="KA55" s="70">
        <f t="shared" si="86"/>
        <v>13942877</v>
      </c>
      <c r="KB55" s="70">
        <f t="shared" si="87"/>
        <v>0</v>
      </c>
      <c r="KC55" s="70">
        <f t="shared" si="88"/>
        <v>51766</v>
      </c>
      <c r="KD55" s="70">
        <f t="shared" si="89"/>
        <v>0</v>
      </c>
      <c r="KE55" s="70">
        <f t="shared" si="90"/>
        <v>0</v>
      </c>
      <c r="KF55" s="70">
        <f t="shared" si="91"/>
        <v>0</v>
      </c>
      <c r="KG55" s="70">
        <f t="shared" si="92"/>
        <v>0</v>
      </c>
      <c r="KH55" s="70">
        <f t="shared" si="93"/>
        <v>0</v>
      </c>
      <c r="KI55" s="70">
        <f t="shared" si="94"/>
        <v>0</v>
      </c>
      <c r="KJ55" s="70">
        <f t="shared" si="95"/>
        <v>0</v>
      </c>
      <c r="KK55" s="70">
        <f t="shared" si="96"/>
        <v>21569639</v>
      </c>
      <c r="KL55" s="70">
        <f t="shared" si="97"/>
        <v>0</v>
      </c>
      <c r="KM55" s="70">
        <f t="shared" si="98"/>
        <v>4131500</v>
      </c>
      <c r="KN55" s="70">
        <f t="shared" si="99"/>
        <v>0</v>
      </c>
      <c r="KO55" s="70">
        <f t="shared" si="100"/>
        <v>1607298</v>
      </c>
      <c r="KP55" s="70">
        <f t="shared" si="101"/>
        <v>0</v>
      </c>
      <c r="KQ55" s="70">
        <f t="shared" si="102"/>
        <v>997186</v>
      </c>
      <c r="KR55" s="70">
        <f t="shared" si="103"/>
        <v>0</v>
      </c>
      <c r="KS55" s="70">
        <f t="shared" si="104"/>
        <v>1068436</v>
      </c>
      <c r="KT55" s="70">
        <f t="shared" si="105"/>
        <v>0</v>
      </c>
      <c r="KU55" s="70">
        <f t="shared" si="106"/>
        <v>1883686</v>
      </c>
      <c r="KV55" s="70">
        <f t="shared" si="107"/>
        <v>0</v>
      </c>
      <c r="KW55" s="70">
        <f t="shared" si="108"/>
        <v>356692</v>
      </c>
      <c r="KX55" s="70">
        <f t="shared" si="109"/>
        <v>0</v>
      </c>
      <c r="KY55" s="70">
        <f t="shared" si="110"/>
        <v>62275111</v>
      </c>
      <c r="KZ55" s="70">
        <f t="shared" si="111"/>
        <v>0</v>
      </c>
      <c r="LA55" s="70">
        <f t="shared" si="150"/>
        <v>7208008</v>
      </c>
      <c r="LB55" s="70">
        <f t="shared" si="112"/>
        <v>0</v>
      </c>
      <c r="LC55" s="70">
        <f t="shared" si="113"/>
        <v>2219852</v>
      </c>
      <c r="LD55" s="70">
        <f t="shared" si="114"/>
        <v>0</v>
      </c>
      <c r="LE55" s="70">
        <f t="shared" si="115"/>
        <v>11781826</v>
      </c>
      <c r="LF55" s="70">
        <f t="shared" si="116"/>
        <v>0</v>
      </c>
      <c r="LG55" s="70">
        <f t="shared" si="155"/>
        <v>43626</v>
      </c>
      <c r="LH55" s="70">
        <f t="shared" si="156"/>
        <v>0</v>
      </c>
      <c r="LI55" s="70">
        <f t="shared" si="151"/>
        <v>8295242</v>
      </c>
      <c r="LJ55" s="70">
        <f t="shared" si="152"/>
        <v>0</v>
      </c>
      <c r="LK55" s="70">
        <f t="shared" si="153"/>
        <v>8140</v>
      </c>
      <c r="LL55" s="70">
        <f t="shared" si="154"/>
        <v>0</v>
      </c>
      <c r="LM55" s="70">
        <f t="shared" si="117"/>
        <v>0</v>
      </c>
      <c r="LN55" s="70">
        <f t="shared" si="118"/>
        <v>0</v>
      </c>
      <c r="LO55" s="70">
        <f t="shared" si="119"/>
        <v>1042841</v>
      </c>
      <c r="LP55" s="70">
        <f t="shared" si="120"/>
        <v>0</v>
      </c>
      <c r="LQ55" s="70">
        <f t="shared" si="121"/>
        <v>4434438</v>
      </c>
      <c r="LR55" s="70">
        <f t="shared" si="122"/>
        <v>0</v>
      </c>
      <c r="LS55" s="70">
        <f t="shared" si="123"/>
        <v>730625</v>
      </c>
      <c r="LT55" s="70">
        <f t="shared" si="124"/>
        <v>0</v>
      </c>
      <c r="LU55" s="70">
        <f t="shared" si="125"/>
        <v>2604898</v>
      </c>
      <c r="LV55" s="70">
        <f t="shared" si="126"/>
        <v>0</v>
      </c>
      <c r="LW55" s="70">
        <f t="shared" si="127"/>
        <v>1296362</v>
      </c>
      <c r="LX55" s="70">
        <f t="shared" si="128"/>
        <v>0</v>
      </c>
      <c r="LY55" s="70">
        <f t="shared" si="129"/>
        <v>721430</v>
      </c>
      <c r="LZ55" s="70">
        <f t="shared" si="130"/>
        <v>0</v>
      </c>
      <c r="MA55" s="70">
        <f t="shared" si="131"/>
        <v>9501969</v>
      </c>
      <c r="MB55" s="70">
        <f t="shared" si="132"/>
        <v>0</v>
      </c>
      <c r="MC55" s="70">
        <f t="shared" si="133"/>
        <v>120433</v>
      </c>
      <c r="MD55" s="70">
        <f t="shared" si="134"/>
        <v>0</v>
      </c>
      <c r="ME55" s="70">
        <f t="shared" si="135"/>
        <v>0</v>
      </c>
      <c r="MF55" s="70">
        <f t="shared" si="136"/>
        <v>0</v>
      </c>
      <c r="MG55" s="70">
        <f t="shared" si="137"/>
        <v>885414</v>
      </c>
      <c r="MH55" s="70">
        <f t="shared" si="138"/>
        <v>0</v>
      </c>
      <c r="MI55" s="70">
        <f t="shared" si="139"/>
        <v>68437</v>
      </c>
      <c r="MJ55" s="70">
        <f t="shared" si="140"/>
        <v>0</v>
      </c>
      <c r="MK55" s="70">
        <f t="shared" si="141"/>
        <v>3425261</v>
      </c>
      <c r="ML55" s="70">
        <f t="shared" si="142"/>
        <v>0</v>
      </c>
      <c r="MM55" s="70">
        <f t="shared" si="143"/>
        <v>54388802</v>
      </c>
      <c r="MN55" s="70">
        <f t="shared" si="144"/>
        <v>0</v>
      </c>
      <c r="MO55" s="70">
        <f t="shared" si="145"/>
        <v>750000</v>
      </c>
      <c r="MP55" s="70">
        <f t="shared" si="146"/>
        <v>0</v>
      </c>
      <c r="MQ55" s="70">
        <f t="shared" si="147"/>
        <v>55138802</v>
      </c>
      <c r="MR55" s="70">
        <f t="shared" si="148"/>
        <v>0</v>
      </c>
      <c r="MT55" s="70">
        <f t="shared" si="149"/>
        <v>0</v>
      </c>
      <c r="MV55" s="68">
        <f t="shared" si="77"/>
        <v>0</v>
      </c>
    </row>
    <row r="56" spans="1:360" x14ac:dyDescent="0.15">
      <c r="A56" s="76" t="s">
        <v>330</v>
      </c>
      <c r="B56" s="76" t="s">
        <v>425</v>
      </c>
      <c r="C56" s="90">
        <v>178396</v>
      </c>
      <c r="D56" s="90">
        <v>2014</v>
      </c>
      <c r="E56" s="90">
        <v>1</v>
      </c>
      <c r="F56" s="91">
        <v>5</v>
      </c>
      <c r="G56" s="92">
        <v>12052</v>
      </c>
      <c r="H56" s="92">
        <v>13116</v>
      </c>
      <c r="I56" s="93">
        <v>1245863191</v>
      </c>
      <c r="J56" s="99">
        <v>1208151742</v>
      </c>
      <c r="K56" s="99">
        <v>4107734</v>
      </c>
      <c r="L56" s="99">
        <v>3090899</v>
      </c>
      <c r="M56" s="99">
        <v>45775000</v>
      </c>
      <c r="N56" s="99">
        <v>40711000</v>
      </c>
      <c r="O56" s="99">
        <v>81268862</v>
      </c>
      <c r="P56" s="99">
        <v>22839576</v>
      </c>
      <c r="Q56" s="99">
        <v>674701388</v>
      </c>
      <c r="R56" s="99">
        <v>605833082</v>
      </c>
      <c r="S56" s="100">
        <v>744750985</v>
      </c>
      <c r="T56" s="99">
        <v>721933852</v>
      </c>
      <c r="U56" s="99">
        <v>21625</v>
      </c>
      <c r="V56" s="99">
        <v>19787</v>
      </c>
      <c r="W56" s="99">
        <v>35650</v>
      </c>
      <c r="X56" s="93">
        <v>33179</v>
      </c>
      <c r="Y56" s="99">
        <v>24704</v>
      </c>
      <c r="Z56" s="99">
        <v>22964</v>
      </c>
      <c r="AA56" s="99">
        <v>38730</v>
      </c>
      <c r="AB56" s="99">
        <v>36356</v>
      </c>
      <c r="AC56" s="114">
        <v>9</v>
      </c>
      <c r="AD56" s="114">
        <v>11</v>
      </c>
      <c r="AE56" s="114">
        <v>0</v>
      </c>
      <c r="AF56" s="123">
        <v>5196487</v>
      </c>
      <c r="AG56" s="123">
        <v>3548672</v>
      </c>
      <c r="AH56" s="123">
        <v>875102</v>
      </c>
      <c r="AI56" s="123">
        <v>352409</v>
      </c>
      <c r="AJ56" s="126">
        <v>1082070</v>
      </c>
      <c r="AK56" s="116">
        <v>6</v>
      </c>
      <c r="AL56" s="126">
        <v>927488</v>
      </c>
      <c r="AM56" s="116">
        <v>7</v>
      </c>
      <c r="AN56" s="123">
        <v>250224</v>
      </c>
      <c r="AO56" s="116">
        <v>8</v>
      </c>
      <c r="AP56" s="123">
        <v>222422</v>
      </c>
      <c r="AQ56" s="124">
        <v>9</v>
      </c>
      <c r="AR56" s="123">
        <v>238828</v>
      </c>
      <c r="AS56" s="124">
        <v>25</v>
      </c>
      <c r="AT56" s="123">
        <v>238828</v>
      </c>
      <c r="AU56" s="124">
        <v>25</v>
      </c>
      <c r="AV56" s="123">
        <v>79373</v>
      </c>
      <c r="AW56" s="124">
        <v>22</v>
      </c>
      <c r="AX56" s="123">
        <v>79373</v>
      </c>
      <c r="AY56" s="124">
        <v>22</v>
      </c>
      <c r="AZ56" s="164">
        <v>17554536</v>
      </c>
      <c r="BA56" s="164">
        <v>5204219</v>
      </c>
      <c r="BB56" s="164">
        <v>42374</v>
      </c>
      <c r="BC56" s="164">
        <v>103658</v>
      </c>
      <c r="BD56" s="164">
        <v>1330967</v>
      </c>
      <c r="BE56" s="164">
        <v>24235754</v>
      </c>
      <c r="BF56" s="164">
        <v>0</v>
      </c>
      <c r="BG56" s="164">
        <v>0</v>
      </c>
      <c r="BH56" s="164">
        <v>0</v>
      </c>
      <c r="BI56" s="164">
        <v>0</v>
      </c>
      <c r="BJ56" s="164">
        <v>0</v>
      </c>
      <c r="BK56" s="164">
        <v>0</v>
      </c>
      <c r="BL56" s="164">
        <v>200000</v>
      </c>
      <c r="BM56" s="164">
        <v>0</v>
      </c>
      <c r="BN56" s="164">
        <v>0</v>
      </c>
      <c r="BO56" s="164">
        <v>8500</v>
      </c>
      <c r="BP56" s="164">
        <v>0</v>
      </c>
      <c r="BQ56" s="164">
        <v>208500</v>
      </c>
      <c r="BR56" s="164">
        <v>1722278</v>
      </c>
      <c r="BS56" s="164">
        <v>855067</v>
      </c>
      <c r="BT56" s="164">
        <v>80719</v>
      </c>
      <c r="BU56" s="164">
        <v>291130</v>
      </c>
      <c r="BV56" s="164">
        <v>17164460</v>
      </c>
      <c r="BW56" s="164">
        <v>20113654</v>
      </c>
      <c r="BX56" s="164">
        <v>0</v>
      </c>
      <c r="BY56" s="164">
        <v>0</v>
      </c>
      <c r="BZ56" s="164">
        <v>0</v>
      </c>
      <c r="CA56" s="164">
        <v>0</v>
      </c>
      <c r="CB56" s="164">
        <v>0</v>
      </c>
      <c r="CC56" s="164">
        <v>0</v>
      </c>
      <c r="CD56" s="164">
        <v>0</v>
      </c>
      <c r="CE56" s="164">
        <v>0</v>
      </c>
      <c r="CF56" s="164">
        <v>0</v>
      </c>
      <c r="CG56" s="164">
        <v>0</v>
      </c>
      <c r="CH56" s="164">
        <v>0</v>
      </c>
      <c r="CI56" s="164">
        <v>0</v>
      </c>
      <c r="CJ56" s="164">
        <v>0</v>
      </c>
      <c r="CK56" s="164">
        <v>0</v>
      </c>
      <c r="CL56" s="164">
        <v>0</v>
      </c>
      <c r="CM56" s="164">
        <v>0</v>
      </c>
      <c r="CN56" s="164">
        <v>1515000</v>
      </c>
      <c r="CO56" s="164">
        <v>1515000</v>
      </c>
      <c r="CP56" s="164">
        <v>0</v>
      </c>
      <c r="CQ56" s="164">
        <v>0</v>
      </c>
      <c r="CR56" s="164">
        <v>0</v>
      </c>
      <c r="CS56" s="164">
        <v>0</v>
      </c>
      <c r="CT56" s="164">
        <v>0</v>
      </c>
      <c r="CU56" s="164">
        <v>0</v>
      </c>
      <c r="CV56" s="164">
        <v>14185334</v>
      </c>
      <c r="CW56" s="164">
        <v>5066479</v>
      </c>
      <c r="CX56" s="164">
        <v>0</v>
      </c>
      <c r="CY56" s="164">
        <v>71592</v>
      </c>
      <c r="CZ56" s="164">
        <v>2513465</v>
      </c>
      <c r="DA56" s="164">
        <v>21836870</v>
      </c>
      <c r="DB56" s="164">
        <v>0</v>
      </c>
      <c r="DC56" s="164">
        <v>0</v>
      </c>
      <c r="DD56" s="164">
        <v>0</v>
      </c>
      <c r="DE56" s="164">
        <v>0</v>
      </c>
      <c r="DF56" s="164">
        <v>4456704</v>
      </c>
      <c r="DG56" s="164">
        <v>4456704</v>
      </c>
      <c r="DH56" s="164">
        <v>1688746</v>
      </c>
      <c r="DI56" s="164">
        <v>443845</v>
      </c>
      <c r="DJ56" s="164">
        <v>11520</v>
      </c>
      <c r="DK56" s="164">
        <v>43359</v>
      </c>
      <c r="DL56" s="164">
        <v>508805</v>
      </c>
      <c r="DM56" s="164">
        <v>2696275</v>
      </c>
      <c r="DN56" s="164">
        <v>0</v>
      </c>
      <c r="DO56" s="164">
        <v>0</v>
      </c>
      <c r="DP56" s="164">
        <v>0</v>
      </c>
      <c r="DQ56" s="164">
        <v>0</v>
      </c>
      <c r="DR56" s="164">
        <v>2543650</v>
      </c>
      <c r="DS56" s="164">
        <v>2543650</v>
      </c>
      <c r="DT56" s="164">
        <v>293888</v>
      </c>
      <c r="DU56" s="164">
        <v>225333</v>
      </c>
      <c r="DV56" s="164">
        <v>68451</v>
      </c>
      <c r="DW56" s="164">
        <v>1307444</v>
      </c>
      <c r="DX56" s="164">
        <v>8967</v>
      </c>
      <c r="DY56" s="164">
        <v>1904083</v>
      </c>
      <c r="DZ56" s="164">
        <v>0</v>
      </c>
      <c r="EA56" s="164">
        <v>0</v>
      </c>
      <c r="EB56" s="164">
        <v>0</v>
      </c>
      <c r="EC56" s="164">
        <v>0</v>
      </c>
      <c r="ED56" s="164">
        <v>1685262</v>
      </c>
      <c r="EE56" s="164">
        <v>1685262</v>
      </c>
      <c r="EF56" s="164">
        <v>350</v>
      </c>
      <c r="EG56" s="164">
        <v>798626</v>
      </c>
      <c r="EH56" s="164">
        <v>700</v>
      </c>
      <c r="EI56" s="164">
        <v>183805</v>
      </c>
      <c r="EJ56" s="164">
        <v>1539354</v>
      </c>
      <c r="EK56" s="164">
        <v>2522835</v>
      </c>
      <c r="EL56" s="164">
        <v>35645132</v>
      </c>
      <c r="EM56" s="164">
        <v>12593569</v>
      </c>
      <c r="EN56" s="164">
        <v>203764</v>
      </c>
      <c r="EO56" s="164">
        <v>2009488</v>
      </c>
      <c r="EP56" s="164">
        <v>33266634</v>
      </c>
      <c r="EQ56" s="164">
        <v>83718587</v>
      </c>
      <c r="ER56" s="164">
        <v>3167095</v>
      </c>
      <c r="ES56" s="164">
        <v>454816</v>
      </c>
      <c r="ET56" s="164">
        <v>398096</v>
      </c>
      <c r="EU56" s="164">
        <v>4725152</v>
      </c>
      <c r="EV56" s="164">
        <v>392810</v>
      </c>
      <c r="EW56" s="164">
        <v>9137969</v>
      </c>
      <c r="EX56" s="164">
        <v>900000</v>
      </c>
      <c r="EY56" s="164">
        <v>547000</v>
      </c>
      <c r="EZ56" s="164">
        <v>130000</v>
      </c>
      <c r="FA56" s="164">
        <v>67738</v>
      </c>
      <c r="FB56" s="164">
        <v>408440</v>
      </c>
      <c r="FC56" s="164">
        <v>2053178</v>
      </c>
      <c r="FD56" s="164">
        <v>7895436</v>
      </c>
      <c r="FE56" s="164">
        <v>2658923</v>
      </c>
      <c r="FF56" s="164">
        <v>1054858</v>
      </c>
      <c r="FG56" s="164">
        <v>4601917</v>
      </c>
      <c r="FH56" s="164">
        <v>0</v>
      </c>
      <c r="FI56" s="164">
        <v>16211134</v>
      </c>
      <c r="FJ56" s="164">
        <v>0</v>
      </c>
      <c r="FK56" s="164">
        <v>0</v>
      </c>
      <c r="FL56" s="164">
        <v>0</v>
      </c>
      <c r="FM56" s="164">
        <v>0</v>
      </c>
      <c r="FN56" s="164">
        <v>0</v>
      </c>
      <c r="FO56" s="164">
        <v>0</v>
      </c>
      <c r="FP56" s="164">
        <v>945358</v>
      </c>
      <c r="FQ56" s="164">
        <v>466714</v>
      </c>
      <c r="FR56" s="164">
        <v>249838</v>
      </c>
      <c r="FS56" s="164">
        <v>552551</v>
      </c>
      <c r="FT56" s="164">
        <v>12841535</v>
      </c>
      <c r="FU56" s="164">
        <v>15055996</v>
      </c>
      <c r="FV56" s="164">
        <v>0</v>
      </c>
      <c r="FW56" s="164">
        <v>0</v>
      </c>
      <c r="FX56" s="164">
        <v>0</v>
      </c>
      <c r="FY56" s="164">
        <v>0</v>
      </c>
      <c r="FZ56" s="164">
        <v>0</v>
      </c>
      <c r="GA56" s="164">
        <v>0</v>
      </c>
      <c r="GB56" s="164">
        <v>0</v>
      </c>
      <c r="GC56" s="164">
        <v>0</v>
      </c>
      <c r="GD56" s="164">
        <v>0</v>
      </c>
      <c r="GE56" s="164">
        <v>0</v>
      </c>
      <c r="GF56" s="164">
        <v>0</v>
      </c>
      <c r="GG56" s="164">
        <v>0</v>
      </c>
      <c r="GH56" s="164">
        <v>555402</v>
      </c>
      <c r="GI56" s="164">
        <v>168243</v>
      </c>
      <c r="GJ56" s="164">
        <v>66814</v>
      </c>
      <c r="GK56" s="164">
        <v>437052</v>
      </c>
      <c r="GL56" s="164">
        <v>0</v>
      </c>
      <c r="GM56" s="164">
        <v>1227511</v>
      </c>
      <c r="GN56" s="164">
        <v>2452587</v>
      </c>
      <c r="GO56" s="164">
        <v>746379</v>
      </c>
      <c r="GP56" s="164">
        <v>541422</v>
      </c>
      <c r="GQ56" s="164">
        <v>2723920</v>
      </c>
      <c r="GR56" s="164">
        <v>183676</v>
      </c>
      <c r="GS56" s="164">
        <v>6647984</v>
      </c>
      <c r="GT56" s="164">
        <v>2185012</v>
      </c>
      <c r="GU56" s="164">
        <v>116538</v>
      </c>
      <c r="GV56" s="164">
        <v>37662</v>
      </c>
      <c r="GW56" s="164">
        <v>609782</v>
      </c>
      <c r="GX56" s="164">
        <v>1440419</v>
      </c>
      <c r="GY56" s="164">
        <v>4389413</v>
      </c>
      <c r="GZ56" s="164">
        <v>1455205</v>
      </c>
      <c r="HA56" s="164">
        <v>457165</v>
      </c>
      <c r="HB56" s="164">
        <v>149525</v>
      </c>
      <c r="HC56" s="164">
        <v>373821</v>
      </c>
      <c r="HD56" s="164">
        <v>631151</v>
      </c>
      <c r="HE56" s="164">
        <v>3066867</v>
      </c>
      <c r="HF56" s="164">
        <v>12445</v>
      </c>
      <c r="HG56" s="164">
        <v>0</v>
      </c>
      <c r="HH56" s="164">
        <v>0</v>
      </c>
      <c r="HI56" s="164">
        <v>12799</v>
      </c>
      <c r="HJ56" s="164">
        <v>1027771</v>
      </c>
      <c r="HK56" s="164">
        <v>1053015</v>
      </c>
      <c r="HL56" s="164">
        <v>124324</v>
      </c>
      <c r="HM56" s="164">
        <v>182396</v>
      </c>
      <c r="HN56" s="164">
        <v>69796</v>
      </c>
      <c r="HO56" s="164">
        <v>553299</v>
      </c>
      <c r="HP56" s="164">
        <v>3659</v>
      </c>
      <c r="HQ56" s="164">
        <v>933474</v>
      </c>
      <c r="HR56" s="164">
        <v>75799</v>
      </c>
      <c r="HS56" s="164">
        <v>15755</v>
      </c>
      <c r="HT56" s="164">
        <v>47503</v>
      </c>
      <c r="HU56" s="164">
        <v>51121</v>
      </c>
      <c r="HV56" s="164">
        <v>11216381</v>
      </c>
      <c r="HW56" s="164">
        <v>11406559</v>
      </c>
      <c r="HX56" s="164">
        <v>0</v>
      </c>
      <c r="HY56" s="164">
        <v>0</v>
      </c>
      <c r="HZ56" s="164">
        <v>0</v>
      </c>
      <c r="IA56" s="164">
        <v>0</v>
      </c>
      <c r="IB56" s="164">
        <v>287337</v>
      </c>
      <c r="IC56" s="164">
        <v>287337</v>
      </c>
      <c r="ID56" s="164">
        <v>0</v>
      </c>
      <c r="IE56" s="164">
        <v>0</v>
      </c>
      <c r="IF56" s="164">
        <v>0</v>
      </c>
      <c r="IG56" s="164">
        <v>0</v>
      </c>
      <c r="IH56" s="164">
        <v>0</v>
      </c>
      <c r="II56" s="164">
        <v>0</v>
      </c>
      <c r="IJ56" s="164">
        <v>0</v>
      </c>
      <c r="IK56" s="164">
        <v>0</v>
      </c>
      <c r="IL56" s="164">
        <v>0</v>
      </c>
      <c r="IM56" s="164">
        <v>0</v>
      </c>
      <c r="IN56" s="164">
        <v>920137</v>
      </c>
      <c r="IO56" s="164">
        <v>920137</v>
      </c>
      <c r="IP56" s="164">
        <v>2470</v>
      </c>
      <c r="IQ56" s="164">
        <v>520</v>
      </c>
      <c r="IR56" s="164">
        <v>0</v>
      </c>
      <c r="IS56" s="164">
        <v>10221</v>
      </c>
      <c r="IT56" s="164">
        <v>44362</v>
      </c>
      <c r="IU56" s="164">
        <v>57573</v>
      </c>
      <c r="IV56" s="164">
        <v>1644871</v>
      </c>
      <c r="IW56" s="164">
        <v>469766</v>
      </c>
      <c r="IX56" s="164">
        <v>68728</v>
      </c>
      <c r="IY56" s="164">
        <v>450642</v>
      </c>
      <c r="IZ56" s="164">
        <v>5148025</v>
      </c>
      <c r="JA56" s="164">
        <v>7782032</v>
      </c>
      <c r="JB56" s="164">
        <v>21416004</v>
      </c>
      <c r="JC56" s="164">
        <v>6284215</v>
      </c>
      <c r="JD56" s="164">
        <v>2814242</v>
      </c>
      <c r="JE56" s="164">
        <v>15170015</v>
      </c>
      <c r="JF56" s="164">
        <v>34545703</v>
      </c>
      <c r="JG56" s="164">
        <v>80230179</v>
      </c>
      <c r="JH56" s="164">
        <v>0</v>
      </c>
      <c r="JI56" s="164">
        <v>0</v>
      </c>
      <c r="JJ56" s="164">
        <v>0</v>
      </c>
      <c r="JK56" s="164">
        <v>0</v>
      </c>
      <c r="JL56" s="164">
        <v>2179583</v>
      </c>
      <c r="JM56" s="164">
        <v>2179583</v>
      </c>
      <c r="JN56" s="164">
        <v>21416004</v>
      </c>
      <c r="JO56" s="164">
        <v>6284215</v>
      </c>
      <c r="JP56" s="164">
        <v>2814242</v>
      </c>
      <c r="JQ56" s="164">
        <v>15170015</v>
      </c>
      <c r="JR56" s="164">
        <v>36725286</v>
      </c>
      <c r="JS56" s="164">
        <v>82409762</v>
      </c>
      <c r="JU56" s="70">
        <f t="shared" si="80"/>
        <v>24235754</v>
      </c>
      <c r="JV56" s="70">
        <f t="shared" si="81"/>
        <v>0</v>
      </c>
      <c r="JW56" s="70">
        <f t="shared" si="82"/>
        <v>0</v>
      </c>
      <c r="JX56" s="70">
        <f t="shared" si="83"/>
        <v>0</v>
      </c>
      <c r="JY56" s="70">
        <f t="shared" si="84"/>
        <v>208500</v>
      </c>
      <c r="JZ56" s="70">
        <f t="shared" si="85"/>
        <v>0</v>
      </c>
      <c r="KA56" s="70">
        <f t="shared" si="86"/>
        <v>20113654</v>
      </c>
      <c r="KB56" s="70">
        <f t="shared" si="87"/>
        <v>0</v>
      </c>
      <c r="KC56" s="70">
        <f t="shared" si="88"/>
        <v>0</v>
      </c>
      <c r="KD56" s="70">
        <f t="shared" si="89"/>
        <v>0</v>
      </c>
      <c r="KE56" s="70">
        <f t="shared" si="90"/>
        <v>0</v>
      </c>
      <c r="KF56" s="70">
        <f t="shared" si="91"/>
        <v>0</v>
      </c>
      <c r="KG56" s="70">
        <f t="shared" si="92"/>
        <v>1515000</v>
      </c>
      <c r="KH56" s="70">
        <f t="shared" si="93"/>
        <v>0</v>
      </c>
      <c r="KI56" s="70">
        <f t="shared" si="94"/>
        <v>0</v>
      </c>
      <c r="KJ56" s="70">
        <f t="shared" si="95"/>
        <v>0</v>
      </c>
      <c r="KK56" s="70">
        <f t="shared" si="96"/>
        <v>21836870</v>
      </c>
      <c r="KL56" s="70">
        <f t="shared" si="97"/>
        <v>0</v>
      </c>
      <c r="KM56" s="70">
        <f t="shared" si="98"/>
        <v>4456704</v>
      </c>
      <c r="KN56" s="70">
        <f t="shared" si="99"/>
        <v>0</v>
      </c>
      <c r="KO56" s="70">
        <f t="shared" si="100"/>
        <v>2696275</v>
      </c>
      <c r="KP56" s="70">
        <f t="shared" si="101"/>
        <v>0</v>
      </c>
      <c r="KQ56" s="70">
        <f t="shared" si="102"/>
        <v>2543650</v>
      </c>
      <c r="KR56" s="70">
        <f t="shared" si="103"/>
        <v>0</v>
      </c>
      <c r="KS56" s="70">
        <f t="shared" si="104"/>
        <v>1904083</v>
      </c>
      <c r="KT56" s="70">
        <f t="shared" si="105"/>
        <v>0</v>
      </c>
      <c r="KU56" s="70">
        <f t="shared" si="106"/>
        <v>1685262</v>
      </c>
      <c r="KV56" s="70">
        <f t="shared" si="107"/>
        <v>0</v>
      </c>
      <c r="KW56" s="70">
        <f t="shared" si="108"/>
        <v>2522835</v>
      </c>
      <c r="KX56" s="70">
        <f t="shared" si="109"/>
        <v>0</v>
      </c>
      <c r="KY56" s="70">
        <f t="shared" si="110"/>
        <v>83718587</v>
      </c>
      <c r="KZ56" s="70">
        <f t="shared" si="111"/>
        <v>0</v>
      </c>
      <c r="LA56" s="70">
        <f t="shared" si="150"/>
        <v>9137969</v>
      </c>
      <c r="LB56" s="70">
        <f t="shared" si="112"/>
        <v>0</v>
      </c>
      <c r="LC56" s="70">
        <f t="shared" si="113"/>
        <v>2053178</v>
      </c>
      <c r="LD56" s="70">
        <f t="shared" si="114"/>
        <v>0</v>
      </c>
      <c r="LE56" s="70">
        <f t="shared" si="115"/>
        <v>16211134</v>
      </c>
      <c r="LF56" s="70">
        <f t="shared" si="116"/>
        <v>0</v>
      </c>
      <c r="LG56" s="70">
        <f t="shared" si="155"/>
        <v>0</v>
      </c>
      <c r="LH56" s="70">
        <f t="shared" si="156"/>
        <v>0</v>
      </c>
      <c r="LI56" s="70">
        <f t="shared" si="151"/>
        <v>15055996</v>
      </c>
      <c r="LJ56" s="70">
        <f t="shared" si="152"/>
        <v>0</v>
      </c>
      <c r="LK56" s="70">
        <f t="shared" si="153"/>
        <v>0</v>
      </c>
      <c r="LL56" s="70">
        <f t="shared" si="154"/>
        <v>0</v>
      </c>
      <c r="LM56" s="70">
        <f t="shared" si="117"/>
        <v>0</v>
      </c>
      <c r="LN56" s="70">
        <f t="shared" si="118"/>
        <v>0</v>
      </c>
      <c r="LO56" s="70">
        <f t="shared" si="119"/>
        <v>1227511</v>
      </c>
      <c r="LP56" s="70">
        <f t="shared" si="120"/>
        <v>0</v>
      </c>
      <c r="LQ56" s="70">
        <f t="shared" si="121"/>
        <v>6647984</v>
      </c>
      <c r="LR56" s="70">
        <f t="shared" si="122"/>
        <v>0</v>
      </c>
      <c r="LS56" s="70">
        <f t="shared" si="123"/>
        <v>4389413</v>
      </c>
      <c r="LT56" s="70">
        <f t="shared" si="124"/>
        <v>0</v>
      </c>
      <c r="LU56" s="70">
        <f t="shared" si="125"/>
        <v>3066867</v>
      </c>
      <c r="LV56" s="70">
        <f t="shared" si="126"/>
        <v>0</v>
      </c>
      <c r="LW56" s="70">
        <f t="shared" si="127"/>
        <v>1053015</v>
      </c>
      <c r="LX56" s="70">
        <f t="shared" si="128"/>
        <v>0</v>
      </c>
      <c r="LY56" s="70">
        <f t="shared" si="129"/>
        <v>933474</v>
      </c>
      <c r="LZ56" s="70">
        <f t="shared" si="130"/>
        <v>0</v>
      </c>
      <c r="MA56" s="70">
        <f t="shared" si="131"/>
        <v>11406559</v>
      </c>
      <c r="MB56" s="70">
        <f t="shared" si="132"/>
        <v>0</v>
      </c>
      <c r="MC56" s="70">
        <f t="shared" si="133"/>
        <v>287337</v>
      </c>
      <c r="MD56" s="70">
        <f t="shared" si="134"/>
        <v>0</v>
      </c>
      <c r="ME56" s="70">
        <f t="shared" si="135"/>
        <v>0</v>
      </c>
      <c r="MF56" s="70">
        <f t="shared" si="136"/>
        <v>0</v>
      </c>
      <c r="MG56" s="70">
        <f t="shared" si="137"/>
        <v>920137</v>
      </c>
      <c r="MH56" s="70">
        <f t="shared" si="138"/>
        <v>0</v>
      </c>
      <c r="MI56" s="70">
        <f t="shared" si="139"/>
        <v>57573</v>
      </c>
      <c r="MJ56" s="70">
        <f t="shared" si="140"/>
        <v>0</v>
      </c>
      <c r="MK56" s="70">
        <f t="shared" si="141"/>
        <v>7782032</v>
      </c>
      <c r="ML56" s="70">
        <f t="shared" si="142"/>
        <v>0</v>
      </c>
      <c r="MM56" s="70">
        <f t="shared" si="143"/>
        <v>80230179</v>
      </c>
      <c r="MN56" s="70">
        <f t="shared" si="144"/>
        <v>0</v>
      </c>
      <c r="MO56" s="70">
        <f t="shared" si="145"/>
        <v>2179583</v>
      </c>
      <c r="MP56" s="70">
        <f t="shared" si="146"/>
        <v>0</v>
      </c>
      <c r="MQ56" s="70">
        <f t="shared" si="147"/>
        <v>82409762</v>
      </c>
      <c r="MR56" s="70">
        <f t="shared" si="148"/>
        <v>0</v>
      </c>
      <c r="MT56" s="70">
        <f t="shared" si="149"/>
        <v>0</v>
      </c>
      <c r="MV56" s="68">
        <f t="shared" si="77"/>
        <v>0</v>
      </c>
    </row>
    <row r="57" spans="1:360" x14ac:dyDescent="0.15">
      <c r="A57" s="76" t="s">
        <v>331</v>
      </c>
      <c r="B57" s="76" t="s">
        <v>425</v>
      </c>
      <c r="C57" s="90">
        <v>181464</v>
      </c>
      <c r="D57" s="90">
        <v>2014</v>
      </c>
      <c r="E57" s="90">
        <v>1</v>
      </c>
      <c r="F57" s="91">
        <v>3</v>
      </c>
      <c r="G57" s="92">
        <v>6697</v>
      </c>
      <c r="H57" s="92">
        <v>8405</v>
      </c>
      <c r="I57" s="98">
        <v>942495988</v>
      </c>
      <c r="J57" s="93">
        <v>895236635</v>
      </c>
      <c r="K57" s="98">
        <v>3393488</v>
      </c>
      <c r="L57" s="93">
        <v>3364180</v>
      </c>
      <c r="M57" s="98">
        <v>27330032</v>
      </c>
      <c r="N57" s="93">
        <v>19714147</v>
      </c>
      <c r="O57" s="98">
        <v>26340000</v>
      </c>
      <c r="P57" s="93">
        <v>28335000</v>
      </c>
      <c r="Q57" s="98">
        <v>360970309</v>
      </c>
      <c r="R57" s="93">
        <v>339953870</v>
      </c>
      <c r="S57" s="93">
        <v>627614187</v>
      </c>
      <c r="T57" s="93">
        <v>673936812</v>
      </c>
      <c r="U57" s="93">
        <v>18422</v>
      </c>
      <c r="V57" s="93">
        <v>17800</v>
      </c>
      <c r="W57" s="93">
        <v>31749</v>
      </c>
      <c r="X57" s="93">
        <v>30550</v>
      </c>
      <c r="Y57" s="93">
        <v>21896</v>
      </c>
      <c r="Z57" s="93">
        <v>20738</v>
      </c>
      <c r="AA57" s="93">
        <v>35224</v>
      </c>
      <c r="AB57" s="93">
        <v>33022</v>
      </c>
      <c r="AC57" s="114">
        <v>10</v>
      </c>
      <c r="AD57" s="114">
        <v>14</v>
      </c>
      <c r="AE57" s="114">
        <v>0</v>
      </c>
      <c r="AF57" s="115">
        <v>5417579</v>
      </c>
      <c r="AG57" s="126">
        <v>4107650</v>
      </c>
      <c r="AH57" s="126">
        <v>1566742</v>
      </c>
      <c r="AI57" s="126">
        <v>493373</v>
      </c>
      <c r="AJ57" s="126">
        <v>800335</v>
      </c>
      <c r="AK57" s="127">
        <v>7.5</v>
      </c>
      <c r="AL57" s="126">
        <v>750315</v>
      </c>
      <c r="AM57" s="127">
        <v>8</v>
      </c>
      <c r="AN57" s="123">
        <v>243627</v>
      </c>
      <c r="AO57" s="127">
        <v>10.5</v>
      </c>
      <c r="AP57" s="123">
        <v>213174</v>
      </c>
      <c r="AQ57" s="124">
        <v>12</v>
      </c>
      <c r="AR57" s="126">
        <v>227207</v>
      </c>
      <c r="AS57" s="127">
        <v>22.5</v>
      </c>
      <c r="AT57" s="126">
        <v>204486</v>
      </c>
      <c r="AU57" s="127">
        <v>25</v>
      </c>
      <c r="AV57" s="115">
        <v>106498</v>
      </c>
      <c r="AW57" s="116">
        <v>18</v>
      </c>
      <c r="AX57" s="115">
        <v>87134</v>
      </c>
      <c r="AY57" s="116">
        <v>22</v>
      </c>
      <c r="AZ57" s="164">
        <v>34121726</v>
      </c>
      <c r="BA57" s="164">
        <v>3025876</v>
      </c>
      <c r="BB57" s="164">
        <v>709184</v>
      </c>
      <c r="BC57" s="164">
        <v>2593276</v>
      </c>
      <c r="BD57" s="164">
        <v>0</v>
      </c>
      <c r="BE57" s="164">
        <v>40450062</v>
      </c>
      <c r="BF57" s="164">
        <v>0</v>
      </c>
      <c r="BG57" s="164">
        <v>0</v>
      </c>
      <c r="BH57" s="164">
        <v>0</v>
      </c>
      <c r="BI57" s="164">
        <v>0</v>
      </c>
      <c r="BJ57" s="164">
        <v>0</v>
      </c>
      <c r="BK57" s="164">
        <v>0</v>
      </c>
      <c r="BL57" s="164">
        <v>0</v>
      </c>
      <c r="BM57" s="164">
        <v>0</v>
      </c>
      <c r="BN57" s="164">
        <v>0</v>
      </c>
      <c r="BO57" s="164">
        <v>14000</v>
      </c>
      <c r="BP57" s="164">
        <v>0</v>
      </c>
      <c r="BQ57" s="164">
        <v>14000</v>
      </c>
      <c r="BR57" s="164">
        <v>839066</v>
      </c>
      <c r="BS57" s="164">
        <v>212869</v>
      </c>
      <c r="BT57" s="164">
        <v>42955</v>
      </c>
      <c r="BU57" s="164">
        <v>432633</v>
      </c>
      <c r="BV57" s="164">
        <v>10306237</v>
      </c>
      <c r="BW57" s="164">
        <v>11833760</v>
      </c>
      <c r="BX57" s="164">
        <v>0</v>
      </c>
      <c r="BY57" s="164">
        <v>0</v>
      </c>
      <c r="BZ57" s="164">
        <v>0</v>
      </c>
      <c r="CA57" s="164">
        <v>0</v>
      </c>
      <c r="CB57" s="164">
        <v>0</v>
      </c>
      <c r="CC57" s="164">
        <v>0</v>
      </c>
      <c r="CD57" s="164">
        <v>0</v>
      </c>
      <c r="CE57" s="164">
        <v>0</v>
      </c>
      <c r="CF57" s="164">
        <v>0</v>
      </c>
      <c r="CG57" s="164">
        <v>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0</v>
      </c>
      <c r="CN57" s="164">
        <v>0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11129461</v>
      </c>
      <c r="CW57" s="164">
        <v>3908102</v>
      </c>
      <c r="CX57" s="164">
        <v>52570</v>
      </c>
      <c r="CY57" s="164">
        <v>920710</v>
      </c>
      <c r="CZ57" s="164">
        <v>87906</v>
      </c>
      <c r="DA57" s="164">
        <v>16098749</v>
      </c>
      <c r="DB57" s="164">
        <v>2040000</v>
      </c>
      <c r="DC57" s="164">
        <v>180000</v>
      </c>
      <c r="DD57" s="164">
        <v>60000</v>
      </c>
      <c r="DE57" s="164">
        <v>120000</v>
      </c>
      <c r="DF57" s="164">
        <v>88673</v>
      </c>
      <c r="DG57" s="164">
        <v>2488673</v>
      </c>
      <c r="DH57" s="164">
        <v>4974461</v>
      </c>
      <c r="DI57" s="164">
        <v>105816</v>
      </c>
      <c r="DJ57" s="164">
        <v>41499</v>
      </c>
      <c r="DK57" s="164">
        <v>640630</v>
      </c>
      <c r="DL57" s="164">
        <v>2465848</v>
      </c>
      <c r="DM57" s="164">
        <v>8228254</v>
      </c>
      <c r="DN57" s="164">
        <v>6681279</v>
      </c>
      <c r="DO57" s="164">
        <v>851725</v>
      </c>
      <c r="DP57" s="164">
        <v>358276</v>
      </c>
      <c r="DQ57" s="164">
        <v>1136463</v>
      </c>
      <c r="DR57" s="164">
        <v>4112305</v>
      </c>
      <c r="DS57" s="164">
        <v>13140048</v>
      </c>
      <c r="DT57" s="164">
        <v>0</v>
      </c>
      <c r="DU57" s="164">
        <v>0</v>
      </c>
      <c r="DV57" s="164">
        <v>0</v>
      </c>
      <c r="DW57" s="164">
        <v>0</v>
      </c>
      <c r="DX57" s="164">
        <v>0</v>
      </c>
      <c r="DY57" s="164">
        <v>0</v>
      </c>
      <c r="DZ57" s="164">
        <v>0</v>
      </c>
      <c r="EA57" s="164">
        <v>0</v>
      </c>
      <c r="EB57" s="164">
        <v>0</v>
      </c>
      <c r="EC57" s="164">
        <v>0</v>
      </c>
      <c r="ED57" s="164">
        <v>34477</v>
      </c>
      <c r="EE57" s="164">
        <v>34477</v>
      </c>
      <c r="EF57" s="164">
        <v>378135</v>
      </c>
      <c r="EG57" s="164">
        <v>170186</v>
      </c>
      <c r="EH57" s="164">
        <v>238678</v>
      </c>
      <c r="EI57" s="164">
        <v>205258</v>
      </c>
      <c r="EJ57" s="164">
        <v>1517412</v>
      </c>
      <c r="EK57" s="164">
        <v>2509669</v>
      </c>
      <c r="EL57" s="164">
        <v>60164128</v>
      </c>
      <c r="EM57" s="164">
        <v>8454574</v>
      </c>
      <c r="EN57" s="164">
        <v>1503162</v>
      </c>
      <c r="EO57" s="164">
        <v>6062970</v>
      </c>
      <c r="EP57" s="164">
        <v>18612858</v>
      </c>
      <c r="EQ57" s="164">
        <v>94797692</v>
      </c>
      <c r="ER57" s="164">
        <v>2909759</v>
      </c>
      <c r="ES57" s="164">
        <v>456376</v>
      </c>
      <c r="ET57" s="164">
        <v>441168</v>
      </c>
      <c r="EU57" s="164">
        <v>5717926</v>
      </c>
      <c r="EV57" s="164">
        <v>6000</v>
      </c>
      <c r="EW57" s="164">
        <v>9531229</v>
      </c>
      <c r="EX57" s="164">
        <v>3570000</v>
      </c>
      <c r="EY57" s="164">
        <v>605130</v>
      </c>
      <c r="EZ57" s="164">
        <v>158912</v>
      </c>
      <c r="FA57" s="164">
        <v>173027</v>
      </c>
      <c r="FB57" s="164">
        <v>0</v>
      </c>
      <c r="FC57" s="164">
        <v>4507069</v>
      </c>
      <c r="FD57" s="164">
        <v>6548010</v>
      </c>
      <c r="FE57" s="164">
        <v>2721284</v>
      </c>
      <c r="FF57" s="164">
        <v>1410127</v>
      </c>
      <c r="FG57" s="164">
        <v>4910291</v>
      </c>
      <c r="FH57" s="164">
        <v>0</v>
      </c>
      <c r="FI57" s="164">
        <v>15589712</v>
      </c>
      <c r="FJ57" s="164">
        <v>0</v>
      </c>
      <c r="FK57" s="152">
        <v>0</v>
      </c>
      <c r="FL57" s="152">
        <v>0</v>
      </c>
      <c r="FM57" s="152">
        <v>0</v>
      </c>
      <c r="FN57" s="164">
        <v>0</v>
      </c>
      <c r="FO57" s="164">
        <v>0</v>
      </c>
      <c r="FP57" s="164">
        <v>1675561</v>
      </c>
      <c r="FQ57" s="164">
        <v>335881</v>
      </c>
      <c r="FR57" s="164">
        <v>298841</v>
      </c>
      <c r="FS57" s="164">
        <v>1435259</v>
      </c>
      <c r="FT57" s="164">
        <v>14436712</v>
      </c>
      <c r="FU57" s="164">
        <v>18182254</v>
      </c>
      <c r="FV57" s="164">
        <v>0</v>
      </c>
      <c r="FW57" s="164">
        <v>0</v>
      </c>
      <c r="FX57" s="164">
        <v>0</v>
      </c>
      <c r="FY57" s="164">
        <v>0</v>
      </c>
      <c r="FZ57" s="164">
        <v>0</v>
      </c>
      <c r="GA57" s="164">
        <v>0</v>
      </c>
      <c r="GB57" s="164">
        <v>0</v>
      </c>
      <c r="GC57" s="164">
        <v>0</v>
      </c>
      <c r="GD57" s="164">
        <v>0</v>
      </c>
      <c r="GE57" s="164">
        <v>0</v>
      </c>
      <c r="GF57" s="164">
        <v>0</v>
      </c>
      <c r="GG57" s="164">
        <v>0</v>
      </c>
      <c r="GH57" s="164">
        <v>904269</v>
      </c>
      <c r="GI57" s="164">
        <v>416096</v>
      </c>
      <c r="GJ57" s="164">
        <v>163298</v>
      </c>
      <c r="GK57" s="164">
        <v>576452</v>
      </c>
      <c r="GL57" s="164">
        <v>0</v>
      </c>
      <c r="GM57" s="164">
        <v>2060115</v>
      </c>
      <c r="GN57" s="164">
        <v>736043</v>
      </c>
      <c r="GO57" s="164">
        <v>703306</v>
      </c>
      <c r="GP57" s="164">
        <v>627319</v>
      </c>
      <c r="GQ57" s="164">
        <v>3032094</v>
      </c>
      <c r="GR57" s="164">
        <v>227491</v>
      </c>
      <c r="GS57" s="164">
        <v>5326253</v>
      </c>
      <c r="GT57" s="164">
        <v>953753</v>
      </c>
      <c r="GU57" s="164">
        <v>80394</v>
      </c>
      <c r="GV57" s="164">
        <v>70508</v>
      </c>
      <c r="GW57" s="164">
        <v>999762</v>
      </c>
      <c r="GX57" s="164">
        <v>594370</v>
      </c>
      <c r="GY57" s="164">
        <v>2698787</v>
      </c>
      <c r="GZ57" s="164">
        <v>1826595</v>
      </c>
      <c r="HA57" s="164">
        <v>587558</v>
      </c>
      <c r="HB57" s="164">
        <v>466197</v>
      </c>
      <c r="HC57" s="164">
        <v>668369</v>
      </c>
      <c r="HD57" s="164">
        <v>611626</v>
      </c>
      <c r="HE57" s="164">
        <v>4160345</v>
      </c>
      <c r="HF57" s="164">
        <v>5896</v>
      </c>
      <c r="HG57" s="164">
        <v>59</v>
      </c>
      <c r="HH57" s="164">
        <v>298</v>
      </c>
      <c r="HI57" s="164">
        <v>92</v>
      </c>
      <c r="HJ57" s="164">
        <v>761736</v>
      </c>
      <c r="HK57" s="164">
        <v>768081</v>
      </c>
      <c r="HL57" s="164">
        <v>0</v>
      </c>
      <c r="HM57" s="164">
        <v>0</v>
      </c>
      <c r="HN57" s="164">
        <v>0</v>
      </c>
      <c r="HO57" s="164">
        <v>0</v>
      </c>
      <c r="HP57" s="164">
        <v>0</v>
      </c>
      <c r="HQ57" s="164">
        <v>0</v>
      </c>
      <c r="HR57" s="164">
        <v>998351</v>
      </c>
      <c r="HS57" s="164">
        <v>225004</v>
      </c>
      <c r="HT57" s="164">
        <v>255004</v>
      </c>
      <c r="HU57" s="164">
        <v>237214</v>
      </c>
      <c r="HV57" s="164">
        <v>11515680</v>
      </c>
      <c r="HW57" s="164">
        <v>13231253</v>
      </c>
      <c r="HX57" s="164">
        <v>0</v>
      </c>
      <c r="HY57" s="164">
        <v>0</v>
      </c>
      <c r="HZ57" s="164">
        <v>0</v>
      </c>
      <c r="IA57" s="164">
        <v>0</v>
      </c>
      <c r="IB57" s="164">
        <v>102474</v>
      </c>
      <c r="IC57" s="164">
        <v>102474</v>
      </c>
      <c r="ID57" s="164">
        <v>0</v>
      </c>
      <c r="IE57" s="164">
        <v>0</v>
      </c>
      <c r="IF57" s="164">
        <v>0</v>
      </c>
      <c r="IG57" s="164">
        <v>0</v>
      </c>
      <c r="IH57" s="164">
        <v>0</v>
      </c>
      <c r="II57" s="164">
        <v>0</v>
      </c>
      <c r="IJ57" s="164">
        <v>0</v>
      </c>
      <c r="IK57" s="164">
        <v>0</v>
      </c>
      <c r="IL57" s="164">
        <v>0</v>
      </c>
      <c r="IM57" s="164">
        <v>0</v>
      </c>
      <c r="IN57" s="164">
        <v>746214</v>
      </c>
      <c r="IO57" s="164">
        <v>746214</v>
      </c>
      <c r="IP57" s="164">
        <v>3357</v>
      </c>
      <c r="IQ57" s="164">
        <v>882</v>
      </c>
      <c r="IR57" s="164">
        <v>1019</v>
      </c>
      <c r="IS57" s="164">
        <v>13438</v>
      </c>
      <c r="IT57" s="164">
        <v>114703</v>
      </c>
      <c r="IU57" s="164">
        <v>133399</v>
      </c>
      <c r="IV57" s="164">
        <v>3712871</v>
      </c>
      <c r="IW57" s="164">
        <v>206192</v>
      </c>
      <c r="IX57" s="164">
        <v>120078</v>
      </c>
      <c r="IY57" s="164">
        <v>1570583</v>
      </c>
      <c r="IZ57" s="164">
        <v>8292364</v>
      </c>
      <c r="JA57" s="164">
        <v>13902088</v>
      </c>
      <c r="JB57" s="164">
        <v>23844465</v>
      </c>
      <c r="JC57" s="164">
        <v>6338162</v>
      </c>
      <c r="JD57" s="164">
        <v>4012769</v>
      </c>
      <c r="JE57" s="164">
        <v>19334507</v>
      </c>
      <c r="JF57" s="164">
        <v>37409370</v>
      </c>
      <c r="JG57" s="164">
        <v>90939273</v>
      </c>
      <c r="JH57" s="164">
        <v>0</v>
      </c>
      <c r="JI57" s="164">
        <v>0</v>
      </c>
      <c r="JJ57" s="164">
        <v>0</v>
      </c>
      <c r="JK57" s="164">
        <v>0</v>
      </c>
      <c r="JL57" s="164">
        <v>3674316</v>
      </c>
      <c r="JM57" s="164">
        <v>3674316</v>
      </c>
      <c r="JN57" s="164">
        <v>23844465</v>
      </c>
      <c r="JO57" s="164">
        <v>6338162</v>
      </c>
      <c r="JP57" s="164">
        <v>4012769</v>
      </c>
      <c r="JQ57" s="164">
        <v>19334507</v>
      </c>
      <c r="JR57" s="164">
        <v>41083686</v>
      </c>
      <c r="JS57" s="164">
        <v>94613589</v>
      </c>
      <c r="JU57" s="70">
        <f t="shared" si="80"/>
        <v>40450062</v>
      </c>
      <c r="JV57" s="70">
        <f t="shared" si="81"/>
        <v>0</v>
      </c>
      <c r="JW57" s="70">
        <f t="shared" si="82"/>
        <v>0</v>
      </c>
      <c r="JX57" s="70">
        <f t="shared" si="83"/>
        <v>0</v>
      </c>
      <c r="JY57" s="70">
        <f t="shared" si="84"/>
        <v>14000</v>
      </c>
      <c r="JZ57" s="70">
        <f t="shared" si="85"/>
        <v>0</v>
      </c>
      <c r="KA57" s="70">
        <f t="shared" si="86"/>
        <v>11833760</v>
      </c>
      <c r="KB57" s="70">
        <f t="shared" si="87"/>
        <v>0</v>
      </c>
      <c r="KC57" s="70">
        <f t="shared" si="88"/>
        <v>0</v>
      </c>
      <c r="KD57" s="70">
        <f t="shared" si="89"/>
        <v>0</v>
      </c>
      <c r="KE57" s="70">
        <f t="shared" si="90"/>
        <v>0</v>
      </c>
      <c r="KF57" s="70">
        <f t="shared" si="91"/>
        <v>0</v>
      </c>
      <c r="KG57" s="70">
        <f t="shared" si="92"/>
        <v>0</v>
      </c>
      <c r="KH57" s="70">
        <f t="shared" si="93"/>
        <v>0</v>
      </c>
      <c r="KI57" s="70">
        <f t="shared" si="94"/>
        <v>0</v>
      </c>
      <c r="KJ57" s="70">
        <f t="shared" si="95"/>
        <v>0</v>
      </c>
      <c r="KK57" s="70">
        <f t="shared" si="96"/>
        <v>16098749</v>
      </c>
      <c r="KL57" s="70">
        <f t="shared" si="97"/>
        <v>0</v>
      </c>
      <c r="KM57" s="70">
        <f t="shared" si="98"/>
        <v>2488673</v>
      </c>
      <c r="KN57" s="70">
        <f t="shared" si="99"/>
        <v>0</v>
      </c>
      <c r="KO57" s="70">
        <f t="shared" si="100"/>
        <v>8228254</v>
      </c>
      <c r="KP57" s="70">
        <f t="shared" si="101"/>
        <v>0</v>
      </c>
      <c r="KQ57" s="70">
        <f t="shared" si="102"/>
        <v>13140048</v>
      </c>
      <c r="KR57" s="70">
        <f t="shared" si="103"/>
        <v>0</v>
      </c>
      <c r="KS57" s="70">
        <f t="shared" si="104"/>
        <v>0</v>
      </c>
      <c r="KT57" s="70">
        <f t="shared" si="105"/>
        <v>0</v>
      </c>
      <c r="KU57" s="70">
        <f t="shared" si="106"/>
        <v>34477</v>
      </c>
      <c r="KV57" s="70">
        <f t="shared" si="107"/>
        <v>0</v>
      </c>
      <c r="KW57" s="70">
        <f t="shared" si="108"/>
        <v>2509669</v>
      </c>
      <c r="KX57" s="70">
        <f t="shared" si="109"/>
        <v>0</v>
      </c>
      <c r="KY57" s="70">
        <f t="shared" si="110"/>
        <v>94797692</v>
      </c>
      <c r="KZ57" s="70">
        <f t="shared" si="111"/>
        <v>0</v>
      </c>
      <c r="LA57" s="70">
        <f t="shared" si="150"/>
        <v>9531229</v>
      </c>
      <c r="LB57" s="70">
        <f t="shared" si="112"/>
        <v>0</v>
      </c>
      <c r="LC57" s="70">
        <f t="shared" si="113"/>
        <v>4507069</v>
      </c>
      <c r="LD57" s="70">
        <f t="shared" si="114"/>
        <v>0</v>
      </c>
      <c r="LE57" s="70">
        <f t="shared" si="115"/>
        <v>15589712</v>
      </c>
      <c r="LF57" s="70">
        <f t="shared" si="116"/>
        <v>0</v>
      </c>
      <c r="LG57" s="70">
        <f t="shared" si="155"/>
        <v>0</v>
      </c>
      <c r="LH57" s="70">
        <f t="shared" si="156"/>
        <v>0</v>
      </c>
      <c r="LI57" s="70">
        <f t="shared" si="151"/>
        <v>18182254</v>
      </c>
      <c r="LJ57" s="70">
        <f t="shared" si="152"/>
        <v>0</v>
      </c>
      <c r="LK57" s="70">
        <f t="shared" si="153"/>
        <v>0</v>
      </c>
      <c r="LL57" s="70">
        <f t="shared" si="154"/>
        <v>0</v>
      </c>
      <c r="LM57" s="70">
        <f t="shared" si="117"/>
        <v>0</v>
      </c>
      <c r="LN57" s="70">
        <f t="shared" si="118"/>
        <v>0</v>
      </c>
      <c r="LO57" s="70">
        <f t="shared" si="119"/>
        <v>2060115</v>
      </c>
      <c r="LP57" s="70">
        <f t="shared" si="120"/>
        <v>0</v>
      </c>
      <c r="LQ57" s="70">
        <f t="shared" si="121"/>
        <v>5326253</v>
      </c>
      <c r="LR57" s="70">
        <f t="shared" si="122"/>
        <v>0</v>
      </c>
      <c r="LS57" s="70">
        <f t="shared" si="123"/>
        <v>2698787</v>
      </c>
      <c r="LT57" s="70">
        <f t="shared" si="124"/>
        <v>0</v>
      </c>
      <c r="LU57" s="70">
        <f t="shared" si="125"/>
        <v>4160345</v>
      </c>
      <c r="LV57" s="70">
        <f t="shared" si="126"/>
        <v>0</v>
      </c>
      <c r="LW57" s="70">
        <f t="shared" si="127"/>
        <v>768081</v>
      </c>
      <c r="LX57" s="70">
        <f t="shared" si="128"/>
        <v>0</v>
      </c>
      <c r="LY57" s="70">
        <f t="shared" si="129"/>
        <v>0</v>
      </c>
      <c r="LZ57" s="70">
        <f t="shared" si="130"/>
        <v>0</v>
      </c>
      <c r="MA57" s="70">
        <f t="shared" si="131"/>
        <v>13231253</v>
      </c>
      <c r="MB57" s="70">
        <f t="shared" si="132"/>
        <v>0</v>
      </c>
      <c r="MC57" s="70">
        <f t="shared" si="133"/>
        <v>102474</v>
      </c>
      <c r="MD57" s="70">
        <f t="shared" si="134"/>
        <v>0</v>
      </c>
      <c r="ME57" s="70">
        <f t="shared" si="135"/>
        <v>0</v>
      </c>
      <c r="MF57" s="70">
        <f t="shared" si="136"/>
        <v>0</v>
      </c>
      <c r="MG57" s="70">
        <f t="shared" si="137"/>
        <v>746214</v>
      </c>
      <c r="MH57" s="70">
        <f t="shared" si="138"/>
        <v>0</v>
      </c>
      <c r="MI57" s="70">
        <f t="shared" si="139"/>
        <v>133399</v>
      </c>
      <c r="MJ57" s="70">
        <f t="shared" si="140"/>
        <v>0</v>
      </c>
      <c r="MK57" s="70">
        <f t="shared" si="141"/>
        <v>13902088</v>
      </c>
      <c r="ML57" s="70">
        <f t="shared" si="142"/>
        <v>0</v>
      </c>
      <c r="MM57" s="70">
        <f t="shared" si="143"/>
        <v>90939273</v>
      </c>
      <c r="MN57" s="70">
        <f t="shared" si="144"/>
        <v>0</v>
      </c>
      <c r="MO57" s="70">
        <f t="shared" si="145"/>
        <v>3674316</v>
      </c>
      <c r="MP57" s="70">
        <f t="shared" si="146"/>
        <v>0</v>
      </c>
      <c r="MQ57" s="70">
        <f t="shared" si="147"/>
        <v>94613589</v>
      </c>
      <c r="MR57" s="70">
        <f t="shared" si="148"/>
        <v>0</v>
      </c>
      <c r="MT57" s="70">
        <f t="shared" si="149"/>
        <v>0</v>
      </c>
      <c r="MV57" s="68">
        <f t="shared" si="77"/>
        <v>0</v>
      </c>
    </row>
    <row r="58" spans="1:360" x14ac:dyDescent="0.15">
      <c r="A58" s="182" t="s">
        <v>332</v>
      </c>
      <c r="B58" s="76" t="s">
        <v>425</v>
      </c>
      <c r="C58" s="90">
        <v>182290</v>
      </c>
      <c r="D58" s="90">
        <v>2014</v>
      </c>
      <c r="E58" s="90">
        <v>1</v>
      </c>
      <c r="F58" s="91">
        <v>10</v>
      </c>
      <c r="G58" s="97">
        <v>6097</v>
      </c>
      <c r="H58" s="97">
        <v>6822</v>
      </c>
      <c r="I58" s="99">
        <v>555097000</v>
      </c>
      <c r="J58" s="93">
        <v>527172897</v>
      </c>
      <c r="K58" s="98">
        <v>505630</v>
      </c>
      <c r="L58" s="93">
        <v>238558</v>
      </c>
      <c r="M58" s="98">
        <v>19433000</v>
      </c>
      <c r="N58" s="93">
        <v>105611403</v>
      </c>
      <c r="O58" s="93"/>
      <c r="P58" s="93"/>
      <c r="Q58" s="98"/>
      <c r="R58" s="93"/>
      <c r="S58" s="98"/>
      <c r="T58" s="93"/>
      <c r="U58" s="99"/>
      <c r="V58" s="99"/>
      <c r="W58" s="99"/>
      <c r="X58" s="99"/>
      <c r="Y58" s="99"/>
      <c r="Z58" s="99"/>
      <c r="AA58" s="99"/>
      <c r="AB58" s="93"/>
      <c r="AC58" s="128">
        <v>5</v>
      </c>
      <c r="AD58" s="128">
        <v>10</v>
      </c>
      <c r="AE58" s="128">
        <v>1</v>
      </c>
      <c r="AF58" s="115">
        <v>3219131</v>
      </c>
      <c r="AG58" s="115">
        <v>2707781</v>
      </c>
      <c r="AH58" s="115">
        <v>418828</v>
      </c>
      <c r="AI58" s="115">
        <v>124005</v>
      </c>
      <c r="AJ58" s="126">
        <v>287838</v>
      </c>
      <c r="AK58" s="116">
        <v>5.0599999999999996</v>
      </c>
      <c r="AL58" s="115">
        <v>242743</v>
      </c>
      <c r="AM58" s="116">
        <v>6</v>
      </c>
      <c r="AN58" s="115">
        <v>104496</v>
      </c>
      <c r="AO58" s="116">
        <v>8.06</v>
      </c>
      <c r="AP58" s="126">
        <v>93582</v>
      </c>
      <c r="AQ58" s="116">
        <v>9</v>
      </c>
      <c r="AR58" s="129">
        <v>166624</v>
      </c>
      <c r="AS58" s="127">
        <v>14.43</v>
      </c>
      <c r="AT58" s="126">
        <v>160292</v>
      </c>
      <c r="AU58" s="127">
        <v>15</v>
      </c>
      <c r="AV58" s="126">
        <v>73212</v>
      </c>
      <c r="AW58" s="127">
        <v>13</v>
      </c>
      <c r="AX58" s="126">
        <v>73212</v>
      </c>
      <c r="AY58" s="127">
        <v>13</v>
      </c>
      <c r="AZ58" s="164">
        <v>2760103</v>
      </c>
      <c r="BA58" s="164">
        <v>1081963</v>
      </c>
      <c r="BB58" s="166">
        <v>31265</v>
      </c>
      <c r="BC58" s="164">
        <v>68065</v>
      </c>
      <c r="BD58" s="164">
        <v>15858</v>
      </c>
      <c r="BE58" s="164">
        <v>3957254</v>
      </c>
      <c r="BF58" s="164">
        <v>0</v>
      </c>
      <c r="BG58" s="164">
        <v>0</v>
      </c>
      <c r="BH58" s="164">
        <v>0</v>
      </c>
      <c r="BI58" s="164">
        <v>0</v>
      </c>
      <c r="BJ58" s="164">
        <v>2467011</v>
      </c>
      <c r="BK58" s="164">
        <v>2467011</v>
      </c>
      <c r="BL58" s="164">
        <v>1100000</v>
      </c>
      <c r="BM58" s="164">
        <v>2500</v>
      </c>
      <c r="BN58" s="164">
        <v>0</v>
      </c>
      <c r="BO58" s="164">
        <v>34000</v>
      </c>
      <c r="BP58" s="164">
        <v>0</v>
      </c>
      <c r="BQ58" s="164">
        <v>1136500</v>
      </c>
      <c r="BR58" s="164">
        <v>894773</v>
      </c>
      <c r="BS58" s="164">
        <v>1603194</v>
      </c>
      <c r="BT58" s="166">
        <v>209121</v>
      </c>
      <c r="BU58" s="164">
        <v>630151</v>
      </c>
      <c r="BV58" s="164">
        <v>1610906</v>
      </c>
      <c r="BW58" s="164">
        <v>4948145</v>
      </c>
      <c r="BX58" s="139">
        <v>0</v>
      </c>
      <c r="BY58" s="139">
        <v>0</v>
      </c>
      <c r="BZ58" s="139">
        <v>0</v>
      </c>
      <c r="CA58" s="139">
        <v>0</v>
      </c>
      <c r="CB58" s="139">
        <v>0</v>
      </c>
      <c r="CC58" s="139">
        <v>0</v>
      </c>
      <c r="CD58" s="139">
        <v>164816</v>
      </c>
      <c r="CE58" s="164">
        <v>0</v>
      </c>
      <c r="CF58" s="167">
        <v>0</v>
      </c>
      <c r="CG58" s="164">
        <v>543900</v>
      </c>
      <c r="CH58" s="164">
        <v>4256514</v>
      </c>
      <c r="CI58" s="139">
        <v>4965230</v>
      </c>
      <c r="CJ58" s="139">
        <v>0</v>
      </c>
      <c r="CK58" s="164">
        <v>0</v>
      </c>
      <c r="CL58" s="166">
        <v>0</v>
      </c>
      <c r="CM58" s="164">
        <v>0</v>
      </c>
      <c r="CN58" s="164">
        <v>1485071</v>
      </c>
      <c r="CO58" s="139">
        <v>1485071</v>
      </c>
      <c r="CP58" s="139">
        <v>0</v>
      </c>
      <c r="CQ58" s="139">
        <v>0</v>
      </c>
      <c r="CR58" s="139">
        <v>0</v>
      </c>
      <c r="CS58" s="139">
        <v>0</v>
      </c>
      <c r="CT58" s="139">
        <v>1767831</v>
      </c>
      <c r="CU58" s="139">
        <v>1767831</v>
      </c>
      <c r="CV58" s="139">
        <v>1182830</v>
      </c>
      <c r="CW58" s="164">
        <v>861550</v>
      </c>
      <c r="CX58" s="164">
        <v>0</v>
      </c>
      <c r="CY58" s="164">
        <v>0</v>
      </c>
      <c r="CZ58" s="164">
        <v>1137091</v>
      </c>
      <c r="DA58" s="164">
        <v>3181471</v>
      </c>
      <c r="DB58" s="164">
        <v>200000</v>
      </c>
      <c r="DC58" s="164">
        <v>200000</v>
      </c>
      <c r="DD58" s="164">
        <v>0</v>
      </c>
      <c r="DE58" s="164">
        <v>0</v>
      </c>
      <c r="DF58" s="164">
        <v>0</v>
      </c>
      <c r="DG58" s="164">
        <v>400000</v>
      </c>
      <c r="DH58" s="139">
        <v>229395</v>
      </c>
      <c r="DI58" s="164">
        <v>0</v>
      </c>
      <c r="DJ58" s="166">
        <v>0</v>
      </c>
      <c r="DK58" s="164">
        <v>14459</v>
      </c>
      <c r="DL58" s="164">
        <v>1740</v>
      </c>
      <c r="DM58" s="164">
        <v>245594</v>
      </c>
      <c r="DN58" s="139">
        <v>0</v>
      </c>
      <c r="DO58" s="139">
        <v>0</v>
      </c>
      <c r="DP58" s="139">
        <v>0</v>
      </c>
      <c r="DQ58" s="139">
        <v>0</v>
      </c>
      <c r="DR58" s="139">
        <v>1053352</v>
      </c>
      <c r="DS58" s="139">
        <v>1053352</v>
      </c>
      <c r="DT58" s="139">
        <v>0</v>
      </c>
      <c r="DU58" s="139">
        <v>0</v>
      </c>
      <c r="DV58" s="139">
        <v>0</v>
      </c>
      <c r="DW58" s="139">
        <v>0</v>
      </c>
      <c r="DX58" s="139">
        <v>0</v>
      </c>
      <c r="DY58" s="139">
        <v>0</v>
      </c>
      <c r="DZ58" s="166">
        <v>0</v>
      </c>
      <c r="EA58" s="164">
        <v>0</v>
      </c>
      <c r="EB58" s="164">
        <v>0</v>
      </c>
      <c r="EC58" s="164">
        <v>0</v>
      </c>
      <c r="ED58" s="164">
        <v>333423</v>
      </c>
      <c r="EE58" s="166">
        <v>333423</v>
      </c>
      <c r="EF58" s="164">
        <v>113911</v>
      </c>
      <c r="EG58" s="164">
        <v>61045</v>
      </c>
      <c r="EH58" s="164">
        <v>16185</v>
      </c>
      <c r="EI58" s="164">
        <v>203127</v>
      </c>
      <c r="EJ58" s="164">
        <v>989188</v>
      </c>
      <c r="EK58" s="164">
        <v>1383456</v>
      </c>
      <c r="EL58" s="164">
        <v>6645828</v>
      </c>
      <c r="EM58" s="164">
        <v>3810252</v>
      </c>
      <c r="EN58" s="164">
        <v>256571</v>
      </c>
      <c r="EO58" s="164">
        <v>1493702</v>
      </c>
      <c r="EP58" s="164">
        <v>15117985</v>
      </c>
      <c r="EQ58" s="164">
        <v>27324338</v>
      </c>
      <c r="ER58" s="164">
        <v>2176563</v>
      </c>
      <c r="ES58" s="164">
        <v>465319</v>
      </c>
      <c r="ET58" s="164">
        <v>339647</v>
      </c>
      <c r="EU58" s="164">
        <v>3052620</v>
      </c>
      <c r="EV58" s="164">
        <v>0</v>
      </c>
      <c r="EW58" s="164">
        <v>6034149</v>
      </c>
      <c r="EX58" s="166">
        <v>500006</v>
      </c>
      <c r="EY58" s="164">
        <v>138500</v>
      </c>
      <c r="EZ58" s="164">
        <v>21000</v>
      </c>
      <c r="FA58" s="164">
        <v>13484</v>
      </c>
      <c r="FB58" s="164">
        <v>0</v>
      </c>
      <c r="FC58" s="164">
        <v>672990</v>
      </c>
      <c r="FD58" s="164">
        <v>2393327</v>
      </c>
      <c r="FE58" s="164">
        <v>997925</v>
      </c>
      <c r="FF58" s="167">
        <v>573890</v>
      </c>
      <c r="FG58" s="166">
        <v>1689700</v>
      </c>
      <c r="FH58" s="164">
        <v>0</v>
      </c>
      <c r="FI58" s="166">
        <v>5654842</v>
      </c>
      <c r="FJ58" s="166">
        <v>0</v>
      </c>
      <c r="FK58" s="166">
        <v>0</v>
      </c>
      <c r="FL58" s="166">
        <v>0</v>
      </c>
      <c r="FM58" s="166">
        <v>0</v>
      </c>
      <c r="FN58" s="166">
        <v>0</v>
      </c>
      <c r="FO58" s="166">
        <v>0</v>
      </c>
      <c r="FP58" s="139">
        <v>0</v>
      </c>
      <c r="FQ58" s="139">
        <v>0</v>
      </c>
      <c r="FR58" s="139">
        <v>0</v>
      </c>
      <c r="FS58" s="139">
        <v>0</v>
      </c>
      <c r="FT58" s="139">
        <v>3630922</v>
      </c>
      <c r="FU58" s="139">
        <v>3630922</v>
      </c>
      <c r="FV58" s="139">
        <v>0</v>
      </c>
      <c r="FW58" s="139">
        <v>0</v>
      </c>
      <c r="FX58" s="139">
        <v>0</v>
      </c>
      <c r="FY58" s="139">
        <v>0</v>
      </c>
      <c r="FZ58" s="139">
        <v>0</v>
      </c>
      <c r="GA58" s="139">
        <v>0</v>
      </c>
      <c r="GB58" s="139">
        <v>0</v>
      </c>
      <c r="GC58" s="139">
        <v>0</v>
      </c>
      <c r="GD58" s="139">
        <v>0</v>
      </c>
      <c r="GE58" s="139">
        <v>0</v>
      </c>
      <c r="GF58" s="139">
        <v>0</v>
      </c>
      <c r="GG58" s="139">
        <v>0</v>
      </c>
      <c r="GH58" s="139">
        <v>261828</v>
      </c>
      <c r="GI58" s="139">
        <v>105457</v>
      </c>
      <c r="GJ58" s="139">
        <v>48396</v>
      </c>
      <c r="GK58" s="139">
        <v>127152</v>
      </c>
      <c r="GL58" s="139">
        <v>384</v>
      </c>
      <c r="GM58" s="139">
        <v>543217</v>
      </c>
      <c r="GN58" s="139">
        <v>719475</v>
      </c>
      <c r="GO58" s="139">
        <v>450269</v>
      </c>
      <c r="GP58" s="139">
        <v>206560</v>
      </c>
      <c r="GQ58" s="139">
        <v>1097939</v>
      </c>
      <c r="GR58" s="139">
        <v>19085</v>
      </c>
      <c r="GS58" s="139">
        <v>2493328</v>
      </c>
      <c r="GT58" s="139">
        <v>263258</v>
      </c>
      <c r="GU58" s="139">
        <v>23591</v>
      </c>
      <c r="GV58" s="139">
        <v>34546</v>
      </c>
      <c r="GW58" s="139">
        <v>301653</v>
      </c>
      <c r="GX58" s="139">
        <v>63834</v>
      </c>
      <c r="GY58" s="139">
        <v>686882</v>
      </c>
      <c r="GZ58" s="139">
        <v>599435</v>
      </c>
      <c r="HA58" s="139">
        <v>157104</v>
      </c>
      <c r="HB58" s="139">
        <v>122670</v>
      </c>
      <c r="HC58" s="139">
        <v>159866</v>
      </c>
      <c r="HD58" s="139">
        <v>0</v>
      </c>
      <c r="HE58" s="139">
        <v>1039075</v>
      </c>
      <c r="HF58" s="139">
        <v>0</v>
      </c>
      <c r="HG58" s="139">
        <v>0</v>
      </c>
      <c r="HH58" s="139">
        <v>0</v>
      </c>
      <c r="HI58" s="139">
        <v>0</v>
      </c>
      <c r="HJ58" s="139">
        <v>326941</v>
      </c>
      <c r="HK58" s="139">
        <v>326941</v>
      </c>
      <c r="HL58" s="139">
        <v>0</v>
      </c>
      <c r="HM58" s="139">
        <v>0</v>
      </c>
      <c r="HN58" s="139">
        <v>0</v>
      </c>
      <c r="HO58" s="139">
        <v>0</v>
      </c>
      <c r="HP58" s="139">
        <v>0</v>
      </c>
      <c r="HQ58" s="139">
        <v>0</v>
      </c>
      <c r="HR58" s="139">
        <v>0</v>
      </c>
      <c r="HS58" s="139">
        <v>0</v>
      </c>
      <c r="HT58" s="139">
        <v>0</v>
      </c>
      <c r="HU58" s="139">
        <v>0</v>
      </c>
      <c r="HV58" s="139">
        <v>1281928</v>
      </c>
      <c r="HW58" s="139">
        <v>1281928</v>
      </c>
      <c r="HX58" s="139">
        <v>0</v>
      </c>
      <c r="HY58" s="139">
        <v>0</v>
      </c>
      <c r="HZ58" s="139">
        <v>0</v>
      </c>
      <c r="IA58" s="139">
        <v>0</v>
      </c>
      <c r="IB58" s="139">
        <v>97256</v>
      </c>
      <c r="IC58" s="139">
        <v>97256</v>
      </c>
      <c r="ID58" s="139">
        <v>0</v>
      </c>
      <c r="IE58" s="139">
        <v>0</v>
      </c>
      <c r="IF58" s="139">
        <v>0</v>
      </c>
      <c r="IG58" s="139">
        <v>0</v>
      </c>
      <c r="IH58" s="139">
        <v>1767831</v>
      </c>
      <c r="II58" s="139">
        <v>1767831</v>
      </c>
      <c r="IJ58" s="139">
        <v>0</v>
      </c>
      <c r="IK58" s="139">
        <v>0</v>
      </c>
      <c r="IL58" s="139">
        <v>0</v>
      </c>
      <c r="IM58" s="139">
        <v>0</v>
      </c>
      <c r="IN58" s="139">
        <v>296121</v>
      </c>
      <c r="IO58" s="139">
        <v>296121</v>
      </c>
      <c r="IP58" s="139">
        <v>0</v>
      </c>
      <c r="IQ58" s="139">
        <v>505</v>
      </c>
      <c r="IR58" s="139">
        <v>85</v>
      </c>
      <c r="IS58" s="139">
        <v>4558</v>
      </c>
      <c r="IT58" s="139">
        <v>570732</v>
      </c>
      <c r="IU58" s="139">
        <v>575880</v>
      </c>
      <c r="IV58" s="139">
        <v>215011</v>
      </c>
      <c r="IW58" s="139">
        <v>52298</v>
      </c>
      <c r="IX58" s="139">
        <v>21849</v>
      </c>
      <c r="IY58" s="139">
        <v>264636</v>
      </c>
      <c r="IZ58" s="139">
        <v>2079621</v>
      </c>
      <c r="JA58" s="139">
        <v>2633415</v>
      </c>
      <c r="JB58" s="139">
        <v>7128903</v>
      </c>
      <c r="JC58" s="139">
        <v>2390968</v>
      </c>
      <c r="JD58" s="139">
        <v>1368643</v>
      </c>
      <c r="JE58" s="139">
        <v>6711608</v>
      </c>
      <c r="JF58" s="139">
        <v>10134655</v>
      </c>
      <c r="JG58" s="139">
        <v>27734777</v>
      </c>
      <c r="JH58" s="139">
        <v>0</v>
      </c>
      <c r="JI58" s="139">
        <v>0</v>
      </c>
      <c r="JJ58" s="139">
        <v>0</v>
      </c>
      <c r="JK58" s="139">
        <v>0</v>
      </c>
      <c r="JL58" s="139">
        <v>0</v>
      </c>
      <c r="JM58" s="139">
        <v>0</v>
      </c>
      <c r="JN58" s="139">
        <v>7128903</v>
      </c>
      <c r="JO58" s="139">
        <v>2390968</v>
      </c>
      <c r="JP58" s="139">
        <v>1368643</v>
      </c>
      <c r="JQ58" s="139">
        <v>6711608</v>
      </c>
      <c r="JR58" s="139">
        <v>10134655</v>
      </c>
      <c r="JS58" s="139">
        <v>27734777</v>
      </c>
      <c r="JU58" s="70">
        <f t="shared" si="80"/>
        <v>3957254</v>
      </c>
      <c r="JV58" s="70">
        <f t="shared" si="81"/>
        <v>0</v>
      </c>
      <c r="JW58" s="70">
        <f t="shared" si="82"/>
        <v>2467011</v>
      </c>
      <c r="JX58" s="70">
        <f t="shared" si="83"/>
        <v>0</v>
      </c>
      <c r="JY58" s="70">
        <f t="shared" si="84"/>
        <v>1136500</v>
      </c>
      <c r="JZ58" s="70">
        <f t="shared" si="85"/>
        <v>0</v>
      </c>
      <c r="KA58" s="70">
        <f t="shared" si="86"/>
        <v>4948145</v>
      </c>
      <c r="KB58" s="70">
        <f t="shared" si="87"/>
        <v>0</v>
      </c>
      <c r="KC58" s="70">
        <f t="shared" si="88"/>
        <v>0</v>
      </c>
      <c r="KD58" s="70">
        <f t="shared" si="89"/>
        <v>0</v>
      </c>
      <c r="KE58" s="70">
        <f t="shared" si="90"/>
        <v>4965230</v>
      </c>
      <c r="KF58" s="70">
        <f t="shared" si="91"/>
        <v>0</v>
      </c>
      <c r="KG58" s="70">
        <f t="shared" si="92"/>
        <v>1485071</v>
      </c>
      <c r="KH58" s="70">
        <f t="shared" si="93"/>
        <v>0</v>
      </c>
      <c r="KI58" s="70">
        <f t="shared" si="94"/>
        <v>1767831</v>
      </c>
      <c r="KJ58" s="70">
        <f t="shared" si="95"/>
        <v>0</v>
      </c>
      <c r="KK58" s="70">
        <f t="shared" si="96"/>
        <v>3181471</v>
      </c>
      <c r="KL58" s="70">
        <f t="shared" si="97"/>
        <v>0</v>
      </c>
      <c r="KM58" s="70">
        <f t="shared" si="98"/>
        <v>400000</v>
      </c>
      <c r="KN58" s="70">
        <f t="shared" si="99"/>
        <v>0</v>
      </c>
      <c r="KO58" s="70">
        <f t="shared" si="100"/>
        <v>245594</v>
      </c>
      <c r="KP58" s="70">
        <f t="shared" si="101"/>
        <v>0</v>
      </c>
      <c r="KQ58" s="70">
        <f t="shared" si="102"/>
        <v>1053352</v>
      </c>
      <c r="KR58" s="70">
        <f t="shared" si="103"/>
        <v>0</v>
      </c>
      <c r="KS58" s="70">
        <f t="shared" si="104"/>
        <v>0</v>
      </c>
      <c r="KT58" s="70">
        <f t="shared" si="105"/>
        <v>0</v>
      </c>
      <c r="KU58" s="70">
        <f t="shared" si="106"/>
        <v>333423</v>
      </c>
      <c r="KV58" s="70">
        <f t="shared" si="107"/>
        <v>0</v>
      </c>
      <c r="KW58" s="70">
        <f t="shared" si="108"/>
        <v>1383456</v>
      </c>
      <c r="KX58" s="70">
        <f t="shared" si="109"/>
        <v>0</v>
      </c>
      <c r="KY58" s="70">
        <f t="shared" si="110"/>
        <v>27324338</v>
      </c>
      <c r="KZ58" s="70">
        <f t="shared" si="111"/>
        <v>0</v>
      </c>
      <c r="LA58" s="70">
        <f t="shared" si="150"/>
        <v>6034149</v>
      </c>
      <c r="LB58" s="70">
        <f t="shared" si="112"/>
        <v>0</v>
      </c>
      <c r="LC58" s="70">
        <f t="shared" si="113"/>
        <v>672990</v>
      </c>
      <c r="LD58" s="70">
        <f t="shared" si="114"/>
        <v>0</v>
      </c>
      <c r="LE58" s="70">
        <f t="shared" si="115"/>
        <v>5654842</v>
      </c>
      <c r="LF58" s="70">
        <f t="shared" si="116"/>
        <v>0</v>
      </c>
      <c r="LG58" s="70">
        <f t="shared" si="155"/>
        <v>0</v>
      </c>
      <c r="LH58" s="70">
        <f t="shared" si="156"/>
        <v>0</v>
      </c>
      <c r="LI58" s="70">
        <f t="shared" si="151"/>
        <v>3630922</v>
      </c>
      <c r="LJ58" s="70">
        <f t="shared" si="152"/>
        <v>0</v>
      </c>
      <c r="LK58" s="70">
        <f t="shared" si="153"/>
        <v>0</v>
      </c>
      <c r="LL58" s="70">
        <f t="shared" si="154"/>
        <v>0</v>
      </c>
      <c r="LM58" s="70">
        <f t="shared" si="117"/>
        <v>0</v>
      </c>
      <c r="LN58" s="70">
        <f t="shared" si="118"/>
        <v>0</v>
      </c>
      <c r="LO58" s="70">
        <f t="shared" si="119"/>
        <v>543217</v>
      </c>
      <c r="LP58" s="70">
        <f t="shared" si="120"/>
        <v>0</v>
      </c>
      <c r="LQ58" s="70">
        <f t="shared" si="121"/>
        <v>2493328</v>
      </c>
      <c r="LR58" s="70">
        <f t="shared" si="122"/>
        <v>0</v>
      </c>
      <c r="LS58" s="70">
        <f t="shared" si="123"/>
        <v>686882</v>
      </c>
      <c r="LT58" s="70">
        <f t="shared" si="124"/>
        <v>0</v>
      </c>
      <c r="LU58" s="70">
        <f t="shared" si="125"/>
        <v>1039075</v>
      </c>
      <c r="LV58" s="70">
        <f t="shared" si="126"/>
        <v>0</v>
      </c>
      <c r="LW58" s="70">
        <f t="shared" si="127"/>
        <v>326941</v>
      </c>
      <c r="LX58" s="70">
        <f t="shared" si="128"/>
        <v>0</v>
      </c>
      <c r="LY58" s="70">
        <f t="shared" si="129"/>
        <v>0</v>
      </c>
      <c r="LZ58" s="70">
        <f t="shared" si="130"/>
        <v>0</v>
      </c>
      <c r="MA58" s="70">
        <f t="shared" si="131"/>
        <v>1281928</v>
      </c>
      <c r="MB58" s="70">
        <f t="shared" si="132"/>
        <v>0</v>
      </c>
      <c r="MC58" s="70">
        <f t="shared" si="133"/>
        <v>97256</v>
      </c>
      <c r="MD58" s="70">
        <f t="shared" si="134"/>
        <v>0</v>
      </c>
      <c r="ME58" s="70">
        <f t="shared" si="135"/>
        <v>1767831</v>
      </c>
      <c r="MF58" s="70">
        <f t="shared" si="136"/>
        <v>0</v>
      </c>
      <c r="MG58" s="70">
        <f t="shared" si="137"/>
        <v>296121</v>
      </c>
      <c r="MH58" s="70">
        <f t="shared" si="138"/>
        <v>0</v>
      </c>
      <c r="MI58" s="70">
        <f t="shared" si="139"/>
        <v>575880</v>
      </c>
      <c r="MJ58" s="70">
        <f t="shared" si="140"/>
        <v>0</v>
      </c>
      <c r="MK58" s="70">
        <f t="shared" si="141"/>
        <v>2633415</v>
      </c>
      <c r="ML58" s="70">
        <f t="shared" si="142"/>
        <v>0</v>
      </c>
      <c r="MM58" s="70">
        <f t="shared" si="143"/>
        <v>27734777</v>
      </c>
      <c r="MN58" s="70">
        <f t="shared" si="144"/>
        <v>0</v>
      </c>
      <c r="MO58" s="70">
        <f t="shared" si="145"/>
        <v>0</v>
      </c>
      <c r="MP58" s="70">
        <f t="shared" si="146"/>
        <v>0</v>
      </c>
      <c r="MQ58" s="70">
        <f t="shared" si="147"/>
        <v>27734777</v>
      </c>
      <c r="MR58" s="70">
        <f t="shared" si="148"/>
        <v>0</v>
      </c>
      <c r="MT58" s="70">
        <f t="shared" si="149"/>
        <v>0</v>
      </c>
      <c r="MV58" s="68">
        <f t="shared" si="77"/>
        <v>0</v>
      </c>
    </row>
    <row r="59" spans="1:360" x14ac:dyDescent="0.15">
      <c r="A59" s="182" t="s">
        <v>333</v>
      </c>
      <c r="B59" s="76" t="s">
        <v>425</v>
      </c>
      <c r="C59" s="90">
        <v>187985</v>
      </c>
      <c r="D59" s="90">
        <v>2014</v>
      </c>
      <c r="E59" s="90">
        <v>1</v>
      </c>
      <c r="F59" s="91">
        <v>10</v>
      </c>
      <c r="G59" s="92">
        <v>9276</v>
      </c>
      <c r="H59" s="92">
        <v>11576</v>
      </c>
      <c r="I59" s="99">
        <v>1889106380</v>
      </c>
      <c r="J59" s="93">
        <v>1844715867</v>
      </c>
      <c r="K59" s="99">
        <v>2931634</v>
      </c>
      <c r="L59" s="93">
        <v>2833524</v>
      </c>
      <c r="M59" s="99">
        <v>33599477</v>
      </c>
      <c r="N59" s="93">
        <v>32047441</v>
      </c>
      <c r="O59" s="93">
        <v>90960243</v>
      </c>
      <c r="P59" s="93">
        <v>81792749</v>
      </c>
      <c r="Q59" s="99">
        <v>273803440</v>
      </c>
      <c r="R59" s="93">
        <v>248824698</v>
      </c>
      <c r="S59" s="99">
        <v>941043315</v>
      </c>
      <c r="T59" s="93">
        <v>903480109</v>
      </c>
      <c r="U59" s="93">
        <v>16354</v>
      </c>
      <c r="V59" s="99">
        <v>15755</v>
      </c>
      <c r="W59" s="99">
        <v>30595</v>
      </c>
      <c r="X59" s="99">
        <v>30312</v>
      </c>
      <c r="Y59" s="93">
        <v>19695</v>
      </c>
      <c r="Z59" s="99">
        <v>19074</v>
      </c>
      <c r="AA59" s="93">
        <v>33936</v>
      </c>
      <c r="AB59" s="93">
        <v>33713</v>
      </c>
      <c r="AC59" s="114">
        <v>10</v>
      </c>
      <c r="AD59" s="114">
        <v>11</v>
      </c>
      <c r="AE59" s="114">
        <v>0</v>
      </c>
      <c r="AF59" s="126">
        <v>4538829</v>
      </c>
      <c r="AG59" s="126">
        <v>3077262</v>
      </c>
      <c r="AH59" s="115">
        <v>509501</v>
      </c>
      <c r="AI59" s="115">
        <v>173081</v>
      </c>
      <c r="AJ59" s="123">
        <f>2664611/AK59</f>
        <v>380658.71428571426</v>
      </c>
      <c r="AK59" s="124">
        <v>7</v>
      </c>
      <c r="AL59" s="126">
        <f>2664611/AM59</f>
        <v>333076.375</v>
      </c>
      <c r="AM59" s="124">
        <v>8</v>
      </c>
      <c r="AN59" s="123">
        <f>1203700/AO59</f>
        <v>171957.14285714287</v>
      </c>
      <c r="AO59" s="124">
        <v>7</v>
      </c>
      <c r="AP59" s="126">
        <f>1203700/AQ59</f>
        <v>150462.5</v>
      </c>
      <c r="AQ59" s="124">
        <v>8</v>
      </c>
      <c r="AR59" s="123">
        <f>2980362/AS59</f>
        <v>145383.51219512196</v>
      </c>
      <c r="AS59" s="124">
        <v>20.5</v>
      </c>
      <c r="AT59" s="123">
        <f>2980362/AU59</f>
        <v>129580.95652173914</v>
      </c>
      <c r="AU59" s="124">
        <v>23</v>
      </c>
      <c r="AV59" s="123">
        <f>1127657/AW59</f>
        <v>72752.06451612903</v>
      </c>
      <c r="AW59" s="124">
        <v>15.5</v>
      </c>
      <c r="AX59" s="123">
        <f>1127657/AY59</f>
        <v>62647.611111111109</v>
      </c>
      <c r="AY59" s="124">
        <v>18</v>
      </c>
      <c r="AZ59" s="164">
        <v>1521488</v>
      </c>
      <c r="BA59" s="164">
        <v>4743892</v>
      </c>
      <c r="BB59" s="164">
        <v>390984</v>
      </c>
      <c r="BC59" s="164">
        <v>112809</v>
      </c>
      <c r="BD59" s="164">
        <v>0</v>
      </c>
      <c r="BE59" s="164">
        <v>6769173</v>
      </c>
      <c r="BF59" s="164">
        <v>0</v>
      </c>
      <c r="BG59" s="164">
        <v>0</v>
      </c>
      <c r="BH59" s="164">
        <v>0</v>
      </c>
      <c r="BI59" s="164">
        <v>0</v>
      </c>
      <c r="BJ59" s="164">
        <v>4000000</v>
      </c>
      <c r="BK59" s="166">
        <v>4000000</v>
      </c>
      <c r="BL59" s="164">
        <v>800000</v>
      </c>
      <c r="BM59" s="164">
        <v>115000</v>
      </c>
      <c r="BN59" s="164">
        <v>5000</v>
      </c>
      <c r="BO59" s="164">
        <v>42300</v>
      </c>
      <c r="BP59" s="164">
        <v>0</v>
      </c>
      <c r="BQ59" s="166">
        <v>962300</v>
      </c>
      <c r="BR59" s="164">
        <v>243708</v>
      </c>
      <c r="BS59" s="164">
        <v>230737</v>
      </c>
      <c r="BT59" s="164">
        <v>57975</v>
      </c>
      <c r="BU59" s="164">
        <v>728685</v>
      </c>
      <c r="BV59" s="164">
        <v>8589232</v>
      </c>
      <c r="BW59" s="166">
        <v>9850337</v>
      </c>
      <c r="BX59" s="164">
        <v>0</v>
      </c>
      <c r="BY59" s="164">
        <v>0</v>
      </c>
      <c r="BZ59" s="164">
        <v>0</v>
      </c>
      <c r="CA59" s="164">
        <v>0</v>
      </c>
      <c r="CB59" s="164">
        <v>0</v>
      </c>
      <c r="CC59" s="164">
        <v>0</v>
      </c>
      <c r="CD59" s="164">
        <v>0</v>
      </c>
      <c r="CE59" s="164">
        <v>0</v>
      </c>
      <c r="CF59" s="164">
        <v>0</v>
      </c>
      <c r="CG59" s="164">
        <v>0</v>
      </c>
      <c r="CH59" s="164">
        <v>2592400</v>
      </c>
      <c r="CI59" s="164">
        <v>2592400</v>
      </c>
      <c r="CJ59" s="164">
        <v>890081</v>
      </c>
      <c r="CK59" s="164">
        <v>156654</v>
      </c>
      <c r="CL59" s="164">
        <v>142413</v>
      </c>
      <c r="CM59" s="164">
        <v>1295957</v>
      </c>
      <c r="CN59" s="164">
        <v>368292</v>
      </c>
      <c r="CO59" s="166">
        <v>2853397</v>
      </c>
      <c r="CP59" s="164">
        <v>0</v>
      </c>
      <c r="CQ59" s="164">
        <v>0</v>
      </c>
      <c r="CR59" s="164">
        <v>0</v>
      </c>
      <c r="CS59" s="164">
        <v>0</v>
      </c>
      <c r="CT59" s="164">
        <v>7793675</v>
      </c>
      <c r="CU59" s="166">
        <v>7793675</v>
      </c>
      <c r="CV59" s="164">
        <v>124523</v>
      </c>
      <c r="CW59" s="164">
        <v>74377</v>
      </c>
      <c r="CX59" s="164">
        <v>52313</v>
      </c>
      <c r="CY59" s="164">
        <v>231167</v>
      </c>
      <c r="CZ59" s="164">
        <v>3590364</v>
      </c>
      <c r="DA59" s="164">
        <v>4072744</v>
      </c>
      <c r="DB59" s="164">
        <v>0</v>
      </c>
      <c r="DC59" s="164">
        <v>0</v>
      </c>
      <c r="DD59" s="164">
        <v>0</v>
      </c>
      <c r="DE59" s="164">
        <v>0</v>
      </c>
      <c r="DF59" s="164">
        <v>32715</v>
      </c>
      <c r="DG59" s="164">
        <v>32715</v>
      </c>
      <c r="DH59" s="164">
        <v>0</v>
      </c>
      <c r="DI59" s="164">
        <v>0</v>
      </c>
      <c r="DJ59" s="164">
        <v>0</v>
      </c>
      <c r="DK59" s="164">
        <v>0</v>
      </c>
      <c r="DL59" s="164">
        <v>1528722</v>
      </c>
      <c r="DM59" s="166">
        <v>1528722</v>
      </c>
      <c r="DN59" s="164">
        <v>0</v>
      </c>
      <c r="DO59" s="164">
        <v>0</v>
      </c>
      <c r="DP59" s="164">
        <v>0</v>
      </c>
      <c r="DQ59" s="164">
        <v>0</v>
      </c>
      <c r="DR59" s="164">
        <v>5670357</v>
      </c>
      <c r="DS59" s="166">
        <v>5670357</v>
      </c>
      <c r="DT59" s="164">
        <v>0</v>
      </c>
      <c r="DU59" s="164">
        <v>0</v>
      </c>
      <c r="DV59" s="164">
        <v>0</v>
      </c>
      <c r="DW59" s="164">
        <v>0</v>
      </c>
      <c r="DX59" s="164">
        <v>0</v>
      </c>
      <c r="DY59" s="167">
        <v>0</v>
      </c>
      <c r="DZ59" s="164">
        <v>202422</v>
      </c>
      <c r="EA59" s="164">
        <v>752</v>
      </c>
      <c r="EB59" s="164">
        <v>1493</v>
      </c>
      <c r="EC59" s="164">
        <v>44341</v>
      </c>
      <c r="ED59" s="164">
        <v>82927</v>
      </c>
      <c r="EE59" s="166">
        <v>331935</v>
      </c>
      <c r="EF59" s="164">
        <v>0</v>
      </c>
      <c r="EG59" s="164">
        <v>73056</v>
      </c>
      <c r="EH59" s="164">
        <v>0</v>
      </c>
      <c r="EI59" s="164">
        <v>0</v>
      </c>
      <c r="EJ59" s="164">
        <v>668958</v>
      </c>
      <c r="EK59" s="164">
        <v>742014</v>
      </c>
      <c r="EL59" s="164">
        <v>3782222</v>
      </c>
      <c r="EM59" s="164">
        <v>5394468</v>
      </c>
      <c r="EN59" s="164">
        <v>650178</v>
      </c>
      <c r="EO59" s="164">
        <v>2455259</v>
      </c>
      <c r="EP59" s="164">
        <v>34917642</v>
      </c>
      <c r="EQ59" s="164">
        <v>47199769</v>
      </c>
      <c r="ER59" s="164">
        <v>2591316</v>
      </c>
      <c r="ES59" s="164">
        <v>410268</v>
      </c>
      <c r="ET59" s="164">
        <v>460058</v>
      </c>
      <c r="EU59" s="164">
        <v>3723821</v>
      </c>
      <c r="EV59" s="164">
        <v>468628</v>
      </c>
      <c r="EW59" s="164">
        <v>7654091</v>
      </c>
      <c r="EX59" s="164">
        <v>100000</v>
      </c>
      <c r="EY59" s="164">
        <v>260000</v>
      </c>
      <c r="EZ59" s="164">
        <v>58500</v>
      </c>
      <c r="FA59" s="164">
        <v>101180</v>
      </c>
      <c r="FB59" s="164">
        <v>0</v>
      </c>
      <c r="FC59" s="164">
        <v>519680</v>
      </c>
      <c r="FD59" s="164">
        <v>2553195</v>
      </c>
      <c r="FE59" s="164">
        <v>1576650</v>
      </c>
      <c r="FF59" s="164">
        <v>765169</v>
      </c>
      <c r="FG59" s="164">
        <v>3081316</v>
      </c>
      <c r="FH59" s="164">
        <v>0</v>
      </c>
      <c r="FI59" s="164">
        <v>7976330</v>
      </c>
      <c r="FJ59" s="139">
        <v>0</v>
      </c>
      <c r="FK59" s="139">
        <v>0</v>
      </c>
      <c r="FL59" s="139">
        <v>0</v>
      </c>
      <c r="FM59" s="139">
        <v>0</v>
      </c>
      <c r="FN59" s="139">
        <v>0</v>
      </c>
      <c r="FO59" s="139">
        <v>0</v>
      </c>
      <c r="FP59" s="139">
        <v>121060</v>
      </c>
      <c r="FQ59" s="139">
        <v>5553</v>
      </c>
      <c r="FR59" s="139">
        <v>10489</v>
      </c>
      <c r="FS59" s="139">
        <v>28798</v>
      </c>
      <c r="FT59" s="139">
        <v>5145071</v>
      </c>
      <c r="FU59" s="139">
        <v>5310971</v>
      </c>
      <c r="FV59" s="164">
        <v>0</v>
      </c>
      <c r="FW59" s="164">
        <v>0</v>
      </c>
      <c r="FX59" s="164">
        <v>0</v>
      </c>
      <c r="FY59" s="164">
        <v>0</v>
      </c>
      <c r="FZ59" s="164">
        <v>0</v>
      </c>
      <c r="GA59" s="164">
        <v>0</v>
      </c>
      <c r="GB59" s="164">
        <v>0</v>
      </c>
      <c r="GC59" s="164">
        <v>0</v>
      </c>
      <c r="GD59" s="164">
        <v>0</v>
      </c>
      <c r="GE59" s="164">
        <v>0</v>
      </c>
      <c r="GF59" s="164">
        <v>0</v>
      </c>
      <c r="GG59" s="164">
        <v>0</v>
      </c>
      <c r="GH59" s="164">
        <v>300671</v>
      </c>
      <c r="GI59" s="164">
        <v>112512</v>
      </c>
      <c r="GJ59" s="164">
        <v>71862</v>
      </c>
      <c r="GK59" s="164">
        <v>197537</v>
      </c>
      <c r="GL59" s="164">
        <v>0</v>
      </c>
      <c r="GM59" s="164">
        <v>682582</v>
      </c>
      <c r="GN59" s="164">
        <v>1001479</v>
      </c>
      <c r="GO59" s="164">
        <v>653513</v>
      </c>
      <c r="GP59" s="164">
        <v>263918</v>
      </c>
      <c r="GQ59" s="164">
        <v>1567020</v>
      </c>
      <c r="GR59" s="164">
        <v>133579</v>
      </c>
      <c r="GS59" s="164">
        <v>3619509</v>
      </c>
      <c r="GT59" s="164">
        <v>146641</v>
      </c>
      <c r="GU59" s="164">
        <v>73687</v>
      </c>
      <c r="GV59" s="164">
        <v>5431</v>
      </c>
      <c r="GW59" s="164">
        <v>210544</v>
      </c>
      <c r="GX59" s="164">
        <v>0</v>
      </c>
      <c r="GY59" s="164">
        <v>436303</v>
      </c>
      <c r="GZ59" s="164">
        <v>688156</v>
      </c>
      <c r="HA59" s="164">
        <v>417592</v>
      </c>
      <c r="HB59" s="164">
        <v>281961</v>
      </c>
      <c r="HC59" s="164">
        <v>335374</v>
      </c>
      <c r="HD59" s="164">
        <v>142387</v>
      </c>
      <c r="HE59" s="164">
        <v>1865470</v>
      </c>
      <c r="HF59" s="164">
        <v>0</v>
      </c>
      <c r="HG59" s="164">
        <v>0</v>
      </c>
      <c r="HH59" s="164">
        <v>0</v>
      </c>
      <c r="HI59" s="164">
        <v>0</v>
      </c>
      <c r="HJ59" s="164">
        <v>105447</v>
      </c>
      <c r="HK59" s="164">
        <v>105447</v>
      </c>
      <c r="HL59" s="164">
        <v>0</v>
      </c>
      <c r="HM59" s="164">
        <v>0</v>
      </c>
      <c r="HN59" s="164">
        <v>0</v>
      </c>
      <c r="HO59" s="164">
        <v>0</v>
      </c>
      <c r="HP59" s="164">
        <v>0</v>
      </c>
      <c r="HQ59" s="164">
        <v>0</v>
      </c>
      <c r="HR59" s="164">
        <v>0</v>
      </c>
      <c r="HS59" s="164">
        <v>0</v>
      </c>
      <c r="HT59" s="164">
        <v>0</v>
      </c>
      <c r="HU59" s="164">
        <v>0</v>
      </c>
      <c r="HV59" s="164">
        <v>3701749</v>
      </c>
      <c r="HW59" s="164">
        <v>3701749</v>
      </c>
      <c r="HX59" s="164">
        <v>0</v>
      </c>
      <c r="HY59" s="164">
        <v>0</v>
      </c>
      <c r="HZ59" s="164">
        <v>0</v>
      </c>
      <c r="IA59" s="164">
        <v>0</v>
      </c>
      <c r="IB59" s="164">
        <v>229662</v>
      </c>
      <c r="IC59" s="164">
        <v>229662</v>
      </c>
      <c r="ID59" s="164">
        <v>0</v>
      </c>
      <c r="IE59" s="164">
        <v>0</v>
      </c>
      <c r="IF59" s="164">
        <v>0</v>
      </c>
      <c r="IG59" s="164">
        <v>0</v>
      </c>
      <c r="IH59" s="164">
        <v>7793675</v>
      </c>
      <c r="II59" s="164">
        <v>7793675</v>
      </c>
      <c r="IJ59" s="164">
        <v>0</v>
      </c>
      <c r="IK59" s="164">
        <v>0</v>
      </c>
      <c r="IL59" s="164">
        <v>0</v>
      </c>
      <c r="IM59" s="164">
        <v>0</v>
      </c>
      <c r="IN59" s="164">
        <v>395170</v>
      </c>
      <c r="IO59" s="164">
        <v>395170</v>
      </c>
      <c r="IP59" s="164">
        <v>1710</v>
      </c>
      <c r="IQ59" s="164">
        <v>1215</v>
      </c>
      <c r="IR59" s="164">
        <v>1215</v>
      </c>
      <c r="IS59" s="164">
        <v>17104</v>
      </c>
      <c r="IT59" s="164">
        <v>375000</v>
      </c>
      <c r="IU59" s="164">
        <v>396244</v>
      </c>
      <c r="IV59" s="164">
        <v>277678</v>
      </c>
      <c r="IW59" s="164">
        <v>157180</v>
      </c>
      <c r="IX59" s="164">
        <v>68204</v>
      </c>
      <c r="IY59" s="164">
        <v>308368</v>
      </c>
      <c r="IZ59" s="164">
        <v>5583854</v>
      </c>
      <c r="JA59" s="164">
        <v>6395284</v>
      </c>
      <c r="JB59" s="164">
        <v>7781906</v>
      </c>
      <c r="JC59" s="164">
        <v>3668170</v>
      </c>
      <c r="JD59" s="166">
        <v>1986807</v>
      </c>
      <c r="JE59" s="164">
        <v>9571062</v>
      </c>
      <c r="JF59" s="164">
        <v>24074222</v>
      </c>
      <c r="JG59" s="164">
        <v>47082167</v>
      </c>
      <c r="JH59" s="164">
        <v>0</v>
      </c>
      <c r="JI59" s="164">
        <v>0</v>
      </c>
      <c r="JJ59" s="164">
        <v>0</v>
      </c>
      <c r="JK59" s="164">
        <v>0</v>
      </c>
      <c r="JL59" s="164">
        <v>141152</v>
      </c>
      <c r="JM59" s="164">
        <v>141152</v>
      </c>
      <c r="JN59" s="164">
        <v>7781906</v>
      </c>
      <c r="JO59" s="164">
        <v>3668170</v>
      </c>
      <c r="JP59" s="166">
        <v>1986807</v>
      </c>
      <c r="JQ59" s="164">
        <v>9571062</v>
      </c>
      <c r="JR59" s="164">
        <v>24215374</v>
      </c>
      <c r="JS59" s="164">
        <v>47223319</v>
      </c>
      <c r="JU59" s="70">
        <f t="shared" si="80"/>
        <v>6769173</v>
      </c>
      <c r="JV59" s="70">
        <f t="shared" si="81"/>
        <v>0</v>
      </c>
      <c r="JW59" s="70">
        <f t="shared" si="82"/>
        <v>4000000</v>
      </c>
      <c r="JX59" s="70">
        <f t="shared" si="83"/>
        <v>0</v>
      </c>
      <c r="JY59" s="70">
        <f t="shared" si="84"/>
        <v>962300</v>
      </c>
      <c r="JZ59" s="70">
        <f t="shared" si="85"/>
        <v>0</v>
      </c>
      <c r="KA59" s="70">
        <f t="shared" si="86"/>
        <v>9850337</v>
      </c>
      <c r="KB59" s="70">
        <f t="shared" si="87"/>
        <v>0</v>
      </c>
      <c r="KC59" s="70">
        <f t="shared" si="88"/>
        <v>0</v>
      </c>
      <c r="KD59" s="70">
        <f t="shared" si="89"/>
        <v>0</v>
      </c>
      <c r="KE59" s="70">
        <f t="shared" si="90"/>
        <v>2592400</v>
      </c>
      <c r="KF59" s="70">
        <f t="shared" si="91"/>
        <v>0</v>
      </c>
      <c r="KG59" s="70">
        <f t="shared" si="92"/>
        <v>2853397</v>
      </c>
      <c r="KH59" s="70">
        <f t="shared" si="93"/>
        <v>0</v>
      </c>
      <c r="KI59" s="70">
        <f t="shared" si="94"/>
        <v>7793675</v>
      </c>
      <c r="KJ59" s="70">
        <f t="shared" si="95"/>
        <v>0</v>
      </c>
      <c r="KK59" s="70">
        <f t="shared" si="96"/>
        <v>4072744</v>
      </c>
      <c r="KL59" s="70">
        <f t="shared" si="97"/>
        <v>0</v>
      </c>
      <c r="KM59" s="70">
        <f t="shared" si="98"/>
        <v>32715</v>
      </c>
      <c r="KN59" s="70">
        <f t="shared" si="99"/>
        <v>0</v>
      </c>
      <c r="KO59" s="70">
        <f t="shared" si="100"/>
        <v>1528722</v>
      </c>
      <c r="KP59" s="70">
        <f t="shared" si="101"/>
        <v>0</v>
      </c>
      <c r="KQ59" s="70">
        <f t="shared" si="102"/>
        <v>5670357</v>
      </c>
      <c r="KR59" s="70">
        <f t="shared" si="103"/>
        <v>0</v>
      </c>
      <c r="KS59" s="70">
        <f t="shared" si="104"/>
        <v>0</v>
      </c>
      <c r="KT59" s="70">
        <f t="shared" si="105"/>
        <v>0</v>
      </c>
      <c r="KU59" s="70">
        <f t="shared" si="106"/>
        <v>331935</v>
      </c>
      <c r="KV59" s="70">
        <f t="shared" si="107"/>
        <v>0</v>
      </c>
      <c r="KW59" s="70">
        <f t="shared" si="108"/>
        <v>742014</v>
      </c>
      <c r="KX59" s="70">
        <f t="shared" si="109"/>
        <v>0</v>
      </c>
      <c r="KY59" s="70">
        <f t="shared" si="110"/>
        <v>47199769</v>
      </c>
      <c r="KZ59" s="70">
        <f t="shared" si="111"/>
        <v>0</v>
      </c>
      <c r="LA59" s="70">
        <f t="shared" si="150"/>
        <v>7654091</v>
      </c>
      <c r="LB59" s="70">
        <f t="shared" si="112"/>
        <v>0</v>
      </c>
      <c r="LC59" s="70">
        <f t="shared" si="113"/>
        <v>519680</v>
      </c>
      <c r="LD59" s="70">
        <f t="shared" si="114"/>
        <v>0</v>
      </c>
      <c r="LE59" s="70">
        <f t="shared" si="115"/>
        <v>7976330</v>
      </c>
      <c r="LF59" s="70">
        <f t="shared" si="116"/>
        <v>0</v>
      </c>
      <c r="LG59" s="70">
        <f t="shared" si="155"/>
        <v>0</v>
      </c>
      <c r="LH59" s="70">
        <f t="shared" si="156"/>
        <v>0</v>
      </c>
      <c r="LI59" s="70">
        <f t="shared" si="151"/>
        <v>5310971</v>
      </c>
      <c r="LJ59" s="70">
        <f t="shared" si="152"/>
        <v>0</v>
      </c>
      <c r="LK59" s="70">
        <f t="shared" si="153"/>
        <v>0</v>
      </c>
      <c r="LL59" s="70">
        <f t="shared" si="154"/>
        <v>0</v>
      </c>
      <c r="LM59" s="70">
        <f t="shared" si="117"/>
        <v>0</v>
      </c>
      <c r="LN59" s="70">
        <f t="shared" si="118"/>
        <v>0</v>
      </c>
      <c r="LO59" s="70">
        <f t="shared" si="119"/>
        <v>682582</v>
      </c>
      <c r="LP59" s="70">
        <f t="shared" si="120"/>
        <v>0</v>
      </c>
      <c r="LQ59" s="70">
        <f t="shared" si="121"/>
        <v>3619509</v>
      </c>
      <c r="LR59" s="70">
        <f t="shared" si="122"/>
        <v>0</v>
      </c>
      <c r="LS59" s="70">
        <f t="shared" si="123"/>
        <v>436303</v>
      </c>
      <c r="LT59" s="70">
        <f t="shared" si="124"/>
        <v>0</v>
      </c>
      <c r="LU59" s="70">
        <f t="shared" si="125"/>
        <v>1865470</v>
      </c>
      <c r="LV59" s="70">
        <f t="shared" si="126"/>
        <v>0</v>
      </c>
      <c r="LW59" s="70">
        <f t="shared" si="127"/>
        <v>105447</v>
      </c>
      <c r="LX59" s="70">
        <f t="shared" si="128"/>
        <v>0</v>
      </c>
      <c r="LY59" s="70">
        <f t="shared" si="129"/>
        <v>0</v>
      </c>
      <c r="LZ59" s="70">
        <f t="shared" si="130"/>
        <v>0</v>
      </c>
      <c r="MA59" s="70">
        <f t="shared" si="131"/>
        <v>3701749</v>
      </c>
      <c r="MB59" s="70">
        <f t="shared" si="132"/>
        <v>0</v>
      </c>
      <c r="MC59" s="70">
        <f t="shared" si="133"/>
        <v>229662</v>
      </c>
      <c r="MD59" s="70">
        <f t="shared" si="134"/>
        <v>0</v>
      </c>
      <c r="ME59" s="70">
        <f t="shared" si="135"/>
        <v>7793675</v>
      </c>
      <c r="MF59" s="70">
        <f t="shared" si="136"/>
        <v>0</v>
      </c>
      <c r="MG59" s="70">
        <f t="shared" si="137"/>
        <v>395170</v>
      </c>
      <c r="MH59" s="70">
        <f t="shared" si="138"/>
        <v>0</v>
      </c>
      <c r="MI59" s="70">
        <f t="shared" si="139"/>
        <v>396244</v>
      </c>
      <c r="MJ59" s="70">
        <f t="shared" si="140"/>
        <v>0</v>
      </c>
      <c r="MK59" s="70">
        <f t="shared" si="141"/>
        <v>6395284</v>
      </c>
      <c r="ML59" s="70">
        <f t="shared" si="142"/>
        <v>0</v>
      </c>
      <c r="MM59" s="70">
        <f t="shared" si="143"/>
        <v>47082167</v>
      </c>
      <c r="MN59" s="70">
        <f t="shared" si="144"/>
        <v>0</v>
      </c>
      <c r="MO59" s="70">
        <f t="shared" si="145"/>
        <v>141152</v>
      </c>
      <c r="MP59" s="70">
        <f t="shared" si="146"/>
        <v>0</v>
      </c>
      <c r="MQ59" s="70">
        <f t="shared" si="147"/>
        <v>47223319</v>
      </c>
      <c r="MR59" s="70">
        <f t="shared" si="148"/>
        <v>0</v>
      </c>
      <c r="MT59" s="70">
        <f t="shared" si="149"/>
        <v>0</v>
      </c>
      <c r="MV59" s="68">
        <f t="shared" si="77"/>
        <v>0</v>
      </c>
    </row>
    <row r="60" spans="1:360" x14ac:dyDescent="0.15">
      <c r="A60" s="182" t="s">
        <v>334</v>
      </c>
      <c r="B60" s="76" t="s">
        <v>425</v>
      </c>
      <c r="C60" s="90">
        <v>188030</v>
      </c>
      <c r="D60" s="90">
        <v>2014</v>
      </c>
      <c r="E60" s="90">
        <v>1</v>
      </c>
      <c r="F60" s="91">
        <v>11</v>
      </c>
      <c r="G60" s="101">
        <v>5331</v>
      </c>
      <c r="H60" s="101">
        <v>5884</v>
      </c>
      <c r="I60" s="102">
        <v>548207024</v>
      </c>
      <c r="J60" s="102">
        <v>543428019</v>
      </c>
      <c r="K60" s="103">
        <v>1430000</v>
      </c>
      <c r="L60" s="102">
        <v>1322000</v>
      </c>
      <c r="M60" s="104">
        <v>15207000</v>
      </c>
      <c r="N60" s="105">
        <v>15511000</v>
      </c>
      <c r="O60" s="106">
        <v>7725000</v>
      </c>
      <c r="P60" s="105">
        <v>8877000</v>
      </c>
      <c r="Q60" s="106">
        <v>149244000</v>
      </c>
      <c r="R60" s="104">
        <v>143191000</v>
      </c>
      <c r="S60" s="107">
        <v>413925091</v>
      </c>
      <c r="T60" s="105">
        <v>439757671</v>
      </c>
      <c r="U60" s="108">
        <v>14829</v>
      </c>
      <c r="V60" s="105">
        <v>14395</v>
      </c>
      <c r="W60" s="106">
        <v>28252</v>
      </c>
      <c r="X60" s="104">
        <v>27422</v>
      </c>
      <c r="Y60" s="105">
        <v>18590</v>
      </c>
      <c r="Z60" s="104">
        <v>19042</v>
      </c>
      <c r="AA60" s="109">
        <v>32013</v>
      </c>
      <c r="AB60" s="105">
        <v>32068</v>
      </c>
      <c r="AC60" s="114">
        <v>6</v>
      </c>
      <c r="AD60" s="114">
        <v>11</v>
      </c>
      <c r="AE60" s="114">
        <v>0</v>
      </c>
      <c r="AF60" s="130">
        <v>3562776</v>
      </c>
      <c r="AG60" s="131">
        <v>2973154</v>
      </c>
      <c r="AH60" s="132">
        <v>277041</v>
      </c>
      <c r="AI60" s="133">
        <v>153404</v>
      </c>
      <c r="AJ60" s="134">
        <v>268923</v>
      </c>
      <c r="AK60" s="116">
        <v>5</v>
      </c>
      <c r="AL60" s="115">
        <v>224102</v>
      </c>
      <c r="AM60" s="116">
        <v>6</v>
      </c>
      <c r="AN60" s="123">
        <v>108227</v>
      </c>
      <c r="AO60" s="124">
        <v>8</v>
      </c>
      <c r="AP60" s="126">
        <v>96202</v>
      </c>
      <c r="AQ60" s="124">
        <v>9</v>
      </c>
      <c r="AR60" s="135">
        <v>63729</v>
      </c>
      <c r="AS60" s="136">
        <v>22.5</v>
      </c>
      <c r="AT60" s="130">
        <v>55150</v>
      </c>
      <c r="AU60" s="137">
        <v>26</v>
      </c>
      <c r="AV60" s="115">
        <v>42516</v>
      </c>
      <c r="AW60" s="116">
        <v>20</v>
      </c>
      <c r="AX60" s="115">
        <v>35430</v>
      </c>
      <c r="AY60" s="116">
        <v>24</v>
      </c>
      <c r="AZ60" s="168">
        <v>808420</v>
      </c>
      <c r="BA60" s="168">
        <v>678113</v>
      </c>
      <c r="BB60" s="168">
        <v>12674</v>
      </c>
      <c r="BC60" s="168">
        <v>48531</v>
      </c>
      <c r="BD60" s="168">
        <v>11665</v>
      </c>
      <c r="BE60" s="168">
        <v>1559403</v>
      </c>
      <c r="BF60" s="168">
        <v>0</v>
      </c>
      <c r="BG60" s="168">
        <v>0</v>
      </c>
      <c r="BH60" s="168">
        <v>0</v>
      </c>
      <c r="BI60" s="168">
        <v>0</v>
      </c>
      <c r="BJ60" s="168">
        <v>3562370</v>
      </c>
      <c r="BK60" s="168">
        <v>3562370</v>
      </c>
      <c r="BL60" s="168">
        <v>1850000</v>
      </c>
      <c r="BM60" s="168">
        <v>188000</v>
      </c>
      <c r="BN60" s="168">
        <v>3000</v>
      </c>
      <c r="BO60" s="168">
        <v>13500</v>
      </c>
      <c r="BP60" s="168">
        <v>0</v>
      </c>
      <c r="BQ60" s="168">
        <v>2054500</v>
      </c>
      <c r="BR60" s="168">
        <v>88521</v>
      </c>
      <c r="BS60" s="168">
        <v>232439</v>
      </c>
      <c r="BT60" s="139">
        <v>29680</v>
      </c>
      <c r="BU60" s="139">
        <v>184096</v>
      </c>
      <c r="BV60" s="139">
        <v>501237</v>
      </c>
      <c r="BW60" s="139">
        <v>1035973</v>
      </c>
      <c r="BX60" s="168">
        <v>0</v>
      </c>
      <c r="BY60" s="168">
        <v>0</v>
      </c>
      <c r="BZ60" s="168">
        <v>0</v>
      </c>
      <c r="CA60" s="168">
        <v>0</v>
      </c>
      <c r="CB60" s="168">
        <v>0</v>
      </c>
      <c r="CC60" s="168">
        <v>0</v>
      </c>
      <c r="CD60" s="168">
        <v>0</v>
      </c>
      <c r="CE60" s="168">
        <v>0</v>
      </c>
      <c r="CF60" s="168">
        <v>0</v>
      </c>
      <c r="CG60" s="168">
        <v>0</v>
      </c>
      <c r="CH60" s="168">
        <v>3179200</v>
      </c>
      <c r="CI60" s="168">
        <v>3179200</v>
      </c>
      <c r="CJ60" s="168">
        <v>1540336</v>
      </c>
      <c r="CK60" s="168">
        <v>296163</v>
      </c>
      <c r="CL60" s="168">
        <v>279850</v>
      </c>
      <c r="CM60" s="168">
        <v>2312240</v>
      </c>
      <c r="CN60" s="168">
        <v>5503013</v>
      </c>
      <c r="CO60" s="168">
        <v>9931602</v>
      </c>
      <c r="CP60" s="168">
        <v>0</v>
      </c>
      <c r="CQ60" s="168">
        <v>0</v>
      </c>
      <c r="CR60" s="168">
        <v>0</v>
      </c>
      <c r="CS60" s="168">
        <v>0</v>
      </c>
      <c r="CT60" s="168">
        <v>3680029</v>
      </c>
      <c r="CU60" s="168">
        <v>3680029</v>
      </c>
      <c r="CV60" s="168">
        <v>0</v>
      </c>
      <c r="CW60" s="168">
        <v>75000</v>
      </c>
      <c r="CX60" s="168">
        <v>0</v>
      </c>
      <c r="CY60" s="168">
        <v>0</v>
      </c>
      <c r="CZ60" s="168">
        <v>1359401</v>
      </c>
      <c r="DA60" s="168">
        <v>1434401</v>
      </c>
      <c r="DB60" s="168">
        <v>0</v>
      </c>
      <c r="DC60" s="168">
        <v>0</v>
      </c>
      <c r="DD60" s="168">
        <v>0</v>
      </c>
      <c r="DE60" s="168">
        <v>0</v>
      </c>
      <c r="DF60" s="168">
        <v>0</v>
      </c>
      <c r="DG60" s="168">
        <v>0</v>
      </c>
      <c r="DH60" s="168">
        <v>300</v>
      </c>
      <c r="DI60" s="168">
        <v>4048</v>
      </c>
      <c r="DJ60" s="168">
        <v>120</v>
      </c>
      <c r="DK60" s="168">
        <v>32189</v>
      </c>
      <c r="DL60" s="168">
        <v>77671</v>
      </c>
      <c r="DM60" s="168">
        <v>114328</v>
      </c>
      <c r="DN60" s="168">
        <v>0</v>
      </c>
      <c r="DO60" s="168">
        <v>0</v>
      </c>
      <c r="DP60" s="168">
        <v>0</v>
      </c>
      <c r="DQ60" s="168">
        <v>0</v>
      </c>
      <c r="DR60" s="168">
        <v>2380071</v>
      </c>
      <c r="DS60" s="168">
        <v>2380071</v>
      </c>
      <c r="DT60" s="168">
        <v>0</v>
      </c>
      <c r="DU60" s="168">
        <v>0</v>
      </c>
      <c r="DV60" s="168">
        <v>0</v>
      </c>
      <c r="DW60" s="168">
        <v>0</v>
      </c>
      <c r="DX60" s="168">
        <v>0</v>
      </c>
      <c r="DY60" s="168">
        <v>0</v>
      </c>
      <c r="DZ60" s="168">
        <v>2284</v>
      </c>
      <c r="EA60" s="168">
        <v>13710</v>
      </c>
      <c r="EB60" s="168">
        <v>523</v>
      </c>
      <c r="EC60" s="168">
        <v>9384</v>
      </c>
      <c r="ED60" s="168">
        <v>20242</v>
      </c>
      <c r="EE60" s="168">
        <v>46143</v>
      </c>
      <c r="EF60" s="168">
        <v>57322</v>
      </c>
      <c r="EG60" s="168">
        <v>82319</v>
      </c>
      <c r="EH60" s="168">
        <v>5030</v>
      </c>
      <c r="EI60" s="168">
        <v>34377</v>
      </c>
      <c r="EJ60" s="168">
        <v>130849</v>
      </c>
      <c r="EK60" s="168">
        <v>309897</v>
      </c>
      <c r="EL60" s="168">
        <v>4347183</v>
      </c>
      <c r="EM60" s="168">
        <v>1569792</v>
      </c>
      <c r="EN60" s="168">
        <v>330877</v>
      </c>
      <c r="EO60" s="168">
        <v>2634317</v>
      </c>
      <c r="EP60" s="168">
        <v>20405748</v>
      </c>
      <c r="EQ60" s="168">
        <v>29287917</v>
      </c>
      <c r="ER60" s="169">
        <v>2346008</v>
      </c>
      <c r="ES60" s="169">
        <v>449319</v>
      </c>
      <c r="ET60" s="169">
        <v>420487</v>
      </c>
      <c r="EU60" s="169">
        <v>3320116</v>
      </c>
      <c r="EV60" s="169">
        <v>63076</v>
      </c>
      <c r="EW60" s="169">
        <v>6599006</v>
      </c>
      <c r="EX60" s="169">
        <v>950000</v>
      </c>
      <c r="EY60" s="169">
        <v>242511</v>
      </c>
      <c r="EZ60" s="169">
        <v>43232</v>
      </c>
      <c r="FA60" s="169">
        <v>82141</v>
      </c>
      <c r="FB60" s="169">
        <v>0</v>
      </c>
      <c r="FC60" s="169">
        <v>1317884</v>
      </c>
      <c r="FD60" s="169">
        <v>1526166</v>
      </c>
      <c r="FE60" s="169">
        <v>873660</v>
      </c>
      <c r="FF60" s="169">
        <v>417482</v>
      </c>
      <c r="FG60" s="169">
        <v>1677345</v>
      </c>
      <c r="FH60" s="169">
        <v>0</v>
      </c>
      <c r="FI60" s="169">
        <v>4494653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131221</v>
      </c>
      <c r="FQ60" s="169">
        <v>25458</v>
      </c>
      <c r="FR60" s="169">
        <v>81882</v>
      </c>
      <c r="FS60" s="169">
        <v>140249</v>
      </c>
      <c r="FT60" s="170">
        <v>2912264</v>
      </c>
      <c r="FU60" s="169">
        <v>3291074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177978</v>
      </c>
      <c r="GI60" s="169">
        <v>78213</v>
      </c>
      <c r="GJ60" s="169">
        <v>69623</v>
      </c>
      <c r="GK60" s="169">
        <v>104631</v>
      </c>
      <c r="GL60" s="169">
        <v>1949</v>
      </c>
      <c r="GM60" s="169">
        <v>432394</v>
      </c>
      <c r="GN60" s="169">
        <v>660274</v>
      </c>
      <c r="GO60" s="169">
        <v>334081</v>
      </c>
      <c r="GP60" s="169">
        <v>175449</v>
      </c>
      <c r="GQ60" s="169">
        <v>1159490</v>
      </c>
      <c r="GR60" s="169">
        <v>350</v>
      </c>
      <c r="GS60" s="169">
        <v>2329644</v>
      </c>
      <c r="GT60" s="169">
        <v>241107</v>
      </c>
      <c r="GU60" s="169">
        <v>23943</v>
      </c>
      <c r="GV60" s="169">
        <v>30705</v>
      </c>
      <c r="GW60" s="169">
        <v>256942</v>
      </c>
      <c r="GX60" s="169">
        <v>34252</v>
      </c>
      <c r="GY60" s="169">
        <v>586949</v>
      </c>
      <c r="GZ60" s="169">
        <v>443151</v>
      </c>
      <c r="HA60" s="169">
        <v>215720</v>
      </c>
      <c r="HB60" s="169">
        <v>89889</v>
      </c>
      <c r="HC60" s="169">
        <v>224387</v>
      </c>
      <c r="HD60" s="169">
        <v>0</v>
      </c>
      <c r="HE60" s="169">
        <v>973147</v>
      </c>
      <c r="HF60" s="169">
        <v>13041</v>
      </c>
      <c r="HG60" s="169">
        <v>39698</v>
      </c>
      <c r="HH60" s="169">
        <v>8404</v>
      </c>
      <c r="HI60" s="169">
        <v>31589</v>
      </c>
      <c r="HJ60" s="169">
        <v>2633326</v>
      </c>
      <c r="HK60" s="169">
        <v>2726058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263890</v>
      </c>
      <c r="HS60" s="169">
        <v>189547</v>
      </c>
      <c r="HT60" s="169">
        <v>165186</v>
      </c>
      <c r="HU60" s="169">
        <v>291773</v>
      </c>
      <c r="HV60" s="169">
        <v>153160</v>
      </c>
      <c r="HW60" s="169">
        <v>1063556</v>
      </c>
      <c r="HX60" s="169">
        <v>0</v>
      </c>
      <c r="HY60" s="169">
        <v>0</v>
      </c>
      <c r="HZ60" s="169">
        <v>0</v>
      </c>
      <c r="IA60" s="169">
        <v>0</v>
      </c>
      <c r="IB60" s="169">
        <v>167175</v>
      </c>
      <c r="IC60" s="169">
        <v>167175</v>
      </c>
      <c r="ID60" s="169">
        <v>0</v>
      </c>
      <c r="IE60" s="169">
        <v>0</v>
      </c>
      <c r="IF60" s="169">
        <v>0</v>
      </c>
      <c r="IG60" s="169">
        <v>0</v>
      </c>
      <c r="IH60" s="170">
        <v>3680029</v>
      </c>
      <c r="II60" s="169">
        <v>3680029</v>
      </c>
      <c r="IJ60" s="169">
        <v>12192</v>
      </c>
      <c r="IK60" s="169">
        <v>25615</v>
      </c>
      <c r="IL60" s="169">
        <v>0</v>
      </c>
      <c r="IM60" s="169">
        <v>56697</v>
      </c>
      <c r="IN60" s="169">
        <v>441336</v>
      </c>
      <c r="IO60" s="169">
        <v>535840</v>
      </c>
      <c r="IP60" s="169">
        <v>1560</v>
      </c>
      <c r="IQ60" s="169">
        <v>4098</v>
      </c>
      <c r="IR60" s="169">
        <v>1365</v>
      </c>
      <c r="IS60" s="169">
        <v>7717</v>
      </c>
      <c r="IT60" s="169">
        <v>131700</v>
      </c>
      <c r="IU60" s="169">
        <v>146440</v>
      </c>
      <c r="IV60" s="169">
        <v>279536</v>
      </c>
      <c r="IW60" s="169">
        <v>185386</v>
      </c>
      <c r="IX60" s="169">
        <v>43063</v>
      </c>
      <c r="IY60" s="169">
        <v>228650</v>
      </c>
      <c r="IZ60" s="169">
        <v>432967</v>
      </c>
      <c r="JA60" s="169">
        <v>1169602</v>
      </c>
      <c r="JB60" s="169">
        <v>7046124</v>
      </c>
      <c r="JC60" s="169">
        <v>2687249</v>
      </c>
      <c r="JD60" s="169">
        <v>1546767</v>
      </c>
      <c r="JE60" s="169">
        <v>7581727</v>
      </c>
      <c r="JF60" s="170">
        <v>10651584</v>
      </c>
      <c r="JG60" s="169">
        <v>29513451</v>
      </c>
      <c r="JH60" s="139">
        <v>0</v>
      </c>
      <c r="JI60" s="139">
        <v>0</v>
      </c>
      <c r="JJ60" s="139">
        <v>0</v>
      </c>
      <c r="JK60" s="139">
        <v>0</v>
      </c>
      <c r="JL60" s="139">
        <v>0</v>
      </c>
      <c r="JM60" s="139">
        <v>0</v>
      </c>
      <c r="JN60" s="139">
        <v>7046124</v>
      </c>
      <c r="JO60" s="139">
        <v>2687249</v>
      </c>
      <c r="JP60" s="139">
        <v>1546767</v>
      </c>
      <c r="JQ60" s="139">
        <v>7581727</v>
      </c>
      <c r="JR60" s="139">
        <v>10651584</v>
      </c>
      <c r="JS60" s="139">
        <v>29513451</v>
      </c>
      <c r="JU60" s="70">
        <f t="shared" si="80"/>
        <v>1559403</v>
      </c>
      <c r="JV60" s="70">
        <f t="shared" si="81"/>
        <v>0</v>
      </c>
      <c r="JW60" s="70">
        <f t="shared" si="82"/>
        <v>3562370</v>
      </c>
      <c r="JX60" s="70">
        <f t="shared" si="83"/>
        <v>0</v>
      </c>
      <c r="JY60" s="70">
        <f t="shared" si="84"/>
        <v>2054500</v>
      </c>
      <c r="JZ60" s="70">
        <f t="shared" si="85"/>
        <v>0</v>
      </c>
      <c r="KA60" s="70">
        <f t="shared" si="86"/>
        <v>1035973</v>
      </c>
      <c r="KB60" s="70">
        <f t="shared" si="87"/>
        <v>0</v>
      </c>
      <c r="KC60" s="70">
        <f t="shared" si="88"/>
        <v>0</v>
      </c>
      <c r="KD60" s="70">
        <f t="shared" si="89"/>
        <v>0</v>
      </c>
      <c r="KE60" s="70">
        <f t="shared" si="90"/>
        <v>3179200</v>
      </c>
      <c r="KF60" s="70">
        <f t="shared" si="91"/>
        <v>0</v>
      </c>
      <c r="KG60" s="70">
        <f t="shared" si="92"/>
        <v>9931602</v>
      </c>
      <c r="KH60" s="70">
        <f t="shared" si="93"/>
        <v>0</v>
      </c>
      <c r="KI60" s="70">
        <f t="shared" si="94"/>
        <v>3680029</v>
      </c>
      <c r="KJ60" s="70">
        <f t="shared" si="95"/>
        <v>0</v>
      </c>
      <c r="KK60" s="70">
        <f t="shared" si="96"/>
        <v>1434401</v>
      </c>
      <c r="KL60" s="70">
        <f t="shared" si="97"/>
        <v>0</v>
      </c>
      <c r="KM60" s="70">
        <f t="shared" si="98"/>
        <v>0</v>
      </c>
      <c r="KN60" s="70">
        <f t="shared" si="99"/>
        <v>0</v>
      </c>
      <c r="KO60" s="70">
        <f t="shared" si="100"/>
        <v>114328</v>
      </c>
      <c r="KP60" s="70">
        <f t="shared" si="101"/>
        <v>0</v>
      </c>
      <c r="KQ60" s="70">
        <f t="shared" si="102"/>
        <v>2380071</v>
      </c>
      <c r="KR60" s="70">
        <f t="shared" si="103"/>
        <v>0</v>
      </c>
      <c r="KS60" s="70">
        <f t="shared" si="104"/>
        <v>0</v>
      </c>
      <c r="KT60" s="70">
        <f t="shared" si="105"/>
        <v>0</v>
      </c>
      <c r="KU60" s="70">
        <f t="shared" si="106"/>
        <v>46143</v>
      </c>
      <c r="KV60" s="70">
        <f t="shared" si="107"/>
        <v>0</v>
      </c>
      <c r="KW60" s="70">
        <f t="shared" si="108"/>
        <v>309897</v>
      </c>
      <c r="KX60" s="70">
        <f t="shared" si="109"/>
        <v>0</v>
      </c>
      <c r="KY60" s="70">
        <f t="shared" si="110"/>
        <v>29287917</v>
      </c>
      <c r="KZ60" s="70">
        <f t="shared" si="111"/>
        <v>0</v>
      </c>
      <c r="LA60" s="70">
        <f t="shared" si="150"/>
        <v>6599006</v>
      </c>
      <c r="LB60" s="70">
        <f t="shared" si="112"/>
        <v>0</v>
      </c>
      <c r="LC60" s="70">
        <f t="shared" si="113"/>
        <v>1317884</v>
      </c>
      <c r="LD60" s="70">
        <f t="shared" si="114"/>
        <v>0</v>
      </c>
      <c r="LE60" s="70">
        <f t="shared" si="115"/>
        <v>4494653</v>
      </c>
      <c r="LF60" s="70">
        <f t="shared" si="116"/>
        <v>0</v>
      </c>
      <c r="LG60" s="70">
        <f t="shared" si="155"/>
        <v>0</v>
      </c>
      <c r="LH60" s="70">
        <f t="shared" si="156"/>
        <v>0</v>
      </c>
      <c r="LI60" s="70">
        <f t="shared" si="151"/>
        <v>3291074</v>
      </c>
      <c r="LJ60" s="70">
        <f t="shared" si="152"/>
        <v>0</v>
      </c>
      <c r="LK60" s="70">
        <f t="shared" si="153"/>
        <v>0</v>
      </c>
      <c r="LL60" s="70">
        <f t="shared" si="154"/>
        <v>0</v>
      </c>
      <c r="LM60" s="70">
        <f t="shared" si="117"/>
        <v>0</v>
      </c>
      <c r="LN60" s="70">
        <f t="shared" si="118"/>
        <v>0</v>
      </c>
      <c r="LO60" s="70">
        <f t="shared" si="119"/>
        <v>432394</v>
      </c>
      <c r="LP60" s="70">
        <f t="shared" si="120"/>
        <v>0</v>
      </c>
      <c r="LQ60" s="70">
        <f t="shared" si="121"/>
        <v>2329644</v>
      </c>
      <c r="LR60" s="70">
        <f t="shared" si="122"/>
        <v>0</v>
      </c>
      <c r="LS60" s="70">
        <f t="shared" si="123"/>
        <v>586949</v>
      </c>
      <c r="LT60" s="70">
        <f t="shared" si="124"/>
        <v>0</v>
      </c>
      <c r="LU60" s="70">
        <f t="shared" si="125"/>
        <v>973147</v>
      </c>
      <c r="LV60" s="70">
        <f t="shared" si="126"/>
        <v>0</v>
      </c>
      <c r="LW60" s="70">
        <f t="shared" si="127"/>
        <v>2726058</v>
      </c>
      <c r="LX60" s="70">
        <f t="shared" si="128"/>
        <v>0</v>
      </c>
      <c r="LY60" s="70">
        <f t="shared" si="129"/>
        <v>0</v>
      </c>
      <c r="LZ60" s="70">
        <f t="shared" si="130"/>
        <v>0</v>
      </c>
      <c r="MA60" s="70">
        <f t="shared" si="131"/>
        <v>1063556</v>
      </c>
      <c r="MB60" s="70">
        <f t="shared" si="132"/>
        <v>0</v>
      </c>
      <c r="MC60" s="70">
        <f t="shared" si="133"/>
        <v>167175</v>
      </c>
      <c r="MD60" s="70">
        <f t="shared" si="134"/>
        <v>0</v>
      </c>
      <c r="ME60" s="70">
        <f t="shared" si="135"/>
        <v>3680029</v>
      </c>
      <c r="MF60" s="70">
        <f t="shared" si="136"/>
        <v>0</v>
      </c>
      <c r="MG60" s="70">
        <f t="shared" si="137"/>
        <v>535840</v>
      </c>
      <c r="MH60" s="70">
        <f t="shared" si="138"/>
        <v>0</v>
      </c>
      <c r="MI60" s="70">
        <f t="shared" si="139"/>
        <v>146440</v>
      </c>
      <c r="MJ60" s="70">
        <f t="shared" si="140"/>
        <v>0</v>
      </c>
      <c r="MK60" s="70">
        <f t="shared" si="141"/>
        <v>1169602</v>
      </c>
      <c r="ML60" s="70">
        <f t="shared" si="142"/>
        <v>0</v>
      </c>
      <c r="MM60" s="70">
        <f t="shared" si="143"/>
        <v>29513451</v>
      </c>
      <c r="MN60" s="70">
        <f t="shared" si="144"/>
        <v>0</v>
      </c>
      <c r="MO60" s="70">
        <f t="shared" si="145"/>
        <v>0</v>
      </c>
      <c r="MP60" s="70">
        <f t="shared" si="146"/>
        <v>0</v>
      </c>
      <c r="MQ60" s="70">
        <f t="shared" si="147"/>
        <v>29513451</v>
      </c>
      <c r="MR60" s="70">
        <f t="shared" si="148"/>
        <v>0</v>
      </c>
      <c r="MT60" s="70">
        <f t="shared" si="149"/>
        <v>0</v>
      </c>
      <c r="MV60" s="68">
        <f t="shared" si="77"/>
        <v>0</v>
      </c>
    </row>
    <row r="61" spans="1:360" x14ac:dyDescent="0.15">
      <c r="A61" s="182" t="s">
        <v>335</v>
      </c>
      <c r="B61" s="76" t="s">
        <v>425</v>
      </c>
      <c r="C61" s="90">
        <v>199120</v>
      </c>
      <c r="D61" s="90">
        <v>2014</v>
      </c>
      <c r="E61" s="90">
        <v>1</v>
      </c>
      <c r="F61" s="91">
        <v>1</v>
      </c>
      <c r="G61" s="92">
        <v>7696</v>
      </c>
      <c r="H61" s="92">
        <v>10674</v>
      </c>
      <c r="I61" s="93">
        <v>2671540716</v>
      </c>
      <c r="J61" s="93">
        <v>2552476058</v>
      </c>
      <c r="K61" s="93">
        <v>4529037</v>
      </c>
      <c r="L61" s="93">
        <v>4987274</v>
      </c>
      <c r="M61" s="93">
        <v>96348474</v>
      </c>
      <c r="N61" s="93">
        <v>130683098</v>
      </c>
      <c r="O61" s="93">
        <v>60045924</v>
      </c>
      <c r="P61" s="93">
        <v>60881913</v>
      </c>
      <c r="Q61" s="93">
        <v>1454198140</v>
      </c>
      <c r="R61" s="93">
        <v>1479636379</v>
      </c>
      <c r="S61" s="93">
        <v>1721666597</v>
      </c>
      <c r="T61" s="93">
        <v>1697197599</v>
      </c>
      <c r="U61" s="93">
        <v>19148</v>
      </c>
      <c r="V61" s="93">
        <v>18224</v>
      </c>
      <c r="W61" s="93">
        <v>30930</v>
      </c>
      <c r="X61" s="93">
        <v>38976</v>
      </c>
      <c r="Y61" s="93">
        <v>23416</v>
      </c>
      <c r="Z61" s="93">
        <v>22340</v>
      </c>
      <c r="AA61" s="93">
        <v>45806</v>
      </c>
      <c r="AB61" s="93">
        <v>43848</v>
      </c>
      <c r="AC61" s="114">
        <v>13</v>
      </c>
      <c r="AD61" s="114">
        <v>15</v>
      </c>
      <c r="AE61" s="114">
        <v>0</v>
      </c>
      <c r="AF61" s="115">
        <v>5846780</v>
      </c>
      <c r="AG61" s="115">
        <v>5441509</v>
      </c>
      <c r="AH61" s="115">
        <v>911068</v>
      </c>
      <c r="AI61" s="115">
        <v>408047</v>
      </c>
      <c r="AJ61" s="115">
        <v>524489</v>
      </c>
      <c r="AK61" s="116">
        <v>9.5</v>
      </c>
      <c r="AL61" s="115">
        <v>452968</v>
      </c>
      <c r="AM61" s="116">
        <v>11</v>
      </c>
      <c r="AN61" s="115">
        <v>171980</v>
      </c>
      <c r="AO61" s="116">
        <v>11.5</v>
      </c>
      <c r="AP61" s="115">
        <v>152136</v>
      </c>
      <c r="AQ61" s="116">
        <v>13</v>
      </c>
      <c r="AR61" s="115">
        <v>180094</v>
      </c>
      <c r="AS61" s="116">
        <v>27.38</v>
      </c>
      <c r="AT61" s="115">
        <v>149423</v>
      </c>
      <c r="AU61" s="116">
        <v>33</v>
      </c>
      <c r="AV61" s="115">
        <v>74906</v>
      </c>
      <c r="AW61" s="116">
        <v>23.38</v>
      </c>
      <c r="AX61" s="115">
        <v>60389</v>
      </c>
      <c r="AY61" s="116">
        <v>29</v>
      </c>
      <c r="AZ61" s="165">
        <v>10379939</v>
      </c>
      <c r="BA61" s="165">
        <v>11404331</v>
      </c>
      <c r="BB61" s="165">
        <v>181515</v>
      </c>
      <c r="BC61" s="165">
        <v>306541</v>
      </c>
      <c r="BD61" s="165">
        <v>740207</v>
      </c>
      <c r="BE61" s="165">
        <v>23012533</v>
      </c>
      <c r="BF61" s="165">
        <v>0</v>
      </c>
      <c r="BG61" s="165">
        <v>0</v>
      </c>
      <c r="BH61" s="165">
        <v>0</v>
      </c>
      <c r="BI61" s="165">
        <v>0</v>
      </c>
      <c r="BJ61" s="165">
        <v>7315622</v>
      </c>
      <c r="BK61" s="165">
        <v>7315622</v>
      </c>
      <c r="BL61" s="165">
        <v>300000</v>
      </c>
      <c r="BM61" s="165">
        <v>216436</v>
      </c>
      <c r="BN61" s="165">
        <v>0</v>
      </c>
      <c r="BO61" s="165">
        <v>9500</v>
      </c>
      <c r="BP61" s="165">
        <v>0</v>
      </c>
      <c r="BQ61" s="165">
        <v>525936</v>
      </c>
      <c r="BR61" s="165">
        <v>4441737</v>
      </c>
      <c r="BS61" s="165">
        <v>1335455</v>
      </c>
      <c r="BT61" s="165">
        <v>705679</v>
      </c>
      <c r="BU61" s="165">
        <v>9145841</v>
      </c>
      <c r="BV61" s="165">
        <v>2605881</v>
      </c>
      <c r="BW61" s="165">
        <v>18234593</v>
      </c>
      <c r="BX61" s="165">
        <v>0</v>
      </c>
      <c r="BY61" s="165">
        <v>0</v>
      </c>
      <c r="BZ61" s="165">
        <v>0</v>
      </c>
      <c r="CA61" s="165">
        <v>0</v>
      </c>
      <c r="CB61" s="165">
        <v>0</v>
      </c>
      <c r="CC61" s="165">
        <v>0</v>
      </c>
      <c r="CD61" s="165">
        <v>0</v>
      </c>
      <c r="CE61" s="165">
        <v>0</v>
      </c>
      <c r="CF61" s="165">
        <v>0</v>
      </c>
      <c r="CG61" s="165">
        <v>0</v>
      </c>
      <c r="CH61" s="165">
        <v>0</v>
      </c>
      <c r="CI61" s="165">
        <v>0</v>
      </c>
      <c r="CJ61" s="165">
        <v>0</v>
      </c>
      <c r="CK61" s="165">
        <v>0</v>
      </c>
      <c r="CL61" s="165">
        <v>0</v>
      </c>
      <c r="CM61" s="165">
        <v>0</v>
      </c>
      <c r="CN61" s="165">
        <v>0</v>
      </c>
      <c r="CO61" s="165">
        <v>0</v>
      </c>
      <c r="CP61" s="165">
        <v>0</v>
      </c>
      <c r="CQ61" s="165">
        <v>0</v>
      </c>
      <c r="CR61" s="165">
        <v>0</v>
      </c>
      <c r="CS61" s="165">
        <v>0</v>
      </c>
      <c r="CT61" s="165">
        <v>1762971</v>
      </c>
      <c r="CU61" s="165">
        <v>1762971</v>
      </c>
      <c r="CV61" s="165">
        <v>14843320</v>
      </c>
      <c r="CW61" s="165">
        <v>5347291</v>
      </c>
      <c r="CX61" s="165">
        <v>25000</v>
      </c>
      <c r="CY61" s="165">
        <v>142032</v>
      </c>
      <c r="CZ61" s="165">
        <v>270472</v>
      </c>
      <c r="DA61" s="165">
        <v>20628115</v>
      </c>
      <c r="DB61" s="165">
        <v>2539399</v>
      </c>
      <c r="DC61" s="165">
        <v>2527751</v>
      </c>
      <c r="DD61" s="165">
        <v>0</v>
      </c>
      <c r="DE61" s="165">
        <v>0</v>
      </c>
      <c r="DF61" s="165">
        <v>105000</v>
      </c>
      <c r="DG61" s="165">
        <v>5172150</v>
      </c>
      <c r="DH61" s="165">
        <v>799150</v>
      </c>
      <c r="DI61" s="165">
        <v>760313</v>
      </c>
      <c r="DJ61" s="165">
        <v>37333</v>
      </c>
      <c r="DK61" s="165">
        <v>179962</v>
      </c>
      <c r="DL61" s="165">
        <v>244817</v>
      </c>
      <c r="DM61" s="165">
        <v>2021575</v>
      </c>
      <c r="DN61" s="165">
        <v>0</v>
      </c>
      <c r="DO61" s="165">
        <v>0</v>
      </c>
      <c r="DP61" s="165">
        <v>0</v>
      </c>
      <c r="DQ61" s="165">
        <v>72866</v>
      </c>
      <c r="DR61" s="165">
        <v>2660230</v>
      </c>
      <c r="DS61" s="165">
        <v>2733096</v>
      </c>
      <c r="DT61" s="165">
        <v>0</v>
      </c>
      <c r="DU61" s="165">
        <v>0</v>
      </c>
      <c r="DV61" s="165">
        <v>0</v>
      </c>
      <c r="DW61" s="165">
        <v>0</v>
      </c>
      <c r="DX61" s="165">
        <v>0</v>
      </c>
      <c r="DY61" s="165">
        <v>0</v>
      </c>
      <c r="DZ61" s="165">
        <v>0</v>
      </c>
      <c r="EA61" s="165">
        <v>0</v>
      </c>
      <c r="EB61" s="165">
        <v>0</v>
      </c>
      <c r="EC61" s="165">
        <v>0</v>
      </c>
      <c r="ED61" s="165">
        <v>18196</v>
      </c>
      <c r="EE61" s="165">
        <v>18196</v>
      </c>
      <c r="EF61" s="165">
        <v>17424</v>
      </c>
      <c r="EG61" s="165">
        <v>3449</v>
      </c>
      <c r="EH61" s="165">
        <v>1256</v>
      </c>
      <c r="EI61" s="165">
        <v>51362</v>
      </c>
      <c r="EJ61" s="165">
        <v>2273635</v>
      </c>
      <c r="EK61" s="165">
        <v>2347126</v>
      </c>
      <c r="EL61" s="165">
        <v>33320969</v>
      </c>
      <c r="EM61" s="165">
        <v>21595026</v>
      </c>
      <c r="EN61" s="165">
        <v>950783</v>
      </c>
      <c r="EO61" s="165">
        <v>9908104</v>
      </c>
      <c r="EP61" s="165">
        <v>17997031</v>
      </c>
      <c r="EQ61" s="165">
        <v>83771913</v>
      </c>
      <c r="ER61" s="165">
        <v>2536263</v>
      </c>
      <c r="ES61" s="165">
        <v>426289</v>
      </c>
      <c r="ET61" s="165">
        <v>631144</v>
      </c>
      <c r="EU61" s="165">
        <v>7694593</v>
      </c>
      <c r="EV61" s="165">
        <v>1103762</v>
      </c>
      <c r="EW61" s="165">
        <v>12392051</v>
      </c>
      <c r="EX61" s="165">
        <v>1550000</v>
      </c>
      <c r="EY61" s="165">
        <v>630000</v>
      </c>
      <c r="EZ61" s="165">
        <v>148135</v>
      </c>
      <c r="FA61" s="165">
        <v>52844</v>
      </c>
      <c r="FB61" s="165">
        <v>0</v>
      </c>
      <c r="FC61" s="165">
        <v>2380979</v>
      </c>
      <c r="FD61" s="165">
        <v>4589351</v>
      </c>
      <c r="FE61" s="165">
        <v>2969684</v>
      </c>
      <c r="FF61" s="165">
        <v>1252360</v>
      </c>
      <c r="FG61" s="165">
        <v>4831281</v>
      </c>
      <c r="FH61" s="165">
        <v>0</v>
      </c>
      <c r="FI61" s="165">
        <v>13642676</v>
      </c>
      <c r="FJ61" s="165">
        <v>0</v>
      </c>
      <c r="FK61" s="165">
        <v>0</v>
      </c>
      <c r="FL61" s="165">
        <v>0</v>
      </c>
      <c r="FM61" s="165">
        <v>0</v>
      </c>
      <c r="FN61" s="165">
        <v>0</v>
      </c>
      <c r="FO61" s="165">
        <v>0</v>
      </c>
      <c r="FP61" s="165">
        <v>2011790</v>
      </c>
      <c r="FQ61" s="165">
        <v>870881</v>
      </c>
      <c r="FR61" s="165">
        <v>335373</v>
      </c>
      <c r="FS61" s="165">
        <v>317258</v>
      </c>
      <c r="FT61" s="165">
        <v>12686240</v>
      </c>
      <c r="FU61" s="165">
        <v>16221542</v>
      </c>
      <c r="FV61" s="165">
        <v>0</v>
      </c>
      <c r="FW61" s="165">
        <v>0</v>
      </c>
      <c r="FX61" s="165">
        <v>0</v>
      </c>
      <c r="FY61" s="165">
        <v>0</v>
      </c>
      <c r="FZ61" s="165">
        <v>0</v>
      </c>
      <c r="GA61" s="165">
        <v>0</v>
      </c>
      <c r="GB61" s="165">
        <v>609319</v>
      </c>
      <c r="GC61" s="165">
        <v>0</v>
      </c>
      <c r="GD61" s="165">
        <v>0</v>
      </c>
      <c r="GE61" s="165">
        <v>0</v>
      </c>
      <c r="GF61" s="165">
        <v>0</v>
      </c>
      <c r="GG61" s="165">
        <v>609319</v>
      </c>
      <c r="GH61" s="165">
        <v>525674</v>
      </c>
      <c r="GI61" s="165">
        <v>127345</v>
      </c>
      <c r="GJ61" s="165">
        <v>143776</v>
      </c>
      <c r="GK61" s="165">
        <v>522320</v>
      </c>
      <c r="GL61" s="165">
        <v>0</v>
      </c>
      <c r="GM61" s="165">
        <v>1319115</v>
      </c>
      <c r="GN61" s="165">
        <v>1298498</v>
      </c>
      <c r="GO61" s="165">
        <v>879105</v>
      </c>
      <c r="GP61" s="165">
        <v>420596</v>
      </c>
      <c r="GQ61" s="165">
        <v>2131796</v>
      </c>
      <c r="GR61" s="165">
        <v>169915</v>
      </c>
      <c r="GS61" s="165">
        <v>4899910</v>
      </c>
      <c r="GT61" s="165">
        <v>809402</v>
      </c>
      <c r="GU61" s="165">
        <v>122079</v>
      </c>
      <c r="GV61" s="165">
        <v>85961</v>
      </c>
      <c r="GW61" s="165">
        <v>531665</v>
      </c>
      <c r="GX61" s="165">
        <v>1500000</v>
      </c>
      <c r="GY61" s="165">
        <v>3049107</v>
      </c>
      <c r="GZ61" s="165">
        <v>1935117</v>
      </c>
      <c r="HA61" s="165">
        <v>1055602</v>
      </c>
      <c r="HB61" s="165">
        <v>229520</v>
      </c>
      <c r="HC61" s="165">
        <v>383809</v>
      </c>
      <c r="HD61" s="165">
        <v>728333</v>
      </c>
      <c r="HE61" s="165">
        <v>4332381</v>
      </c>
      <c r="HF61" s="165">
        <v>0</v>
      </c>
      <c r="HG61" s="165">
        <v>0</v>
      </c>
      <c r="HH61" s="165">
        <v>0</v>
      </c>
      <c r="HI61" s="165">
        <v>0</v>
      </c>
      <c r="HJ61" s="165">
        <v>568956</v>
      </c>
      <c r="HK61" s="165">
        <v>568956</v>
      </c>
      <c r="HL61" s="165">
        <v>0</v>
      </c>
      <c r="HM61" s="165">
        <v>0</v>
      </c>
      <c r="HN61" s="165">
        <v>0</v>
      </c>
      <c r="HO61" s="165">
        <v>0</v>
      </c>
      <c r="HP61" s="165">
        <v>0</v>
      </c>
      <c r="HQ61" s="165">
        <v>0</v>
      </c>
      <c r="HR61" s="165">
        <v>3956055</v>
      </c>
      <c r="HS61" s="165">
        <v>108</v>
      </c>
      <c r="HT61" s="165">
        <v>66570</v>
      </c>
      <c r="HU61" s="165">
        <v>1058615</v>
      </c>
      <c r="HV61" s="165">
        <v>7170735</v>
      </c>
      <c r="HW61" s="165">
        <v>12252083</v>
      </c>
      <c r="HX61" s="165">
        <v>0</v>
      </c>
      <c r="HY61" s="165">
        <v>0</v>
      </c>
      <c r="HZ61" s="165">
        <v>0</v>
      </c>
      <c r="IA61" s="165">
        <v>0</v>
      </c>
      <c r="IB61" s="165">
        <v>398221</v>
      </c>
      <c r="IC61" s="165">
        <v>398221</v>
      </c>
      <c r="ID61" s="165">
        <v>0</v>
      </c>
      <c r="IE61" s="165">
        <v>0</v>
      </c>
      <c r="IF61" s="165">
        <v>0</v>
      </c>
      <c r="IG61" s="165">
        <v>0</v>
      </c>
      <c r="IH61" s="165">
        <v>1762971</v>
      </c>
      <c r="II61" s="165">
        <v>1762971</v>
      </c>
      <c r="IJ61" s="165">
        <v>0</v>
      </c>
      <c r="IK61" s="165">
        <v>0</v>
      </c>
      <c r="IL61" s="165">
        <v>0</v>
      </c>
      <c r="IM61" s="165">
        <v>0</v>
      </c>
      <c r="IN61" s="165">
        <v>2217675</v>
      </c>
      <c r="IO61" s="165">
        <v>2217675</v>
      </c>
      <c r="IP61" s="165">
        <v>2900</v>
      </c>
      <c r="IQ61" s="165">
        <v>1075</v>
      </c>
      <c r="IR61" s="165">
        <v>1168</v>
      </c>
      <c r="IS61" s="165">
        <v>9053</v>
      </c>
      <c r="IT61" s="165">
        <v>1470440</v>
      </c>
      <c r="IU61" s="165">
        <v>1484636</v>
      </c>
      <c r="IV61" s="165">
        <v>498073</v>
      </c>
      <c r="IW61" s="165">
        <v>162780</v>
      </c>
      <c r="IX61" s="165">
        <v>141559</v>
      </c>
      <c r="IY61" s="165">
        <v>646764</v>
      </c>
      <c r="IZ61" s="165">
        <v>4482423</v>
      </c>
      <c r="JA61" s="165">
        <v>5931599</v>
      </c>
      <c r="JB61" s="165">
        <v>20322442</v>
      </c>
      <c r="JC61" s="165">
        <v>7244948</v>
      </c>
      <c r="JD61" s="165">
        <v>3456162</v>
      </c>
      <c r="JE61" s="165">
        <v>18179998</v>
      </c>
      <c r="JF61" s="165">
        <v>34259671</v>
      </c>
      <c r="JG61" s="165">
        <v>83463221</v>
      </c>
      <c r="JH61" s="165">
        <v>0</v>
      </c>
      <c r="JI61" s="165">
        <v>0</v>
      </c>
      <c r="JJ61" s="165">
        <v>0</v>
      </c>
      <c r="JK61" s="165">
        <v>0</v>
      </c>
      <c r="JL61" s="165">
        <v>0</v>
      </c>
      <c r="JM61" s="165">
        <v>0</v>
      </c>
      <c r="JN61" s="165">
        <v>20322442</v>
      </c>
      <c r="JO61" s="165">
        <v>7244948</v>
      </c>
      <c r="JP61" s="165">
        <v>3456162</v>
      </c>
      <c r="JQ61" s="165">
        <v>18179998</v>
      </c>
      <c r="JR61" s="165">
        <v>34259671</v>
      </c>
      <c r="JS61" s="165">
        <v>83463221</v>
      </c>
      <c r="JU61" s="70">
        <f t="shared" si="80"/>
        <v>23012533</v>
      </c>
      <c r="JV61" s="70">
        <f t="shared" si="81"/>
        <v>0</v>
      </c>
      <c r="JW61" s="70">
        <f t="shared" si="82"/>
        <v>7315622</v>
      </c>
      <c r="JX61" s="70">
        <f t="shared" si="83"/>
        <v>0</v>
      </c>
      <c r="JY61" s="70">
        <f t="shared" si="84"/>
        <v>525936</v>
      </c>
      <c r="JZ61" s="70">
        <f t="shared" si="85"/>
        <v>0</v>
      </c>
      <c r="KA61" s="70">
        <f t="shared" si="86"/>
        <v>18234593</v>
      </c>
      <c r="KB61" s="70">
        <f t="shared" si="87"/>
        <v>0</v>
      </c>
      <c r="KC61" s="70">
        <f t="shared" si="88"/>
        <v>0</v>
      </c>
      <c r="KD61" s="70">
        <f t="shared" si="89"/>
        <v>0</v>
      </c>
      <c r="KE61" s="70">
        <f t="shared" si="90"/>
        <v>0</v>
      </c>
      <c r="KF61" s="70">
        <f t="shared" si="91"/>
        <v>0</v>
      </c>
      <c r="KG61" s="70">
        <f t="shared" si="92"/>
        <v>0</v>
      </c>
      <c r="KH61" s="70">
        <f t="shared" si="93"/>
        <v>0</v>
      </c>
      <c r="KI61" s="70">
        <f t="shared" si="94"/>
        <v>1762971</v>
      </c>
      <c r="KJ61" s="70">
        <f t="shared" si="95"/>
        <v>0</v>
      </c>
      <c r="KK61" s="70">
        <f t="shared" si="96"/>
        <v>20628115</v>
      </c>
      <c r="KL61" s="70">
        <f t="shared" si="97"/>
        <v>0</v>
      </c>
      <c r="KM61" s="70">
        <f t="shared" si="98"/>
        <v>5172150</v>
      </c>
      <c r="KN61" s="70">
        <f t="shared" si="99"/>
        <v>0</v>
      </c>
      <c r="KO61" s="70">
        <f t="shared" si="100"/>
        <v>2021575</v>
      </c>
      <c r="KP61" s="70">
        <f t="shared" si="101"/>
        <v>0</v>
      </c>
      <c r="KQ61" s="70">
        <f t="shared" si="102"/>
        <v>2733096</v>
      </c>
      <c r="KR61" s="70">
        <f t="shared" si="103"/>
        <v>0</v>
      </c>
      <c r="KS61" s="70">
        <f t="shared" si="104"/>
        <v>0</v>
      </c>
      <c r="KT61" s="70">
        <f t="shared" si="105"/>
        <v>0</v>
      </c>
      <c r="KU61" s="70">
        <f t="shared" si="106"/>
        <v>18196</v>
      </c>
      <c r="KV61" s="70">
        <f t="shared" si="107"/>
        <v>0</v>
      </c>
      <c r="KW61" s="70">
        <f t="shared" si="108"/>
        <v>2347126</v>
      </c>
      <c r="KX61" s="70">
        <f t="shared" si="109"/>
        <v>0</v>
      </c>
      <c r="KY61" s="70">
        <f t="shared" si="110"/>
        <v>83771913</v>
      </c>
      <c r="KZ61" s="70">
        <f t="shared" si="111"/>
        <v>0</v>
      </c>
      <c r="LA61" s="70">
        <f t="shared" si="150"/>
        <v>12392051</v>
      </c>
      <c r="LB61" s="70">
        <f t="shared" si="112"/>
        <v>0</v>
      </c>
      <c r="LC61" s="70">
        <f t="shared" si="113"/>
        <v>2380979</v>
      </c>
      <c r="LD61" s="70">
        <f t="shared" si="114"/>
        <v>0</v>
      </c>
      <c r="LE61" s="70">
        <f t="shared" si="115"/>
        <v>13642676</v>
      </c>
      <c r="LF61" s="70">
        <f t="shared" si="116"/>
        <v>0</v>
      </c>
      <c r="LG61" s="70">
        <f t="shared" si="155"/>
        <v>0</v>
      </c>
      <c r="LH61" s="70">
        <f t="shared" si="156"/>
        <v>0</v>
      </c>
      <c r="LI61" s="70">
        <f t="shared" si="151"/>
        <v>16221542</v>
      </c>
      <c r="LJ61" s="70">
        <f t="shared" si="152"/>
        <v>0</v>
      </c>
      <c r="LK61" s="70">
        <f t="shared" si="153"/>
        <v>0</v>
      </c>
      <c r="LL61" s="70">
        <f t="shared" si="154"/>
        <v>0</v>
      </c>
      <c r="LM61" s="70">
        <f t="shared" si="117"/>
        <v>609319</v>
      </c>
      <c r="LN61" s="70">
        <f t="shared" si="118"/>
        <v>0</v>
      </c>
      <c r="LO61" s="70">
        <f t="shared" si="119"/>
        <v>1319115</v>
      </c>
      <c r="LP61" s="70">
        <f t="shared" si="120"/>
        <v>0</v>
      </c>
      <c r="LQ61" s="70">
        <f t="shared" si="121"/>
        <v>4899910</v>
      </c>
      <c r="LR61" s="70">
        <f t="shared" si="122"/>
        <v>0</v>
      </c>
      <c r="LS61" s="70">
        <f t="shared" si="123"/>
        <v>3049107</v>
      </c>
      <c r="LT61" s="70">
        <f t="shared" si="124"/>
        <v>0</v>
      </c>
      <c r="LU61" s="70">
        <f t="shared" si="125"/>
        <v>4332381</v>
      </c>
      <c r="LV61" s="70">
        <f t="shared" si="126"/>
        <v>0</v>
      </c>
      <c r="LW61" s="70">
        <f t="shared" si="127"/>
        <v>568956</v>
      </c>
      <c r="LX61" s="70">
        <f t="shared" si="128"/>
        <v>0</v>
      </c>
      <c r="LY61" s="70">
        <f t="shared" si="129"/>
        <v>0</v>
      </c>
      <c r="LZ61" s="70">
        <f t="shared" si="130"/>
        <v>0</v>
      </c>
      <c r="MA61" s="70">
        <f t="shared" si="131"/>
        <v>12252083</v>
      </c>
      <c r="MB61" s="70">
        <f t="shared" si="132"/>
        <v>0</v>
      </c>
      <c r="MC61" s="70">
        <f t="shared" si="133"/>
        <v>398221</v>
      </c>
      <c r="MD61" s="70">
        <f t="shared" si="134"/>
        <v>0</v>
      </c>
      <c r="ME61" s="70">
        <f t="shared" si="135"/>
        <v>1762971</v>
      </c>
      <c r="MF61" s="70">
        <f t="shared" si="136"/>
        <v>0</v>
      </c>
      <c r="MG61" s="70">
        <f t="shared" si="137"/>
        <v>2217675</v>
      </c>
      <c r="MH61" s="70">
        <f t="shared" si="138"/>
        <v>0</v>
      </c>
      <c r="MI61" s="70">
        <f t="shared" si="139"/>
        <v>1484636</v>
      </c>
      <c r="MJ61" s="70">
        <f t="shared" si="140"/>
        <v>0</v>
      </c>
      <c r="MK61" s="70">
        <f t="shared" si="141"/>
        <v>5931599</v>
      </c>
      <c r="ML61" s="70">
        <f t="shared" si="142"/>
        <v>0</v>
      </c>
      <c r="MM61" s="70">
        <f t="shared" si="143"/>
        <v>83463221</v>
      </c>
      <c r="MN61" s="70">
        <f t="shared" si="144"/>
        <v>0</v>
      </c>
      <c r="MO61" s="70">
        <f t="shared" si="145"/>
        <v>0</v>
      </c>
      <c r="MP61" s="70">
        <f t="shared" si="146"/>
        <v>0</v>
      </c>
      <c r="MQ61" s="70">
        <f t="shared" si="147"/>
        <v>83463221</v>
      </c>
      <c r="MR61" s="70">
        <f t="shared" si="148"/>
        <v>0</v>
      </c>
      <c r="MT61" s="70">
        <f t="shared" si="149"/>
        <v>0</v>
      </c>
      <c r="MV61" s="68">
        <f t="shared" si="77"/>
        <v>0</v>
      </c>
    </row>
    <row r="62" spans="1:360" x14ac:dyDescent="0.15">
      <c r="A62" s="182" t="s">
        <v>336</v>
      </c>
      <c r="B62" s="76" t="s">
        <v>425</v>
      </c>
      <c r="C62" s="90">
        <v>199193</v>
      </c>
      <c r="D62" s="90">
        <v>2014</v>
      </c>
      <c r="E62" s="90">
        <v>1</v>
      </c>
      <c r="F62" s="91">
        <v>1</v>
      </c>
      <c r="G62" s="92">
        <v>11883</v>
      </c>
      <c r="H62" s="92">
        <v>9447</v>
      </c>
      <c r="I62" s="93">
        <v>1285952770</v>
      </c>
      <c r="J62" s="93">
        <v>1279177823</v>
      </c>
      <c r="K62" s="93">
        <v>5871229</v>
      </c>
      <c r="L62" s="93">
        <v>5245972</v>
      </c>
      <c r="M62" s="93">
        <v>41345123</v>
      </c>
      <c r="N62" s="93">
        <v>27540642</v>
      </c>
      <c r="O62" s="93">
        <v>41056936</v>
      </c>
      <c r="P62" s="93">
        <v>44427191</v>
      </c>
      <c r="Q62" s="93">
        <v>575147119</v>
      </c>
      <c r="R62" s="99">
        <v>580432894</v>
      </c>
      <c r="S62" s="93">
        <v>1131780385</v>
      </c>
      <c r="T62" s="93">
        <v>1136595741</v>
      </c>
      <c r="U62" s="93">
        <v>18548</v>
      </c>
      <c r="V62" s="99">
        <v>17382</v>
      </c>
      <c r="W62" s="93">
        <v>32003</v>
      </c>
      <c r="X62" s="99">
        <v>30547</v>
      </c>
      <c r="Y62" s="93">
        <v>22184</v>
      </c>
      <c r="Z62" s="93">
        <v>20644</v>
      </c>
      <c r="AA62" s="93">
        <v>35639</v>
      </c>
      <c r="AB62" s="93">
        <v>33809</v>
      </c>
      <c r="AC62" s="114">
        <v>11</v>
      </c>
      <c r="AD62" s="114">
        <v>11</v>
      </c>
      <c r="AE62" s="114">
        <v>0</v>
      </c>
      <c r="AF62" s="115">
        <v>5121849</v>
      </c>
      <c r="AG62" s="115">
        <v>3398661</v>
      </c>
      <c r="AH62" s="115">
        <v>1108768</v>
      </c>
      <c r="AI62" s="115">
        <v>389014</v>
      </c>
      <c r="AJ62" s="115">
        <v>641075</v>
      </c>
      <c r="AK62" s="116">
        <v>9</v>
      </c>
      <c r="AL62" s="115">
        <v>525023</v>
      </c>
      <c r="AM62" s="116">
        <v>11</v>
      </c>
      <c r="AN62" s="115">
        <v>183597</v>
      </c>
      <c r="AO62" s="116">
        <v>9</v>
      </c>
      <c r="AP62" s="115">
        <v>150216</v>
      </c>
      <c r="AQ62" s="116">
        <v>11</v>
      </c>
      <c r="AR62" s="115">
        <v>219976</v>
      </c>
      <c r="AS62" s="116">
        <v>24.5</v>
      </c>
      <c r="AT62" s="115">
        <v>185842</v>
      </c>
      <c r="AU62" s="116">
        <v>29</v>
      </c>
      <c r="AV62" s="115">
        <v>90183</v>
      </c>
      <c r="AW62" s="116">
        <v>17.5</v>
      </c>
      <c r="AX62" s="115">
        <v>71736</v>
      </c>
      <c r="AY62" s="116">
        <v>22</v>
      </c>
      <c r="AZ62" s="164">
        <v>13867570</v>
      </c>
      <c r="BA62" s="164">
        <v>6265279</v>
      </c>
      <c r="BB62" s="164">
        <v>63736</v>
      </c>
      <c r="BC62" s="164">
        <v>287422</v>
      </c>
      <c r="BD62" s="164">
        <v>468435</v>
      </c>
      <c r="BE62" s="164">
        <v>20952442</v>
      </c>
      <c r="BF62" s="164">
        <v>3107990</v>
      </c>
      <c r="BG62" s="164">
        <v>930171</v>
      </c>
      <c r="BH62" s="164">
        <v>73158</v>
      </c>
      <c r="BI62" s="164">
        <v>2576190</v>
      </c>
      <c r="BJ62" s="164">
        <v>0</v>
      </c>
      <c r="BK62" s="164">
        <v>6687509</v>
      </c>
      <c r="BL62" s="164">
        <v>100000</v>
      </c>
      <c r="BM62" s="164">
        <v>0</v>
      </c>
      <c r="BN62" s="164">
        <v>0</v>
      </c>
      <c r="BO62" s="164">
        <v>0</v>
      </c>
      <c r="BP62" s="164">
        <v>0</v>
      </c>
      <c r="BQ62" s="164">
        <v>100000</v>
      </c>
      <c r="BR62" s="164">
        <v>3515847</v>
      </c>
      <c r="BS62" s="164">
        <v>595764</v>
      </c>
      <c r="BT62" s="164">
        <v>405005</v>
      </c>
      <c r="BU62" s="164">
        <v>5746708</v>
      </c>
      <c r="BV62" s="164">
        <v>560846</v>
      </c>
      <c r="BW62" s="164">
        <v>10824170</v>
      </c>
      <c r="BX62" s="164">
        <v>0</v>
      </c>
      <c r="BY62" s="164">
        <v>0</v>
      </c>
      <c r="BZ62" s="164">
        <v>0</v>
      </c>
      <c r="CA62" s="164">
        <v>0</v>
      </c>
      <c r="CB62" s="164">
        <v>0</v>
      </c>
      <c r="CC62" s="164">
        <v>0</v>
      </c>
      <c r="CD62" s="164">
        <v>0</v>
      </c>
      <c r="CE62" s="164">
        <v>0</v>
      </c>
      <c r="CF62" s="164">
        <v>0</v>
      </c>
      <c r="CG62" s="164">
        <v>0</v>
      </c>
      <c r="CH62" s="164">
        <v>0</v>
      </c>
      <c r="CI62" s="164">
        <v>0</v>
      </c>
      <c r="CJ62" s="164">
        <v>0</v>
      </c>
      <c r="CK62" s="164">
        <v>0</v>
      </c>
      <c r="CL62" s="164">
        <v>0</v>
      </c>
      <c r="CM62" s="164">
        <v>0</v>
      </c>
      <c r="CN62" s="164">
        <v>21142</v>
      </c>
      <c r="CO62" s="164">
        <v>21142</v>
      </c>
      <c r="CP62" s="164">
        <v>0</v>
      </c>
      <c r="CQ62" s="164">
        <v>0</v>
      </c>
      <c r="CR62" s="164">
        <v>0</v>
      </c>
      <c r="CS62" s="164">
        <v>0</v>
      </c>
      <c r="CT62" s="164">
        <v>0</v>
      </c>
      <c r="CU62" s="164">
        <v>0</v>
      </c>
      <c r="CV62" s="164">
        <v>13172011</v>
      </c>
      <c r="CW62" s="164">
        <v>4117293</v>
      </c>
      <c r="CX62" s="164">
        <v>0</v>
      </c>
      <c r="CY62" s="164">
        <v>0</v>
      </c>
      <c r="CZ62" s="164">
        <v>1752018</v>
      </c>
      <c r="DA62" s="164">
        <v>19041322</v>
      </c>
      <c r="DB62" s="164">
        <v>0</v>
      </c>
      <c r="DC62" s="164">
        <v>0</v>
      </c>
      <c r="DD62" s="164">
        <v>0</v>
      </c>
      <c r="DE62" s="164">
        <v>0</v>
      </c>
      <c r="DF62" s="164">
        <v>4790000</v>
      </c>
      <c r="DG62" s="164">
        <v>4790000</v>
      </c>
      <c r="DH62" s="164">
        <v>2039175</v>
      </c>
      <c r="DI62" s="164">
        <v>618079</v>
      </c>
      <c r="DJ62" s="164">
        <v>21136</v>
      </c>
      <c r="DK62" s="164">
        <v>69121</v>
      </c>
      <c r="DL62" s="164">
        <v>22130</v>
      </c>
      <c r="DM62" s="164">
        <v>2769641</v>
      </c>
      <c r="DN62" s="164">
        <v>425000</v>
      </c>
      <c r="DO62" s="164">
        <v>75000</v>
      </c>
      <c r="DP62" s="164">
        <v>75000</v>
      </c>
      <c r="DQ62" s="164">
        <v>480000</v>
      </c>
      <c r="DR62" s="164">
        <v>1106173</v>
      </c>
      <c r="DS62" s="164">
        <v>2161173</v>
      </c>
      <c r="DT62" s="164">
        <v>5391</v>
      </c>
      <c r="DU62" s="164">
        <v>36761</v>
      </c>
      <c r="DV62" s="164">
        <v>252</v>
      </c>
      <c r="DW62" s="164">
        <v>31557</v>
      </c>
      <c r="DX62" s="164">
        <v>0</v>
      </c>
      <c r="DY62" s="164">
        <v>73961</v>
      </c>
      <c r="DZ62" s="164">
        <v>0</v>
      </c>
      <c r="EA62" s="164">
        <v>0</v>
      </c>
      <c r="EB62" s="164">
        <v>0</v>
      </c>
      <c r="EC62" s="164">
        <v>0</v>
      </c>
      <c r="ED62" s="164">
        <v>0</v>
      </c>
      <c r="EE62" s="164">
        <v>0</v>
      </c>
      <c r="EF62" s="164">
        <v>0</v>
      </c>
      <c r="EG62" s="164">
        <v>0</v>
      </c>
      <c r="EH62" s="164">
        <v>0</v>
      </c>
      <c r="EI62" s="164">
        <v>0</v>
      </c>
      <c r="EJ62" s="164">
        <v>3079451</v>
      </c>
      <c r="EK62" s="164">
        <v>3079451</v>
      </c>
      <c r="EL62" s="164">
        <v>36232984</v>
      </c>
      <c r="EM62" s="164">
        <v>12638347</v>
      </c>
      <c r="EN62" s="164">
        <v>638287</v>
      </c>
      <c r="EO62" s="164">
        <v>9190998</v>
      </c>
      <c r="EP62" s="164">
        <v>11800195</v>
      </c>
      <c r="EQ62" s="164">
        <v>70500811</v>
      </c>
      <c r="ER62" s="164">
        <v>2686508</v>
      </c>
      <c r="ES62" s="164">
        <v>404255</v>
      </c>
      <c r="ET62" s="164">
        <v>405005</v>
      </c>
      <c r="EU62" s="164">
        <v>5124812</v>
      </c>
      <c r="EV62" s="164">
        <v>513146</v>
      </c>
      <c r="EW62" s="164">
        <v>9133726</v>
      </c>
      <c r="EX62" s="164">
        <v>2095000</v>
      </c>
      <c r="EY62" s="164">
        <v>733490</v>
      </c>
      <c r="EZ62" s="164">
        <v>128238</v>
      </c>
      <c r="FA62" s="164">
        <v>33781</v>
      </c>
      <c r="FB62" s="164">
        <v>0</v>
      </c>
      <c r="FC62" s="164">
        <v>2990509</v>
      </c>
      <c r="FD62" s="164">
        <v>5091336</v>
      </c>
      <c r="FE62" s="164">
        <v>3561315</v>
      </c>
      <c r="FF62" s="164">
        <v>1105526</v>
      </c>
      <c r="FG62" s="164">
        <v>4637167</v>
      </c>
      <c r="FH62" s="164">
        <v>0</v>
      </c>
      <c r="FI62" s="164">
        <v>14395344</v>
      </c>
      <c r="FJ62" s="164">
        <v>0</v>
      </c>
      <c r="FK62" s="164">
        <v>0</v>
      </c>
      <c r="FL62" s="164">
        <v>0</v>
      </c>
      <c r="FM62" s="164">
        <v>0</v>
      </c>
      <c r="FN62" s="164">
        <v>0</v>
      </c>
      <c r="FO62" s="164">
        <v>0</v>
      </c>
      <c r="FP62" s="164">
        <v>1759644</v>
      </c>
      <c r="FQ62" s="164">
        <v>431335</v>
      </c>
      <c r="FR62" s="164">
        <v>260534</v>
      </c>
      <c r="FS62" s="164">
        <v>347043</v>
      </c>
      <c r="FT62" s="164">
        <v>9052517</v>
      </c>
      <c r="FU62" s="164">
        <v>11851073</v>
      </c>
      <c r="FV62" s="164">
        <v>0</v>
      </c>
      <c r="FW62" s="164">
        <v>0</v>
      </c>
      <c r="FX62" s="164">
        <v>0</v>
      </c>
      <c r="FY62" s="164">
        <v>0</v>
      </c>
      <c r="FZ62" s="164">
        <v>0</v>
      </c>
      <c r="GA62" s="164">
        <v>0</v>
      </c>
      <c r="GB62" s="164">
        <v>511878</v>
      </c>
      <c r="GC62" s="164">
        <v>0</v>
      </c>
      <c r="GD62" s="164">
        <v>31193</v>
      </c>
      <c r="GE62" s="164">
        <v>44366</v>
      </c>
      <c r="GF62" s="164">
        <v>72380</v>
      </c>
      <c r="GG62" s="164">
        <v>659817</v>
      </c>
      <c r="GH62" s="164">
        <v>569574</v>
      </c>
      <c r="GI62" s="164">
        <v>330804</v>
      </c>
      <c r="GJ62" s="164">
        <v>150842</v>
      </c>
      <c r="GK62" s="164">
        <v>450433</v>
      </c>
      <c r="GL62" s="164">
        <v>0</v>
      </c>
      <c r="GM62" s="164">
        <v>1501653</v>
      </c>
      <c r="GN62" s="164">
        <v>569574</v>
      </c>
      <c r="GO62" s="164">
        <v>330804</v>
      </c>
      <c r="GP62" s="164">
        <v>150842</v>
      </c>
      <c r="GQ62" s="164">
        <v>450433</v>
      </c>
      <c r="GR62" s="164">
        <v>0</v>
      </c>
      <c r="GS62" s="164">
        <v>1501653</v>
      </c>
      <c r="GT62" s="164">
        <v>569574</v>
      </c>
      <c r="GU62" s="164">
        <v>330804</v>
      </c>
      <c r="GV62" s="164">
        <v>150842</v>
      </c>
      <c r="GW62" s="164">
        <v>450433</v>
      </c>
      <c r="GX62" s="164">
        <v>0</v>
      </c>
      <c r="GY62" s="164">
        <v>1501653</v>
      </c>
      <c r="GZ62" s="164">
        <v>1428903</v>
      </c>
      <c r="HA62" s="164">
        <v>379549</v>
      </c>
      <c r="HB62" s="164">
        <v>181975</v>
      </c>
      <c r="HC62" s="164">
        <v>288128</v>
      </c>
      <c r="HD62" s="164">
        <v>1076945</v>
      </c>
      <c r="HE62" s="164">
        <v>3355500</v>
      </c>
      <c r="HF62" s="164">
        <v>0</v>
      </c>
      <c r="HG62" s="164">
        <v>0</v>
      </c>
      <c r="HH62" s="164">
        <v>0</v>
      </c>
      <c r="HI62" s="164">
        <v>0</v>
      </c>
      <c r="HJ62" s="164">
        <v>827924</v>
      </c>
      <c r="HK62" s="164">
        <v>827924</v>
      </c>
      <c r="HL62" s="164">
        <v>0</v>
      </c>
      <c r="HM62" s="164">
        <v>32156</v>
      </c>
      <c r="HN62" s="164">
        <v>50</v>
      </c>
      <c r="HO62" s="164">
        <v>11828</v>
      </c>
      <c r="HP62" s="164">
        <v>150</v>
      </c>
      <c r="HQ62" s="164">
        <v>44184</v>
      </c>
      <c r="HR62" s="164">
        <v>3808073</v>
      </c>
      <c r="HS62" s="164">
        <v>1850214</v>
      </c>
      <c r="HT62" s="164">
        <v>386027</v>
      </c>
      <c r="HU62" s="164">
        <v>1922965</v>
      </c>
      <c r="HV62" s="164">
        <v>2241934</v>
      </c>
      <c r="HW62" s="164">
        <v>10209213</v>
      </c>
      <c r="HX62" s="164">
        <v>0</v>
      </c>
      <c r="HY62" s="164">
        <v>0</v>
      </c>
      <c r="HZ62" s="164">
        <v>0</v>
      </c>
      <c r="IA62" s="164">
        <v>0</v>
      </c>
      <c r="IB62" s="164">
        <v>404349</v>
      </c>
      <c r="IC62" s="164">
        <v>404349</v>
      </c>
      <c r="ID62" s="164">
        <v>0</v>
      </c>
      <c r="IE62" s="164">
        <v>0</v>
      </c>
      <c r="IF62" s="164">
        <v>0</v>
      </c>
      <c r="IG62" s="164">
        <v>0</v>
      </c>
      <c r="IH62" s="164">
        <v>0</v>
      </c>
      <c r="II62" s="164">
        <v>0</v>
      </c>
      <c r="IJ62" s="164">
        <v>0</v>
      </c>
      <c r="IK62" s="164">
        <v>0</v>
      </c>
      <c r="IL62" s="164">
        <v>0</v>
      </c>
      <c r="IM62" s="164">
        <v>0</v>
      </c>
      <c r="IN62" s="164">
        <v>725239</v>
      </c>
      <c r="IO62" s="164">
        <v>725239</v>
      </c>
      <c r="IP62" s="164">
        <v>1235</v>
      </c>
      <c r="IQ62" s="164">
        <v>0</v>
      </c>
      <c r="IR62" s="164">
        <v>16056</v>
      </c>
      <c r="IS62" s="164">
        <v>9767</v>
      </c>
      <c r="IT62" s="164">
        <v>1443923</v>
      </c>
      <c r="IU62" s="164">
        <v>1470981</v>
      </c>
      <c r="IV62" s="164">
        <v>0</v>
      </c>
      <c r="IW62" s="164">
        <v>0</v>
      </c>
      <c r="IX62" s="164">
        <v>0</v>
      </c>
      <c r="IY62" s="164">
        <v>0</v>
      </c>
      <c r="IZ62" s="164">
        <v>1666467</v>
      </c>
      <c r="JA62" s="164">
        <v>1666467</v>
      </c>
      <c r="JB62" s="164">
        <v>19030914</v>
      </c>
      <c r="JC62" s="164">
        <v>8592241</v>
      </c>
      <c r="JD62" s="164">
        <v>2942698</v>
      </c>
      <c r="JE62" s="164">
        <v>15367742</v>
      </c>
      <c r="JF62" s="164">
        <v>18024974</v>
      </c>
      <c r="JG62" s="164">
        <v>63958569</v>
      </c>
      <c r="JH62" s="164">
        <v>0</v>
      </c>
      <c r="JI62" s="164">
        <v>0</v>
      </c>
      <c r="JJ62" s="164">
        <v>0</v>
      </c>
      <c r="JK62" s="164">
        <v>0</v>
      </c>
      <c r="JL62" s="164">
        <v>965793</v>
      </c>
      <c r="JM62" s="164">
        <v>965793</v>
      </c>
      <c r="JN62" s="164">
        <v>19030914</v>
      </c>
      <c r="JO62" s="164">
        <v>8592241</v>
      </c>
      <c r="JP62" s="164">
        <v>2942698</v>
      </c>
      <c r="JQ62" s="164">
        <v>15367742</v>
      </c>
      <c r="JR62" s="164">
        <v>18990767</v>
      </c>
      <c r="JS62" s="164">
        <v>64924362</v>
      </c>
      <c r="JU62" s="70">
        <f t="shared" si="80"/>
        <v>20952442</v>
      </c>
      <c r="JV62" s="70">
        <f t="shared" si="81"/>
        <v>0</v>
      </c>
      <c r="JW62" s="70">
        <f t="shared" si="82"/>
        <v>6687509</v>
      </c>
      <c r="JX62" s="70">
        <f t="shared" si="83"/>
        <v>0</v>
      </c>
      <c r="JY62" s="70">
        <f t="shared" si="84"/>
        <v>100000</v>
      </c>
      <c r="JZ62" s="70">
        <f t="shared" si="85"/>
        <v>0</v>
      </c>
      <c r="KA62" s="70">
        <f t="shared" si="86"/>
        <v>10824170</v>
      </c>
      <c r="KB62" s="70">
        <f t="shared" si="87"/>
        <v>0</v>
      </c>
      <c r="KC62" s="70">
        <f t="shared" si="88"/>
        <v>0</v>
      </c>
      <c r="KD62" s="70">
        <f t="shared" si="89"/>
        <v>0</v>
      </c>
      <c r="KE62" s="70">
        <f t="shared" si="90"/>
        <v>0</v>
      </c>
      <c r="KF62" s="70">
        <f t="shared" si="91"/>
        <v>0</v>
      </c>
      <c r="KG62" s="70">
        <f t="shared" si="92"/>
        <v>21142</v>
      </c>
      <c r="KH62" s="70">
        <f t="shared" si="93"/>
        <v>0</v>
      </c>
      <c r="KI62" s="70">
        <f t="shared" si="94"/>
        <v>0</v>
      </c>
      <c r="KJ62" s="70">
        <f t="shared" si="95"/>
        <v>0</v>
      </c>
      <c r="KK62" s="70">
        <f t="shared" si="96"/>
        <v>19041322</v>
      </c>
      <c r="KL62" s="70">
        <f t="shared" si="97"/>
        <v>0</v>
      </c>
      <c r="KM62" s="70">
        <f t="shared" si="98"/>
        <v>4790000</v>
      </c>
      <c r="KN62" s="70">
        <f t="shared" si="99"/>
        <v>0</v>
      </c>
      <c r="KO62" s="70">
        <f t="shared" si="100"/>
        <v>2769641</v>
      </c>
      <c r="KP62" s="70">
        <f t="shared" si="101"/>
        <v>0</v>
      </c>
      <c r="KQ62" s="70">
        <f t="shared" si="102"/>
        <v>2161173</v>
      </c>
      <c r="KR62" s="70">
        <f t="shared" si="103"/>
        <v>0</v>
      </c>
      <c r="KS62" s="70">
        <f t="shared" si="104"/>
        <v>73961</v>
      </c>
      <c r="KT62" s="70">
        <f t="shared" si="105"/>
        <v>0</v>
      </c>
      <c r="KU62" s="70">
        <f t="shared" si="106"/>
        <v>0</v>
      </c>
      <c r="KV62" s="70">
        <f t="shared" si="107"/>
        <v>0</v>
      </c>
      <c r="KW62" s="70">
        <f t="shared" si="108"/>
        <v>3079451</v>
      </c>
      <c r="KX62" s="70">
        <f t="shared" si="109"/>
        <v>0</v>
      </c>
      <c r="KY62" s="70">
        <f t="shared" si="110"/>
        <v>70500811</v>
      </c>
      <c r="KZ62" s="70">
        <f t="shared" si="111"/>
        <v>0</v>
      </c>
      <c r="LA62" s="70">
        <f t="shared" si="150"/>
        <v>9133726</v>
      </c>
      <c r="LB62" s="70">
        <f t="shared" si="112"/>
        <v>0</v>
      </c>
      <c r="LC62" s="70">
        <f t="shared" si="113"/>
        <v>2990509</v>
      </c>
      <c r="LD62" s="70">
        <f t="shared" si="114"/>
        <v>0</v>
      </c>
      <c r="LE62" s="70">
        <f t="shared" si="115"/>
        <v>14395344</v>
      </c>
      <c r="LF62" s="70">
        <f t="shared" si="116"/>
        <v>0</v>
      </c>
      <c r="LG62" s="70">
        <f t="shared" si="155"/>
        <v>0</v>
      </c>
      <c r="LH62" s="70">
        <f t="shared" si="156"/>
        <v>0</v>
      </c>
      <c r="LI62" s="70">
        <f t="shared" si="151"/>
        <v>11851073</v>
      </c>
      <c r="LJ62" s="70">
        <f t="shared" si="152"/>
        <v>0</v>
      </c>
      <c r="LK62" s="70">
        <f t="shared" si="153"/>
        <v>0</v>
      </c>
      <c r="LL62" s="70">
        <f t="shared" si="154"/>
        <v>0</v>
      </c>
      <c r="LM62" s="70">
        <f t="shared" si="117"/>
        <v>659817</v>
      </c>
      <c r="LN62" s="70">
        <f t="shared" si="118"/>
        <v>0</v>
      </c>
      <c r="LO62" s="70">
        <f t="shared" si="119"/>
        <v>1501653</v>
      </c>
      <c r="LP62" s="70">
        <f t="shared" si="120"/>
        <v>0</v>
      </c>
      <c r="LQ62" s="70">
        <f t="shared" si="121"/>
        <v>1501653</v>
      </c>
      <c r="LR62" s="70">
        <f t="shared" si="122"/>
        <v>0</v>
      </c>
      <c r="LS62" s="70">
        <f t="shared" si="123"/>
        <v>1501653</v>
      </c>
      <c r="LT62" s="70">
        <f t="shared" si="124"/>
        <v>0</v>
      </c>
      <c r="LU62" s="70">
        <f t="shared" si="125"/>
        <v>3355500</v>
      </c>
      <c r="LV62" s="70">
        <f t="shared" si="126"/>
        <v>0</v>
      </c>
      <c r="LW62" s="70">
        <f t="shared" si="127"/>
        <v>827924</v>
      </c>
      <c r="LX62" s="70">
        <f t="shared" si="128"/>
        <v>0</v>
      </c>
      <c r="LY62" s="70">
        <f t="shared" si="129"/>
        <v>44184</v>
      </c>
      <c r="LZ62" s="70">
        <f t="shared" si="130"/>
        <v>0</v>
      </c>
      <c r="MA62" s="70">
        <f t="shared" si="131"/>
        <v>10209213</v>
      </c>
      <c r="MB62" s="70">
        <f t="shared" si="132"/>
        <v>0</v>
      </c>
      <c r="MC62" s="70">
        <f t="shared" si="133"/>
        <v>404349</v>
      </c>
      <c r="MD62" s="70">
        <f t="shared" si="134"/>
        <v>0</v>
      </c>
      <c r="ME62" s="70">
        <f t="shared" si="135"/>
        <v>0</v>
      </c>
      <c r="MF62" s="70">
        <f t="shared" si="136"/>
        <v>0</v>
      </c>
      <c r="MG62" s="70">
        <f t="shared" si="137"/>
        <v>725239</v>
      </c>
      <c r="MH62" s="70">
        <f t="shared" si="138"/>
        <v>0</v>
      </c>
      <c r="MI62" s="70">
        <f t="shared" si="139"/>
        <v>1470981</v>
      </c>
      <c r="MJ62" s="70">
        <f t="shared" si="140"/>
        <v>0</v>
      </c>
      <c r="MK62" s="70">
        <f t="shared" si="141"/>
        <v>1666467</v>
      </c>
      <c r="ML62" s="70">
        <f t="shared" si="142"/>
        <v>0</v>
      </c>
      <c r="MM62" s="70">
        <f t="shared" si="143"/>
        <v>63958569</v>
      </c>
      <c r="MN62" s="70">
        <f t="shared" si="144"/>
        <v>0</v>
      </c>
      <c r="MO62" s="70">
        <f t="shared" si="145"/>
        <v>965793</v>
      </c>
      <c r="MP62" s="70">
        <f t="shared" si="146"/>
        <v>0</v>
      </c>
      <c r="MQ62" s="70">
        <f t="shared" si="147"/>
        <v>64924362</v>
      </c>
      <c r="MR62" s="70">
        <f t="shared" si="148"/>
        <v>0</v>
      </c>
      <c r="MT62" s="70">
        <f t="shared" si="149"/>
        <v>0</v>
      </c>
      <c r="MV62" s="68">
        <f t="shared" si="77"/>
        <v>0</v>
      </c>
    </row>
    <row r="63" spans="1:360" x14ac:dyDescent="0.15">
      <c r="A63" s="182" t="s">
        <v>347</v>
      </c>
      <c r="B63" s="67" t="s">
        <v>426</v>
      </c>
      <c r="C63" s="90">
        <v>220978</v>
      </c>
      <c r="D63" s="90">
        <v>2014</v>
      </c>
      <c r="E63" s="90">
        <v>1</v>
      </c>
      <c r="F63" s="91">
        <v>8</v>
      </c>
      <c r="G63" s="92">
        <v>15368</v>
      </c>
      <c r="H63" s="92">
        <v>14394</v>
      </c>
      <c r="I63" s="93">
        <v>563192551</v>
      </c>
      <c r="J63" s="93">
        <v>587823235</v>
      </c>
      <c r="K63" s="93">
        <v>22600000</v>
      </c>
      <c r="L63" s="93">
        <v>2135000</v>
      </c>
      <c r="M63" s="93">
        <v>93003866</v>
      </c>
      <c r="N63" s="93">
        <v>29356928</v>
      </c>
      <c r="O63" s="93">
        <v>68195000</v>
      </c>
      <c r="P63" s="93">
        <v>76330000</v>
      </c>
      <c r="Q63" s="93">
        <v>292737379</v>
      </c>
      <c r="R63" s="93">
        <v>352437804</v>
      </c>
      <c r="S63" s="93">
        <v>234807809</v>
      </c>
      <c r="T63" s="93">
        <v>514306756</v>
      </c>
      <c r="U63" s="93">
        <v>17325</v>
      </c>
      <c r="V63" s="93">
        <v>16965</v>
      </c>
      <c r="W63" s="93">
        <v>27945</v>
      </c>
      <c r="X63" s="93">
        <v>26705</v>
      </c>
      <c r="Y63" s="93">
        <v>20984</v>
      </c>
      <c r="Z63" s="93">
        <v>20244</v>
      </c>
      <c r="AA63" s="93">
        <v>31514</v>
      </c>
      <c r="AB63" s="93">
        <v>30774</v>
      </c>
      <c r="AC63" s="114">
        <v>6</v>
      </c>
      <c r="AD63" s="114">
        <v>10</v>
      </c>
      <c r="AE63" s="114">
        <v>0</v>
      </c>
      <c r="AF63" s="115">
        <v>2244992</v>
      </c>
      <c r="AG63" s="115">
        <v>1864840</v>
      </c>
      <c r="AH63" s="115">
        <v>261969</v>
      </c>
      <c r="AI63" s="115">
        <v>143693</v>
      </c>
      <c r="AJ63" s="115">
        <v>372444</v>
      </c>
      <c r="AK63" s="116">
        <v>3.5</v>
      </c>
      <c r="AL63" s="115">
        <v>325889</v>
      </c>
      <c r="AM63" s="116">
        <v>4</v>
      </c>
      <c r="AN63" s="115">
        <v>125159</v>
      </c>
      <c r="AO63" s="116">
        <v>7.8</v>
      </c>
      <c r="AP63" s="115">
        <v>117337</v>
      </c>
      <c r="AQ63" s="116">
        <v>8</v>
      </c>
      <c r="AR63" s="115">
        <v>143723</v>
      </c>
      <c r="AS63" s="116">
        <v>14</v>
      </c>
      <c r="AT63" s="115">
        <v>125757</v>
      </c>
      <c r="AU63" s="116">
        <v>16</v>
      </c>
      <c r="AV63" s="115">
        <v>57983</v>
      </c>
      <c r="AW63" s="116">
        <v>12</v>
      </c>
      <c r="AX63" s="115">
        <v>49699</v>
      </c>
      <c r="AY63" s="116">
        <v>14</v>
      </c>
      <c r="AZ63" s="139">
        <v>1096126</v>
      </c>
      <c r="BA63" s="139">
        <v>147454</v>
      </c>
      <c r="BB63" s="139">
        <v>22978</v>
      </c>
      <c r="BC63" s="139">
        <v>26722</v>
      </c>
      <c r="BD63" s="139">
        <v>37700</v>
      </c>
      <c r="BE63" s="139">
        <v>1330980</v>
      </c>
      <c r="BF63" s="139">
        <v>0</v>
      </c>
      <c r="BG63" s="139">
        <v>0</v>
      </c>
      <c r="BH63" s="139">
        <v>0</v>
      </c>
      <c r="BI63" s="139">
        <v>0</v>
      </c>
      <c r="BJ63" s="139">
        <v>10674831</v>
      </c>
      <c r="BK63" s="139">
        <v>10674831</v>
      </c>
      <c r="BL63" s="139">
        <v>1950000</v>
      </c>
      <c r="BM63" s="139">
        <v>290000</v>
      </c>
      <c r="BN63" s="139">
        <v>21000</v>
      </c>
      <c r="BO63" s="139">
        <v>4200</v>
      </c>
      <c r="BP63" s="139">
        <v>0</v>
      </c>
      <c r="BQ63" s="139">
        <v>2265200</v>
      </c>
      <c r="BR63" s="139">
        <v>773420</v>
      </c>
      <c r="BS63" s="139">
        <v>47437</v>
      </c>
      <c r="BT63" s="139">
        <v>42296</v>
      </c>
      <c r="BU63" s="139">
        <v>125154</v>
      </c>
      <c r="BV63" s="139">
        <v>920730</v>
      </c>
      <c r="BW63" s="139">
        <v>1909037</v>
      </c>
      <c r="BX63" s="139">
        <v>0</v>
      </c>
      <c r="BY63" s="139">
        <v>0</v>
      </c>
      <c r="BZ63" s="139">
        <v>0</v>
      </c>
      <c r="CA63" s="139">
        <v>0</v>
      </c>
      <c r="CB63" s="139">
        <v>0</v>
      </c>
      <c r="CC63" s="139">
        <v>0</v>
      </c>
      <c r="CD63" s="139">
        <v>0</v>
      </c>
      <c r="CE63" s="139">
        <v>0</v>
      </c>
      <c r="CF63" s="139">
        <v>0</v>
      </c>
      <c r="CG63" s="139">
        <v>0</v>
      </c>
      <c r="CH63" s="139">
        <v>0</v>
      </c>
      <c r="CI63" s="139">
        <v>0</v>
      </c>
      <c r="CJ63" s="139">
        <v>3609444</v>
      </c>
      <c r="CK63" s="139">
        <v>1079181</v>
      </c>
      <c r="CL63" s="139">
        <v>1059889</v>
      </c>
      <c r="CM63" s="139">
        <v>3319647</v>
      </c>
      <c r="CN63" s="139">
        <v>5750</v>
      </c>
      <c r="CO63" s="139">
        <v>9073911</v>
      </c>
      <c r="CP63" s="139">
        <v>0</v>
      </c>
      <c r="CQ63" s="139">
        <v>0</v>
      </c>
      <c r="CR63" s="139">
        <v>0</v>
      </c>
      <c r="CS63" s="139">
        <v>0</v>
      </c>
      <c r="CT63" s="139">
        <v>35291</v>
      </c>
      <c r="CU63" s="139">
        <v>35291</v>
      </c>
      <c r="CV63" s="139">
        <v>859173</v>
      </c>
      <c r="CW63" s="139">
        <v>300792</v>
      </c>
      <c r="CX63" s="139">
        <v>3826</v>
      </c>
      <c r="CY63" s="139">
        <v>1556</v>
      </c>
      <c r="CZ63" s="139">
        <v>1788878</v>
      </c>
      <c r="DA63" s="139">
        <v>2954225</v>
      </c>
      <c r="DB63" s="139">
        <v>0</v>
      </c>
      <c r="DC63" s="139">
        <v>0</v>
      </c>
      <c r="DD63" s="139">
        <v>0</v>
      </c>
      <c r="DE63" s="139">
        <v>0</v>
      </c>
      <c r="DF63" s="139">
        <v>0</v>
      </c>
      <c r="DG63" s="139">
        <v>0</v>
      </c>
      <c r="DH63" s="139">
        <v>420484</v>
      </c>
      <c r="DI63" s="139">
        <v>57134</v>
      </c>
      <c r="DJ63" s="139">
        <v>16851</v>
      </c>
      <c r="DK63" s="139">
        <v>52701</v>
      </c>
      <c r="DL63" s="139">
        <v>362570</v>
      </c>
      <c r="DM63" s="139">
        <v>909740</v>
      </c>
      <c r="DN63" s="139">
        <v>84100</v>
      </c>
      <c r="DO63" s="139">
        <v>24150</v>
      </c>
      <c r="DP63" s="139">
        <v>16800</v>
      </c>
      <c r="DQ63" s="139">
        <v>20350</v>
      </c>
      <c r="DR63" s="139">
        <v>1545078</v>
      </c>
      <c r="DS63" s="139">
        <v>1690478</v>
      </c>
      <c r="DT63" s="139">
        <v>75389</v>
      </c>
      <c r="DU63" s="139">
        <v>19370</v>
      </c>
      <c r="DV63" s="139">
        <v>20030</v>
      </c>
      <c r="DW63" s="139">
        <v>339872</v>
      </c>
      <c r="DX63" s="139">
        <v>0</v>
      </c>
      <c r="DY63" s="139">
        <v>454661</v>
      </c>
      <c r="DZ63" s="139">
        <v>1700</v>
      </c>
      <c r="EA63" s="139">
        <v>0</v>
      </c>
      <c r="EB63" s="139">
        <v>0</v>
      </c>
      <c r="EC63" s="139">
        <v>7246</v>
      </c>
      <c r="ED63" s="139">
        <v>1281</v>
      </c>
      <c r="EE63" s="139">
        <v>10227</v>
      </c>
      <c r="EF63" s="139">
        <v>137970</v>
      </c>
      <c r="EG63" s="139">
        <v>0</v>
      </c>
      <c r="EH63" s="139">
        <v>0</v>
      </c>
      <c r="EI63" s="139">
        <v>11391</v>
      </c>
      <c r="EJ63" s="139">
        <v>159152</v>
      </c>
      <c r="EK63" s="139">
        <v>308513</v>
      </c>
      <c r="EL63" s="139">
        <v>9007806</v>
      </c>
      <c r="EM63" s="139">
        <v>1965518</v>
      </c>
      <c r="EN63" s="139">
        <v>1203670</v>
      </c>
      <c r="EO63" s="139">
        <v>3908839</v>
      </c>
      <c r="EP63" s="139">
        <v>15531261</v>
      </c>
      <c r="EQ63" s="139">
        <v>31617094</v>
      </c>
      <c r="ER63" s="139">
        <v>1680658</v>
      </c>
      <c r="ES63" s="139">
        <v>243988</v>
      </c>
      <c r="ET63" s="139">
        <v>324803</v>
      </c>
      <c r="EU63" s="139">
        <v>1860383</v>
      </c>
      <c r="EV63" s="139">
        <v>61513</v>
      </c>
      <c r="EW63" s="139">
        <v>4171345</v>
      </c>
      <c r="EX63" s="139">
        <v>175000</v>
      </c>
      <c r="EY63" s="139">
        <v>353000</v>
      </c>
      <c r="EZ63" s="139">
        <v>25000</v>
      </c>
      <c r="FA63" s="139">
        <v>2618</v>
      </c>
      <c r="FB63" s="139">
        <v>0</v>
      </c>
      <c r="FC63" s="139">
        <v>555618</v>
      </c>
      <c r="FD63" s="139">
        <v>2221853</v>
      </c>
      <c r="FE63" s="139">
        <v>863899</v>
      </c>
      <c r="FF63" s="139">
        <v>486001</v>
      </c>
      <c r="FG63" s="139">
        <v>1378401</v>
      </c>
      <c r="FH63" s="139">
        <v>12076</v>
      </c>
      <c r="FI63" s="139">
        <v>4962230</v>
      </c>
      <c r="FJ63" s="139">
        <v>0</v>
      </c>
      <c r="FK63" s="139">
        <v>0</v>
      </c>
      <c r="FL63" s="139">
        <v>0</v>
      </c>
      <c r="FM63" s="139">
        <v>0</v>
      </c>
      <c r="FN63" s="139">
        <v>0</v>
      </c>
      <c r="FO63" s="139">
        <v>0</v>
      </c>
      <c r="FP63" s="139">
        <v>428178</v>
      </c>
      <c r="FQ63" s="139">
        <v>115602</v>
      </c>
      <c r="FR63" s="139">
        <v>120488</v>
      </c>
      <c r="FS63" s="139">
        <v>74369</v>
      </c>
      <c r="FT63" s="139">
        <v>4169465</v>
      </c>
      <c r="FU63" s="139">
        <v>4908102</v>
      </c>
      <c r="FV63" s="139">
        <v>0</v>
      </c>
      <c r="FW63" s="139">
        <v>0</v>
      </c>
      <c r="FX63" s="139">
        <v>0</v>
      </c>
      <c r="FY63" s="139">
        <v>0</v>
      </c>
      <c r="FZ63" s="139">
        <v>0</v>
      </c>
      <c r="GA63" s="139">
        <v>0</v>
      </c>
      <c r="GB63" s="139">
        <v>0</v>
      </c>
      <c r="GC63" s="139">
        <v>0</v>
      </c>
      <c r="GD63" s="139">
        <v>0</v>
      </c>
      <c r="GE63" s="139">
        <v>0</v>
      </c>
      <c r="GF63" s="139">
        <v>9011</v>
      </c>
      <c r="GG63" s="139">
        <v>9011</v>
      </c>
      <c r="GH63" s="139">
        <v>171705</v>
      </c>
      <c r="GI63" s="139">
        <v>77780</v>
      </c>
      <c r="GJ63" s="139">
        <v>81097</v>
      </c>
      <c r="GK63" s="139">
        <v>75080</v>
      </c>
      <c r="GL63" s="139">
        <v>114</v>
      </c>
      <c r="GM63" s="139">
        <v>405776</v>
      </c>
      <c r="GN63" s="139">
        <v>1048395</v>
      </c>
      <c r="GO63" s="139">
        <v>190388</v>
      </c>
      <c r="GP63" s="139">
        <v>192230</v>
      </c>
      <c r="GQ63" s="139">
        <v>702898</v>
      </c>
      <c r="GR63" s="139">
        <v>45657</v>
      </c>
      <c r="GS63" s="139">
        <v>2179568</v>
      </c>
      <c r="GT63" s="139">
        <v>613657</v>
      </c>
      <c r="GU63" s="139">
        <v>40718</v>
      </c>
      <c r="GV63" s="139">
        <v>31127</v>
      </c>
      <c r="GW63" s="139">
        <v>262023</v>
      </c>
      <c r="GX63" s="139">
        <v>0</v>
      </c>
      <c r="GY63" s="139">
        <v>947525</v>
      </c>
      <c r="GZ63" s="139">
        <v>788307</v>
      </c>
      <c r="HA63" s="139">
        <v>214099</v>
      </c>
      <c r="HB63" s="139">
        <v>120945</v>
      </c>
      <c r="HC63" s="139">
        <v>82993</v>
      </c>
      <c r="HD63" s="139">
        <v>201553</v>
      </c>
      <c r="HE63" s="139">
        <v>1407897</v>
      </c>
      <c r="HF63" s="139">
        <v>225322</v>
      </c>
      <c r="HG63" s="139">
        <v>53763</v>
      </c>
      <c r="HH63" s="139">
        <v>47289</v>
      </c>
      <c r="HI63" s="139">
        <v>29727</v>
      </c>
      <c r="HJ63" s="139">
        <v>763630</v>
      </c>
      <c r="HK63" s="139">
        <v>1119731</v>
      </c>
      <c r="HL63" s="139">
        <v>29883</v>
      </c>
      <c r="HM63" s="139">
        <v>11274</v>
      </c>
      <c r="HN63" s="139">
        <v>10653</v>
      </c>
      <c r="HO63" s="139">
        <v>112795</v>
      </c>
      <c r="HP63" s="139">
        <v>0</v>
      </c>
      <c r="HQ63" s="139">
        <v>164605</v>
      </c>
      <c r="HR63" s="139">
        <v>5320567</v>
      </c>
      <c r="HS63" s="139">
        <v>30757</v>
      </c>
      <c r="HT63" s="139">
        <v>27314</v>
      </c>
      <c r="HU63" s="139">
        <v>94990</v>
      </c>
      <c r="HV63" s="139">
        <v>1738422</v>
      </c>
      <c r="HW63" s="139">
        <v>7212050</v>
      </c>
      <c r="HX63" s="139">
        <v>0</v>
      </c>
      <c r="HY63" s="139">
        <v>0</v>
      </c>
      <c r="HZ63" s="139">
        <v>0</v>
      </c>
      <c r="IA63" s="139">
        <v>0</v>
      </c>
      <c r="IB63" s="139">
        <v>59895</v>
      </c>
      <c r="IC63" s="139">
        <v>59895</v>
      </c>
      <c r="ID63" s="139">
        <v>0</v>
      </c>
      <c r="IE63" s="139">
        <v>0</v>
      </c>
      <c r="IF63" s="139">
        <v>0</v>
      </c>
      <c r="IG63" s="139">
        <v>0</v>
      </c>
      <c r="IH63" s="139">
        <v>35291</v>
      </c>
      <c r="II63" s="139">
        <v>35291</v>
      </c>
      <c r="IJ63" s="139">
        <v>66746</v>
      </c>
      <c r="IK63" s="139">
        <v>7898</v>
      </c>
      <c r="IL63" s="139">
        <v>9134</v>
      </c>
      <c r="IM63" s="139">
        <v>58124</v>
      </c>
      <c r="IN63" s="139">
        <v>559979</v>
      </c>
      <c r="IO63" s="139">
        <v>701881</v>
      </c>
      <c r="IP63" s="139">
        <v>10783</v>
      </c>
      <c r="IQ63" s="139">
        <v>4495</v>
      </c>
      <c r="IR63" s="139">
        <v>7705</v>
      </c>
      <c r="IS63" s="139">
        <v>3291</v>
      </c>
      <c r="IT63" s="139">
        <v>789069</v>
      </c>
      <c r="IU63" s="139">
        <v>815343</v>
      </c>
      <c r="IV63" s="139">
        <v>612209</v>
      </c>
      <c r="IW63" s="139">
        <v>42892</v>
      </c>
      <c r="IX63" s="139">
        <v>24094</v>
      </c>
      <c r="IY63" s="139">
        <v>91763</v>
      </c>
      <c r="IZ63" s="139">
        <v>755847</v>
      </c>
      <c r="JA63" s="139">
        <v>1526805</v>
      </c>
      <c r="JB63" s="139">
        <v>13393263</v>
      </c>
      <c r="JC63" s="139">
        <v>2250553</v>
      </c>
      <c r="JD63" s="139">
        <v>1507880</v>
      </c>
      <c r="JE63" s="139">
        <v>4829455</v>
      </c>
      <c r="JF63" s="139">
        <v>9201522</v>
      </c>
      <c r="JG63" s="139">
        <v>31182673</v>
      </c>
      <c r="JH63" s="139">
        <v>0</v>
      </c>
      <c r="JI63" s="139">
        <v>0</v>
      </c>
      <c r="JJ63" s="139">
        <v>0</v>
      </c>
      <c r="JK63" s="139">
        <v>0</v>
      </c>
      <c r="JL63" s="139">
        <v>0</v>
      </c>
      <c r="JM63" s="139">
        <v>0</v>
      </c>
      <c r="JN63" s="139">
        <v>13393263</v>
      </c>
      <c r="JO63" s="139">
        <v>2250553</v>
      </c>
      <c r="JP63" s="139">
        <v>1507880</v>
      </c>
      <c r="JQ63" s="139">
        <v>4829455</v>
      </c>
      <c r="JR63" s="139">
        <v>9201522</v>
      </c>
      <c r="JS63" s="139">
        <v>31182673</v>
      </c>
      <c r="JU63" s="70">
        <f t="shared" si="80"/>
        <v>1330980</v>
      </c>
      <c r="JV63" s="70">
        <f t="shared" si="81"/>
        <v>0</v>
      </c>
      <c r="JW63" s="70">
        <f t="shared" si="82"/>
        <v>10674831</v>
      </c>
      <c r="JX63" s="70">
        <f t="shared" si="83"/>
        <v>0</v>
      </c>
      <c r="JY63" s="70">
        <f t="shared" si="84"/>
        <v>2265200</v>
      </c>
      <c r="JZ63" s="70">
        <f t="shared" si="85"/>
        <v>0</v>
      </c>
      <c r="KA63" s="70">
        <f t="shared" si="86"/>
        <v>1909037</v>
      </c>
      <c r="KB63" s="70">
        <f t="shared" si="87"/>
        <v>0</v>
      </c>
      <c r="KC63" s="70">
        <f t="shared" si="88"/>
        <v>0</v>
      </c>
      <c r="KD63" s="70">
        <f t="shared" si="89"/>
        <v>0</v>
      </c>
      <c r="KE63" s="70">
        <f t="shared" si="90"/>
        <v>0</v>
      </c>
      <c r="KF63" s="70">
        <f t="shared" si="91"/>
        <v>0</v>
      </c>
      <c r="KG63" s="70">
        <f t="shared" si="92"/>
        <v>9073911</v>
      </c>
      <c r="KH63" s="70">
        <f t="shared" si="93"/>
        <v>0</v>
      </c>
      <c r="KI63" s="70">
        <f t="shared" si="94"/>
        <v>35291</v>
      </c>
      <c r="KJ63" s="70">
        <f t="shared" si="95"/>
        <v>0</v>
      </c>
      <c r="KK63" s="70">
        <f t="shared" si="96"/>
        <v>2954225</v>
      </c>
      <c r="KL63" s="70">
        <f t="shared" si="97"/>
        <v>0</v>
      </c>
      <c r="KM63" s="70">
        <f t="shared" si="98"/>
        <v>0</v>
      </c>
      <c r="KN63" s="70">
        <f t="shared" si="99"/>
        <v>0</v>
      </c>
      <c r="KO63" s="70">
        <f t="shared" si="100"/>
        <v>909740</v>
      </c>
      <c r="KP63" s="70">
        <f t="shared" si="101"/>
        <v>0</v>
      </c>
      <c r="KQ63" s="70">
        <f t="shared" si="102"/>
        <v>1690478</v>
      </c>
      <c r="KR63" s="70">
        <f t="shared" si="103"/>
        <v>0</v>
      </c>
      <c r="KS63" s="70">
        <f t="shared" si="104"/>
        <v>454661</v>
      </c>
      <c r="KT63" s="70">
        <f t="shared" si="105"/>
        <v>0</v>
      </c>
      <c r="KU63" s="70">
        <f t="shared" si="106"/>
        <v>10227</v>
      </c>
      <c r="KV63" s="70">
        <f t="shared" si="107"/>
        <v>0</v>
      </c>
      <c r="KW63" s="70">
        <f t="shared" si="108"/>
        <v>308513</v>
      </c>
      <c r="KX63" s="70">
        <f t="shared" si="109"/>
        <v>0</v>
      </c>
      <c r="KY63" s="70">
        <f t="shared" si="110"/>
        <v>31617094</v>
      </c>
      <c r="KZ63" s="70">
        <f t="shared" si="111"/>
        <v>0</v>
      </c>
      <c r="LA63" s="70">
        <f t="shared" si="150"/>
        <v>4171345</v>
      </c>
      <c r="LB63" s="70">
        <f t="shared" si="112"/>
        <v>0</v>
      </c>
      <c r="LC63" s="70">
        <f t="shared" si="113"/>
        <v>555618</v>
      </c>
      <c r="LD63" s="70">
        <f t="shared" si="114"/>
        <v>0</v>
      </c>
      <c r="LE63" s="70">
        <f t="shared" si="115"/>
        <v>4962230</v>
      </c>
      <c r="LF63" s="70">
        <f t="shared" si="116"/>
        <v>0</v>
      </c>
      <c r="LG63" s="70">
        <f t="shared" si="155"/>
        <v>0</v>
      </c>
      <c r="LH63" s="70">
        <f t="shared" si="156"/>
        <v>0</v>
      </c>
      <c r="LI63" s="70">
        <f t="shared" si="151"/>
        <v>4908102</v>
      </c>
      <c r="LJ63" s="70">
        <f t="shared" si="152"/>
        <v>0</v>
      </c>
      <c r="LK63" s="70">
        <f t="shared" si="153"/>
        <v>0</v>
      </c>
      <c r="LL63" s="70">
        <f t="shared" si="154"/>
        <v>0</v>
      </c>
      <c r="LM63" s="70">
        <f t="shared" si="117"/>
        <v>9011</v>
      </c>
      <c r="LN63" s="70">
        <f t="shared" si="118"/>
        <v>0</v>
      </c>
      <c r="LO63" s="70">
        <f t="shared" si="119"/>
        <v>405776</v>
      </c>
      <c r="LP63" s="70">
        <f t="shared" si="120"/>
        <v>0</v>
      </c>
      <c r="LQ63" s="70">
        <f t="shared" si="121"/>
        <v>2179568</v>
      </c>
      <c r="LR63" s="70">
        <f t="shared" si="122"/>
        <v>0</v>
      </c>
      <c r="LS63" s="70">
        <f t="shared" si="123"/>
        <v>947525</v>
      </c>
      <c r="LT63" s="70">
        <f t="shared" si="124"/>
        <v>0</v>
      </c>
      <c r="LU63" s="70">
        <f t="shared" si="125"/>
        <v>1407897</v>
      </c>
      <c r="LV63" s="70">
        <f t="shared" si="126"/>
        <v>0</v>
      </c>
      <c r="LW63" s="70">
        <f t="shared" si="127"/>
        <v>1119731</v>
      </c>
      <c r="LX63" s="70">
        <f t="shared" si="128"/>
        <v>0</v>
      </c>
      <c r="LY63" s="70">
        <f t="shared" si="129"/>
        <v>164605</v>
      </c>
      <c r="LZ63" s="70">
        <f t="shared" si="130"/>
        <v>0</v>
      </c>
      <c r="MA63" s="70">
        <f t="shared" si="131"/>
        <v>7212050</v>
      </c>
      <c r="MB63" s="70">
        <f t="shared" si="132"/>
        <v>0</v>
      </c>
      <c r="MC63" s="70">
        <f t="shared" si="133"/>
        <v>59895</v>
      </c>
      <c r="MD63" s="70">
        <f t="shared" si="134"/>
        <v>0</v>
      </c>
      <c r="ME63" s="70">
        <f t="shared" si="135"/>
        <v>35291</v>
      </c>
      <c r="MF63" s="70">
        <f t="shared" si="136"/>
        <v>0</v>
      </c>
      <c r="MG63" s="70">
        <f t="shared" si="137"/>
        <v>701881</v>
      </c>
      <c r="MH63" s="70">
        <f t="shared" si="138"/>
        <v>0</v>
      </c>
      <c r="MI63" s="70">
        <f t="shared" si="139"/>
        <v>815343</v>
      </c>
      <c r="MJ63" s="70">
        <f t="shared" si="140"/>
        <v>0</v>
      </c>
      <c r="MK63" s="70">
        <f t="shared" si="141"/>
        <v>1526805</v>
      </c>
      <c r="ML63" s="70">
        <f t="shared" si="142"/>
        <v>0</v>
      </c>
      <c r="MM63" s="70">
        <f t="shared" si="143"/>
        <v>31182673</v>
      </c>
      <c r="MN63" s="70">
        <f t="shared" si="144"/>
        <v>0</v>
      </c>
      <c r="MO63" s="70">
        <f t="shared" si="145"/>
        <v>0</v>
      </c>
      <c r="MP63" s="70">
        <f t="shared" si="146"/>
        <v>0</v>
      </c>
      <c r="MQ63" s="70">
        <f t="shared" si="147"/>
        <v>31182673</v>
      </c>
      <c r="MR63" s="70">
        <f t="shared" si="148"/>
        <v>0</v>
      </c>
      <c r="MT63" s="70">
        <f t="shared" si="149"/>
        <v>0</v>
      </c>
      <c r="MV63" s="68">
        <f t="shared" si="77"/>
        <v>0</v>
      </c>
    </row>
    <row r="64" spans="1:360" x14ac:dyDescent="0.15">
      <c r="A64" s="183" t="s">
        <v>337</v>
      </c>
      <c r="B64" s="76" t="s">
        <v>425</v>
      </c>
      <c r="C64" s="90">
        <v>147703</v>
      </c>
      <c r="D64" s="90">
        <v>2014</v>
      </c>
      <c r="E64" s="90">
        <v>1</v>
      </c>
      <c r="F64" s="91">
        <v>9</v>
      </c>
      <c r="G64" s="92">
        <v>7926</v>
      </c>
      <c r="H64" s="97">
        <v>7888</v>
      </c>
      <c r="I64" s="93">
        <v>612804000</v>
      </c>
      <c r="J64" s="93"/>
      <c r="K64" s="93">
        <v>7825000</v>
      </c>
      <c r="L64" s="93"/>
      <c r="M64" s="93">
        <v>8000000</v>
      </c>
      <c r="N64" s="93"/>
      <c r="O64" s="93">
        <v>0</v>
      </c>
      <c r="P64" s="93"/>
      <c r="Q64" s="93">
        <v>378627000</v>
      </c>
      <c r="R64" s="93"/>
      <c r="S64" s="93">
        <v>510673000</v>
      </c>
      <c r="T64" s="93"/>
      <c r="U64" s="93">
        <v>22878.28</v>
      </c>
      <c r="V64" s="98"/>
      <c r="W64" s="93">
        <v>32715.08</v>
      </c>
      <c r="X64" s="93"/>
      <c r="Y64" s="93">
        <v>28342</v>
      </c>
      <c r="Z64" s="99"/>
      <c r="AA64" s="93">
        <v>37438</v>
      </c>
      <c r="AB64" s="93"/>
      <c r="AC64" s="114">
        <v>7</v>
      </c>
      <c r="AD64" s="114">
        <v>8</v>
      </c>
      <c r="AE64" s="114">
        <v>0</v>
      </c>
      <c r="AF64" s="115">
        <v>4337343.75</v>
      </c>
      <c r="AG64" s="115">
        <v>2966949.5300000003</v>
      </c>
      <c r="AH64" s="115">
        <v>240241.43999999997</v>
      </c>
      <c r="AI64" s="115">
        <v>84085.5</v>
      </c>
      <c r="AJ64" s="115">
        <v>163421.43428571429</v>
      </c>
      <c r="AK64" s="116">
        <v>7</v>
      </c>
      <c r="AL64" s="115">
        <v>163421.43428571429</v>
      </c>
      <c r="AM64" s="116">
        <v>7</v>
      </c>
      <c r="AN64" s="115">
        <v>74603.444444444438</v>
      </c>
      <c r="AO64" s="116">
        <v>9</v>
      </c>
      <c r="AP64" s="115">
        <v>74603.444444444438</v>
      </c>
      <c r="AQ64" s="116">
        <v>9</v>
      </c>
      <c r="AR64" s="115">
        <v>75854.766666666677</v>
      </c>
      <c r="AS64" s="116">
        <v>21</v>
      </c>
      <c r="AT64" s="115">
        <v>66372.920833333337</v>
      </c>
      <c r="AU64" s="116">
        <v>24</v>
      </c>
      <c r="AV64" s="115">
        <v>42214.595999999998</v>
      </c>
      <c r="AW64" s="116">
        <v>12.5</v>
      </c>
      <c r="AX64" s="115">
        <v>37691.603571428568</v>
      </c>
      <c r="AY64" s="116">
        <v>14</v>
      </c>
      <c r="AZ64" s="164">
        <v>1004655</v>
      </c>
      <c r="BA64" s="164">
        <v>71602</v>
      </c>
      <c r="BB64" s="164">
        <v>13603</v>
      </c>
      <c r="BC64" s="164">
        <f>1076257+21262-AZ64-BA64-BB64</f>
        <v>7659</v>
      </c>
      <c r="BD64" s="164">
        <v>0</v>
      </c>
      <c r="BE64" s="164">
        <v>1097519</v>
      </c>
      <c r="BF64" s="164">
        <v>0</v>
      </c>
      <c r="BG64" s="164">
        <v>0</v>
      </c>
      <c r="BH64" s="164">
        <v>0</v>
      </c>
      <c r="BI64" s="164">
        <v>0</v>
      </c>
      <c r="BJ64" s="164">
        <v>9101311.8399999999</v>
      </c>
      <c r="BK64" s="164">
        <v>9101311.8399999999</v>
      </c>
      <c r="BL64" s="164">
        <v>1440000</v>
      </c>
      <c r="BM64" s="164">
        <v>180000</v>
      </c>
      <c r="BN64" s="164">
        <v>20000</v>
      </c>
      <c r="BO64" s="164">
        <f>1654250+22500-BL64-BM64-BN64</f>
        <v>36750</v>
      </c>
      <c r="BP64" s="164">
        <v>0</v>
      </c>
      <c r="BQ64" s="164">
        <v>1676750</v>
      </c>
      <c r="BR64" s="164">
        <v>272863.35999999999</v>
      </c>
      <c r="BS64" s="164">
        <v>20799.25</v>
      </c>
      <c r="BT64" s="164">
        <v>3840</v>
      </c>
      <c r="BU64" s="164">
        <f>358437+64793-BR64-BS64-BT64</f>
        <v>125727.39000000001</v>
      </c>
      <c r="BV64" s="164">
        <v>1300881.51</v>
      </c>
      <c r="BW64" s="164">
        <v>1724111.19</v>
      </c>
      <c r="BX64" s="164">
        <v>0</v>
      </c>
      <c r="BY64" s="164">
        <v>0</v>
      </c>
      <c r="BZ64" s="164">
        <v>0</v>
      </c>
      <c r="CA64" s="164">
        <v>0</v>
      </c>
      <c r="CB64" s="164">
        <v>0</v>
      </c>
      <c r="CC64" s="164">
        <v>0</v>
      </c>
      <c r="CD64" s="164">
        <v>0</v>
      </c>
      <c r="CE64" s="164">
        <v>0</v>
      </c>
      <c r="CF64" s="164">
        <v>0</v>
      </c>
      <c r="CG64" s="164">
        <v>0</v>
      </c>
      <c r="CH64" s="164">
        <v>0</v>
      </c>
      <c r="CI64" s="164">
        <v>0</v>
      </c>
      <c r="CJ64" s="164">
        <v>1231908.8899999999</v>
      </c>
      <c r="CK64" s="164">
        <v>207070.98</v>
      </c>
      <c r="CL64" s="164">
        <v>191070.29</v>
      </c>
      <c r="CM64" s="164">
        <f>2125439+1416282-CJ64-CK64-CL64</f>
        <v>1911670.8400000003</v>
      </c>
      <c r="CN64" s="164">
        <v>2362184.9099999997</v>
      </c>
      <c r="CO64" s="164">
        <v>5903906.0700000003</v>
      </c>
      <c r="CP64" s="164">
        <v>0</v>
      </c>
      <c r="CQ64" s="164">
        <v>0</v>
      </c>
      <c r="CR64" s="164">
        <v>0</v>
      </c>
      <c r="CS64" s="164">
        <v>0</v>
      </c>
      <c r="CT64" s="164">
        <v>3334196.21</v>
      </c>
      <c r="CU64" s="164">
        <v>3334196.21</v>
      </c>
      <c r="CV64" s="164">
        <v>400000</v>
      </c>
      <c r="CW64" s="164">
        <v>0</v>
      </c>
      <c r="CX64" s="164">
        <v>0</v>
      </c>
      <c r="CY64" s="164">
        <f>421813+0-CV64-CW64-CX64</f>
        <v>21813</v>
      </c>
      <c r="CZ64" s="164">
        <v>2106019.0499999998</v>
      </c>
      <c r="DA64" s="164">
        <v>2527831.86</v>
      </c>
      <c r="DB64" s="164">
        <v>0</v>
      </c>
      <c r="DC64" s="164">
        <v>0</v>
      </c>
      <c r="DD64" s="164">
        <v>0</v>
      </c>
      <c r="DE64" s="164">
        <v>0</v>
      </c>
      <c r="DF64" s="164">
        <v>0</v>
      </c>
      <c r="DG64" s="164">
        <v>0</v>
      </c>
      <c r="DH64" s="164">
        <v>88366.21</v>
      </c>
      <c r="DI64" s="164">
        <v>842.37</v>
      </c>
      <c r="DJ64" s="164">
        <v>402.54</v>
      </c>
      <c r="DK64" s="164">
        <f>89209+403-DH64-DI64-DJ64</f>
        <v>0.87999999999357215</v>
      </c>
      <c r="DL64" s="164">
        <v>0</v>
      </c>
      <c r="DM64" s="164">
        <v>89611.12</v>
      </c>
      <c r="DN64" s="164">
        <v>0</v>
      </c>
      <c r="DO64" s="164">
        <v>0</v>
      </c>
      <c r="DP64" s="164">
        <v>0</v>
      </c>
      <c r="DQ64" s="164">
        <v>0</v>
      </c>
      <c r="DR64" s="164">
        <v>630113.51</v>
      </c>
      <c r="DS64" s="164">
        <v>630113.51</v>
      </c>
      <c r="DT64" s="164">
        <v>71470</v>
      </c>
      <c r="DU64" s="164">
        <v>7025</v>
      </c>
      <c r="DV64" s="164">
        <v>1700</v>
      </c>
      <c r="DW64" s="164">
        <f>191619+177921-DT64-DU64-DV64</f>
        <v>289345</v>
      </c>
      <c r="DX64" s="164">
        <v>24790</v>
      </c>
      <c r="DY64" s="164">
        <v>394330.15</v>
      </c>
      <c r="DZ64" s="164">
        <v>36588.74</v>
      </c>
      <c r="EA64" s="164">
        <v>26435.75</v>
      </c>
      <c r="EB64" s="164">
        <v>15391.63</v>
      </c>
      <c r="EC64" s="164">
        <f>77190+19042-DZ64-EA64-EB64</f>
        <v>17815.880000000005</v>
      </c>
      <c r="ED64" s="164">
        <v>109126.89</v>
      </c>
      <c r="EE64" s="164">
        <v>205358.65999999997</v>
      </c>
      <c r="EF64" s="164">
        <v>77900.08</v>
      </c>
      <c r="EG64" s="164">
        <v>1213</v>
      </c>
      <c r="EH64" s="164">
        <v>1465</v>
      </c>
      <c r="EI64" s="164">
        <f>143363+48351-EF64-EG64-EH64</f>
        <v>111135.92</v>
      </c>
      <c r="EJ64" s="164">
        <v>130299.73</v>
      </c>
      <c r="EK64" s="164">
        <v>322014.01999999996</v>
      </c>
      <c r="EL64" s="164">
        <f t="shared" ref="EL64:EQ64" si="157">AZ64+BF64+BL64+BR64+BX64+CD64+CJ64+CP64+CV64+DB64+DH64+DN64+DT64+DZ64+EF64</f>
        <v>4623752.28</v>
      </c>
      <c r="EM64" s="164">
        <f t="shared" si="157"/>
        <v>514988.35</v>
      </c>
      <c r="EN64" s="164">
        <f t="shared" si="157"/>
        <v>247472.46000000002</v>
      </c>
      <c r="EO64" s="164">
        <f t="shared" si="157"/>
        <v>2521917.91</v>
      </c>
      <c r="EP64" s="164">
        <f t="shared" si="157"/>
        <v>19098923.650000002</v>
      </c>
      <c r="EQ64" s="164">
        <f t="shared" si="157"/>
        <v>27007053.630000003</v>
      </c>
      <c r="ER64" s="164">
        <v>2816978.2</v>
      </c>
      <c r="ES64" s="164">
        <v>447872.01</v>
      </c>
      <c r="ET64" s="164">
        <v>458469.75</v>
      </c>
      <c r="EU64" s="164">
        <f>4337344+2966950-ER64-ES64-ET64</f>
        <v>3580974.04</v>
      </c>
      <c r="EV64" s="164">
        <v>105252.14</v>
      </c>
      <c r="EW64" s="164">
        <v>7409545.4199999999</v>
      </c>
      <c r="EX64" s="164">
        <v>250000</v>
      </c>
      <c r="EY64" s="164">
        <v>63000</v>
      </c>
      <c r="EZ64" s="164">
        <v>1000</v>
      </c>
      <c r="FA64" s="164">
        <f>313000+2000-EX64-EY64-EZ64</f>
        <v>1000</v>
      </c>
      <c r="FB64" s="164">
        <v>0</v>
      </c>
      <c r="FC64" s="164">
        <v>315000</v>
      </c>
      <c r="FD64" s="164">
        <f>469700+1115794</f>
        <v>1585494</v>
      </c>
      <c r="FE64" s="164">
        <f>316140+240264</f>
        <v>556404</v>
      </c>
      <c r="FF64" s="164">
        <f>138372+205044</f>
        <v>343416</v>
      </c>
      <c r="FG64" s="164">
        <f>1143950+1592950+671431+527682-FD64-FE64-FF64</f>
        <v>1450699</v>
      </c>
      <c r="FH64" s="164">
        <f>FI64-FG64-FF64-FE64-FD64</f>
        <v>0.58999999985098839</v>
      </c>
      <c r="FI64" s="164">
        <v>3936013.59</v>
      </c>
      <c r="FJ64" s="164">
        <v>0</v>
      </c>
      <c r="FK64" s="164">
        <v>0</v>
      </c>
      <c r="FL64" s="164">
        <v>0</v>
      </c>
      <c r="FM64" s="164">
        <v>0</v>
      </c>
      <c r="FN64" s="164">
        <v>0</v>
      </c>
      <c r="FO64" s="164">
        <v>0</v>
      </c>
      <c r="FP64" s="164">
        <v>239022.07</v>
      </c>
      <c r="FQ64" s="164">
        <v>55389.5</v>
      </c>
      <c r="FR64" s="164">
        <v>56295.75</v>
      </c>
      <c r="FS64" s="164">
        <f>294412+67641-FP64-FQ64-FR64</f>
        <v>11345.679999999993</v>
      </c>
      <c r="FT64" s="164">
        <v>2317354.71</v>
      </c>
      <c r="FU64" s="164">
        <v>2679407.0299999998</v>
      </c>
      <c r="FV64" s="164">
        <v>0</v>
      </c>
      <c r="FW64" s="164">
        <v>0</v>
      </c>
      <c r="FX64" s="164">
        <v>0</v>
      </c>
      <c r="FY64" s="164">
        <v>0</v>
      </c>
      <c r="FZ64" s="164">
        <v>0</v>
      </c>
      <c r="GA64" s="164">
        <v>0</v>
      </c>
      <c r="GB64" s="164">
        <v>0</v>
      </c>
      <c r="GC64" s="164">
        <v>0</v>
      </c>
      <c r="GD64" s="164">
        <v>0</v>
      </c>
      <c r="GE64" s="164">
        <v>0</v>
      </c>
      <c r="GF64" s="164">
        <v>0</v>
      </c>
      <c r="GG64" s="164">
        <v>0</v>
      </c>
      <c r="GH64" s="164">
        <v>158737.1</v>
      </c>
      <c r="GI64" s="164">
        <v>31390.3</v>
      </c>
      <c r="GJ64" s="164">
        <v>35468.9</v>
      </c>
      <c r="GK64" s="164">
        <f>240241+84086-GH64-GI64-GJ64</f>
        <v>98730.700000000012</v>
      </c>
      <c r="GL64" s="164">
        <v>15000</v>
      </c>
      <c r="GM64" s="164">
        <v>339326.93999999994</v>
      </c>
      <c r="GN64" s="164">
        <v>1100668.52</v>
      </c>
      <c r="GO64" s="164">
        <v>198350.16</v>
      </c>
      <c r="GP64" s="164">
        <v>142047.45000000001</v>
      </c>
      <c r="GQ64" s="164">
        <f>1655248+640375-GN64-GO64-GP64</f>
        <v>854556.86999999988</v>
      </c>
      <c r="GR64" s="164">
        <v>0</v>
      </c>
      <c r="GS64" s="164">
        <v>2295622.9399999995</v>
      </c>
      <c r="GT64" s="164">
        <v>311486.74</v>
      </c>
      <c r="GU64" s="164">
        <v>56888.06</v>
      </c>
      <c r="GV64" s="164">
        <v>50631.81</v>
      </c>
      <c r="GW64" s="164">
        <f>521770+280542-GT64-GU64-GV64</f>
        <v>383305.39</v>
      </c>
      <c r="GX64" s="164">
        <v>57995.42</v>
      </c>
      <c r="GY64" s="164">
        <v>860306.91000000015</v>
      </c>
      <c r="GZ64" s="164">
        <v>259633.02</v>
      </c>
      <c r="HA64" s="164">
        <v>124922.32</v>
      </c>
      <c r="HB64" s="164">
        <v>50448.33</v>
      </c>
      <c r="HC64" s="164">
        <f>776546+146228-GZ64-HA64-HB64</f>
        <v>487770.3299999999</v>
      </c>
      <c r="HD64" s="164">
        <v>12388.6</v>
      </c>
      <c r="HE64" s="164">
        <v>935162.97</v>
      </c>
      <c r="HF64" s="164">
        <v>227015.13</v>
      </c>
      <c r="HG64" s="164">
        <v>33254.620000000003</v>
      </c>
      <c r="HH64" s="164">
        <v>22074.51</v>
      </c>
      <c r="HI64" s="164">
        <f>342705+52974-HF64-HG64-HH64</f>
        <v>113334.74</v>
      </c>
      <c r="HJ64" s="164">
        <v>293628.17</v>
      </c>
      <c r="HK64" s="164">
        <v>689306.21</v>
      </c>
      <c r="HL64" s="164">
        <v>29851.88</v>
      </c>
      <c r="HM64" s="164">
        <v>5629.49</v>
      </c>
      <c r="HN64" s="164">
        <v>1904.87</v>
      </c>
      <c r="HO64" s="164">
        <f>82566+110131-HL64-HM64-HN64</f>
        <v>155310.76</v>
      </c>
      <c r="HP64" s="164">
        <v>21448.65</v>
      </c>
      <c r="HQ64" s="164">
        <v>214145.93</v>
      </c>
      <c r="HR64" s="164">
        <v>734837.11</v>
      </c>
      <c r="HS64" s="164">
        <v>3920.5</v>
      </c>
      <c r="HT64" s="164">
        <v>3920.5</v>
      </c>
      <c r="HU64" s="164">
        <f>839720+125792-HR64-HS64-HT64</f>
        <v>222833.89</v>
      </c>
      <c r="HV64" s="164">
        <v>99586.42</v>
      </c>
      <c r="HW64" s="164">
        <v>1065097.8599999999</v>
      </c>
      <c r="HX64" s="164">
        <v>97610.4</v>
      </c>
      <c r="HY64" s="164">
        <v>4299.3</v>
      </c>
      <c r="HZ64" s="164">
        <v>4299.3</v>
      </c>
      <c r="IA64" s="164">
        <f>101910+4299-HX64-HY64-HZ64</f>
        <v>0</v>
      </c>
      <c r="IB64" s="164">
        <v>81415.56</v>
      </c>
      <c r="IC64" s="164">
        <v>187624.56</v>
      </c>
      <c r="ID64" s="164">
        <v>137181.14000000001</v>
      </c>
      <c r="IE64" s="164">
        <v>78726.25</v>
      </c>
      <c r="IF64" s="164">
        <v>55257.35</v>
      </c>
      <c r="IG64" s="164">
        <f>252841+130955-ID64-IE64-IF64</f>
        <v>112631.25999999998</v>
      </c>
      <c r="IH64" s="164">
        <v>2950400.2199999997</v>
      </c>
      <c r="II64" s="164">
        <v>3334196.21</v>
      </c>
      <c r="IJ64" s="164">
        <v>105366.08</v>
      </c>
      <c r="IK64" s="164">
        <v>18626.400000000001</v>
      </c>
      <c r="IL64" s="164">
        <v>11546.99</v>
      </c>
      <c r="IM64" s="164">
        <f>200469+66248-IJ64-IK64-IL64</f>
        <v>131177.53</v>
      </c>
      <c r="IN64" s="164">
        <v>150827.32</v>
      </c>
      <c r="IO64" s="164">
        <v>417543.75</v>
      </c>
      <c r="IP64" s="164">
        <v>8676</v>
      </c>
      <c r="IQ64" s="164">
        <v>2945.45</v>
      </c>
      <c r="IR64" s="164">
        <v>906</v>
      </c>
      <c r="IS64" s="164">
        <f>14601+4766-IP64-IQ64-IR64</f>
        <v>6839.55</v>
      </c>
      <c r="IT64" s="164">
        <v>17945.560000000001</v>
      </c>
      <c r="IU64" s="164">
        <v>37312.01</v>
      </c>
      <c r="IV64" s="164">
        <v>387739.17</v>
      </c>
      <c r="IW64" s="164">
        <v>52583.78</v>
      </c>
      <c r="IX64" s="164">
        <v>39367.339999999997</v>
      </c>
      <c r="IY64" s="164">
        <f>531273+165783-IV64-IW64-IX64</f>
        <v>217365.71000000002</v>
      </c>
      <c r="IZ64" s="164">
        <v>717446.29</v>
      </c>
      <c r="JA64" s="164">
        <v>1414503.03</v>
      </c>
      <c r="JB64" s="164">
        <v>8450296.2200000007</v>
      </c>
      <c r="JC64" s="164">
        <v>1734202.1400000001</v>
      </c>
      <c r="JD64" s="164">
        <v>1277054.8500000001</v>
      </c>
      <c r="JE64" s="164">
        <f>13241545+6047882-JB64-JC64-JD64</f>
        <v>7827873.7899999991</v>
      </c>
      <c r="JF64" s="164">
        <v>6840689.0599999996</v>
      </c>
      <c r="JG64" s="164">
        <v>26130115.359999999</v>
      </c>
      <c r="JH64" s="164">
        <v>0</v>
      </c>
      <c r="JI64" s="164">
        <v>0</v>
      </c>
      <c r="JJ64" s="164">
        <v>0</v>
      </c>
      <c r="JK64" s="164">
        <v>0</v>
      </c>
      <c r="JL64" s="164">
        <v>0</v>
      </c>
      <c r="JM64" s="164">
        <v>0</v>
      </c>
      <c r="JN64" s="164">
        <v>8450296.2200000007</v>
      </c>
      <c r="JO64" s="164">
        <v>1734202.1400000001</v>
      </c>
      <c r="JP64" s="164">
        <v>1277054.8500000001</v>
      </c>
      <c r="JQ64" s="164">
        <f>13241545+6047882-JN64-JO64-JP64</f>
        <v>7827873.7899999991</v>
      </c>
      <c r="JR64" s="164">
        <v>6840689.0599999996</v>
      </c>
      <c r="JS64" s="164">
        <v>26130115.359999999</v>
      </c>
      <c r="JU64" s="70">
        <f t="shared" si="80"/>
        <v>1097519</v>
      </c>
      <c r="JV64" s="70">
        <f t="shared" si="81"/>
        <v>0</v>
      </c>
      <c r="JW64" s="70">
        <f t="shared" si="82"/>
        <v>9101311.8399999999</v>
      </c>
      <c r="JX64" s="70">
        <f t="shared" si="83"/>
        <v>0</v>
      </c>
      <c r="JY64" s="70">
        <f t="shared" si="84"/>
        <v>1676750</v>
      </c>
      <c r="JZ64" s="70">
        <f t="shared" si="85"/>
        <v>0</v>
      </c>
      <c r="KA64" s="70">
        <f t="shared" si="86"/>
        <v>1724111.51</v>
      </c>
      <c r="KB64" s="70">
        <f t="shared" si="87"/>
        <v>-0.32000000006519258</v>
      </c>
      <c r="KC64" s="70">
        <f t="shared" si="88"/>
        <v>0</v>
      </c>
      <c r="KD64" s="70">
        <f t="shared" si="89"/>
        <v>0</v>
      </c>
      <c r="KE64" s="70">
        <f t="shared" si="90"/>
        <v>0</v>
      </c>
      <c r="KF64" s="70">
        <f t="shared" si="91"/>
        <v>0</v>
      </c>
      <c r="KG64" s="70">
        <f t="shared" si="92"/>
        <v>5903905.9100000001</v>
      </c>
      <c r="KH64" s="70">
        <f t="shared" si="93"/>
        <v>0.16000000014901161</v>
      </c>
      <c r="KI64" s="70">
        <f t="shared" si="94"/>
        <v>3334196.21</v>
      </c>
      <c r="KJ64" s="70">
        <f t="shared" si="95"/>
        <v>0</v>
      </c>
      <c r="KK64" s="70">
        <f t="shared" si="96"/>
        <v>2527832.0499999998</v>
      </c>
      <c r="KL64" s="70">
        <f t="shared" si="97"/>
        <v>-0.18999999994412065</v>
      </c>
      <c r="KM64" s="70">
        <f t="shared" si="98"/>
        <v>0</v>
      </c>
      <c r="KN64" s="70">
        <f t="shared" si="99"/>
        <v>0</v>
      </c>
      <c r="KO64" s="70">
        <f t="shared" si="100"/>
        <v>89611.999999999985</v>
      </c>
      <c r="KP64" s="70">
        <f t="shared" si="101"/>
        <v>-0.8799999999901047</v>
      </c>
      <c r="KQ64" s="70">
        <f t="shared" si="102"/>
        <v>630113.51</v>
      </c>
      <c r="KR64" s="70">
        <f t="shared" si="103"/>
        <v>0</v>
      </c>
      <c r="KS64" s="70">
        <f t="shared" si="104"/>
        <v>394330</v>
      </c>
      <c r="KT64" s="70">
        <f t="shared" si="105"/>
        <v>0.15000000002328306</v>
      </c>
      <c r="KU64" s="70">
        <f t="shared" si="106"/>
        <v>205358.89</v>
      </c>
      <c r="KV64" s="70">
        <f t="shared" si="107"/>
        <v>-0.23000000003958121</v>
      </c>
      <c r="KW64" s="70">
        <f t="shared" si="108"/>
        <v>322013.73</v>
      </c>
      <c r="KX64" s="70">
        <f t="shared" si="109"/>
        <v>0.28999999997904524</v>
      </c>
      <c r="KY64" s="70">
        <f t="shared" si="110"/>
        <v>27007054.650000002</v>
      </c>
      <c r="KZ64" s="70">
        <f t="shared" si="111"/>
        <v>-1.0199999995529652</v>
      </c>
      <c r="LA64" s="70">
        <f t="shared" si="150"/>
        <v>7409546.1399999997</v>
      </c>
      <c r="LB64" s="70">
        <f t="shared" si="112"/>
        <v>-0.71999999973922968</v>
      </c>
      <c r="LC64" s="70">
        <f t="shared" si="113"/>
        <v>315000</v>
      </c>
      <c r="LD64" s="70">
        <f t="shared" si="114"/>
        <v>0</v>
      </c>
      <c r="LE64" s="70">
        <f t="shared" si="115"/>
        <v>3936013.59</v>
      </c>
      <c r="LF64" s="70">
        <f t="shared" si="116"/>
        <v>0</v>
      </c>
      <c r="LG64" s="70">
        <f t="shared" si="155"/>
        <v>0</v>
      </c>
      <c r="LH64" s="70">
        <f t="shared" si="156"/>
        <v>0</v>
      </c>
      <c r="LI64" s="70">
        <f t="shared" si="151"/>
        <v>2679407.71</v>
      </c>
      <c r="LJ64" s="70">
        <f t="shared" si="152"/>
        <v>-0.68000000016763806</v>
      </c>
      <c r="LK64" s="70">
        <f t="shared" si="153"/>
        <v>0</v>
      </c>
      <c r="LL64" s="70">
        <f t="shared" si="154"/>
        <v>0</v>
      </c>
      <c r="LM64" s="70">
        <f t="shared" si="117"/>
        <v>0</v>
      </c>
      <c r="LN64" s="70">
        <f t="shared" si="118"/>
        <v>0</v>
      </c>
      <c r="LO64" s="70">
        <f t="shared" si="119"/>
        <v>339327</v>
      </c>
      <c r="LP64" s="70">
        <f t="shared" si="120"/>
        <v>-6.0000000055879354E-2</v>
      </c>
      <c r="LQ64" s="70">
        <f t="shared" si="121"/>
        <v>2295623</v>
      </c>
      <c r="LR64" s="70">
        <f t="shared" si="122"/>
        <v>-6.0000000521540642E-2</v>
      </c>
      <c r="LS64" s="70">
        <f t="shared" si="123"/>
        <v>860307.42</v>
      </c>
      <c r="LT64" s="70">
        <f t="shared" si="124"/>
        <v>-0.5099999998928979</v>
      </c>
      <c r="LU64" s="70">
        <f t="shared" si="125"/>
        <v>935162.59999999986</v>
      </c>
      <c r="LV64" s="70">
        <f t="shared" si="126"/>
        <v>0.37000000011175871</v>
      </c>
      <c r="LW64" s="70">
        <f t="shared" si="127"/>
        <v>689307.16999999993</v>
      </c>
      <c r="LX64" s="70">
        <f t="shared" si="128"/>
        <v>-0.9599999999627471</v>
      </c>
      <c r="LY64" s="70">
        <f t="shared" si="129"/>
        <v>214145.65</v>
      </c>
      <c r="LZ64" s="70">
        <f t="shared" si="130"/>
        <v>0.27999999999883585</v>
      </c>
      <c r="MA64" s="70">
        <f t="shared" si="131"/>
        <v>1065098.42</v>
      </c>
      <c r="MB64" s="70">
        <f t="shared" si="132"/>
        <v>-0.56000000005587935</v>
      </c>
      <c r="MC64" s="70">
        <f t="shared" si="133"/>
        <v>187624.56</v>
      </c>
      <c r="MD64" s="70">
        <f t="shared" si="134"/>
        <v>0</v>
      </c>
      <c r="ME64" s="70">
        <f t="shared" si="135"/>
        <v>3334196.2199999997</v>
      </c>
      <c r="MF64" s="70">
        <f t="shared" si="136"/>
        <v>-9.9999997764825821E-3</v>
      </c>
      <c r="MG64" s="70">
        <f t="shared" si="137"/>
        <v>417544.32</v>
      </c>
      <c r="MH64" s="70">
        <f t="shared" si="138"/>
        <v>-0.57000000000698492</v>
      </c>
      <c r="MI64" s="70">
        <f t="shared" si="139"/>
        <v>37312.559999999998</v>
      </c>
      <c r="MJ64" s="70">
        <f t="shared" si="140"/>
        <v>-0.54999999999563443</v>
      </c>
      <c r="MK64" s="70">
        <f t="shared" si="141"/>
        <v>1414502.29</v>
      </c>
      <c r="ML64" s="70">
        <f t="shared" si="142"/>
        <v>0.73999999999068677</v>
      </c>
      <c r="MM64" s="70">
        <f t="shared" si="143"/>
        <v>26130116.059999999</v>
      </c>
      <c r="MN64" s="70">
        <f t="shared" si="144"/>
        <v>-0.69999999925494194</v>
      </c>
      <c r="MO64" s="70">
        <f t="shared" si="145"/>
        <v>0</v>
      </c>
      <c r="MP64" s="70">
        <f t="shared" si="146"/>
        <v>0</v>
      </c>
      <c r="MQ64" s="70">
        <f t="shared" si="147"/>
        <v>26130116.059999999</v>
      </c>
      <c r="MR64" s="70">
        <f t="shared" si="148"/>
        <v>-0.69999999925494194</v>
      </c>
      <c r="MT64" s="70">
        <f t="shared" si="149"/>
        <v>-6.6699999975026003</v>
      </c>
      <c r="MV64" s="68">
        <f t="shared" si="77"/>
        <v>1</v>
      </c>
    </row>
    <row r="65" spans="1:371" x14ac:dyDescent="0.15">
      <c r="A65" s="182" t="s">
        <v>348</v>
      </c>
      <c r="B65" s="76" t="s">
        <v>426</v>
      </c>
      <c r="C65" s="90">
        <v>174066</v>
      </c>
      <c r="D65" s="90">
        <v>2014</v>
      </c>
      <c r="E65" s="90">
        <v>1</v>
      </c>
      <c r="F65" s="91">
        <v>9</v>
      </c>
      <c r="G65" s="92">
        <v>8111</v>
      </c>
      <c r="H65" s="92">
        <v>8621</v>
      </c>
      <c r="I65" s="93">
        <v>667829690</v>
      </c>
      <c r="J65" s="93">
        <v>643231932</v>
      </c>
      <c r="K65" s="93">
        <v>238970</v>
      </c>
      <c r="L65" s="93">
        <v>239634</v>
      </c>
      <c r="M65" s="93">
        <v>24675747</v>
      </c>
      <c r="N65" s="93">
        <v>54340345</v>
      </c>
      <c r="O65" s="93">
        <v>2614427</v>
      </c>
      <c r="P65" s="93">
        <v>2853396</v>
      </c>
      <c r="Q65" s="93">
        <v>310166879</v>
      </c>
      <c r="R65" s="93">
        <v>324848654</v>
      </c>
      <c r="S65" s="93">
        <v>595046693</v>
      </c>
      <c r="T65" s="93">
        <v>572668355</v>
      </c>
      <c r="U65" s="93">
        <v>21476</v>
      </c>
      <c r="V65" s="93">
        <v>21176</v>
      </c>
      <c r="W65" s="93">
        <v>30440</v>
      </c>
      <c r="X65" s="93">
        <v>30140</v>
      </c>
      <c r="Y65" s="93">
        <v>25374</v>
      </c>
      <c r="Z65" s="93">
        <v>24920</v>
      </c>
      <c r="AA65" s="93">
        <v>34338</v>
      </c>
      <c r="AB65" s="93">
        <v>33884</v>
      </c>
      <c r="AC65" s="114">
        <v>6</v>
      </c>
      <c r="AD65" s="114">
        <v>10</v>
      </c>
      <c r="AE65" s="114">
        <v>0</v>
      </c>
      <c r="AF65" s="115">
        <v>4040348</v>
      </c>
      <c r="AG65" s="115">
        <v>3048090</v>
      </c>
      <c r="AH65" s="115">
        <v>375201</v>
      </c>
      <c r="AI65" s="115">
        <v>148630</v>
      </c>
      <c r="AJ65" s="115">
        <v>307393</v>
      </c>
      <c r="AK65" s="116">
        <v>5.25</v>
      </c>
      <c r="AL65" s="115">
        <v>268969</v>
      </c>
      <c r="AM65" s="116">
        <v>6</v>
      </c>
      <c r="AN65" s="115">
        <v>128014</v>
      </c>
      <c r="AO65" s="116">
        <v>7.75</v>
      </c>
      <c r="AP65" s="115">
        <v>124013</v>
      </c>
      <c r="AQ65" s="116">
        <v>8</v>
      </c>
      <c r="AR65" s="115">
        <v>118528</v>
      </c>
      <c r="AS65" s="116">
        <v>16</v>
      </c>
      <c r="AT65" s="115">
        <v>105358</v>
      </c>
      <c r="AU65" s="116">
        <v>18</v>
      </c>
      <c r="AV65" s="115">
        <v>66363</v>
      </c>
      <c r="AW65" s="116">
        <v>13</v>
      </c>
      <c r="AX65" s="115">
        <v>61623</v>
      </c>
      <c r="AY65" s="116">
        <v>14</v>
      </c>
      <c r="AZ65" s="139">
        <v>837317</v>
      </c>
      <c r="BA65" s="139">
        <v>464594</v>
      </c>
      <c r="BB65" s="139">
        <v>4201</v>
      </c>
      <c r="BC65" s="139">
        <v>24511</v>
      </c>
      <c r="BD65" s="139">
        <v>122223</v>
      </c>
      <c r="BE65" s="139">
        <v>1452846</v>
      </c>
      <c r="BF65" s="139">
        <v>5406655</v>
      </c>
      <c r="BG65" s="139">
        <v>1503930</v>
      </c>
      <c r="BH65" s="139">
        <v>923229</v>
      </c>
      <c r="BI65" s="139">
        <v>5753787</v>
      </c>
      <c r="BJ65" s="139">
        <v>2459111</v>
      </c>
      <c r="BK65" s="139">
        <v>16046712</v>
      </c>
      <c r="BL65" s="139">
        <v>500000</v>
      </c>
      <c r="BM65" s="139">
        <v>90000</v>
      </c>
      <c r="BN65" s="139">
        <v>0</v>
      </c>
      <c r="BO65" s="139">
        <v>0</v>
      </c>
      <c r="BP65" s="139">
        <v>0</v>
      </c>
      <c r="BQ65" s="139">
        <v>590000</v>
      </c>
      <c r="BR65" s="139">
        <v>102279</v>
      </c>
      <c r="BS65" s="139">
        <v>174801</v>
      </c>
      <c r="BT65" s="139">
        <v>350</v>
      </c>
      <c r="BU65" s="139">
        <v>100228</v>
      </c>
      <c r="BV65" s="139">
        <v>1960101</v>
      </c>
      <c r="BW65" s="139">
        <v>2337759</v>
      </c>
      <c r="BX65" s="139">
        <v>0</v>
      </c>
      <c r="BY65" s="139">
        <v>0</v>
      </c>
      <c r="BZ65" s="139">
        <v>0</v>
      </c>
      <c r="CA65" s="139">
        <v>0</v>
      </c>
      <c r="CB65" s="139">
        <v>0</v>
      </c>
      <c r="CC65" s="139">
        <v>0</v>
      </c>
      <c r="CD65" s="139">
        <v>0</v>
      </c>
      <c r="CE65" s="139">
        <v>0</v>
      </c>
      <c r="CF65" s="139">
        <v>0</v>
      </c>
      <c r="CG65" s="139">
        <v>0</v>
      </c>
      <c r="CH65" s="139">
        <v>0</v>
      </c>
      <c r="CI65" s="139">
        <v>0</v>
      </c>
      <c r="CJ65" s="139">
        <v>0</v>
      </c>
      <c r="CK65" s="139">
        <v>0</v>
      </c>
      <c r="CL65" s="139">
        <v>0</v>
      </c>
      <c r="CM65" s="139">
        <v>0</v>
      </c>
      <c r="CN65" s="139">
        <v>0</v>
      </c>
      <c r="CO65" s="139">
        <v>0</v>
      </c>
      <c r="CP65" s="139">
        <v>679085</v>
      </c>
      <c r="CQ65" s="139">
        <v>285163</v>
      </c>
      <c r="CR65" s="139">
        <v>129811</v>
      </c>
      <c r="CS65" s="139">
        <v>652380</v>
      </c>
      <c r="CT65" s="139">
        <v>660620</v>
      </c>
      <c r="CU65" s="139">
        <v>2407059</v>
      </c>
      <c r="CV65" s="139">
        <v>776417</v>
      </c>
      <c r="CW65" s="139">
        <v>481471</v>
      </c>
      <c r="CX65" s="139">
        <v>68773</v>
      </c>
      <c r="CY65" s="139">
        <v>555420</v>
      </c>
      <c r="CZ65" s="139">
        <v>172739</v>
      </c>
      <c r="DA65" s="139">
        <v>2054820</v>
      </c>
      <c r="DB65" s="139">
        <v>0</v>
      </c>
      <c r="DC65" s="139">
        <v>0</v>
      </c>
      <c r="DD65" s="139">
        <v>0</v>
      </c>
      <c r="DE65" s="139">
        <v>0</v>
      </c>
      <c r="DF65" s="139">
        <v>0</v>
      </c>
      <c r="DG65" s="139">
        <v>0</v>
      </c>
      <c r="DH65" s="139">
        <v>62851</v>
      </c>
      <c r="DI65" s="139">
        <v>32370</v>
      </c>
      <c r="DJ65" s="139">
        <v>3903</v>
      </c>
      <c r="DK65" s="139">
        <v>11499</v>
      </c>
      <c r="DL65" s="139">
        <v>69420</v>
      </c>
      <c r="DM65" s="139">
        <v>180043</v>
      </c>
      <c r="DN65" s="139">
        <v>0</v>
      </c>
      <c r="DO65" s="139">
        <v>0</v>
      </c>
      <c r="DP65" s="139">
        <v>0</v>
      </c>
      <c r="DQ65" s="139">
        <v>0</v>
      </c>
      <c r="DR65" s="139">
        <v>1357110</v>
      </c>
      <c r="DS65" s="139">
        <v>1357110</v>
      </c>
      <c r="DT65" s="139">
        <v>39743</v>
      </c>
      <c r="DU65" s="139">
        <v>107466</v>
      </c>
      <c r="DV65" s="139">
        <v>9430</v>
      </c>
      <c r="DW65" s="139">
        <v>115377</v>
      </c>
      <c r="DX65" s="139">
        <v>0</v>
      </c>
      <c r="DY65" s="139">
        <v>272016</v>
      </c>
      <c r="DZ65" s="139">
        <v>8617</v>
      </c>
      <c r="EA65" s="139">
        <v>11212</v>
      </c>
      <c r="EB65" s="139">
        <v>0</v>
      </c>
      <c r="EC65" s="139">
        <v>30368</v>
      </c>
      <c r="ED65" s="139">
        <v>96334</v>
      </c>
      <c r="EE65" s="139">
        <v>146531</v>
      </c>
      <c r="EF65" s="139">
        <v>3965</v>
      </c>
      <c r="EG65" s="139">
        <v>521759</v>
      </c>
      <c r="EH65" s="139">
        <v>0</v>
      </c>
      <c r="EI65" s="139">
        <v>19388</v>
      </c>
      <c r="EJ65" s="139">
        <v>329992</v>
      </c>
      <c r="EK65" s="139">
        <v>875104</v>
      </c>
      <c r="EL65" s="139">
        <v>8416929</v>
      </c>
      <c r="EM65" s="139">
        <v>3672766</v>
      </c>
      <c r="EN65" s="139">
        <v>1139697</v>
      </c>
      <c r="EO65" s="139">
        <v>7262958</v>
      </c>
      <c r="EP65" s="139">
        <v>7227650</v>
      </c>
      <c r="EQ65" s="139">
        <v>27720000</v>
      </c>
      <c r="ER65" s="139">
        <v>2727908</v>
      </c>
      <c r="ES65" s="139">
        <v>454785</v>
      </c>
      <c r="ET65" s="139">
        <v>506100</v>
      </c>
      <c r="EU65" s="139">
        <v>3399645</v>
      </c>
      <c r="EV65" s="139">
        <v>86406</v>
      </c>
      <c r="EW65" s="139">
        <v>7174844</v>
      </c>
      <c r="EX65" s="139">
        <v>475000</v>
      </c>
      <c r="EY65" s="139">
        <v>319000</v>
      </c>
      <c r="EZ65" s="139">
        <v>6500</v>
      </c>
      <c r="FA65" s="139">
        <v>0</v>
      </c>
      <c r="FB65" s="139">
        <v>0</v>
      </c>
      <c r="FC65" s="139">
        <v>800500</v>
      </c>
      <c r="FD65" s="139">
        <v>1749338</v>
      </c>
      <c r="FE65" s="139">
        <v>1192979</v>
      </c>
      <c r="FF65" s="139">
        <v>480562</v>
      </c>
      <c r="FG65" s="139">
        <v>1942216</v>
      </c>
      <c r="FH65" s="139">
        <v>0</v>
      </c>
      <c r="FI65" s="139">
        <v>5365095</v>
      </c>
      <c r="FJ65" s="139">
        <v>0</v>
      </c>
      <c r="FK65" s="139">
        <v>0</v>
      </c>
      <c r="FL65" s="139">
        <v>0</v>
      </c>
      <c r="FM65" s="139">
        <v>0</v>
      </c>
      <c r="FN65" s="139">
        <v>0</v>
      </c>
      <c r="FO65" s="139">
        <v>0</v>
      </c>
      <c r="FP65" s="139">
        <v>258783</v>
      </c>
      <c r="FQ65" s="139">
        <v>39095</v>
      </c>
      <c r="FR65" s="139">
        <v>47040</v>
      </c>
      <c r="FS65" s="139">
        <v>25553</v>
      </c>
      <c r="FT65" s="139">
        <v>2204887</v>
      </c>
      <c r="FU65" s="139">
        <v>2575358</v>
      </c>
      <c r="FV65" s="139">
        <v>0</v>
      </c>
      <c r="FW65" s="139">
        <v>0</v>
      </c>
      <c r="FX65" s="139">
        <v>0</v>
      </c>
      <c r="FY65" s="139">
        <v>0</v>
      </c>
      <c r="FZ65" s="139">
        <v>0</v>
      </c>
      <c r="GA65" s="139">
        <v>0</v>
      </c>
      <c r="GB65" s="139">
        <v>0</v>
      </c>
      <c r="GC65" s="139">
        <v>0</v>
      </c>
      <c r="GD65" s="139">
        <v>0</v>
      </c>
      <c r="GE65" s="139">
        <v>0</v>
      </c>
      <c r="GF65" s="139">
        <v>0</v>
      </c>
      <c r="GG65" s="139">
        <v>0</v>
      </c>
      <c r="GH65" s="139">
        <v>239451</v>
      </c>
      <c r="GI65" s="139">
        <v>94231</v>
      </c>
      <c r="GJ65" s="139">
        <v>63686</v>
      </c>
      <c r="GK65" s="139">
        <v>126463</v>
      </c>
      <c r="GL65" s="139">
        <v>0</v>
      </c>
      <c r="GM65" s="139">
        <v>523831</v>
      </c>
      <c r="GN65" s="139">
        <v>880699</v>
      </c>
      <c r="GO65" s="139">
        <v>422018</v>
      </c>
      <c r="GP65" s="139">
        <v>137128</v>
      </c>
      <c r="GQ65" s="139">
        <v>756153</v>
      </c>
      <c r="GR65" s="139">
        <v>5456</v>
      </c>
      <c r="GS65" s="139">
        <v>2201454</v>
      </c>
      <c r="GT65" s="139">
        <v>261143</v>
      </c>
      <c r="GU65" s="139">
        <v>30579</v>
      </c>
      <c r="GV65" s="139">
        <v>20541</v>
      </c>
      <c r="GW65" s="139">
        <v>219782</v>
      </c>
      <c r="GX65" s="139">
        <v>220802</v>
      </c>
      <c r="GY65" s="139">
        <v>752847</v>
      </c>
      <c r="GZ65" s="139">
        <v>104020</v>
      </c>
      <c r="HA65" s="139">
        <v>108269</v>
      </c>
      <c r="HB65" s="139">
        <v>36600</v>
      </c>
      <c r="HC65" s="139">
        <v>95051</v>
      </c>
      <c r="HD65" s="139">
        <v>0</v>
      </c>
      <c r="HE65" s="139">
        <v>343940</v>
      </c>
      <c r="HF65" s="139">
        <v>114171</v>
      </c>
      <c r="HG65" s="139">
        <v>15209</v>
      </c>
      <c r="HH65" s="139">
        <v>6450</v>
      </c>
      <c r="HI65" s="139">
        <v>23527</v>
      </c>
      <c r="HJ65" s="139">
        <v>1142276</v>
      </c>
      <c r="HK65" s="139">
        <v>1301633</v>
      </c>
      <c r="HL65" s="139">
        <v>8790</v>
      </c>
      <c r="HM65" s="139">
        <v>58977</v>
      </c>
      <c r="HN65" s="139">
        <v>6627</v>
      </c>
      <c r="HO65" s="139">
        <v>74185</v>
      </c>
      <c r="HP65" s="139">
        <v>131</v>
      </c>
      <c r="HQ65" s="139">
        <v>148710</v>
      </c>
      <c r="HR65" s="139">
        <v>101440</v>
      </c>
      <c r="HS65" s="139">
        <v>111511</v>
      </c>
      <c r="HT65" s="139">
        <v>20994</v>
      </c>
      <c r="HU65" s="139">
        <v>103819</v>
      </c>
      <c r="HV65" s="139">
        <v>1659161</v>
      </c>
      <c r="HW65" s="139">
        <v>1996925</v>
      </c>
      <c r="HX65" s="139">
        <v>0</v>
      </c>
      <c r="HY65" s="139">
        <v>0</v>
      </c>
      <c r="HZ65" s="139">
        <v>0</v>
      </c>
      <c r="IA65" s="139">
        <v>0</v>
      </c>
      <c r="IB65" s="139">
        <v>0</v>
      </c>
      <c r="IC65" s="139">
        <v>0</v>
      </c>
      <c r="ID65" s="139">
        <v>679085</v>
      </c>
      <c r="IE65" s="139">
        <v>285163</v>
      </c>
      <c r="IF65" s="139">
        <v>129811</v>
      </c>
      <c r="IG65" s="139">
        <v>652380</v>
      </c>
      <c r="IH65" s="139">
        <v>660620</v>
      </c>
      <c r="II65" s="139">
        <v>2407059</v>
      </c>
      <c r="IJ65" s="139">
        <v>918</v>
      </c>
      <c r="IK65" s="139">
        <v>60000</v>
      </c>
      <c r="IL65" s="139">
        <v>0</v>
      </c>
      <c r="IM65" s="139">
        <v>869</v>
      </c>
      <c r="IN65" s="139">
        <v>686585</v>
      </c>
      <c r="IO65" s="139">
        <v>748372</v>
      </c>
      <c r="IP65" s="139">
        <v>1540</v>
      </c>
      <c r="IQ65" s="139">
        <v>15200</v>
      </c>
      <c r="IR65" s="139">
        <v>1153</v>
      </c>
      <c r="IS65" s="139">
        <v>23103</v>
      </c>
      <c r="IT65" s="139">
        <v>247047</v>
      </c>
      <c r="IU65" s="139">
        <v>288043</v>
      </c>
      <c r="IV65" s="139">
        <v>100299</v>
      </c>
      <c r="IW65" s="139">
        <v>26883</v>
      </c>
      <c r="IX65" s="139">
        <v>8928</v>
      </c>
      <c r="IY65" s="139">
        <v>48981</v>
      </c>
      <c r="IZ65" s="139">
        <v>485017</v>
      </c>
      <c r="JA65" s="139">
        <v>670108</v>
      </c>
      <c r="JB65" s="139">
        <v>7702585</v>
      </c>
      <c r="JC65" s="139">
        <v>3233899</v>
      </c>
      <c r="JD65" s="139">
        <v>1472120</v>
      </c>
      <c r="JE65" s="139">
        <v>7491727</v>
      </c>
      <c r="JF65" s="139">
        <v>7398388</v>
      </c>
      <c r="JG65" s="139">
        <v>27298719</v>
      </c>
      <c r="JH65" s="139">
        <v>0</v>
      </c>
      <c r="JI65" s="139">
        <v>0</v>
      </c>
      <c r="JJ65" s="139">
        <v>0</v>
      </c>
      <c r="JK65" s="139">
        <v>0</v>
      </c>
      <c r="JL65" s="139">
        <v>0</v>
      </c>
      <c r="JM65" s="139">
        <v>0</v>
      </c>
      <c r="JN65" s="139">
        <v>7702585</v>
      </c>
      <c r="JO65" s="139">
        <v>3233899</v>
      </c>
      <c r="JP65" s="139">
        <v>1472120</v>
      </c>
      <c r="JQ65" s="139">
        <v>7491727</v>
      </c>
      <c r="JR65" s="139">
        <v>7398388</v>
      </c>
      <c r="JS65" s="139">
        <v>27298719</v>
      </c>
      <c r="JU65" s="70">
        <f t="shared" ref="JU65:JU97" si="158">SUM(AZ65:BD65)</f>
        <v>1452846</v>
      </c>
      <c r="JV65" s="70">
        <f t="shared" ref="JV65:JV96" si="159">BE65-JU65</f>
        <v>0</v>
      </c>
      <c r="JW65" s="70">
        <f t="shared" ref="JW65:JW97" si="160">SUM(BF65:BJ65)</f>
        <v>16046712</v>
      </c>
      <c r="JX65" s="70">
        <f t="shared" ref="JX65:JX96" si="161">BK65-JW65</f>
        <v>0</v>
      </c>
      <c r="JY65" s="70">
        <f t="shared" ref="JY65:JY97" si="162">SUM(BL65:BP65)</f>
        <v>590000</v>
      </c>
      <c r="JZ65" s="70">
        <f t="shared" ref="JZ65:JZ96" si="163">BQ65-JY65</f>
        <v>0</v>
      </c>
      <c r="KA65" s="70">
        <f t="shared" ref="KA65:KA97" si="164">SUM(BR65:BV65)</f>
        <v>2337759</v>
      </c>
      <c r="KB65" s="70">
        <f t="shared" ref="KB65:KB96" si="165">BW65-KA65</f>
        <v>0</v>
      </c>
      <c r="KC65" s="70">
        <f t="shared" ref="KC65:KC97" si="166">SUM(BX65:CB65)</f>
        <v>0</v>
      </c>
      <c r="KD65" s="70">
        <f t="shared" ref="KD65:KD96" si="167">CC65-KC65</f>
        <v>0</v>
      </c>
      <c r="KE65" s="70">
        <f t="shared" ref="KE65:KE97" si="168">SUM(CD65:CH65)</f>
        <v>0</v>
      </c>
      <c r="KF65" s="70">
        <f t="shared" ref="KF65:KF96" si="169">CI65-KE65</f>
        <v>0</v>
      </c>
      <c r="KG65" s="70">
        <f t="shared" ref="KG65:KG97" si="170">SUM(CJ65:CN65)</f>
        <v>0</v>
      </c>
      <c r="KH65" s="70">
        <f t="shared" ref="KH65:KH96" si="171">CO65-KG65</f>
        <v>0</v>
      </c>
      <c r="KI65" s="70">
        <f t="shared" ref="KI65:KI97" si="172">SUM(CP65:CT65)</f>
        <v>2407059</v>
      </c>
      <c r="KJ65" s="70">
        <f t="shared" ref="KJ65:KJ96" si="173">CU65-KI65</f>
        <v>0</v>
      </c>
      <c r="KK65" s="70">
        <f t="shared" ref="KK65:KK97" si="174">SUM(CV65:CZ65)</f>
        <v>2054820</v>
      </c>
      <c r="KL65" s="70">
        <f t="shared" ref="KL65:KL96" si="175">DA65-KK65</f>
        <v>0</v>
      </c>
      <c r="KM65" s="70">
        <f t="shared" ref="KM65:KM97" si="176">SUM(DB65:DF65)</f>
        <v>0</v>
      </c>
      <c r="KN65" s="70">
        <f t="shared" ref="KN65:KN96" si="177">DG65-KM65</f>
        <v>0</v>
      </c>
      <c r="KO65" s="70">
        <f t="shared" ref="KO65:KO97" si="178">SUM(DH65:DL65)</f>
        <v>180043</v>
      </c>
      <c r="KP65" s="70">
        <f t="shared" ref="KP65:KP96" si="179">DM65-KO65</f>
        <v>0</v>
      </c>
      <c r="KQ65" s="70">
        <f t="shared" ref="KQ65:KQ97" si="180">SUM(DN65:DR65)</f>
        <v>1357110</v>
      </c>
      <c r="KR65" s="70">
        <f t="shared" ref="KR65:KR96" si="181">DS65-KQ65</f>
        <v>0</v>
      </c>
      <c r="KS65" s="70">
        <f t="shared" ref="KS65:KS97" si="182">SUM(DT65:DX65)</f>
        <v>272016</v>
      </c>
      <c r="KT65" s="70">
        <f t="shared" ref="KT65:KT96" si="183">DY65-KS65</f>
        <v>0</v>
      </c>
      <c r="KU65" s="70">
        <f t="shared" ref="KU65:KU97" si="184">SUM(DZ65:ED65)</f>
        <v>146531</v>
      </c>
      <c r="KV65" s="70">
        <f t="shared" ref="KV65:KV96" si="185">EE65-KU65</f>
        <v>0</v>
      </c>
      <c r="KW65" s="70">
        <f t="shared" ref="KW65:KW97" si="186">SUM(EF65:EJ65)</f>
        <v>875104</v>
      </c>
      <c r="KX65" s="70">
        <f t="shared" ref="KX65:KX96" si="187">EK65-KW65</f>
        <v>0</v>
      </c>
      <c r="KY65" s="70">
        <f t="shared" ref="KY65:KY97" si="188">SUM(EL65:EP65)</f>
        <v>27720000</v>
      </c>
      <c r="KZ65" s="70">
        <f t="shared" ref="KZ65:KZ96" si="189">EQ65-KY65</f>
        <v>0</v>
      </c>
      <c r="LA65" s="70">
        <f t="shared" ref="LA65:LA97" si="190">SUM(ER65:EV65)</f>
        <v>7174844</v>
      </c>
      <c r="LB65" s="70">
        <f t="shared" ref="LB65:LB96" si="191">EW65-LA65</f>
        <v>0</v>
      </c>
      <c r="LC65" s="70">
        <f t="shared" ref="LC65:LC97" si="192">SUM(EX65:FB65)</f>
        <v>800500</v>
      </c>
      <c r="LD65" s="70">
        <f t="shared" ref="LD65:LD96" si="193">FC65-LC65</f>
        <v>0</v>
      </c>
      <c r="LE65" s="70">
        <f t="shared" ref="LE65:LE97" si="194">SUM(FD65:FH65)</f>
        <v>5365095</v>
      </c>
      <c r="LF65" s="70">
        <f t="shared" ref="LF65:LF96" si="195">FI65-LE65</f>
        <v>0</v>
      </c>
      <c r="LG65" s="70">
        <f t="shared" si="155"/>
        <v>0</v>
      </c>
      <c r="LH65" s="70">
        <f t="shared" si="156"/>
        <v>0</v>
      </c>
      <c r="LI65" s="70">
        <f t="shared" ref="LI65:LI97" si="196">SUM(FP65:FT65)</f>
        <v>2575358</v>
      </c>
      <c r="LJ65" s="70">
        <f t="shared" ref="LJ65:LJ96" si="197">FU65-LI65</f>
        <v>0</v>
      </c>
      <c r="LK65" s="70">
        <f t="shared" ref="LK65:LK97" si="198">SUM(FV65:FZ65)</f>
        <v>0</v>
      </c>
      <c r="LL65" s="70">
        <f t="shared" ref="LL65:LL96" si="199">GA65-LK65</f>
        <v>0</v>
      </c>
      <c r="LM65" s="70">
        <f t="shared" ref="LM65:LM97" si="200">SUM(GB65:GF65)</f>
        <v>0</v>
      </c>
      <c r="LN65" s="70">
        <f t="shared" ref="LN65:LN96" si="201">GG65-LM65</f>
        <v>0</v>
      </c>
      <c r="LO65" s="70">
        <f t="shared" ref="LO65:LO97" si="202">SUM(GH65:GL65)</f>
        <v>523831</v>
      </c>
      <c r="LP65" s="70">
        <f t="shared" ref="LP65:LP96" si="203">GM65-LO65</f>
        <v>0</v>
      </c>
      <c r="LQ65" s="70">
        <f t="shared" ref="LQ65:LQ97" si="204">SUM(GN65:GR65)</f>
        <v>2201454</v>
      </c>
      <c r="LR65" s="70">
        <f t="shared" ref="LR65:LR96" si="205">GS65-LQ65</f>
        <v>0</v>
      </c>
      <c r="LS65" s="70">
        <f t="shared" ref="LS65:LS97" si="206">SUM(GT65:GX65)</f>
        <v>752847</v>
      </c>
      <c r="LT65" s="70">
        <f t="shared" ref="LT65:LT96" si="207">GY65-LS65</f>
        <v>0</v>
      </c>
      <c r="LU65" s="70">
        <f t="shared" ref="LU65:LU97" si="208">SUM(GZ65:HD65)</f>
        <v>343940</v>
      </c>
      <c r="LV65" s="70">
        <f t="shared" ref="LV65:LV96" si="209">HE65-LU65</f>
        <v>0</v>
      </c>
      <c r="LW65" s="70">
        <f t="shared" ref="LW65:LW97" si="210">SUM(HF65:HJ65)</f>
        <v>1301633</v>
      </c>
      <c r="LX65" s="70">
        <f t="shared" ref="LX65:LX96" si="211">HK65-LW65</f>
        <v>0</v>
      </c>
      <c r="LY65" s="70">
        <f t="shared" ref="LY65:LY97" si="212">SUM(HL65:HP65)</f>
        <v>148710</v>
      </c>
      <c r="LZ65" s="70">
        <f t="shared" ref="LZ65:LZ96" si="213">HQ65-LY65</f>
        <v>0</v>
      </c>
      <c r="MA65" s="70">
        <f t="shared" ref="MA65:MA97" si="214">SUM(HR65:HV65)</f>
        <v>1996925</v>
      </c>
      <c r="MB65" s="70">
        <f t="shared" ref="MB65:MB96" si="215">HW65-MA65</f>
        <v>0</v>
      </c>
      <c r="MC65" s="70">
        <f t="shared" ref="MC65:MC97" si="216">SUM(HX65:IB65)</f>
        <v>0</v>
      </c>
      <c r="MD65" s="70">
        <f t="shared" ref="MD65:MD96" si="217">IC65-MC65</f>
        <v>0</v>
      </c>
      <c r="ME65" s="70">
        <f t="shared" ref="ME65:ME97" si="218">SUM(ID65:IH65)</f>
        <v>2407059</v>
      </c>
      <c r="MF65" s="70">
        <f t="shared" ref="MF65:MF96" si="219">II65-ME65</f>
        <v>0</v>
      </c>
      <c r="MG65" s="70">
        <f t="shared" ref="MG65:MG97" si="220">SUM(IJ65:IN65)</f>
        <v>748372</v>
      </c>
      <c r="MH65" s="70">
        <f t="shared" ref="MH65:MH96" si="221">IO65-MG65</f>
        <v>0</v>
      </c>
      <c r="MI65" s="70">
        <f t="shared" ref="MI65:MI97" si="222">SUM(IP65:IT65)</f>
        <v>288043</v>
      </c>
      <c r="MJ65" s="70">
        <f t="shared" ref="MJ65:MJ96" si="223">IU65-MI65</f>
        <v>0</v>
      </c>
      <c r="MK65" s="70">
        <f t="shared" ref="MK65:MK97" si="224">SUM(IV65:IZ65)</f>
        <v>670108</v>
      </c>
      <c r="ML65" s="70">
        <f t="shared" ref="ML65:ML96" si="225">JA65-MK65</f>
        <v>0</v>
      </c>
      <c r="MM65" s="70">
        <f t="shared" ref="MM65:MM97" si="226">SUM(JB65:JF65)</f>
        <v>27298719</v>
      </c>
      <c r="MN65" s="70">
        <f t="shared" ref="MN65:MN96" si="227">JG65-MM65</f>
        <v>0</v>
      </c>
      <c r="MO65" s="70">
        <f t="shared" ref="MO65:MO97" si="228">SUM(JH65:JL65)</f>
        <v>0</v>
      </c>
      <c r="MP65" s="70">
        <f t="shared" ref="MP65:MP96" si="229">JM65-MO65</f>
        <v>0</v>
      </c>
      <c r="MQ65" s="70">
        <f t="shared" ref="MQ65:MQ97" si="230">SUM(JN65:JR65)</f>
        <v>27298719</v>
      </c>
      <c r="MR65" s="70">
        <f t="shared" ref="MR65:MR96" si="231">JS65-MQ65</f>
        <v>0</v>
      </c>
      <c r="MT65" s="70">
        <f t="shared" ref="MT65:MT97" si="232">SUM(JV65,JX65,JZ65,KB65,KD65,KF65,KH65,KJ65,KL65,KN65,KP65,KR65,KT65,KV65,KX65,KZ65,LB65,LD65,LF65,LH65,LJ65,LN65,LP65,,LT65,LV65,LX65,LZ65,MB65,MD65,MF65,MH65,MJ65,ML65,MN65,MP65,MR65)</f>
        <v>0</v>
      </c>
      <c r="MV65" s="68">
        <f t="shared" si="77"/>
        <v>0</v>
      </c>
    </row>
    <row r="66" spans="1:371" x14ac:dyDescent="0.15">
      <c r="A66" s="182" t="s">
        <v>349</v>
      </c>
      <c r="B66" s="76" t="s">
        <v>426</v>
      </c>
      <c r="C66" s="90">
        <v>176017</v>
      </c>
      <c r="D66" s="90">
        <v>2014</v>
      </c>
      <c r="E66" s="90">
        <v>1</v>
      </c>
      <c r="F66" s="91">
        <v>3</v>
      </c>
      <c r="G66" s="92">
        <v>20989</v>
      </c>
      <c r="H66" s="92">
        <v>19031</v>
      </c>
      <c r="I66" s="93">
        <v>5018501000</v>
      </c>
      <c r="J66" s="93">
        <v>4841425000</v>
      </c>
      <c r="K66" s="93">
        <v>17451000</v>
      </c>
      <c r="L66" s="93">
        <v>15882000</v>
      </c>
      <c r="M66" s="93">
        <v>158977000</v>
      </c>
      <c r="N66" s="93">
        <v>335743000</v>
      </c>
      <c r="O66" s="93">
        <v>191173000</v>
      </c>
      <c r="P66" s="93">
        <v>169342000</v>
      </c>
      <c r="Q66" s="93">
        <v>2622782000</v>
      </c>
      <c r="R66" s="93">
        <v>2700165000</v>
      </c>
      <c r="S66" s="93">
        <v>2327469000</v>
      </c>
      <c r="T66" s="93">
        <v>2221666000</v>
      </c>
      <c r="U66" s="93">
        <v>22418</v>
      </c>
      <c r="V66" s="93">
        <v>22468</v>
      </c>
      <c r="W66" s="93">
        <v>38138</v>
      </c>
      <c r="X66" s="93">
        <v>37876</v>
      </c>
      <c r="Y66" s="93">
        <v>25758</v>
      </c>
      <c r="Z66" s="93">
        <v>27159</v>
      </c>
      <c r="AA66" s="93">
        <v>42924</v>
      </c>
      <c r="AB66" s="93">
        <v>43287</v>
      </c>
      <c r="AC66" s="114">
        <v>17</v>
      </c>
      <c r="AD66" s="114">
        <v>17</v>
      </c>
      <c r="AE66" s="114">
        <v>2</v>
      </c>
      <c r="AF66" s="115">
        <v>8773761</v>
      </c>
      <c r="AG66" s="115">
        <v>7803338</v>
      </c>
      <c r="AH66" s="115">
        <v>1036180</v>
      </c>
      <c r="AI66" s="115">
        <v>612790</v>
      </c>
      <c r="AJ66" s="115">
        <v>772210</v>
      </c>
      <c r="AK66" s="116">
        <v>15</v>
      </c>
      <c r="AL66" s="115">
        <v>681362</v>
      </c>
      <c r="AM66" s="116">
        <v>17</v>
      </c>
      <c r="AN66" s="115">
        <v>186769</v>
      </c>
      <c r="AO66" s="116">
        <v>17</v>
      </c>
      <c r="AP66" s="115">
        <v>176393</v>
      </c>
      <c r="AQ66" s="116">
        <v>18</v>
      </c>
      <c r="AR66" s="115">
        <v>278346</v>
      </c>
      <c r="AS66" s="116">
        <v>32.5</v>
      </c>
      <c r="AT66" s="115">
        <v>266066</v>
      </c>
      <c r="AU66" s="116">
        <v>34</v>
      </c>
      <c r="AV66" s="115">
        <v>102930</v>
      </c>
      <c r="AW66" s="116">
        <v>25.5</v>
      </c>
      <c r="AX66" s="115">
        <v>97212</v>
      </c>
      <c r="AY66" s="116">
        <v>27</v>
      </c>
      <c r="AZ66" s="171">
        <v>47091663</v>
      </c>
      <c r="BA66" s="171">
        <v>7415146</v>
      </c>
      <c r="BB66" s="171">
        <v>372471</v>
      </c>
      <c r="BC66" s="171">
        <v>694635</v>
      </c>
      <c r="BD66" s="171">
        <v>428723</v>
      </c>
      <c r="BE66" s="171">
        <v>56002638</v>
      </c>
      <c r="BF66" s="139">
        <v>0</v>
      </c>
      <c r="BG66" s="139">
        <v>0</v>
      </c>
      <c r="BH66" s="139">
        <v>0</v>
      </c>
      <c r="BI66" s="139">
        <v>0</v>
      </c>
      <c r="BJ66" s="139">
        <v>0</v>
      </c>
      <c r="BK66" s="139">
        <v>0</v>
      </c>
      <c r="BL66" s="139">
        <v>250000</v>
      </c>
      <c r="BM66" s="139">
        <v>0</v>
      </c>
      <c r="BN66" s="139">
        <v>0</v>
      </c>
      <c r="BO66" s="139">
        <v>0</v>
      </c>
      <c r="BP66" s="139">
        <v>0</v>
      </c>
      <c r="BQ66" s="139">
        <v>250000</v>
      </c>
      <c r="BR66" s="139">
        <v>648719</v>
      </c>
      <c r="BS66" s="139">
        <v>2018255</v>
      </c>
      <c r="BT66" s="139">
        <v>49807</v>
      </c>
      <c r="BU66" s="139">
        <v>1837766</v>
      </c>
      <c r="BV66" s="139">
        <v>23647111</v>
      </c>
      <c r="BW66" s="139">
        <v>28201658</v>
      </c>
      <c r="BX66" s="139">
        <v>21000</v>
      </c>
      <c r="BY66" s="139">
        <v>5000</v>
      </c>
      <c r="BZ66" s="139">
        <v>5000</v>
      </c>
      <c r="CA66" s="139">
        <v>0</v>
      </c>
      <c r="CB66" s="139">
        <v>44000</v>
      </c>
      <c r="CC66" s="139">
        <v>75000</v>
      </c>
      <c r="CD66" s="139">
        <v>0</v>
      </c>
      <c r="CE66" s="139">
        <v>0</v>
      </c>
      <c r="CF66" s="139">
        <v>0</v>
      </c>
      <c r="CG66" s="139">
        <v>0</v>
      </c>
      <c r="CH66" s="139">
        <v>0</v>
      </c>
      <c r="CI66" s="139">
        <v>0</v>
      </c>
      <c r="CJ66" s="139">
        <v>0</v>
      </c>
      <c r="CK66" s="139">
        <v>0</v>
      </c>
      <c r="CL66" s="139">
        <v>0</v>
      </c>
      <c r="CM66" s="139"/>
      <c r="CN66" s="139">
        <v>0</v>
      </c>
      <c r="CO66" s="139">
        <v>0</v>
      </c>
      <c r="CP66" s="139">
        <v>0</v>
      </c>
      <c r="CQ66" s="139">
        <v>0</v>
      </c>
      <c r="CR66" s="139">
        <v>0</v>
      </c>
      <c r="CS66" s="139">
        <v>0</v>
      </c>
      <c r="CT66" s="139">
        <v>0</v>
      </c>
      <c r="CU66" s="139">
        <v>0</v>
      </c>
      <c r="CV66" s="139">
        <v>17312158</v>
      </c>
      <c r="CW66" s="139">
        <v>11350497</v>
      </c>
      <c r="CX66" s="139">
        <v>0</v>
      </c>
      <c r="CY66" s="139">
        <v>0</v>
      </c>
      <c r="CZ66" s="139">
        <v>0</v>
      </c>
      <c r="DA66" s="139">
        <v>28662655</v>
      </c>
      <c r="DB66" s="139">
        <v>1261080</v>
      </c>
      <c r="DC66" s="139">
        <v>670920</v>
      </c>
      <c r="DD66" s="139">
        <v>0</v>
      </c>
      <c r="DE66" s="139">
        <v>0</v>
      </c>
      <c r="DF66" s="139">
        <v>0</v>
      </c>
      <c r="DG66" s="139">
        <v>1932000</v>
      </c>
      <c r="DH66" s="139">
        <v>4283346</v>
      </c>
      <c r="DI66" s="139">
        <v>899769</v>
      </c>
      <c r="DJ66" s="139">
        <v>161013</v>
      </c>
      <c r="DK66" s="139">
        <v>239109</v>
      </c>
      <c r="DL66" s="139">
        <v>794598</v>
      </c>
      <c r="DM66" s="139">
        <v>6377835</v>
      </c>
      <c r="DN66" s="139">
        <v>375000</v>
      </c>
      <c r="DO66" s="139">
        <v>57000</v>
      </c>
      <c r="DP66" s="139">
        <v>57000</v>
      </c>
      <c r="DQ66" s="139">
        <v>700764</v>
      </c>
      <c r="DR66" s="139">
        <v>11778592</v>
      </c>
      <c r="DS66" s="139">
        <v>12968356</v>
      </c>
      <c r="DT66" s="139">
        <v>540888</v>
      </c>
      <c r="DU66" s="139">
        <v>99965</v>
      </c>
      <c r="DV66" s="139">
        <v>37340</v>
      </c>
      <c r="DW66" s="139">
        <v>2317672</v>
      </c>
      <c r="DX66" s="139">
        <v>0</v>
      </c>
      <c r="DY66" s="139">
        <v>2995865</v>
      </c>
      <c r="DZ66" s="139">
        <v>554182</v>
      </c>
      <c r="EA66" s="139">
        <v>131010</v>
      </c>
      <c r="EB66" s="139">
        <v>30986</v>
      </c>
      <c r="EC66" s="139">
        <v>449292</v>
      </c>
      <c r="ED66" s="139">
        <v>1542592</v>
      </c>
      <c r="EE66" s="139">
        <v>2708062</v>
      </c>
      <c r="EF66" s="139">
        <v>0</v>
      </c>
      <c r="EG66" s="139">
        <v>0</v>
      </c>
      <c r="EH66" s="139">
        <v>0</v>
      </c>
      <c r="EI66" s="139">
        <v>0</v>
      </c>
      <c r="EJ66" s="139">
        <v>5058612</v>
      </c>
      <c r="EK66" s="139">
        <v>5058612</v>
      </c>
      <c r="EL66" s="139">
        <v>72338036</v>
      </c>
      <c r="EM66" s="139">
        <v>22647562</v>
      </c>
      <c r="EN66" s="139">
        <v>713617</v>
      </c>
      <c r="EO66" s="139">
        <v>6239238</v>
      </c>
      <c r="EP66" s="139">
        <v>43294228</v>
      </c>
      <c r="EQ66" s="139">
        <v>145232681</v>
      </c>
      <c r="ER66" s="139">
        <v>3721349</v>
      </c>
      <c r="ES66" s="139">
        <v>495852</v>
      </c>
      <c r="ET66" s="139">
        <v>532312</v>
      </c>
      <c r="EU66" s="139">
        <v>12082120</v>
      </c>
      <c r="EV66" s="139">
        <v>0</v>
      </c>
      <c r="EW66" s="139">
        <v>16831633</v>
      </c>
      <c r="EX66" s="139">
        <v>3100000</v>
      </c>
      <c r="EY66" s="139">
        <v>652299</v>
      </c>
      <c r="EZ66" s="139">
        <v>216862</v>
      </c>
      <c r="FA66" s="139">
        <v>94596</v>
      </c>
      <c r="FB66" s="139">
        <v>0</v>
      </c>
      <c r="FC66" s="139">
        <v>4063757</v>
      </c>
      <c r="FD66" s="139">
        <v>11250866</v>
      </c>
      <c r="FE66" s="139">
        <v>4487020</v>
      </c>
      <c r="FF66" s="139">
        <v>1312079</v>
      </c>
      <c r="FG66" s="139">
        <v>9379217</v>
      </c>
      <c r="FH66" s="139">
        <v>0</v>
      </c>
      <c r="FI66" s="139">
        <v>26429182</v>
      </c>
      <c r="FJ66" s="139">
        <v>21000</v>
      </c>
      <c r="FK66" s="139">
        <v>5000</v>
      </c>
      <c r="FL66" s="139">
        <v>5000</v>
      </c>
      <c r="FM66" s="139">
        <v>0</v>
      </c>
      <c r="FN66" s="139">
        <v>0</v>
      </c>
      <c r="FO66" s="139">
        <v>31000</v>
      </c>
      <c r="FP66" s="139">
        <v>2634411</v>
      </c>
      <c r="FQ66" s="139">
        <v>301501</v>
      </c>
      <c r="FR66" s="139">
        <v>196177</v>
      </c>
      <c r="FS66" s="139">
        <v>341188</v>
      </c>
      <c r="FT66" s="139">
        <v>23073652</v>
      </c>
      <c r="FU66" s="139">
        <v>26546929</v>
      </c>
      <c r="FV66" s="139">
        <v>0</v>
      </c>
      <c r="FW66" s="139">
        <v>0</v>
      </c>
      <c r="FX66" s="139">
        <v>0</v>
      </c>
      <c r="FY66" s="139">
        <v>0</v>
      </c>
      <c r="FZ66" s="139">
        <v>44000</v>
      </c>
      <c r="GA66" s="139">
        <v>44000</v>
      </c>
      <c r="GB66" s="139">
        <v>0</v>
      </c>
      <c r="GC66" s="139">
        <v>0</v>
      </c>
      <c r="GD66" s="139">
        <v>0</v>
      </c>
      <c r="GE66" s="139">
        <v>0</v>
      </c>
      <c r="GF66" s="139">
        <v>0</v>
      </c>
      <c r="GG66" s="139">
        <v>0</v>
      </c>
      <c r="GH66" s="139">
        <v>485996</v>
      </c>
      <c r="GI66" s="139">
        <v>226226</v>
      </c>
      <c r="GJ66" s="139">
        <v>242484</v>
      </c>
      <c r="GK66" s="139">
        <v>707201</v>
      </c>
      <c r="GL66" s="139">
        <v>0</v>
      </c>
      <c r="GM66" s="139">
        <v>1661907</v>
      </c>
      <c r="GN66" s="139">
        <v>3243771</v>
      </c>
      <c r="GO66" s="139">
        <v>1206552</v>
      </c>
      <c r="GP66" s="139">
        <v>599942</v>
      </c>
      <c r="GQ66" s="139">
        <v>4456857</v>
      </c>
      <c r="GR66" s="139">
        <v>0</v>
      </c>
      <c r="GS66" s="139">
        <v>9507122</v>
      </c>
      <c r="GT66" s="139">
        <v>953237</v>
      </c>
      <c r="GU66" s="139">
        <v>94724</v>
      </c>
      <c r="GV66" s="139">
        <v>89828</v>
      </c>
      <c r="GW66" s="139">
        <v>1411794</v>
      </c>
      <c r="GX66" s="139">
        <v>165000</v>
      </c>
      <c r="GY66" s="139">
        <v>2714583</v>
      </c>
      <c r="GZ66" s="139">
        <v>2894253</v>
      </c>
      <c r="HA66" s="139">
        <v>862442</v>
      </c>
      <c r="HB66" s="139">
        <v>305567</v>
      </c>
      <c r="HC66" s="139">
        <v>887340</v>
      </c>
      <c r="HD66" s="139">
        <v>1098</v>
      </c>
      <c r="HE66" s="139">
        <v>4950700</v>
      </c>
      <c r="HF66" s="139">
        <v>0</v>
      </c>
      <c r="HG66" s="139">
        <v>0</v>
      </c>
      <c r="HH66" s="139">
        <v>0</v>
      </c>
      <c r="HI66" s="139">
        <v>0</v>
      </c>
      <c r="HJ66" s="139">
        <v>1027169</v>
      </c>
      <c r="HK66" s="139">
        <v>1027169</v>
      </c>
      <c r="HL66" s="139">
        <v>552572</v>
      </c>
      <c r="HM66" s="139">
        <v>68110</v>
      </c>
      <c r="HN66" s="139">
        <v>40169</v>
      </c>
      <c r="HO66" s="139">
        <v>1186995</v>
      </c>
      <c r="HP66" s="139">
        <v>9316</v>
      </c>
      <c r="HQ66" s="139">
        <v>1857162</v>
      </c>
      <c r="HR66" s="139">
        <v>3088819</v>
      </c>
      <c r="HS66" s="139">
        <v>0</v>
      </c>
      <c r="HT66" s="139">
        <v>0</v>
      </c>
      <c r="HU66" s="139">
        <v>2619119</v>
      </c>
      <c r="HV66" s="139">
        <v>0</v>
      </c>
      <c r="HW66" s="139">
        <v>5707938</v>
      </c>
      <c r="HX66" s="139">
        <v>0</v>
      </c>
      <c r="HY66" s="139">
        <v>0</v>
      </c>
      <c r="HZ66" s="139">
        <v>0</v>
      </c>
      <c r="IA66" s="139">
        <v>0</v>
      </c>
      <c r="IB66" s="139">
        <v>868746</v>
      </c>
      <c r="IC66" s="139">
        <v>868746</v>
      </c>
      <c r="ID66" s="139">
        <v>0</v>
      </c>
      <c r="IE66" s="139">
        <v>0</v>
      </c>
      <c r="IF66" s="139">
        <v>0</v>
      </c>
      <c r="IG66" s="139">
        <v>0</v>
      </c>
      <c r="IH66" s="139">
        <v>0</v>
      </c>
      <c r="II66" s="139">
        <v>0</v>
      </c>
      <c r="IJ66" s="139">
        <v>0</v>
      </c>
      <c r="IK66" s="139">
        <v>0</v>
      </c>
      <c r="IL66" s="139">
        <v>0</v>
      </c>
      <c r="IM66" s="139">
        <v>0</v>
      </c>
      <c r="IN66" s="139">
        <v>1368737</v>
      </c>
      <c r="IO66" s="139">
        <v>1368737</v>
      </c>
      <c r="IP66" s="139">
        <v>4724</v>
      </c>
      <c r="IQ66" s="139">
        <v>1250</v>
      </c>
      <c r="IR66" s="139">
        <v>885</v>
      </c>
      <c r="IS66" s="139">
        <v>19776</v>
      </c>
      <c r="IT66" s="139">
        <v>292009</v>
      </c>
      <c r="IU66" s="139">
        <v>318644</v>
      </c>
      <c r="IV66" s="139">
        <v>0</v>
      </c>
      <c r="IW66" s="139">
        <v>0</v>
      </c>
      <c r="IX66" s="139">
        <v>0</v>
      </c>
      <c r="IY66" s="139">
        <v>0</v>
      </c>
      <c r="IZ66" s="139">
        <v>10007792</v>
      </c>
      <c r="JA66" s="139">
        <v>10007792</v>
      </c>
      <c r="JB66" s="139">
        <v>31950998</v>
      </c>
      <c r="JC66" s="139">
        <v>8400976</v>
      </c>
      <c r="JD66" s="139">
        <v>3541305</v>
      </c>
      <c r="JE66" s="139">
        <v>33186203</v>
      </c>
      <c r="JF66" s="139">
        <v>36857519</v>
      </c>
      <c r="JG66" s="139">
        <v>113937001</v>
      </c>
      <c r="JH66" s="139">
        <v>0</v>
      </c>
      <c r="JI66" s="139">
        <v>0</v>
      </c>
      <c r="JJ66" s="139">
        <v>0</v>
      </c>
      <c r="JK66" s="139">
        <v>0</v>
      </c>
      <c r="JL66" s="139">
        <v>8634183</v>
      </c>
      <c r="JM66" s="139">
        <v>8634183</v>
      </c>
      <c r="JN66" s="139">
        <v>31950998</v>
      </c>
      <c r="JO66" s="139">
        <v>8400976</v>
      </c>
      <c r="JP66" s="139">
        <v>3541305</v>
      </c>
      <c r="JQ66" s="139">
        <v>33186203</v>
      </c>
      <c r="JR66" s="139">
        <v>45491702</v>
      </c>
      <c r="JS66" s="139">
        <v>122571184</v>
      </c>
      <c r="JU66" s="70">
        <f t="shared" si="158"/>
        <v>56002638</v>
      </c>
      <c r="JV66" s="70">
        <f t="shared" si="159"/>
        <v>0</v>
      </c>
      <c r="JW66" s="70">
        <f t="shared" si="160"/>
        <v>0</v>
      </c>
      <c r="JX66" s="70">
        <f t="shared" si="161"/>
        <v>0</v>
      </c>
      <c r="JY66" s="70">
        <f t="shared" si="162"/>
        <v>250000</v>
      </c>
      <c r="JZ66" s="70">
        <f t="shared" si="163"/>
        <v>0</v>
      </c>
      <c r="KA66" s="70">
        <f t="shared" si="164"/>
        <v>28201658</v>
      </c>
      <c r="KB66" s="70">
        <f t="shared" si="165"/>
        <v>0</v>
      </c>
      <c r="KC66" s="70">
        <f t="shared" si="166"/>
        <v>75000</v>
      </c>
      <c r="KD66" s="70">
        <f t="shared" si="167"/>
        <v>0</v>
      </c>
      <c r="KE66" s="70">
        <f t="shared" si="168"/>
        <v>0</v>
      </c>
      <c r="KF66" s="70">
        <f t="shared" si="169"/>
        <v>0</v>
      </c>
      <c r="KG66" s="70">
        <f t="shared" si="170"/>
        <v>0</v>
      </c>
      <c r="KH66" s="70">
        <f t="shared" si="171"/>
        <v>0</v>
      </c>
      <c r="KI66" s="70">
        <f t="shared" si="172"/>
        <v>0</v>
      </c>
      <c r="KJ66" s="70">
        <f t="shared" si="173"/>
        <v>0</v>
      </c>
      <c r="KK66" s="70">
        <f t="shared" si="174"/>
        <v>28662655</v>
      </c>
      <c r="KL66" s="70">
        <f t="shared" si="175"/>
        <v>0</v>
      </c>
      <c r="KM66" s="70">
        <f t="shared" si="176"/>
        <v>1932000</v>
      </c>
      <c r="KN66" s="70">
        <f t="shared" si="177"/>
        <v>0</v>
      </c>
      <c r="KO66" s="70">
        <f t="shared" si="178"/>
        <v>6377835</v>
      </c>
      <c r="KP66" s="70">
        <f t="shared" si="179"/>
        <v>0</v>
      </c>
      <c r="KQ66" s="70">
        <f t="shared" si="180"/>
        <v>12968356</v>
      </c>
      <c r="KR66" s="70">
        <f t="shared" si="181"/>
        <v>0</v>
      </c>
      <c r="KS66" s="70">
        <f t="shared" si="182"/>
        <v>2995865</v>
      </c>
      <c r="KT66" s="70">
        <f t="shared" si="183"/>
        <v>0</v>
      </c>
      <c r="KU66" s="70">
        <f t="shared" si="184"/>
        <v>2708062</v>
      </c>
      <c r="KV66" s="70">
        <f t="shared" si="185"/>
        <v>0</v>
      </c>
      <c r="KW66" s="70">
        <f t="shared" si="186"/>
        <v>5058612</v>
      </c>
      <c r="KX66" s="70">
        <f t="shared" si="187"/>
        <v>0</v>
      </c>
      <c r="KY66" s="70">
        <f t="shared" si="188"/>
        <v>145232681</v>
      </c>
      <c r="KZ66" s="70">
        <f t="shared" si="189"/>
        <v>0</v>
      </c>
      <c r="LA66" s="70">
        <f t="shared" si="190"/>
        <v>16831633</v>
      </c>
      <c r="LB66" s="70">
        <f t="shared" si="191"/>
        <v>0</v>
      </c>
      <c r="LC66" s="70">
        <f t="shared" si="192"/>
        <v>4063757</v>
      </c>
      <c r="LD66" s="70">
        <f t="shared" si="193"/>
        <v>0</v>
      </c>
      <c r="LE66" s="70">
        <f t="shared" si="194"/>
        <v>26429182</v>
      </c>
      <c r="LF66" s="70">
        <f t="shared" si="195"/>
        <v>0</v>
      </c>
      <c r="LG66" s="70">
        <f t="shared" si="155"/>
        <v>31000</v>
      </c>
      <c r="LH66" s="70">
        <f t="shared" si="156"/>
        <v>0</v>
      </c>
      <c r="LI66" s="70">
        <f t="shared" si="196"/>
        <v>26546929</v>
      </c>
      <c r="LJ66" s="70">
        <f t="shared" si="197"/>
        <v>0</v>
      </c>
      <c r="LK66" s="70">
        <f t="shared" si="198"/>
        <v>44000</v>
      </c>
      <c r="LL66" s="70">
        <f t="shared" si="199"/>
        <v>0</v>
      </c>
      <c r="LM66" s="70">
        <f t="shared" si="200"/>
        <v>0</v>
      </c>
      <c r="LN66" s="70">
        <f t="shared" si="201"/>
        <v>0</v>
      </c>
      <c r="LO66" s="70">
        <f t="shared" si="202"/>
        <v>1661907</v>
      </c>
      <c r="LP66" s="70">
        <f t="shared" si="203"/>
        <v>0</v>
      </c>
      <c r="LQ66" s="70">
        <f t="shared" si="204"/>
        <v>9507122</v>
      </c>
      <c r="LR66" s="70">
        <f t="shared" si="205"/>
        <v>0</v>
      </c>
      <c r="LS66" s="70">
        <f t="shared" si="206"/>
        <v>2714583</v>
      </c>
      <c r="LT66" s="70">
        <f t="shared" si="207"/>
        <v>0</v>
      </c>
      <c r="LU66" s="70">
        <f t="shared" si="208"/>
        <v>4950700</v>
      </c>
      <c r="LV66" s="70">
        <f t="shared" si="209"/>
        <v>0</v>
      </c>
      <c r="LW66" s="70">
        <f t="shared" si="210"/>
        <v>1027169</v>
      </c>
      <c r="LX66" s="70">
        <f t="shared" si="211"/>
        <v>0</v>
      </c>
      <c r="LY66" s="70">
        <f t="shared" si="212"/>
        <v>1857162</v>
      </c>
      <c r="LZ66" s="70">
        <f t="shared" si="213"/>
        <v>0</v>
      </c>
      <c r="MA66" s="70">
        <f t="shared" si="214"/>
        <v>5707938</v>
      </c>
      <c r="MB66" s="70">
        <f t="shared" si="215"/>
        <v>0</v>
      </c>
      <c r="MC66" s="70">
        <f>SUM(IJ66:IN66)</f>
        <v>1368737</v>
      </c>
      <c r="MD66" s="70">
        <f>IO66-MC66</f>
        <v>0</v>
      </c>
      <c r="ME66" s="70">
        <f t="shared" si="218"/>
        <v>0</v>
      </c>
      <c r="MF66" s="70">
        <f t="shared" si="219"/>
        <v>0</v>
      </c>
      <c r="MG66" s="70">
        <f>SUM(IJ66:IN66)</f>
        <v>1368737</v>
      </c>
      <c r="MH66" s="70">
        <f>IO66-MG66</f>
        <v>0</v>
      </c>
      <c r="MI66" s="70">
        <f t="shared" si="222"/>
        <v>318644</v>
      </c>
      <c r="MJ66" s="70">
        <f t="shared" si="223"/>
        <v>0</v>
      </c>
      <c r="MK66" s="70">
        <f t="shared" si="224"/>
        <v>10007792</v>
      </c>
      <c r="ML66" s="70">
        <f t="shared" si="225"/>
        <v>0</v>
      </c>
      <c r="MM66" s="70">
        <f t="shared" si="226"/>
        <v>113937001</v>
      </c>
      <c r="MN66" s="70">
        <f t="shared" si="227"/>
        <v>0</v>
      </c>
      <c r="MO66" s="70">
        <f t="shared" si="228"/>
        <v>8634183</v>
      </c>
      <c r="MP66" s="70">
        <f t="shared" si="229"/>
        <v>0</v>
      </c>
      <c r="MQ66" s="70">
        <f t="shared" si="230"/>
        <v>122571184</v>
      </c>
      <c r="MR66" s="70">
        <f t="shared" si="231"/>
        <v>0</v>
      </c>
      <c r="MT66" s="70">
        <f t="shared" si="232"/>
        <v>0</v>
      </c>
      <c r="MV66" s="68">
        <f t="shared" ref="MV66:MV95" si="233">IF(MT66=0,0,1)</f>
        <v>0</v>
      </c>
    </row>
    <row r="67" spans="1:371" x14ac:dyDescent="0.15">
      <c r="A67" s="76" t="s">
        <v>350</v>
      </c>
      <c r="B67" s="76" t="s">
        <v>426</v>
      </c>
      <c r="C67" s="90">
        <v>176080</v>
      </c>
      <c r="D67" s="90">
        <v>2014</v>
      </c>
      <c r="E67" s="90">
        <v>1</v>
      </c>
      <c r="F67" s="91">
        <v>2</v>
      </c>
      <c r="G67" s="92">
        <v>8570</v>
      </c>
      <c r="H67" s="92">
        <v>8783</v>
      </c>
      <c r="I67" s="93">
        <v>865092000</v>
      </c>
      <c r="J67" s="93">
        <v>837851000</v>
      </c>
      <c r="K67" s="93">
        <v>9876036</v>
      </c>
      <c r="L67" s="93">
        <v>9527000</v>
      </c>
      <c r="M67" s="93">
        <v>212723000</v>
      </c>
      <c r="N67" s="93">
        <v>97877000</v>
      </c>
      <c r="O67" s="93">
        <v>114994970</v>
      </c>
      <c r="P67" s="93">
        <v>120054000</v>
      </c>
      <c r="Q67" s="93">
        <v>783567000</v>
      </c>
      <c r="R67" s="93">
        <v>787791000</v>
      </c>
      <c r="S67" s="93">
        <v>502096867</v>
      </c>
      <c r="T67" s="93">
        <v>485013000</v>
      </c>
      <c r="U67" s="93">
        <v>20161</v>
      </c>
      <c r="V67" s="93">
        <v>18774</v>
      </c>
      <c r="W67" s="93">
        <v>32350</v>
      </c>
      <c r="X67" s="93">
        <v>30410</v>
      </c>
      <c r="Y67" s="93">
        <v>23221</v>
      </c>
      <c r="Z67" s="93">
        <v>22441</v>
      </c>
      <c r="AA67" s="93">
        <v>35510</v>
      </c>
      <c r="AB67" s="93">
        <v>34078</v>
      </c>
      <c r="AC67" s="114">
        <v>10</v>
      </c>
      <c r="AD67" s="114">
        <v>11</v>
      </c>
      <c r="AE67" s="114">
        <v>0</v>
      </c>
      <c r="AF67" s="115">
        <v>6176087</v>
      </c>
      <c r="AG67" s="115">
        <v>5113263</v>
      </c>
      <c r="AH67" s="115">
        <v>1439983</v>
      </c>
      <c r="AI67" s="115">
        <v>576875</v>
      </c>
      <c r="AJ67" s="115">
        <v>1305283</v>
      </c>
      <c r="AK67" s="116">
        <v>7.5</v>
      </c>
      <c r="AL67" s="115">
        <v>1223703</v>
      </c>
      <c r="AM67" s="116">
        <v>8</v>
      </c>
      <c r="AN67" s="115">
        <v>379093</v>
      </c>
      <c r="AO67" s="116">
        <v>8.5</v>
      </c>
      <c r="AP67" s="115">
        <v>358032</v>
      </c>
      <c r="AQ67" s="116">
        <v>9</v>
      </c>
      <c r="AR67" s="115">
        <v>298646</v>
      </c>
      <c r="AS67" s="116">
        <v>22.5</v>
      </c>
      <c r="AT67" s="115">
        <v>268781</v>
      </c>
      <c r="AU67" s="116">
        <v>25</v>
      </c>
      <c r="AV67" s="115">
        <v>124987</v>
      </c>
      <c r="AW67" s="116">
        <v>17.5</v>
      </c>
      <c r="AX67" s="115">
        <v>109364</v>
      </c>
      <c r="AY67" s="116">
        <v>20</v>
      </c>
      <c r="AZ67" s="139">
        <v>33426977</v>
      </c>
      <c r="BA67" s="139">
        <v>2134451</v>
      </c>
      <c r="BB67" s="139">
        <v>835761</v>
      </c>
      <c r="BC67" s="139">
        <v>543075</v>
      </c>
      <c r="BD67" s="139">
        <v>0</v>
      </c>
      <c r="BE67" s="139">
        <v>36940264</v>
      </c>
      <c r="BF67" s="139">
        <v>0</v>
      </c>
      <c r="BG67" s="139">
        <v>0</v>
      </c>
      <c r="BH67" s="139">
        <v>0</v>
      </c>
      <c r="BI67" s="139">
        <v>0</v>
      </c>
      <c r="BJ67" s="139">
        <v>0</v>
      </c>
      <c r="BK67" s="139">
        <v>0</v>
      </c>
      <c r="BL67" s="139">
        <v>1000000</v>
      </c>
      <c r="BM67" s="139">
        <v>65000</v>
      </c>
      <c r="BN67" s="139">
        <v>0</v>
      </c>
      <c r="BO67" s="139">
        <v>23000</v>
      </c>
      <c r="BP67" s="139">
        <v>0</v>
      </c>
      <c r="BQ67" s="139">
        <v>1088000</v>
      </c>
      <c r="BR67" s="139">
        <v>14102795</v>
      </c>
      <c r="BS67" s="139">
        <v>2908125</v>
      </c>
      <c r="BT67" s="139">
        <v>1010888</v>
      </c>
      <c r="BU67" s="139">
        <v>4017299</v>
      </c>
      <c r="BV67" s="139">
        <v>11323995</v>
      </c>
      <c r="BW67" s="139">
        <v>33363102</v>
      </c>
      <c r="BX67" s="139">
        <v>0</v>
      </c>
      <c r="BY67" s="139">
        <v>0</v>
      </c>
      <c r="BZ67" s="139">
        <v>0</v>
      </c>
      <c r="CA67" s="139">
        <v>0</v>
      </c>
      <c r="CB67" s="139">
        <v>0</v>
      </c>
      <c r="CC67" s="139">
        <v>0</v>
      </c>
      <c r="CD67" s="139">
        <v>0</v>
      </c>
      <c r="CE67" s="139">
        <v>0</v>
      </c>
      <c r="CF67" s="139">
        <v>0</v>
      </c>
      <c r="CG67" s="139">
        <v>0</v>
      </c>
      <c r="CH67" s="139">
        <v>0</v>
      </c>
      <c r="CI67" s="139">
        <v>0</v>
      </c>
      <c r="CJ67" s="139">
        <v>0</v>
      </c>
      <c r="CK67" s="139">
        <v>0</v>
      </c>
      <c r="CL67" s="139">
        <v>0</v>
      </c>
      <c r="CM67" s="139">
        <v>0</v>
      </c>
      <c r="CN67" s="139">
        <v>0</v>
      </c>
      <c r="CO67" s="139">
        <v>0</v>
      </c>
      <c r="CP67" s="139">
        <v>0</v>
      </c>
      <c r="CQ67" s="139">
        <v>0</v>
      </c>
      <c r="CR67" s="139">
        <v>0</v>
      </c>
      <c r="CS67" s="139">
        <v>0</v>
      </c>
      <c r="CT67" s="139">
        <v>0</v>
      </c>
      <c r="CU67" s="139">
        <v>0</v>
      </c>
      <c r="CV67" s="139">
        <v>18531845</v>
      </c>
      <c r="CW67" s="139">
        <v>3979208</v>
      </c>
      <c r="CX67" s="139">
        <v>102414</v>
      </c>
      <c r="CY67" s="139">
        <v>1982687</v>
      </c>
      <c r="CZ67" s="139">
        <v>1358262</v>
      </c>
      <c r="DA67" s="139">
        <v>25954416</v>
      </c>
      <c r="DB67" s="139">
        <v>0</v>
      </c>
      <c r="DC67" s="139">
        <v>0</v>
      </c>
      <c r="DD67" s="139">
        <v>0</v>
      </c>
      <c r="DE67" s="139">
        <v>0</v>
      </c>
      <c r="DF67" s="139">
        <v>5227250</v>
      </c>
      <c r="DG67" s="139">
        <v>5227250</v>
      </c>
      <c r="DH67" s="139">
        <v>1433321</v>
      </c>
      <c r="DI67" s="139">
        <v>121571</v>
      </c>
      <c r="DJ67" s="139">
        <v>97949</v>
      </c>
      <c r="DK67" s="139">
        <v>122477</v>
      </c>
      <c r="DL67" s="139">
        <v>831391</v>
      </c>
      <c r="DM67" s="139">
        <v>2606709</v>
      </c>
      <c r="DN67" s="139">
        <v>360581</v>
      </c>
      <c r="DO67" s="139">
        <v>6709</v>
      </c>
      <c r="DP67" s="139">
        <v>0</v>
      </c>
      <c r="DQ67" s="139">
        <v>65850</v>
      </c>
      <c r="DR67" s="139">
        <v>12365663</v>
      </c>
      <c r="DS67" s="139">
        <v>12798803</v>
      </c>
      <c r="DT67" s="139">
        <v>0</v>
      </c>
      <c r="DU67" s="139">
        <v>0</v>
      </c>
      <c r="DV67" s="139">
        <v>0</v>
      </c>
      <c r="DW67" s="139">
        <v>0</v>
      </c>
      <c r="DX67" s="139">
        <v>0</v>
      </c>
      <c r="DY67" s="139">
        <v>0</v>
      </c>
      <c r="DZ67" s="139">
        <v>75502</v>
      </c>
      <c r="EA67" s="139">
        <v>77449</v>
      </c>
      <c r="EB67" s="139">
        <v>177280</v>
      </c>
      <c r="EC67" s="139">
        <v>722765</v>
      </c>
      <c r="ED67" s="139">
        <v>3902956</v>
      </c>
      <c r="EE67" s="139">
        <v>4955952</v>
      </c>
      <c r="EF67" s="139">
        <v>98837</v>
      </c>
      <c r="EG67" s="139">
        <v>22194</v>
      </c>
      <c r="EH67" s="139">
        <v>43575</v>
      </c>
      <c r="EI67" s="139">
        <v>183552</v>
      </c>
      <c r="EJ67" s="139">
        <v>5944038</v>
      </c>
      <c r="EK67" s="139">
        <v>6292196</v>
      </c>
      <c r="EL67" s="139">
        <v>69029858</v>
      </c>
      <c r="EM67" s="139">
        <v>9314707</v>
      </c>
      <c r="EN67" s="139">
        <v>2267867</v>
      </c>
      <c r="EO67" s="139">
        <v>7660705</v>
      </c>
      <c r="EP67" s="139">
        <v>40953555</v>
      </c>
      <c r="EQ67" s="139">
        <v>129226692</v>
      </c>
      <c r="ER67" s="139">
        <v>3361841</v>
      </c>
      <c r="ES67" s="139">
        <v>484287</v>
      </c>
      <c r="ET67" s="139">
        <v>642528</v>
      </c>
      <c r="EU67" s="139">
        <v>6800694</v>
      </c>
      <c r="EV67" s="139">
        <v>63011</v>
      </c>
      <c r="EW67" s="139">
        <v>11352361</v>
      </c>
      <c r="EX67" s="139">
        <v>1400000</v>
      </c>
      <c r="EY67" s="139">
        <v>510000</v>
      </c>
      <c r="EZ67" s="139">
        <v>239000</v>
      </c>
      <c r="FA67" s="139">
        <v>115966</v>
      </c>
      <c r="FB67" s="139">
        <v>0</v>
      </c>
      <c r="FC67" s="139">
        <v>2264966</v>
      </c>
      <c r="FD67" s="139">
        <v>10279674</v>
      </c>
      <c r="FE67" s="139">
        <v>3501489</v>
      </c>
      <c r="FF67" s="139">
        <v>1913176</v>
      </c>
      <c r="FG67" s="139">
        <v>6224381</v>
      </c>
      <c r="FH67" s="139">
        <v>0</v>
      </c>
      <c r="FI67" s="139">
        <v>21918720</v>
      </c>
      <c r="FJ67" s="139">
        <v>0</v>
      </c>
      <c r="FK67" s="139">
        <v>0</v>
      </c>
      <c r="FL67" s="139">
        <v>0</v>
      </c>
      <c r="FM67" s="139">
        <v>0</v>
      </c>
      <c r="FN67" s="139">
        <v>0</v>
      </c>
      <c r="FO67" s="139">
        <v>0</v>
      </c>
      <c r="FP67" s="139">
        <v>1090622</v>
      </c>
      <c r="FQ67" s="139">
        <v>398062</v>
      </c>
      <c r="FR67" s="139">
        <v>299933</v>
      </c>
      <c r="FS67" s="139">
        <v>559398</v>
      </c>
      <c r="FT67" s="139">
        <v>15694730</v>
      </c>
      <c r="FU67" s="139">
        <v>18042745</v>
      </c>
      <c r="FV67" s="139">
        <v>0</v>
      </c>
      <c r="FW67" s="139">
        <v>0</v>
      </c>
      <c r="FX67" s="139">
        <v>0</v>
      </c>
      <c r="FY67" s="139">
        <v>0</v>
      </c>
      <c r="FZ67" s="139">
        <v>0</v>
      </c>
      <c r="GA67" s="139">
        <v>0</v>
      </c>
      <c r="GB67" s="139">
        <v>100744</v>
      </c>
      <c r="GC67" s="139">
        <v>0</v>
      </c>
      <c r="GD67" s="139">
        <v>0</v>
      </c>
      <c r="GE67" s="139">
        <v>54357</v>
      </c>
      <c r="GF67" s="139">
        <v>0</v>
      </c>
      <c r="GG67" s="139">
        <v>155101</v>
      </c>
      <c r="GH67" s="139">
        <v>880541</v>
      </c>
      <c r="GI67" s="139">
        <v>328630</v>
      </c>
      <c r="GJ67" s="139">
        <v>227971</v>
      </c>
      <c r="GK67" s="139">
        <v>579716</v>
      </c>
      <c r="GL67" s="139">
        <v>0</v>
      </c>
      <c r="GM67" s="139">
        <v>2016858</v>
      </c>
      <c r="GN67" s="139">
        <v>2478322</v>
      </c>
      <c r="GO67" s="139">
        <v>758764</v>
      </c>
      <c r="GP67" s="139">
        <v>684258</v>
      </c>
      <c r="GQ67" s="139">
        <v>3485052</v>
      </c>
      <c r="GR67" s="139">
        <v>123669</v>
      </c>
      <c r="GS67" s="139">
        <v>7530065</v>
      </c>
      <c r="GT67" s="139">
        <v>1232903</v>
      </c>
      <c r="GU67" s="139">
        <v>256354</v>
      </c>
      <c r="GV67" s="139">
        <v>218729</v>
      </c>
      <c r="GW67" s="139">
        <v>1818350</v>
      </c>
      <c r="GX67" s="139">
        <v>1103243</v>
      </c>
      <c r="GY67" s="139">
        <v>4629579</v>
      </c>
      <c r="GZ67" s="139">
        <v>4356621</v>
      </c>
      <c r="HA67" s="139">
        <v>979852</v>
      </c>
      <c r="HB67" s="139">
        <v>412767</v>
      </c>
      <c r="HC67" s="139">
        <v>715230</v>
      </c>
      <c r="HD67" s="139">
        <v>1774375</v>
      </c>
      <c r="HE67" s="139">
        <v>8238845</v>
      </c>
      <c r="HF67" s="139">
        <v>450066</v>
      </c>
      <c r="HG67" s="139">
        <v>274138</v>
      </c>
      <c r="HH67" s="139">
        <v>191778</v>
      </c>
      <c r="HI67" s="139">
        <v>594629</v>
      </c>
      <c r="HJ67" s="139">
        <v>2822662</v>
      </c>
      <c r="HK67" s="139">
        <v>4333273</v>
      </c>
      <c r="HL67" s="139">
        <v>0</v>
      </c>
      <c r="HM67" s="139">
        <v>0</v>
      </c>
      <c r="HN67" s="139">
        <v>0</v>
      </c>
      <c r="HO67" s="139">
        <v>0</v>
      </c>
      <c r="HP67" s="139">
        <v>0</v>
      </c>
      <c r="HQ67" s="139">
        <v>0</v>
      </c>
      <c r="HR67" s="139">
        <v>928724</v>
      </c>
      <c r="HS67" s="139">
        <v>190061</v>
      </c>
      <c r="HT67" s="139">
        <v>203373</v>
      </c>
      <c r="HU67" s="139">
        <v>1382221</v>
      </c>
      <c r="HV67" s="139">
        <v>22769789</v>
      </c>
      <c r="HW67" s="139">
        <v>25474168</v>
      </c>
      <c r="HX67" s="139">
        <v>0</v>
      </c>
      <c r="HY67" s="139">
        <v>0</v>
      </c>
      <c r="HZ67" s="139">
        <v>0</v>
      </c>
      <c r="IA67" s="139">
        <v>0</v>
      </c>
      <c r="IB67" s="139">
        <v>168633</v>
      </c>
      <c r="IC67" s="139">
        <v>168633</v>
      </c>
      <c r="ID67" s="139">
        <v>0</v>
      </c>
      <c r="IE67" s="139">
        <v>0</v>
      </c>
      <c r="IF67" s="139">
        <v>0</v>
      </c>
      <c r="IG67" s="139">
        <v>0</v>
      </c>
      <c r="IH67" s="139">
        <v>0</v>
      </c>
      <c r="II67" s="139">
        <v>0</v>
      </c>
      <c r="IJ67" s="139">
        <v>200395</v>
      </c>
      <c r="IK67" s="139">
        <v>24302</v>
      </c>
      <c r="IL67" s="139">
        <v>18817</v>
      </c>
      <c r="IM67" s="139">
        <v>429647</v>
      </c>
      <c r="IN67" s="139">
        <v>647043</v>
      </c>
      <c r="IO67" s="139">
        <v>1320204</v>
      </c>
      <c r="IP67" s="139">
        <v>5049</v>
      </c>
      <c r="IQ67" s="139">
        <v>2046</v>
      </c>
      <c r="IR67" s="139">
        <v>2353</v>
      </c>
      <c r="IS67" s="139">
        <v>22922</v>
      </c>
      <c r="IT67" s="139">
        <v>54605</v>
      </c>
      <c r="IU67" s="139">
        <v>86975</v>
      </c>
      <c r="IV67" s="139">
        <v>835069</v>
      </c>
      <c r="IW67" s="139">
        <v>187678</v>
      </c>
      <c r="IX67" s="139">
        <v>149819</v>
      </c>
      <c r="IY67" s="139">
        <v>424391</v>
      </c>
      <c r="IZ67" s="139">
        <v>4237248</v>
      </c>
      <c r="JA67" s="139">
        <v>5834205</v>
      </c>
      <c r="JB67" s="139">
        <v>27600571</v>
      </c>
      <c r="JC67" s="139">
        <v>7895663</v>
      </c>
      <c r="JD67" s="139">
        <v>5204502</v>
      </c>
      <c r="JE67" s="139">
        <v>23206954</v>
      </c>
      <c r="JF67" s="139">
        <v>49459008</v>
      </c>
      <c r="JG67" s="139">
        <v>113366698</v>
      </c>
      <c r="JH67" s="139">
        <v>0</v>
      </c>
      <c r="JI67" s="139">
        <v>0</v>
      </c>
      <c r="JJ67" s="139">
        <v>0</v>
      </c>
      <c r="JK67" s="139">
        <v>0</v>
      </c>
      <c r="JL67" s="139">
        <v>3180078</v>
      </c>
      <c r="JM67" s="139">
        <v>3180078</v>
      </c>
      <c r="JN67" s="139">
        <v>27600571</v>
      </c>
      <c r="JO67" s="139">
        <v>7895663</v>
      </c>
      <c r="JP67" s="139">
        <v>5204502</v>
      </c>
      <c r="JQ67" s="139">
        <v>23206954</v>
      </c>
      <c r="JR67" s="139">
        <v>52639086</v>
      </c>
      <c r="JS67" s="139">
        <v>116546776</v>
      </c>
      <c r="JU67" s="70">
        <f t="shared" si="158"/>
        <v>36940264</v>
      </c>
      <c r="JV67" s="70">
        <f t="shared" si="159"/>
        <v>0</v>
      </c>
      <c r="JW67" s="70">
        <f t="shared" si="160"/>
        <v>0</v>
      </c>
      <c r="JX67" s="70">
        <f t="shared" si="161"/>
        <v>0</v>
      </c>
      <c r="JY67" s="70">
        <f t="shared" si="162"/>
        <v>1088000</v>
      </c>
      <c r="JZ67" s="70">
        <f t="shared" si="163"/>
        <v>0</v>
      </c>
      <c r="KA67" s="70">
        <f t="shared" si="164"/>
        <v>33363102</v>
      </c>
      <c r="KB67" s="70">
        <f t="shared" si="165"/>
        <v>0</v>
      </c>
      <c r="KC67" s="70">
        <f t="shared" si="166"/>
        <v>0</v>
      </c>
      <c r="KD67" s="70">
        <f t="shared" si="167"/>
        <v>0</v>
      </c>
      <c r="KE67" s="70">
        <f t="shared" si="168"/>
        <v>0</v>
      </c>
      <c r="KF67" s="70">
        <f t="shared" si="169"/>
        <v>0</v>
      </c>
      <c r="KG67" s="70">
        <f t="shared" si="170"/>
        <v>0</v>
      </c>
      <c r="KH67" s="70">
        <f t="shared" si="171"/>
        <v>0</v>
      </c>
      <c r="KI67" s="70">
        <f t="shared" si="172"/>
        <v>0</v>
      </c>
      <c r="KJ67" s="70">
        <f t="shared" si="173"/>
        <v>0</v>
      </c>
      <c r="KK67" s="70">
        <f t="shared" si="174"/>
        <v>25954416</v>
      </c>
      <c r="KL67" s="70">
        <f t="shared" si="175"/>
        <v>0</v>
      </c>
      <c r="KM67" s="70">
        <f t="shared" si="176"/>
        <v>5227250</v>
      </c>
      <c r="KN67" s="70">
        <f t="shared" si="177"/>
        <v>0</v>
      </c>
      <c r="KO67" s="70">
        <f t="shared" si="178"/>
        <v>2606709</v>
      </c>
      <c r="KP67" s="70">
        <f t="shared" si="179"/>
        <v>0</v>
      </c>
      <c r="KQ67" s="70">
        <f t="shared" si="180"/>
        <v>12798803</v>
      </c>
      <c r="KR67" s="70">
        <f t="shared" si="181"/>
        <v>0</v>
      </c>
      <c r="KS67" s="70">
        <f t="shared" si="182"/>
        <v>0</v>
      </c>
      <c r="KT67" s="70">
        <f t="shared" si="183"/>
        <v>0</v>
      </c>
      <c r="KU67" s="70">
        <f t="shared" si="184"/>
        <v>4955952</v>
      </c>
      <c r="KV67" s="70">
        <f t="shared" si="185"/>
        <v>0</v>
      </c>
      <c r="KW67" s="70">
        <f t="shared" si="186"/>
        <v>6292196</v>
      </c>
      <c r="KX67" s="70">
        <f t="shared" si="187"/>
        <v>0</v>
      </c>
      <c r="KY67" s="70">
        <f t="shared" si="188"/>
        <v>129226692</v>
      </c>
      <c r="KZ67" s="70">
        <f t="shared" si="189"/>
        <v>0</v>
      </c>
      <c r="LA67" s="70">
        <f t="shared" si="190"/>
        <v>11352361</v>
      </c>
      <c r="LB67" s="70">
        <f t="shared" si="191"/>
        <v>0</v>
      </c>
      <c r="LC67" s="70">
        <f t="shared" si="192"/>
        <v>2264966</v>
      </c>
      <c r="LD67" s="70">
        <f t="shared" si="193"/>
        <v>0</v>
      </c>
      <c r="LE67" s="70">
        <f t="shared" si="194"/>
        <v>21918720</v>
      </c>
      <c r="LF67" s="70">
        <f t="shared" si="195"/>
        <v>0</v>
      </c>
      <c r="LG67" s="70">
        <f t="shared" si="155"/>
        <v>0</v>
      </c>
      <c r="LH67" s="70">
        <f t="shared" si="156"/>
        <v>0</v>
      </c>
      <c r="LI67" s="70">
        <f t="shared" si="196"/>
        <v>18042745</v>
      </c>
      <c r="LJ67" s="70">
        <f t="shared" si="197"/>
        <v>0</v>
      </c>
      <c r="LK67" s="70">
        <f t="shared" si="198"/>
        <v>0</v>
      </c>
      <c r="LL67" s="70">
        <f t="shared" si="199"/>
        <v>0</v>
      </c>
      <c r="LM67" s="70">
        <f t="shared" si="200"/>
        <v>155101</v>
      </c>
      <c r="LN67" s="70">
        <f t="shared" si="201"/>
        <v>0</v>
      </c>
      <c r="LO67" s="70">
        <f t="shared" si="202"/>
        <v>2016858</v>
      </c>
      <c r="LP67" s="70">
        <f t="shared" si="203"/>
        <v>0</v>
      </c>
      <c r="LQ67" s="70">
        <f t="shared" si="204"/>
        <v>7530065</v>
      </c>
      <c r="LR67" s="70">
        <f t="shared" si="205"/>
        <v>0</v>
      </c>
      <c r="LS67" s="70">
        <f t="shared" si="206"/>
        <v>4629579</v>
      </c>
      <c r="LT67" s="70">
        <f t="shared" si="207"/>
        <v>0</v>
      </c>
      <c r="LU67" s="70">
        <f t="shared" si="208"/>
        <v>8238845</v>
      </c>
      <c r="LV67" s="70">
        <f t="shared" si="209"/>
        <v>0</v>
      </c>
      <c r="LW67" s="70">
        <f t="shared" si="210"/>
        <v>4333273</v>
      </c>
      <c r="LX67" s="70">
        <f t="shared" si="211"/>
        <v>0</v>
      </c>
      <c r="LY67" s="70">
        <f t="shared" si="212"/>
        <v>0</v>
      </c>
      <c r="LZ67" s="70">
        <f t="shared" si="213"/>
        <v>0</v>
      </c>
      <c r="MA67" s="70">
        <f t="shared" si="214"/>
        <v>25474168</v>
      </c>
      <c r="MB67" s="70">
        <f t="shared" si="215"/>
        <v>0</v>
      </c>
      <c r="MC67" s="70">
        <f t="shared" si="216"/>
        <v>168633</v>
      </c>
      <c r="MD67" s="70">
        <f t="shared" si="217"/>
        <v>0</v>
      </c>
      <c r="ME67" s="70">
        <f t="shared" si="218"/>
        <v>0</v>
      </c>
      <c r="MF67" s="70">
        <f t="shared" si="219"/>
        <v>0</v>
      </c>
      <c r="MG67" s="70">
        <f t="shared" si="220"/>
        <v>1320204</v>
      </c>
      <c r="MH67" s="70">
        <f t="shared" si="221"/>
        <v>0</v>
      </c>
      <c r="MI67" s="70">
        <f t="shared" si="222"/>
        <v>86975</v>
      </c>
      <c r="MJ67" s="70">
        <f t="shared" si="223"/>
        <v>0</v>
      </c>
      <c r="MK67" s="70">
        <f t="shared" si="224"/>
        <v>5834205</v>
      </c>
      <c r="ML67" s="70">
        <f t="shared" si="225"/>
        <v>0</v>
      </c>
      <c r="MM67" s="70">
        <f t="shared" si="226"/>
        <v>113366698</v>
      </c>
      <c r="MN67" s="70">
        <f t="shared" si="227"/>
        <v>0</v>
      </c>
      <c r="MO67" s="70">
        <f t="shared" si="228"/>
        <v>3180078</v>
      </c>
      <c r="MP67" s="70">
        <f t="shared" si="229"/>
        <v>0</v>
      </c>
      <c r="MQ67" s="70">
        <f t="shared" si="230"/>
        <v>116546776</v>
      </c>
      <c r="MR67" s="70">
        <f t="shared" si="231"/>
        <v>0</v>
      </c>
      <c r="MT67" s="70">
        <f t="shared" si="232"/>
        <v>0</v>
      </c>
      <c r="MV67" s="68">
        <f t="shared" si="233"/>
        <v>0</v>
      </c>
      <c r="NG67" s="80"/>
    </row>
    <row r="68" spans="1:371" x14ac:dyDescent="0.15">
      <c r="A68" s="182" t="s">
        <v>351</v>
      </c>
      <c r="B68" s="76" t="s">
        <v>426</v>
      </c>
      <c r="C68" s="90">
        <v>178396</v>
      </c>
      <c r="D68" s="90">
        <v>2014</v>
      </c>
      <c r="E68" s="90">
        <v>1</v>
      </c>
      <c r="F68" s="91">
        <v>2</v>
      </c>
      <c r="G68" s="92">
        <v>9025</v>
      </c>
      <c r="H68" s="92">
        <v>8722</v>
      </c>
      <c r="I68" s="93">
        <v>1047974000</v>
      </c>
      <c r="J68" s="93">
        <v>1008892000</v>
      </c>
      <c r="K68" s="93">
        <v>6752000</v>
      </c>
      <c r="L68" s="93">
        <v>6840000</v>
      </c>
      <c r="M68" s="93">
        <v>48995000</v>
      </c>
      <c r="N68" s="93">
        <v>46617000</v>
      </c>
      <c r="O68" s="93">
        <v>86785000</v>
      </c>
      <c r="P68" s="93">
        <v>89560000</v>
      </c>
      <c r="Q68" s="93">
        <v>664351000</v>
      </c>
      <c r="R68" s="93">
        <v>591801000</v>
      </c>
      <c r="S68" s="93">
        <v>768607000</v>
      </c>
      <c r="T68" s="93">
        <v>730678841</v>
      </c>
      <c r="U68" s="93">
        <v>18330</v>
      </c>
      <c r="V68" s="93">
        <v>18200</v>
      </c>
      <c r="W68" s="93">
        <v>30070</v>
      </c>
      <c r="X68" s="93">
        <v>29410</v>
      </c>
      <c r="Y68" s="93">
        <v>22100</v>
      </c>
      <c r="Z68" s="93">
        <v>21810</v>
      </c>
      <c r="AA68" s="93">
        <v>33840</v>
      </c>
      <c r="AB68" s="93">
        <v>33020</v>
      </c>
      <c r="AC68" s="114">
        <v>9</v>
      </c>
      <c r="AD68" s="114">
        <v>9</v>
      </c>
      <c r="AE68" s="114">
        <v>0</v>
      </c>
      <c r="AF68" s="115">
        <v>2753262</v>
      </c>
      <c r="AG68" s="115">
        <v>1627029</v>
      </c>
      <c r="AH68" s="115">
        <v>491511</v>
      </c>
      <c r="AI68" s="115">
        <v>231922</v>
      </c>
      <c r="AJ68" s="115">
        <v>1022442</v>
      </c>
      <c r="AK68" s="116">
        <v>6.5</v>
      </c>
      <c r="AL68" s="115">
        <v>949410</v>
      </c>
      <c r="AM68" s="116">
        <v>7</v>
      </c>
      <c r="AN68" s="115">
        <v>221443</v>
      </c>
      <c r="AO68" s="116">
        <v>6.5</v>
      </c>
      <c r="AP68" s="115">
        <v>205626</v>
      </c>
      <c r="AQ68" s="116">
        <v>7</v>
      </c>
      <c r="AR68" s="115">
        <v>292148</v>
      </c>
      <c r="AS68" s="116">
        <v>20</v>
      </c>
      <c r="AT68" s="115">
        <v>292148</v>
      </c>
      <c r="AU68" s="116">
        <v>20</v>
      </c>
      <c r="AV68" s="115">
        <v>97355</v>
      </c>
      <c r="AW68" s="116">
        <v>14</v>
      </c>
      <c r="AX68" s="115">
        <v>97355</v>
      </c>
      <c r="AY68" s="116">
        <v>14</v>
      </c>
      <c r="AZ68" s="139">
        <v>18541629</v>
      </c>
      <c r="BA68" s="139">
        <v>2821260</v>
      </c>
      <c r="BB68" s="139">
        <v>373784</v>
      </c>
      <c r="BC68" s="139">
        <v>1320831</v>
      </c>
      <c r="BD68" s="139">
        <v>699311</v>
      </c>
      <c r="BE68" s="139">
        <v>23756815</v>
      </c>
      <c r="BF68" s="139">
        <v>0</v>
      </c>
      <c r="BG68" s="139">
        <v>0</v>
      </c>
      <c r="BH68" s="139">
        <v>0</v>
      </c>
      <c r="BI68" s="139">
        <v>0</v>
      </c>
      <c r="BJ68" s="139">
        <v>3103680</v>
      </c>
      <c r="BK68" s="139">
        <v>3103680</v>
      </c>
      <c r="BL68" s="139">
        <v>2290000</v>
      </c>
      <c r="BM68" s="139">
        <v>125000</v>
      </c>
      <c r="BN68" s="139">
        <v>75000</v>
      </c>
      <c r="BO68" s="139">
        <v>115757</v>
      </c>
      <c r="BP68" s="139">
        <v>0</v>
      </c>
      <c r="BQ68" s="139">
        <v>2605757</v>
      </c>
      <c r="BR68" s="139">
        <v>6626130</v>
      </c>
      <c r="BS68" s="139">
        <v>5369673</v>
      </c>
      <c r="BT68" s="139">
        <v>197948</v>
      </c>
      <c r="BU68" s="139">
        <v>2297964</v>
      </c>
      <c r="BV68" s="139">
        <v>22535635</v>
      </c>
      <c r="BW68" s="139">
        <v>37027350</v>
      </c>
      <c r="BX68" s="139">
        <v>0</v>
      </c>
      <c r="BY68" s="139">
        <v>0</v>
      </c>
      <c r="BZ68" s="139">
        <v>0</v>
      </c>
      <c r="CA68" s="139">
        <v>0</v>
      </c>
      <c r="CB68" s="139">
        <v>0</v>
      </c>
      <c r="CC68" s="139">
        <v>0</v>
      </c>
      <c r="CD68" s="139">
        <v>0</v>
      </c>
      <c r="CE68" s="139">
        <v>0</v>
      </c>
      <c r="CF68" s="139">
        <v>0</v>
      </c>
      <c r="CG68" s="139">
        <v>0</v>
      </c>
      <c r="CH68" s="139">
        <v>0</v>
      </c>
      <c r="CI68" s="139">
        <v>0</v>
      </c>
      <c r="CJ68" s="139">
        <v>0</v>
      </c>
      <c r="CK68" s="139">
        <v>0</v>
      </c>
      <c r="CL68" s="139"/>
      <c r="CM68" s="139">
        <v>0</v>
      </c>
      <c r="CN68" s="139">
        <v>2902283</v>
      </c>
      <c r="CO68" s="139">
        <v>2902283</v>
      </c>
      <c r="CP68" s="139">
        <v>0</v>
      </c>
      <c r="CQ68" s="139">
        <v>0</v>
      </c>
      <c r="CR68" s="139">
        <v>0</v>
      </c>
      <c r="CS68" s="139">
        <v>0</v>
      </c>
      <c r="CT68" s="139">
        <v>1515512</v>
      </c>
      <c r="CU68" s="139">
        <v>1515512</v>
      </c>
      <c r="CV68" s="139">
        <v>20091905</v>
      </c>
      <c r="CW68" s="139">
        <v>2309959</v>
      </c>
      <c r="CX68" s="139">
        <v>102622</v>
      </c>
      <c r="CY68" s="139">
        <v>215157</v>
      </c>
      <c r="CZ68" s="139">
        <v>1196024</v>
      </c>
      <c r="DA68" s="139">
        <v>23915667</v>
      </c>
      <c r="DB68" s="139">
        <v>0</v>
      </c>
      <c r="DC68" s="139">
        <v>0</v>
      </c>
      <c r="DD68" s="139">
        <v>0</v>
      </c>
      <c r="DE68" s="139">
        <v>0</v>
      </c>
      <c r="DF68" s="139">
        <v>4795000</v>
      </c>
      <c r="DG68" s="139">
        <v>4795000</v>
      </c>
      <c r="DH68" s="139">
        <v>296389</v>
      </c>
      <c r="DI68" s="139">
        <v>22821</v>
      </c>
      <c r="DJ68" s="139">
        <v>13900</v>
      </c>
      <c r="DK68" s="139">
        <v>19482</v>
      </c>
      <c r="DL68" s="139">
        <v>266078</v>
      </c>
      <c r="DM68" s="139">
        <v>618670</v>
      </c>
      <c r="DN68" s="139">
        <v>0</v>
      </c>
      <c r="DO68" s="139">
        <v>0</v>
      </c>
      <c r="DP68" s="139">
        <v>0</v>
      </c>
      <c r="DQ68" s="139">
        <v>0</v>
      </c>
      <c r="DR68" s="139">
        <v>2605681</v>
      </c>
      <c r="DS68" s="139">
        <v>2605681</v>
      </c>
      <c r="DT68" s="139">
        <v>0</v>
      </c>
      <c r="DU68" s="139">
        <v>0</v>
      </c>
      <c r="DV68" s="139">
        <v>0</v>
      </c>
      <c r="DW68" s="139">
        <v>0</v>
      </c>
      <c r="DX68" s="139">
        <v>0</v>
      </c>
      <c r="DY68" s="139">
        <v>0</v>
      </c>
      <c r="DZ68" s="139">
        <v>295446</v>
      </c>
      <c r="EA68" s="139">
        <v>272483</v>
      </c>
      <c r="EB68" s="139">
        <v>35102</v>
      </c>
      <c r="EC68" s="139">
        <v>426336</v>
      </c>
      <c r="ED68" s="139">
        <v>11302784</v>
      </c>
      <c r="EE68" s="139">
        <v>12332151</v>
      </c>
      <c r="EF68" s="139">
        <v>494120</v>
      </c>
      <c r="EG68" s="139">
        <v>-360</v>
      </c>
      <c r="EH68" s="139">
        <v>99</v>
      </c>
      <c r="EI68" s="139">
        <v>135172</v>
      </c>
      <c r="EJ68" s="139">
        <v>1995705</v>
      </c>
      <c r="EK68" s="139">
        <v>2624736</v>
      </c>
      <c r="EL68" s="139">
        <v>48635619</v>
      </c>
      <c r="EM68" s="139">
        <v>10920836</v>
      </c>
      <c r="EN68" s="139">
        <v>798455</v>
      </c>
      <c r="EO68" s="139">
        <v>4530699</v>
      </c>
      <c r="EP68" s="139">
        <v>52917693</v>
      </c>
      <c r="EQ68" s="139">
        <v>117803302</v>
      </c>
      <c r="ER68" s="139">
        <v>1744401</v>
      </c>
      <c r="ES68" s="139">
        <v>275555</v>
      </c>
      <c r="ET68" s="139">
        <v>276144</v>
      </c>
      <c r="EU68" s="139">
        <v>2084191</v>
      </c>
      <c r="EV68" s="139">
        <v>4676411</v>
      </c>
      <c r="EW68" s="139">
        <v>9056702</v>
      </c>
      <c r="EX68" s="139">
        <v>350000</v>
      </c>
      <c r="EY68" s="139">
        <v>564443</v>
      </c>
      <c r="EZ68" s="139">
        <v>138848</v>
      </c>
      <c r="FA68" s="139">
        <v>47186</v>
      </c>
      <c r="FB68" s="139">
        <v>0</v>
      </c>
      <c r="FC68" s="139">
        <v>1100477</v>
      </c>
      <c r="FD68" s="139">
        <v>7019910</v>
      </c>
      <c r="FE68" s="139">
        <v>3185975</v>
      </c>
      <c r="FF68" s="139">
        <v>999487</v>
      </c>
      <c r="FG68" s="139">
        <v>4085800</v>
      </c>
      <c r="FH68" s="139">
        <v>0</v>
      </c>
      <c r="FI68" s="139">
        <v>15291172</v>
      </c>
      <c r="FJ68" s="139">
        <v>0</v>
      </c>
      <c r="FK68" s="139">
        <v>0</v>
      </c>
      <c r="FL68" s="139">
        <v>0</v>
      </c>
      <c r="FM68" s="139">
        <v>0</v>
      </c>
      <c r="FN68" s="139">
        <v>0</v>
      </c>
      <c r="FO68" s="139">
        <v>0</v>
      </c>
      <c r="FP68" s="139">
        <v>1019356</v>
      </c>
      <c r="FQ68" s="139">
        <v>321358</v>
      </c>
      <c r="FR68" s="139">
        <v>185025</v>
      </c>
      <c r="FS68" s="139">
        <v>495011</v>
      </c>
      <c r="FT68" s="139">
        <v>9807312</v>
      </c>
      <c r="FU68" s="139">
        <v>11828062</v>
      </c>
      <c r="FV68" s="139">
        <v>0</v>
      </c>
      <c r="FW68" s="139">
        <v>0</v>
      </c>
      <c r="FX68" s="139">
        <v>0</v>
      </c>
      <c r="FY68" s="139">
        <v>0</v>
      </c>
      <c r="FZ68" s="139">
        <v>0</v>
      </c>
      <c r="GA68" s="139">
        <v>0</v>
      </c>
      <c r="GB68" s="139">
        <v>0</v>
      </c>
      <c r="GC68" s="139">
        <v>0</v>
      </c>
      <c r="GD68" s="139">
        <v>0</v>
      </c>
      <c r="GE68" s="139">
        <v>0</v>
      </c>
      <c r="GF68" s="139">
        <v>144956</v>
      </c>
      <c r="GG68" s="139">
        <v>144956</v>
      </c>
      <c r="GH68" s="139">
        <v>203622</v>
      </c>
      <c r="GI68" s="139">
        <v>142999</v>
      </c>
      <c r="GJ68" s="139">
        <v>78902</v>
      </c>
      <c r="GK68" s="139">
        <v>297910</v>
      </c>
      <c r="GL68" s="139">
        <v>0</v>
      </c>
      <c r="GM68" s="139">
        <v>723433</v>
      </c>
      <c r="GN68" s="139">
        <v>1869722</v>
      </c>
      <c r="GO68" s="139">
        <v>856023</v>
      </c>
      <c r="GP68" s="139">
        <v>531012</v>
      </c>
      <c r="GQ68" s="139">
        <v>2025685</v>
      </c>
      <c r="GR68" s="139">
        <v>64478</v>
      </c>
      <c r="GS68" s="139">
        <v>5346920</v>
      </c>
      <c r="GT68" s="139">
        <v>497540</v>
      </c>
      <c r="GU68" s="139">
        <v>98917</v>
      </c>
      <c r="GV68" s="139">
        <v>104530</v>
      </c>
      <c r="GW68" s="139">
        <v>437421</v>
      </c>
      <c r="GX68" s="139">
        <v>1274395</v>
      </c>
      <c r="GY68" s="139">
        <v>2412803</v>
      </c>
      <c r="GZ68" s="139">
        <v>220507</v>
      </c>
      <c r="HA68" s="139">
        <v>158200</v>
      </c>
      <c r="HB68" s="139">
        <v>140900</v>
      </c>
      <c r="HC68" s="139">
        <v>227676</v>
      </c>
      <c r="HD68" s="139">
        <v>1254183</v>
      </c>
      <c r="HE68" s="139">
        <v>2001466</v>
      </c>
      <c r="HF68" s="139">
        <v>0</v>
      </c>
      <c r="HG68" s="139">
        <v>0</v>
      </c>
      <c r="HH68" s="139">
        <v>0</v>
      </c>
      <c r="HI68" s="139">
        <v>0</v>
      </c>
      <c r="HJ68" s="139">
        <v>1845170</v>
      </c>
      <c r="HK68" s="139">
        <v>1845170</v>
      </c>
      <c r="HL68" s="139">
        <v>0</v>
      </c>
      <c r="HM68" s="139">
        <v>0</v>
      </c>
      <c r="HN68" s="139">
        <v>0</v>
      </c>
      <c r="HO68" s="139">
        <v>0</v>
      </c>
      <c r="HP68" s="139">
        <v>0</v>
      </c>
      <c r="HQ68" s="139">
        <v>0</v>
      </c>
      <c r="HR68" s="139">
        <v>91686</v>
      </c>
      <c r="HS68" s="139">
        <v>58305</v>
      </c>
      <c r="HT68" s="139">
        <v>63501</v>
      </c>
      <c r="HU68" s="139">
        <v>79540</v>
      </c>
      <c r="HV68" s="139">
        <v>27636993</v>
      </c>
      <c r="HW68" s="139">
        <v>27930025</v>
      </c>
      <c r="HX68" s="139">
        <v>0</v>
      </c>
      <c r="HY68" s="139">
        <v>0</v>
      </c>
      <c r="HZ68" s="139">
        <v>0</v>
      </c>
      <c r="IA68" s="139">
        <v>0</v>
      </c>
      <c r="IB68" s="139">
        <v>372504</v>
      </c>
      <c r="IC68" s="139">
        <v>372504</v>
      </c>
      <c r="ID68" s="139">
        <v>0</v>
      </c>
      <c r="IE68" s="139">
        <v>0</v>
      </c>
      <c r="IF68" s="139">
        <v>0</v>
      </c>
      <c r="IG68" s="139">
        <v>0</v>
      </c>
      <c r="IH68" s="139">
        <v>1515512</v>
      </c>
      <c r="II68" s="139">
        <v>1515512</v>
      </c>
      <c r="IJ68" s="139">
        <v>81964</v>
      </c>
      <c r="IK68" s="139">
        <v>33906</v>
      </c>
      <c r="IL68" s="139">
        <v>12072</v>
      </c>
      <c r="IM68" s="139">
        <v>169004</v>
      </c>
      <c r="IN68" s="139">
        <v>457616</v>
      </c>
      <c r="IO68" s="139">
        <v>754562</v>
      </c>
      <c r="IP68" s="139">
        <v>58953</v>
      </c>
      <c r="IQ68" s="139">
        <v>9034</v>
      </c>
      <c r="IR68" s="139">
        <v>8149</v>
      </c>
      <c r="IS68" s="139">
        <v>28541</v>
      </c>
      <c r="IT68" s="139">
        <v>37325</v>
      </c>
      <c r="IU68" s="139">
        <v>142002</v>
      </c>
      <c r="IV68" s="139">
        <v>9070799</v>
      </c>
      <c r="IW68" s="139">
        <v>5350100</v>
      </c>
      <c r="IX68" s="139">
        <v>182043</v>
      </c>
      <c r="IY68" s="139">
        <v>2454337</v>
      </c>
      <c r="IZ68" s="139">
        <v>12124955</v>
      </c>
      <c r="JA68" s="139">
        <v>29182234</v>
      </c>
      <c r="JB68" s="139">
        <v>22228460</v>
      </c>
      <c r="JC68" s="139">
        <v>11054815</v>
      </c>
      <c r="JD68" s="139">
        <v>2720613</v>
      </c>
      <c r="JE68" s="139">
        <v>12432302</v>
      </c>
      <c r="JF68" s="139">
        <v>61211810</v>
      </c>
      <c r="JG68" s="139">
        <v>109648000</v>
      </c>
      <c r="JH68" s="139">
        <v>0</v>
      </c>
      <c r="JI68" s="139">
        <v>0</v>
      </c>
      <c r="JJ68" s="139">
        <v>0</v>
      </c>
      <c r="JK68" s="139">
        <v>0</v>
      </c>
      <c r="JL68" s="139">
        <v>0</v>
      </c>
      <c r="JM68" s="139">
        <v>0</v>
      </c>
      <c r="JN68" s="139">
        <v>22228460</v>
      </c>
      <c r="JO68" s="139">
        <v>11054815</v>
      </c>
      <c r="JP68" s="139">
        <v>2720613</v>
      </c>
      <c r="JQ68" s="139">
        <v>12432302</v>
      </c>
      <c r="JR68" s="139">
        <v>61211810</v>
      </c>
      <c r="JS68" s="139">
        <v>109648000</v>
      </c>
      <c r="JU68" s="70">
        <f t="shared" si="158"/>
        <v>23756815</v>
      </c>
      <c r="JV68" s="70">
        <f t="shared" si="159"/>
        <v>0</v>
      </c>
      <c r="JW68" s="70">
        <f t="shared" si="160"/>
        <v>3103680</v>
      </c>
      <c r="JX68" s="70">
        <f t="shared" si="161"/>
        <v>0</v>
      </c>
      <c r="JY68" s="70">
        <f t="shared" si="162"/>
        <v>2605757</v>
      </c>
      <c r="JZ68" s="70">
        <f t="shared" si="163"/>
        <v>0</v>
      </c>
      <c r="KA68" s="70">
        <f t="shared" si="164"/>
        <v>37027350</v>
      </c>
      <c r="KB68" s="70">
        <f t="shared" si="165"/>
        <v>0</v>
      </c>
      <c r="KC68" s="70">
        <f t="shared" si="166"/>
        <v>0</v>
      </c>
      <c r="KD68" s="70">
        <f t="shared" si="167"/>
        <v>0</v>
      </c>
      <c r="KE68" s="70">
        <f t="shared" si="168"/>
        <v>0</v>
      </c>
      <c r="KF68" s="70">
        <f t="shared" si="169"/>
        <v>0</v>
      </c>
      <c r="KG68" s="70">
        <f t="shared" si="170"/>
        <v>2902283</v>
      </c>
      <c r="KH68" s="70">
        <f t="shared" si="171"/>
        <v>0</v>
      </c>
      <c r="KI68" s="70">
        <f t="shared" si="172"/>
        <v>1515512</v>
      </c>
      <c r="KJ68" s="70">
        <f t="shared" si="173"/>
        <v>0</v>
      </c>
      <c r="KK68" s="70">
        <f t="shared" si="174"/>
        <v>23915667</v>
      </c>
      <c r="KL68" s="70">
        <f t="shared" si="175"/>
        <v>0</v>
      </c>
      <c r="KM68" s="70">
        <f t="shared" si="176"/>
        <v>4795000</v>
      </c>
      <c r="KN68" s="70">
        <f t="shared" si="177"/>
        <v>0</v>
      </c>
      <c r="KO68" s="70">
        <f t="shared" si="178"/>
        <v>618670</v>
      </c>
      <c r="KP68" s="70">
        <f t="shared" si="179"/>
        <v>0</v>
      </c>
      <c r="KQ68" s="70">
        <f t="shared" si="180"/>
        <v>2605681</v>
      </c>
      <c r="KR68" s="70">
        <f t="shared" si="181"/>
        <v>0</v>
      </c>
      <c r="KS68" s="70">
        <f t="shared" si="182"/>
        <v>0</v>
      </c>
      <c r="KT68" s="70">
        <f t="shared" si="183"/>
        <v>0</v>
      </c>
      <c r="KU68" s="70">
        <f t="shared" si="184"/>
        <v>12332151</v>
      </c>
      <c r="KV68" s="70">
        <f t="shared" si="185"/>
        <v>0</v>
      </c>
      <c r="KW68" s="70">
        <f t="shared" si="186"/>
        <v>2624736</v>
      </c>
      <c r="KX68" s="70">
        <f t="shared" si="187"/>
        <v>0</v>
      </c>
      <c r="KY68" s="70">
        <f t="shared" si="188"/>
        <v>117803302</v>
      </c>
      <c r="KZ68" s="70">
        <f t="shared" si="189"/>
        <v>0</v>
      </c>
      <c r="LA68" s="70">
        <f t="shared" si="190"/>
        <v>9056702</v>
      </c>
      <c r="LB68" s="70">
        <f t="shared" si="191"/>
        <v>0</v>
      </c>
      <c r="LC68" s="70">
        <f t="shared" si="192"/>
        <v>1100477</v>
      </c>
      <c r="LD68" s="70">
        <f t="shared" si="193"/>
        <v>0</v>
      </c>
      <c r="LE68" s="70">
        <f t="shared" si="194"/>
        <v>15291172</v>
      </c>
      <c r="LF68" s="70">
        <f t="shared" si="195"/>
        <v>0</v>
      </c>
      <c r="LG68" s="70">
        <f t="shared" si="155"/>
        <v>0</v>
      </c>
      <c r="LH68" s="70">
        <f t="shared" si="156"/>
        <v>0</v>
      </c>
      <c r="LI68" s="70">
        <f t="shared" si="196"/>
        <v>11828062</v>
      </c>
      <c r="LJ68" s="70">
        <f t="shared" si="197"/>
        <v>0</v>
      </c>
      <c r="LK68" s="70">
        <f t="shared" si="198"/>
        <v>0</v>
      </c>
      <c r="LL68" s="70">
        <f t="shared" si="199"/>
        <v>0</v>
      </c>
      <c r="LM68" s="70">
        <f t="shared" si="200"/>
        <v>144956</v>
      </c>
      <c r="LN68" s="70">
        <f t="shared" si="201"/>
        <v>0</v>
      </c>
      <c r="LO68" s="70">
        <f t="shared" si="202"/>
        <v>723433</v>
      </c>
      <c r="LP68" s="70">
        <f t="shared" si="203"/>
        <v>0</v>
      </c>
      <c r="LQ68" s="70">
        <f t="shared" si="204"/>
        <v>5346920</v>
      </c>
      <c r="LR68" s="70">
        <f t="shared" si="205"/>
        <v>0</v>
      </c>
      <c r="LS68" s="70">
        <f t="shared" si="206"/>
        <v>2412803</v>
      </c>
      <c r="LT68" s="70">
        <f t="shared" si="207"/>
        <v>0</v>
      </c>
      <c r="LU68" s="70">
        <f t="shared" si="208"/>
        <v>2001466</v>
      </c>
      <c r="LV68" s="70">
        <f t="shared" si="209"/>
        <v>0</v>
      </c>
      <c r="LW68" s="70">
        <f t="shared" si="210"/>
        <v>1845170</v>
      </c>
      <c r="LX68" s="70">
        <f t="shared" si="211"/>
        <v>0</v>
      </c>
      <c r="LY68" s="70">
        <f t="shared" si="212"/>
        <v>0</v>
      </c>
      <c r="LZ68" s="70">
        <f t="shared" si="213"/>
        <v>0</v>
      </c>
      <c r="MA68" s="70">
        <f t="shared" si="214"/>
        <v>27930025</v>
      </c>
      <c r="MB68" s="70">
        <f t="shared" si="215"/>
        <v>0</v>
      </c>
      <c r="MC68" s="70">
        <f t="shared" si="216"/>
        <v>372504</v>
      </c>
      <c r="MD68" s="70">
        <f t="shared" si="217"/>
        <v>0</v>
      </c>
      <c r="ME68" s="70">
        <f t="shared" si="218"/>
        <v>1515512</v>
      </c>
      <c r="MF68" s="70">
        <f t="shared" si="219"/>
        <v>0</v>
      </c>
      <c r="MG68" s="70">
        <f t="shared" si="220"/>
        <v>754562</v>
      </c>
      <c r="MH68" s="70">
        <f t="shared" si="221"/>
        <v>0</v>
      </c>
      <c r="MI68" s="70">
        <f t="shared" si="222"/>
        <v>142002</v>
      </c>
      <c r="MJ68" s="70">
        <f t="shared" si="223"/>
        <v>0</v>
      </c>
      <c r="MK68" s="70">
        <f t="shared" si="224"/>
        <v>29182234</v>
      </c>
      <c r="ML68" s="70">
        <f t="shared" si="225"/>
        <v>0</v>
      </c>
      <c r="MM68" s="70">
        <f t="shared" si="226"/>
        <v>109648000</v>
      </c>
      <c r="MN68" s="70">
        <f t="shared" si="227"/>
        <v>0</v>
      </c>
      <c r="MO68" s="70">
        <f t="shared" si="228"/>
        <v>0</v>
      </c>
      <c r="MP68" s="70">
        <f t="shared" si="229"/>
        <v>0</v>
      </c>
      <c r="MQ68" s="70">
        <f t="shared" si="230"/>
        <v>109648000</v>
      </c>
      <c r="MR68" s="70">
        <f t="shared" si="231"/>
        <v>0</v>
      </c>
      <c r="MT68" s="70">
        <f t="shared" si="232"/>
        <v>0</v>
      </c>
      <c r="MV68" s="68">
        <f t="shared" si="233"/>
        <v>0</v>
      </c>
      <c r="NG68" s="80"/>
    </row>
    <row r="69" spans="1:371" x14ac:dyDescent="0.15">
      <c r="A69" s="182" t="s">
        <v>352</v>
      </c>
      <c r="B69" s="76" t="s">
        <v>426</v>
      </c>
      <c r="C69" s="90">
        <v>181464</v>
      </c>
      <c r="D69" s="90">
        <v>2014</v>
      </c>
      <c r="E69" s="90">
        <v>1</v>
      </c>
      <c r="F69" s="91">
        <v>8</v>
      </c>
      <c r="G69" s="92">
        <v>7079</v>
      </c>
      <c r="H69" s="92">
        <v>7971</v>
      </c>
      <c r="I69" s="93">
        <v>401675588</v>
      </c>
      <c r="J69" s="93">
        <v>375907089</v>
      </c>
      <c r="K69" s="93">
        <v>2338132</v>
      </c>
      <c r="L69" s="93">
        <v>2337019</v>
      </c>
      <c r="M69" s="93">
        <v>13914435</v>
      </c>
      <c r="N69" s="93">
        <v>13262748</v>
      </c>
      <c r="O69" s="93">
        <v>43302973</v>
      </c>
      <c r="P69" s="93">
        <v>45149260</v>
      </c>
      <c r="Q69" s="93">
        <v>246398623</v>
      </c>
      <c r="R69" s="93">
        <v>256445823</v>
      </c>
      <c r="S69" s="93">
        <v>312841593</v>
      </c>
      <c r="T69" s="93">
        <v>295132979</v>
      </c>
      <c r="U69" s="93">
        <v>20760</v>
      </c>
      <c r="V69" s="93">
        <v>19664</v>
      </c>
      <c r="W69" s="93">
        <v>36510</v>
      </c>
      <c r="X69" s="93">
        <v>35144</v>
      </c>
      <c r="Y69" s="93">
        <v>23635</v>
      </c>
      <c r="Z69" s="93">
        <v>22539</v>
      </c>
      <c r="AA69" s="93">
        <v>39385</v>
      </c>
      <c r="AB69" s="93">
        <v>38019</v>
      </c>
      <c r="AC69" s="114">
        <v>9</v>
      </c>
      <c r="AD69" s="114">
        <v>9</v>
      </c>
      <c r="AE69" s="114">
        <v>0</v>
      </c>
      <c r="AF69" s="115">
        <v>4680091</v>
      </c>
      <c r="AG69" s="115">
        <v>3350802</v>
      </c>
      <c r="AH69" s="115">
        <v>507018</v>
      </c>
      <c r="AI69" s="115">
        <v>151254</v>
      </c>
      <c r="AJ69" s="115">
        <v>265603</v>
      </c>
      <c r="AK69" s="116">
        <v>7.75</v>
      </c>
      <c r="AL69" s="115">
        <v>228714</v>
      </c>
      <c r="AM69" s="116">
        <v>9</v>
      </c>
      <c r="AN69" s="115">
        <v>124772</v>
      </c>
      <c r="AO69" s="116">
        <v>8</v>
      </c>
      <c r="AP69" s="115">
        <v>110909</v>
      </c>
      <c r="AQ69" s="116">
        <v>9</v>
      </c>
      <c r="AR69" s="115">
        <v>93299</v>
      </c>
      <c r="AS69" s="116">
        <v>23.07</v>
      </c>
      <c r="AT69" s="115">
        <v>74221</v>
      </c>
      <c r="AU69" s="116">
        <v>29</v>
      </c>
      <c r="AV69" s="115">
        <v>65845</v>
      </c>
      <c r="AW69" s="116">
        <v>15.08</v>
      </c>
      <c r="AX69" s="115">
        <v>52260</v>
      </c>
      <c r="AY69" s="116">
        <v>19</v>
      </c>
      <c r="AZ69" s="139">
        <v>2535254</v>
      </c>
      <c r="BA69" s="139">
        <v>816556</v>
      </c>
      <c r="BB69" s="139">
        <v>162553</v>
      </c>
      <c r="BC69" s="139">
        <v>61898</v>
      </c>
      <c r="BD69" s="139">
        <v>0</v>
      </c>
      <c r="BE69" s="139">
        <v>3576261</v>
      </c>
      <c r="BF69" s="139">
        <v>0</v>
      </c>
      <c r="BG69" s="139">
        <v>0</v>
      </c>
      <c r="BH69" s="139">
        <v>0</v>
      </c>
      <c r="BI69" s="139">
        <v>0</v>
      </c>
      <c r="BJ69" s="139">
        <v>26733437</v>
      </c>
      <c r="BK69" s="139">
        <v>26733437</v>
      </c>
      <c r="BL69" s="139">
        <v>1679065</v>
      </c>
      <c r="BM69" s="139">
        <v>0</v>
      </c>
      <c r="BN69" s="139">
        <v>15000</v>
      </c>
      <c r="BO69" s="139">
        <v>1000</v>
      </c>
      <c r="BP69" s="139">
        <v>0</v>
      </c>
      <c r="BQ69" s="139">
        <v>1695065</v>
      </c>
      <c r="BR69" s="139">
        <v>1672684</v>
      </c>
      <c r="BS69" s="139">
        <v>661276</v>
      </c>
      <c r="BT69" s="139">
        <v>250574</v>
      </c>
      <c r="BU69" s="139">
        <v>300166</v>
      </c>
      <c r="BV69" s="139">
        <v>1753349</v>
      </c>
      <c r="BW69" s="139">
        <v>4638049</v>
      </c>
      <c r="BX69" s="139">
        <v>0</v>
      </c>
      <c r="BY69" s="139">
        <v>0</v>
      </c>
      <c r="BZ69" s="139">
        <v>0</v>
      </c>
      <c r="CA69" s="139">
        <v>0</v>
      </c>
      <c r="CB69" s="139">
        <v>0</v>
      </c>
      <c r="CC69" s="139">
        <v>0</v>
      </c>
      <c r="CD69" s="139">
        <v>0</v>
      </c>
      <c r="CE69" s="139">
        <v>0</v>
      </c>
      <c r="CF69" s="139">
        <v>0</v>
      </c>
      <c r="CG69" s="139">
        <v>0</v>
      </c>
      <c r="CH69" s="139">
        <v>0</v>
      </c>
      <c r="CI69" s="139">
        <v>0</v>
      </c>
      <c r="CJ69" s="139">
        <v>0</v>
      </c>
      <c r="CK69" s="139">
        <v>0</v>
      </c>
      <c r="CL69" s="139">
        <v>0</v>
      </c>
      <c r="CM69" s="139">
        <v>0</v>
      </c>
      <c r="CN69" s="139">
        <v>0</v>
      </c>
      <c r="CO69" s="139">
        <v>0</v>
      </c>
      <c r="CP69" s="139">
        <v>0</v>
      </c>
      <c r="CQ69" s="139">
        <v>0</v>
      </c>
      <c r="CR69" s="139">
        <v>0</v>
      </c>
      <c r="CS69" s="139">
        <v>0</v>
      </c>
      <c r="CT69" s="139">
        <v>0</v>
      </c>
      <c r="CU69" s="139">
        <v>0</v>
      </c>
      <c r="CV69" s="139">
        <v>700</v>
      </c>
      <c r="CW69" s="139">
        <v>0</v>
      </c>
      <c r="CX69" s="139">
        <v>0</v>
      </c>
      <c r="CY69" s="139">
        <v>44530</v>
      </c>
      <c r="CZ69" s="139">
        <v>1981374</v>
      </c>
      <c r="DA69" s="139">
        <v>2026604</v>
      </c>
      <c r="DB69" s="139">
        <v>0</v>
      </c>
      <c r="DC69" s="139">
        <v>0</v>
      </c>
      <c r="DD69" s="139">
        <v>0</v>
      </c>
      <c r="DE69" s="139">
        <v>0</v>
      </c>
      <c r="DF69" s="139">
        <v>0</v>
      </c>
      <c r="DG69" s="139">
        <v>0</v>
      </c>
      <c r="DH69" s="139">
        <v>94670</v>
      </c>
      <c r="DI69" s="139">
        <v>0</v>
      </c>
      <c r="DJ69" s="139">
        <v>0</v>
      </c>
      <c r="DK69" s="139">
        <v>0</v>
      </c>
      <c r="DL69" s="139">
        <v>0</v>
      </c>
      <c r="DM69" s="139">
        <v>94670</v>
      </c>
      <c r="DN69" s="139">
        <v>91949</v>
      </c>
      <c r="DO69" s="139">
        <v>18717</v>
      </c>
      <c r="DP69" s="139">
        <v>6967</v>
      </c>
      <c r="DQ69" s="139">
        <v>73306</v>
      </c>
      <c r="DR69" s="139">
        <v>1013929</v>
      </c>
      <c r="DS69" s="139">
        <v>1204868</v>
      </c>
      <c r="DT69" s="139">
        <v>960</v>
      </c>
      <c r="DU69" s="139">
        <v>1032</v>
      </c>
      <c r="DV69" s="139">
        <v>0</v>
      </c>
      <c r="DW69" s="139">
        <v>6426</v>
      </c>
      <c r="DX69" s="139">
        <v>0</v>
      </c>
      <c r="DY69" s="139">
        <v>8418</v>
      </c>
      <c r="DZ69" s="139">
        <v>0</v>
      </c>
      <c r="EA69" s="139">
        <v>0</v>
      </c>
      <c r="EB69" s="139">
        <v>0</v>
      </c>
      <c r="EC69" s="139">
        <v>0</v>
      </c>
      <c r="ED69" s="139">
        <v>1504</v>
      </c>
      <c r="EE69" s="139">
        <v>1504</v>
      </c>
      <c r="EF69" s="139">
        <v>11186</v>
      </c>
      <c r="EG69" s="139">
        <v>74999</v>
      </c>
      <c r="EH69" s="139">
        <v>74667</v>
      </c>
      <c r="EI69" s="139">
        <v>0</v>
      </c>
      <c r="EJ69" s="139">
        <v>921712</v>
      </c>
      <c r="EK69" s="139">
        <v>1082564</v>
      </c>
      <c r="EL69" s="139">
        <v>6086468</v>
      </c>
      <c r="EM69" s="139">
        <v>1572580</v>
      </c>
      <c r="EN69" s="139">
        <v>509761</v>
      </c>
      <c r="EO69" s="139">
        <v>487326</v>
      </c>
      <c r="EP69" s="139">
        <v>32405305</v>
      </c>
      <c r="EQ69" s="139">
        <v>41061440</v>
      </c>
      <c r="ER69" s="139">
        <v>2691567</v>
      </c>
      <c r="ES69" s="139">
        <v>435564</v>
      </c>
      <c r="ET69" s="139">
        <v>584120</v>
      </c>
      <c r="EU69" s="139">
        <v>4319642</v>
      </c>
      <c r="EV69" s="139">
        <v>23688</v>
      </c>
      <c r="EW69" s="139">
        <v>8054581</v>
      </c>
      <c r="EX69" s="139">
        <v>1150000</v>
      </c>
      <c r="EY69" s="139">
        <v>379605</v>
      </c>
      <c r="EZ69" s="139">
        <v>60635</v>
      </c>
      <c r="FA69" s="139">
        <v>20333</v>
      </c>
      <c r="FB69" s="139">
        <v>0</v>
      </c>
      <c r="FC69" s="139">
        <v>1610573</v>
      </c>
      <c r="FD69" s="139">
        <v>1610387</v>
      </c>
      <c r="FE69" s="139">
        <v>1117772</v>
      </c>
      <c r="FF69" s="139">
        <v>595633</v>
      </c>
      <c r="FG69" s="139">
        <v>2878173</v>
      </c>
      <c r="FH69" s="139">
        <v>0</v>
      </c>
      <c r="FI69" s="139">
        <v>6201965</v>
      </c>
      <c r="FJ69" s="139">
        <v>0</v>
      </c>
      <c r="FK69" s="139">
        <v>0</v>
      </c>
      <c r="FL69" s="139">
        <v>0</v>
      </c>
      <c r="FM69" s="139">
        <v>0</v>
      </c>
      <c r="FN69" s="139">
        <v>0</v>
      </c>
      <c r="FO69" s="139">
        <v>0</v>
      </c>
      <c r="FP69" s="139">
        <v>356769</v>
      </c>
      <c r="FQ69" s="139">
        <v>165185</v>
      </c>
      <c r="FR69" s="139">
        <v>166767</v>
      </c>
      <c r="FS69" s="139">
        <v>74815</v>
      </c>
      <c r="FT69" s="139">
        <v>5043888</v>
      </c>
      <c r="FU69" s="139">
        <v>5807424</v>
      </c>
      <c r="FV69" s="139">
        <v>0</v>
      </c>
      <c r="FW69" s="139">
        <v>0</v>
      </c>
      <c r="FX69" s="139">
        <v>0</v>
      </c>
      <c r="FY69" s="139">
        <v>0</v>
      </c>
      <c r="FZ69" s="139">
        <v>0</v>
      </c>
      <c r="GA69" s="139">
        <v>0</v>
      </c>
      <c r="GB69" s="139">
        <v>0</v>
      </c>
      <c r="GC69" s="139">
        <v>0</v>
      </c>
      <c r="GD69" s="139">
        <v>0</v>
      </c>
      <c r="GE69" s="139">
        <v>0</v>
      </c>
      <c r="GF69" s="139">
        <v>0</v>
      </c>
      <c r="GG69" s="139">
        <v>0</v>
      </c>
      <c r="GH69" s="139">
        <v>272765</v>
      </c>
      <c r="GI69" s="139">
        <v>121395</v>
      </c>
      <c r="GJ69" s="139">
        <v>67645</v>
      </c>
      <c r="GK69" s="139">
        <v>196467</v>
      </c>
      <c r="GL69" s="139">
        <v>3842</v>
      </c>
      <c r="GM69" s="139">
        <v>662114</v>
      </c>
      <c r="GN69" s="139">
        <v>901116</v>
      </c>
      <c r="GO69" s="139">
        <v>386904</v>
      </c>
      <c r="GP69" s="139">
        <v>358143</v>
      </c>
      <c r="GQ69" s="139">
        <v>1402351</v>
      </c>
      <c r="GR69" s="139">
        <v>0</v>
      </c>
      <c r="GS69" s="139">
        <v>3048514</v>
      </c>
      <c r="GT69" s="139">
        <v>421662</v>
      </c>
      <c r="GU69" s="139">
        <v>67138</v>
      </c>
      <c r="GV69" s="139">
        <v>48629</v>
      </c>
      <c r="GW69" s="139">
        <v>437953</v>
      </c>
      <c r="GX69" s="139">
        <v>377091</v>
      </c>
      <c r="GY69" s="139">
        <v>1352473</v>
      </c>
      <c r="GZ69" s="139">
        <v>473450</v>
      </c>
      <c r="HA69" s="139">
        <v>350135</v>
      </c>
      <c r="HB69" s="139">
        <v>222464</v>
      </c>
      <c r="HC69" s="139">
        <v>225303</v>
      </c>
      <c r="HD69" s="139">
        <v>0</v>
      </c>
      <c r="HE69" s="139">
        <v>1271352</v>
      </c>
      <c r="HF69" s="139">
        <v>52792</v>
      </c>
      <c r="HG69" s="139">
        <v>39292</v>
      </c>
      <c r="HH69" s="139">
        <v>6967</v>
      </c>
      <c r="HI69" s="139">
        <v>20956</v>
      </c>
      <c r="HJ69" s="139">
        <v>510611</v>
      </c>
      <c r="HK69" s="139">
        <v>630618</v>
      </c>
      <c r="HL69" s="139">
        <v>0</v>
      </c>
      <c r="HM69" s="139">
        <v>0</v>
      </c>
      <c r="HN69" s="139">
        <v>0</v>
      </c>
      <c r="HO69" s="139">
        <v>0</v>
      </c>
      <c r="HP69" s="139">
        <v>0</v>
      </c>
      <c r="HQ69" s="139">
        <v>0</v>
      </c>
      <c r="HR69" s="139">
        <v>504831</v>
      </c>
      <c r="HS69" s="139">
        <v>449</v>
      </c>
      <c r="HT69" s="139">
        <v>861</v>
      </c>
      <c r="HU69" s="139">
        <v>122664</v>
      </c>
      <c r="HV69" s="139">
        <v>6099583</v>
      </c>
      <c r="HW69" s="139">
        <v>6728388</v>
      </c>
      <c r="HX69" s="139">
        <v>0</v>
      </c>
      <c r="HY69" s="139">
        <v>0</v>
      </c>
      <c r="HZ69" s="139">
        <v>0</v>
      </c>
      <c r="IA69" s="139">
        <v>0</v>
      </c>
      <c r="IB69" s="139">
        <v>51729</v>
      </c>
      <c r="IC69" s="139">
        <v>51729</v>
      </c>
      <c r="ID69" s="139">
        <v>0</v>
      </c>
      <c r="IE69" s="139">
        <v>0</v>
      </c>
      <c r="IF69" s="139">
        <v>0</v>
      </c>
      <c r="IG69" s="139">
        <v>0</v>
      </c>
      <c r="IH69" s="139">
        <v>0</v>
      </c>
      <c r="II69" s="139">
        <v>0</v>
      </c>
      <c r="IJ69" s="139">
        <v>19620</v>
      </c>
      <c r="IK69" s="139">
        <v>11112</v>
      </c>
      <c r="IL69" s="139">
        <v>11275</v>
      </c>
      <c r="IM69" s="139">
        <v>16092</v>
      </c>
      <c r="IN69" s="139">
        <v>286108</v>
      </c>
      <c r="IO69" s="139">
        <v>344207</v>
      </c>
      <c r="IP69" s="139">
        <v>6780</v>
      </c>
      <c r="IQ69" s="139">
        <v>510</v>
      </c>
      <c r="IR69" s="139">
        <v>627</v>
      </c>
      <c r="IS69" s="139">
        <v>11189</v>
      </c>
      <c r="IT69" s="139">
        <v>797975</v>
      </c>
      <c r="IU69" s="139">
        <v>817081</v>
      </c>
      <c r="IV69" s="139">
        <v>477559</v>
      </c>
      <c r="IW69" s="139">
        <v>30956</v>
      </c>
      <c r="IX69" s="139">
        <v>46173</v>
      </c>
      <c r="IY69" s="139">
        <v>283986</v>
      </c>
      <c r="IZ69" s="139">
        <v>3699183</v>
      </c>
      <c r="JA69" s="139">
        <v>4537857</v>
      </c>
      <c r="JB69" s="139">
        <v>8939298</v>
      </c>
      <c r="JC69" s="139">
        <v>3106017</v>
      </c>
      <c r="JD69" s="139">
        <v>2169939</v>
      </c>
      <c r="JE69" s="139">
        <v>10009924</v>
      </c>
      <c r="JF69" s="139">
        <v>16893698</v>
      </c>
      <c r="JG69" s="139">
        <v>41118876</v>
      </c>
      <c r="JH69" s="139">
        <v>0</v>
      </c>
      <c r="JI69" s="139">
        <v>0</v>
      </c>
      <c r="JJ69" s="139">
        <v>0</v>
      </c>
      <c r="JK69" s="139">
        <v>0</v>
      </c>
      <c r="JL69" s="139">
        <v>0</v>
      </c>
      <c r="JM69" s="139">
        <v>0</v>
      </c>
      <c r="JN69" s="139">
        <v>8939298</v>
      </c>
      <c r="JO69" s="139">
        <v>3106017</v>
      </c>
      <c r="JP69" s="139">
        <v>2169939</v>
      </c>
      <c r="JQ69" s="139">
        <v>10009924</v>
      </c>
      <c r="JR69" s="139">
        <v>16893698</v>
      </c>
      <c r="JS69" s="139">
        <v>41118876</v>
      </c>
      <c r="JU69" s="70">
        <f t="shared" si="158"/>
        <v>3576261</v>
      </c>
      <c r="JV69" s="70">
        <f t="shared" si="159"/>
        <v>0</v>
      </c>
      <c r="JW69" s="70">
        <f t="shared" si="160"/>
        <v>26733437</v>
      </c>
      <c r="JX69" s="70">
        <f t="shared" si="161"/>
        <v>0</v>
      </c>
      <c r="JY69" s="70">
        <f t="shared" si="162"/>
        <v>1695065</v>
      </c>
      <c r="JZ69" s="70">
        <f t="shared" si="163"/>
        <v>0</v>
      </c>
      <c r="KA69" s="70">
        <f t="shared" si="164"/>
        <v>4638049</v>
      </c>
      <c r="KB69" s="70">
        <f t="shared" si="165"/>
        <v>0</v>
      </c>
      <c r="KC69" s="70">
        <f t="shared" si="166"/>
        <v>0</v>
      </c>
      <c r="KD69" s="70">
        <f t="shared" si="167"/>
        <v>0</v>
      </c>
      <c r="KE69" s="70">
        <f t="shared" si="168"/>
        <v>0</v>
      </c>
      <c r="KF69" s="70">
        <f t="shared" si="169"/>
        <v>0</v>
      </c>
      <c r="KG69" s="70">
        <f t="shared" si="170"/>
        <v>0</v>
      </c>
      <c r="KH69" s="70">
        <f t="shared" si="171"/>
        <v>0</v>
      </c>
      <c r="KI69" s="70">
        <f t="shared" si="172"/>
        <v>0</v>
      </c>
      <c r="KJ69" s="70">
        <f t="shared" si="173"/>
        <v>0</v>
      </c>
      <c r="KK69" s="70">
        <f t="shared" si="174"/>
        <v>2026604</v>
      </c>
      <c r="KL69" s="70">
        <f t="shared" si="175"/>
        <v>0</v>
      </c>
      <c r="KM69" s="70">
        <f t="shared" si="176"/>
        <v>0</v>
      </c>
      <c r="KN69" s="70">
        <f t="shared" si="177"/>
        <v>0</v>
      </c>
      <c r="KO69" s="70">
        <f t="shared" si="178"/>
        <v>94670</v>
      </c>
      <c r="KP69" s="70">
        <f t="shared" si="179"/>
        <v>0</v>
      </c>
      <c r="KQ69" s="70">
        <f t="shared" si="180"/>
        <v>1204868</v>
      </c>
      <c r="KR69" s="70">
        <f t="shared" si="181"/>
        <v>0</v>
      </c>
      <c r="KS69" s="70">
        <f t="shared" si="182"/>
        <v>8418</v>
      </c>
      <c r="KT69" s="70">
        <f t="shared" si="183"/>
        <v>0</v>
      </c>
      <c r="KU69" s="70">
        <f t="shared" si="184"/>
        <v>1504</v>
      </c>
      <c r="KV69" s="70">
        <f t="shared" si="185"/>
        <v>0</v>
      </c>
      <c r="KW69" s="70">
        <f t="shared" si="186"/>
        <v>1082564</v>
      </c>
      <c r="KX69" s="70">
        <f t="shared" si="187"/>
        <v>0</v>
      </c>
      <c r="KY69" s="70">
        <f t="shared" si="188"/>
        <v>41061440</v>
      </c>
      <c r="KZ69" s="70">
        <f t="shared" si="189"/>
        <v>0</v>
      </c>
      <c r="LA69" s="70">
        <f t="shared" si="190"/>
        <v>8054581</v>
      </c>
      <c r="LB69" s="70">
        <f t="shared" si="191"/>
        <v>0</v>
      </c>
      <c r="LC69" s="70">
        <f t="shared" si="192"/>
        <v>1610573</v>
      </c>
      <c r="LD69" s="70">
        <f t="shared" si="193"/>
        <v>0</v>
      </c>
      <c r="LE69" s="70">
        <f t="shared" si="194"/>
        <v>6201965</v>
      </c>
      <c r="LF69" s="70">
        <f t="shared" si="195"/>
        <v>0</v>
      </c>
      <c r="LG69" s="70">
        <f t="shared" si="155"/>
        <v>0</v>
      </c>
      <c r="LH69" s="70">
        <f t="shared" si="156"/>
        <v>0</v>
      </c>
      <c r="LI69" s="70">
        <f t="shared" si="196"/>
        <v>5807424</v>
      </c>
      <c r="LJ69" s="70">
        <f t="shared" si="197"/>
        <v>0</v>
      </c>
      <c r="LK69" s="70">
        <f t="shared" si="198"/>
        <v>0</v>
      </c>
      <c r="LL69" s="70">
        <f t="shared" si="199"/>
        <v>0</v>
      </c>
      <c r="LM69" s="70">
        <f t="shared" si="200"/>
        <v>0</v>
      </c>
      <c r="LN69" s="70">
        <f t="shared" si="201"/>
        <v>0</v>
      </c>
      <c r="LO69" s="70">
        <f t="shared" si="202"/>
        <v>662114</v>
      </c>
      <c r="LP69" s="70">
        <f t="shared" si="203"/>
        <v>0</v>
      </c>
      <c r="LQ69" s="70">
        <f t="shared" si="204"/>
        <v>3048514</v>
      </c>
      <c r="LR69" s="70">
        <f t="shared" si="205"/>
        <v>0</v>
      </c>
      <c r="LS69" s="70">
        <f t="shared" si="206"/>
        <v>1352473</v>
      </c>
      <c r="LT69" s="70">
        <f t="shared" si="207"/>
        <v>0</v>
      </c>
      <c r="LU69" s="70">
        <f t="shared" si="208"/>
        <v>1271352</v>
      </c>
      <c r="LV69" s="70">
        <f t="shared" si="209"/>
        <v>0</v>
      </c>
      <c r="LW69" s="70">
        <f t="shared" si="210"/>
        <v>630618</v>
      </c>
      <c r="LX69" s="70">
        <f t="shared" si="211"/>
        <v>0</v>
      </c>
      <c r="LY69" s="70">
        <f t="shared" si="212"/>
        <v>0</v>
      </c>
      <c r="LZ69" s="70">
        <f t="shared" si="213"/>
        <v>0</v>
      </c>
      <c r="MA69" s="70">
        <f t="shared" si="214"/>
        <v>6728388</v>
      </c>
      <c r="MB69" s="70">
        <f t="shared" si="215"/>
        <v>0</v>
      </c>
      <c r="MC69" s="70">
        <f t="shared" si="216"/>
        <v>51729</v>
      </c>
      <c r="MD69" s="70">
        <f t="shared" si="217"/>
        <v>0</v>
      </c>
      <c r="ME69" s="70">
        <f t="shared" si="218"/>
        <v>0</v>
      </c>
      <c r="MF69" s="70">
        <f t="shared" si="219"/>
        <v>0</v>
      </c>
      <c r="MG69" s="70">
        <f t="shared" si="220"/>
        <v>344207</v>
      </c>
      <c r="MH69" s="70">
        <f t="shared" si="221"/>
        <v>0</v>
      </c>
      <c r="MI69" s="70">
        <f t="shared" si="222"/>
        <v>817081</v>
      </c>
      <c r="MJ69" s="70">
        <f t="shared" si="223"/>
        <v>0</v>
      </c>
      <c r="MK69" s="70">
        <f t="shared" si="224"/>
        <v>4537857</v>
      </c>
      <c r="ML69" s="70">
        <f t="shared" si="225"/>
        <v>0</v>
      </c>
      <c r="MM69" s="70">
        <f t="shared" si="226"/>
        <v>41118876</v>
      </c>
      <c r="MN69" s="70">
        <f t="shared" si="227"/>
        <v>0</v>
      </c>
      <c r="MO69" s="70">
        <f t="shared" si="228"/>
        <v>0</v>
      </c>
      <c r="MP69" s="70">
        <f t="shared" si="229"/>
        <v>0</v>
      </c>
      <c r="MQ69" s="70">
        <f t="shared" si="230"/>
        <v>41118876</v>
      </c>
      <c r="MR69" s="70">
        <f t="shared" si="231"/>
        <v>0</v>
      </c>
      <c r="MT69" s="70">
        <f t="shared" si="232"/>
        <v>0</v>
      </c>
      <c r="MV69" s="68">
        <f t="shared" si="233"/>
        <v>0</v>
      </c>
      <c r="NG69" s="80"/>
    </row>
    <row r="70" spans="1:371" x14ac:dyDescent="0.15">
      <c r="A70" s="182" t="s">
        <v>353</v>
      </c>
      <c r="B70" s="76" t="s">
        <v>426</v>
      </c>
      <c r="C70" s="90">
        <v>182290</v>
      </c>
      <c r="D70" s="90">
        <v>2014</v>
      </c>
      <c r="E70" s="90">
        <v>1</v>
      </c>
      <c r="F70" s="91">
        <v>4</v>
      </c>
      <c r="G70" s="92">
        <v>8972</v>
      </c>
      <c r="H70" s="92">
        <v>9900</v>
      </c>
      <c r="I70" s="93">
        <v>824238000</v>
      </c>
      <c r="J70" s="93">
        <v>773028000</v>
      </c>
      <c r="K70" s="93">
        <v>19285555</v>
      </c>
      <c r="L70" s="93">
        <v>19243594</v>
      </c>
      <c r="M70" s="93">
        <v>48579000</v>
      </c>
      <c r="N70" s="93">
        <v>55835126</v>
      </c>
      <c r="O70" s="93">
        <v>227796849</v>
      </c>
      <c r="P70" s="93">
        <v>233239157</v>
      </c>
      <c r="Q70" s="93">
        <v>764959000</v>
      </c>
      <c r="R70" s="93">
        <v>668481303</v>
      </c>
      <c r="S70" s="93">
        <v>613781000</v>
      </c>
      <c r="T70" s="93">
        <v>573817000</v>
      </c>
      <c r="U70" s="93">
        <v>21474</v>
      </c>
      <c r="V70" s="93">
        <v>20568</v>
      </c>
      <c r="W70" s="93">
        <v>41445</v>
      </c>
      <c r="X70" s="93">
        <v>39963</v>
      </c>
      <c r="Y70" s="93">
        <v>23904</v>
      </c>
      <c r="Z70" s="93">
        <v>22998</v>
      </c>
      <c r="AA70" s="93">
        <v>43875</v>
      </c>
      <c r="AB70" s="93">
        <v>42393</v>
      </c>
      <c r="AC70" s="114">
        <v>8</v>
      </c>
      <c r="AD70" s="114">
        <v>12</v>
      </c>
      <c r="AE70" s="114">
        <v>0</v>
      </c>
      <c r="AF70" s="115">
        <v>4811611</v>
      </c>
      <c r="AG70" s="115">
        <v>4303163</v>
      </c>
      <c r="AH70" s="115">
        <v>1149928</v>
      </c>
      <c r="AI70" s="115">
        <v>378021</v>
      </c>
      <c r="AJ70" s="115">
        <v>977042</v>
      </c>
      <c r="AK70" s="116">
        <v>5.5</v>
      </c>
      <c r="AL70" s="115">
        <v>895622</v>
      </c>
      <c r="AM70" s="116">
        <v>6</v>
      </c>
      <c r="AN70" s="115">
        <v>254086</v>
      </c>
      <c r="AO70" s="116">
        <v>8.75</v>
      </c>
      <c r="AP70" s="115">
        <v>222325</v>
      </c>
      <c r="AQ70" s="116">
        <v>10</v>
      </c>
      <c r="AR70" s="115">
        <v>361806</v>
      </c>
      <c r="AS70" s="116">
        <v>18.5</v>
      </c>
      <c r="AT70" s="115">
        <v>318734</v>
      </c>
      <c r="AU70" s="116">
        <v>21</v>
      </c>
      <c r="AV70" s="115">
        <v>115387</v>
      </c>
      <c r="AW70" s="116">
        <v>16.25</v>
      </c>
      <c r="AX70" s="115">
        <v>98686</v>
      </c>
      <c r="AY70" s="116">
        <v>19</v>
      </c>
      <c r="AZ70" s="139">
        <v>22971573</v>
      </c>
      <c r="BA70" s="139">
        <v>2949176</v>
      </c>
      <c r="BB70" s="139">
        <v>106657</v>
      </c>
      <c r="BC70" s="139">
        <v>598500</v>
      </c>
      <c r="BD70" s="139">
        <v>0</v>
      </c>
      <c r="BE70" s="139">
        <v>26625906</v>
      </c>
      <c r="BF70" s="139">
        <v>0</v>
      </c>
      <c r="BG70" s="139">
        <v>0</v>
      </c>
      <c r="BH70" s="139">
        <v>0</v>
      </c>
      <c r="BI70" s="139">
        <v>0</v>
      </c>
      <c r="BJ70" s="139">
        <v>1715099</v>
      </c>
      <c r="BK70" s="139">
        <v>1715099</v>
      </c>
      <c r="BL70" s="139">
        <v>400000</v>
      </c>
      <c r="BM70" s="139">
        <v>0</v>
      </c>
      <c r="BN70" s="139">
        <v>0</v>
      </c>
      <c r="BO70" s="139">
        <v>15000</v>
      </c>
      <c r="BP70" s="139">
        <v>0</v>
      </c>
      <c r="BQ70" s="139">
        <v>415000</v>
      </c>
      <c r="BR70" s="139">
        <v>105431999</v>
      </c>
      <c r="BS70" s="139">
        <v>1659500</v>
      </c>
      <c r="BT70" s="139">
        <v>0</v>
      </c>
      <c r="BU70" s="139">
        <v>444189</v>
      </c>
      <c r="BV70" s="139">
        <v>17391786</v>
      </c>
      <c r="BW70" s="139">
        <v>124927474</v>
      </c>
      <c r="BX70" s="139">
        <v>42000</v>
      </c>
      <c r="BY70" s="139">
        <v>13000</v>
      </c>
      <c r="BZ70" s="139">
        <v>15996</v>
      </c>
      <c r="CA70" s="139">
        <v>79750</v>
      </c>
      <c r="CB70" s="139">
        <v>28000</v>
      </c>
      <c r="CC70" s="139">
        <v>178746</v>
      </c>
      <c r="CD70" s="139">
        <v>0</v>
      </c>
      <c r="CE70" s="139">
        <v>0</v>
      </c>
      <c r="CF70" s="139">
        <v>0</v>
      </c>
      <c r="CG70" s="139">
        <v>0</v>
      </c>
      <c r="CH70" s="139">
        <v>440000</v>
      </c>
      <c r="CI70" s="139">
        <v>440000</v>
      </c>
      <c r="CJ70" s="139">
        <v>0</v>
      </c>
      <c r="CK70" s="139">
        <v>0</v>
      </c>
      <c r="CL70" s="139">
        <v>0</v>
      </c>
      <c r="CM70" s="139">
        <v>0</v>
      </c>
      <c r="CN70" s="139">
        <v>0</v>
      </c>
      <c r="CO70" s="139">
        <v>0</v>
      </c>
      <c r="CP70" s="139">
        <v>0</v>
      </c>
      <c r="CQ70" s="139">
        <v>0</v>
      </c>
      <c r="CR70" s="139">
        <v>0</v>
      </c>
      <c r="CS70" s="139">
        <v>0</v>
      </c>
      <c r="CT70" s="139">
        <v>0</v>
      </c>
      <c r="CU70" s="139">
        <v>0</v>
      </c>
      <c r="CV70" s="139">
        <v>16516273</v>
      </c>
      <c r="CW70" s="139">
        <v>3862992</v>
      </c>
      <c r="CX70" s="139">
        <v>0</v>
      </c>
      <c r="CY70" s="139">
        <v>62478</v>
      </c>
      <c r="CZ70" s="139">
        <v>2201622</v>
      </c>
      <c r="DA70" s="139">
        <v>22643365</v>
      </c>
      <c r="DB70" s="139">
        <v>0</v>
      </c>
      <c r="DC70" s="139">
        <v>0</v>
      </c>
      <c r="DD70" s="139">
        <v>0</v>
      </c>
      <c r="DE70" s="139">
        <v>0</v>
      </c>
      <c r="DF70" s="139">
        <v>28386</v>
      </c>
      <c r="DG70" s="139">
        <v>28386</v>
      </c>
      <c r="DH70" s="139">
        <v>3228774</v>
      </c>
      <c r="DI70" s="139">
        <v>551278</v>
      </c>
      <c r="DJ70" s="139">
        <v>46982</v>
      </c>
      <c r="DK70" s="139">
        <v>571944</v>
      </c>
      <c r="DL70" s="139">
        <v>609708</v>
      </c>
      <c r="DM70" s="139">
        <v>5008686</v>
      </c>
      <c r="DN70" s="139">
        <v>294</v>
      </c>
      <c r="DO70" s="139">
        <v>0</v>
      </c>
      <c r="DP70" s="139">
        <v>0</v>
      </c>
      <c r="DQ70" s="139">
        <v>30000</v>
      </c>
      <c r="DR70" s="139">
        <v>7870003</v>
      </c>
      <c r="DS70" s="139">
        <v>7900297</v>
      </c>
      <c r="DT70" s="139">
        <v>251738</v>
      </c>
      <c r="DU70" s="139">
        <v>249285</v>
      </c>
      <c r="DV70" s="139">
        <v>10835</v>
      </c>
      <c r="DW70" s="139">
        <v>807045</v>
      </c>
      <c r="DX70" s="139">
        <v>31650</v>
      </c>
      <c r="DY70" s="139">
        <v>1350553</v>
      </c>
      <c r="DZ70" s="139">
        <v>14587</v>
      </c>
      <c r="EA70" s="139">
        <v>0</v>
      </c>
      <c r="EB70" s="139">
        <v>0</v>
      </c>
      <c r="EC70" s="139">
        <v>45573</v>
      </c>
      <c r="ED70" s="139">
        <v>125807</v>
      </c>
      <c r="EE70" s="139">
        <v>185967</v>
      </c>
      <c r="EF70" s="139">
        <v>2187072</v>
      </c>
      <c r="EG70" s="139">
        <v>271440</v>
      </c>
      <c r="EH70" s="139">
        <v>19298</v>
      </c>
      <c r="EI70" s="139">
        <v>86437</v>
      </c>
      <c r="EJ70" s="139">
        <v>2046672</v>
      </c>
      <c r="EK70" s="139">
        <v>4610919</v>
      </c>
      <c r="EL70" s="139">
        <v>151044310</v>
      </c>
      <c r="EM70" s="139">
        <v>9556671</v>
      </c>
      <c r="EN70" s="139">
        <v>199768</v>
      </c>
      <c r="EO70" s="139">
        <v>2740916</v>
      </c>
      <c r="EP70" s="139">
        <v>32488733</v>
      </c>
      <c r="EQ70" s="139">
        <v>196030398</v>
      </c>
      <c r="ER70" s="139">
        <v>3060172</v>
      </c>
      <c r="ES70" s="139">
        <v>422238</v>
      </c>
      <c r="ET70" s="139">
        <v>518000</v>
      </c>
      <c r="EU70" s="139">
        <v>5114364</v>
      </c>
      <c r="EV70" s="139">
        <v>844642</v>
      </c>
      <c r="EW70" s="139">
        <v>9959416</v>
      </c>
      <c r="EX70" s="139">
        <v>800000</v>
      </c>
      <c r="EY70" s="139">
        <v>670313</v>
      </c>
      <c r="EZ70" s="139">
        <v>126146</v>
      </c>
      <c r="FA70" s="139">
        <v>74261</v>
      </c>
      <c r="FB70" s="139">
        <v>0</v>
      </c>
      <c r="FC70" s="139">
        <v>1670720</v>
      </c>
      <c r="FD70" s="139">
        <v>6773142</v>
      </c>
      <c r="FE70" s="139">
        <v>3179333</v>
      </c>
      <c r="FF70" s="139">
        <v>1345950</v>
      </c>
      <c r="FG70" s="139">
        <v>4867012</v>
      </c>
      <c r="FH70" s="139">
        <v>0</v>
      </c>
      <c r="FI70" s="139">
        <v>16165437</v>
      </c>
      <c r="FJ70" s="139">
        <v>22100</v>
      </c>
      <c r="FK70" s="139">
        <v>10000</v>
      </c>
      <c r="FL70" s="139">
        <v>11664</v>
      </c>
      <c r="FM70" s="139">
        <v>74750</v>
      </c>
      <c r="FN70" s="139">
        <v>0</v>
      </c>
      <c r="FO70" s="139">
        <v>118514</v>
      </c>
      <c r="FP70" s="139">
        <v>1668042</v>
      </c>
      <c r="FQ70" s="139">
        <v>578047</v>
      </c>
      <c r="FR70" s="139">
        <v>230477</v>
      </c>
      <c r="FS70" s="139">
        <v>1364576</v>
      </c>
      <c r="FT70" s="139">
        <v>16280198</v>
      </c>
      <c r="FU70" s="139">
        <v>20121340</v>
      </c>
      <c r="FV70" s="139">
        <v>19900</v>
      </c>
      <c r="FW70" s="139">
        <v>3000</v>
      </c>
      <c r="FX70" s="139">
        <v>4332</v>
      </c>
      <c r="FY70" s="139">
        <v>5000</v>
      </c>
      <c r="FZ70" s="139">
        <v>28000</v>
      </c>
      <c r="GA70" s="139">
        <v>60232</v>
      </c>
      <c r="GB70" s="139">
        <v>0</v>
      </c>
      <c r="GC70" s="139">
        <v>0</v>
      </c>
      <c r="GD70" s="139">
        <v>0</v>
      </c>
      <c r="GE70" s="139">
        <v>0</v>
      </c>
      <c r="GF70" s="139">
        <v>0</v>
      </c>
      <c r="GG70" s="139">
        <v>0</v>
      </c>
      <c r="GH70" s="139">
        <v>729479</v>
      </c>
      <c r="GI70" s="139">
        <v>252443</v>
      </c>
      <c r="GJ70" s="139">
        <v>98313</v>
      </c>
      <c r="GK70" s="139">
        <v>447714</v>
      </c>
      <c r="GL70" s="139">
        <v>0</v>
      </c>
      <c r="GM70" s="139">
        <v>1527949</v>
      </c>
      <c r="GN70" s="139">
        <v>1111719</v>
      </c>
      <c r="GO70" s="139">
        <v>452563</v>
      </c>
      <c r="GP70" s="139">
        <v>203949</v>
      </c>
      <c r="GQ70" s="139">
        <v>2496741</v>
      </c>
      <c r="GR70" s="139">
        <v>0</v>
      </c>
      <c r="GS70" s="139">
        <v>4264972</v>
      </c>
      <c r="GT70" s="139">
        <v>485868</v>
      </c>
      <c r="GU70" s="139">
        <v>74716</v>
      </c>
      <c r="GV70" s="139">
        <v>37259</v>
      </c>
      <c r="GW70" s="139">
        <v>392687</v>
      </c>
      <c r="GX70" s="139">
        <v>0</v>
      </c>
      <c r="GY70" s="139">
        <v>990530</v>
      </c>
      <c r="GZ70" s="139">
        <v>1655118</v>
      </c>
      <c r="HA70" s="139">
        <v>604752</v>
      </c>
      <c r="HB70" s="139">
        <v>211094</v>
      </c>
      <c r="HC70" s="139">
        <v>423323</v>
      </c>
      <c r="HD70" s="139">
        <v>0</v>
      </c>
      <c r="HE70" s="139">
        <v>2894287</v>
      </c>
      <c r="HF70" s="139">
        <v>35707</v>
      </c>
      <c r="HG70" s="139">
        <v>102749</v>
      </c>
      <c r="HH70" s="139">
        <v>3053</v>
      </c>
      <c r="HI70" s="139">
        <v>96489</v>
      </c>
      <c r="HJ70" s="139">
        <v>1710680</v>
      </c>
      <c r="HK70" s="139">
        <v>1948678</v>
      </c>
      <c r="HL70" s="139">
        <v>81924</v>
      </c>
      <c r="HM70" s="139">
        <v>123576</v>
      </c>
      <c r="HN70" s="139">
        <v>1598</v>
      </c>
      <c r="HO70" s="139">
        <v>404624</v>
      </c>
      <c r="HP70" s="139">
        <v>0</v>
      </c>
      <c r="HQ70" s="139">
        <v>611722</v>
      </c>
      <c r="HR70" s="139">
        <v>11153420</v>
      </c>
      <c r="HS70" s="139">
        <v>1382</v>
      </c>
      <c r="HT70" s="139">
        <v>428</v>
      </c>
      <c r="HU70" s="139">
        <v>54402</v>
      </c>
      <c r="HV70" s="139">
        <v>24978268</v>
      </c>
      <c r="HW70" s="139">
        <v>36187900</v>
      </c>
      <c r="HX70" s="139">
        <v>0</v>
      </c>
      <c r="HY70" s="139">
        <v>0</v>
      </c>
      <c r="HZ70" s="139">
        <v>0</v>
      </c>
      <c r="IA70" s="139">
        <v>0</v>
      </c>
      <c r="IB70" s="139">
        <v>305331</v>
      </c>
      <c r="IC70" s="139">
        <v>305331</v>
      </c>
      <c r="ID70" s="139">
        <v>0</v>
      </c>
      <c r="IE70" s="139">
        <v>0</v>
      </c>
      <c r="IF70" s="139">
        <v>0</v>
      </c>
      <c r="IG70" s="139">
        <v>0</v>
      </c>
      <c r="IH70" s="139">
        <v>0</v>
      </c>
      <c r="II70" s="139">
        <v>0</v>
      </c>
      <c r="IJ70" s="139">
        <v>91311</v>
      </c>
      <c r="IK70" s="139">
        <v>10676</v>
      </c>
      <c r="IL70" s="139">
        <v>2858</v>
      </c>
      <c r="IM70" s="139">
        <v>136190</v>
      </c>
      <c r="IN70" s="139">
        <v>1018072</v>
      </c>
      <c r="IO70" s="139">
        <v>1259107</v>
      </c>
      <c r="IP70" s="139">
        <v>1234</v>
      </c>
      <c r="IQ70" s="139">
        <v>435</v>
      </c>
      <c r="IR70" s="139">
        <v>943</v>
      </c>
      <c r="IS70" s="139">
        <f>4633+5015-IP70-IQ70-IR70</f>
        <v>7036</v>
      </c>
      <c r="IT70" s="139">
        <v>65498</v>
      </c>
      <c r="IU70" s="139">
        <v>75146</v>
      </c>
      <c r="IV70" s="139">
        <v>1533040</v>
      </c>
      <c r="IW70" s="139">
        <v>308525</v>
      </c>
      <c r="IX70" s="139">
        <v>352818</v>
      </c>
      <c r="IY70" s="139">
        <f>2244936+1063310-IV70-IW70-IX70</f>
        <v>1113863</v>
      </c>
      <c r="IZ70" s="139">
        <v>8908905</v>
      </c>
      <c r="JA70" s="139">
        <v>12217151</v>
      </c>
      <c r="JB70" s="139">
        <v>29222176</v>
      </c>
      <c r="JC70" s="139">
        <v>6794748</v>
      </c>
      <c r="JD70" s="139">
        <v>3148882</v>
      </c>
      <c r="JE70" s="139">
        <f>42453691+13785147-JB70-JC70-JD70</f>
        <v>17073032</v>
      </c>
      <c r="JF70" s="139">
        <v>54139594</v>
      </c>
      <c r="JG70" s="139">
        <v>110378432</v>
      </c>
      <c r="JH70" s="139">
        <v>0</v>
      </c>
      <c r="JI70" s="139">
        <v>0</v>
      </c>
      <c r="JJ70" s="139">
        <v>0</v>
      </c>
      <c r="JK70" s="139">
        <v>0</v>
      </c>
      <c r="JL70" s="139">
        <v>0</v>
      </c>
      <c r="JM70" s="139">
        <v>0</v>
      </c>
      <c r="JN70" s="139">
        <v>29222176</v>
      </c>
      <c r="JO70" s="139">
        <v>6794748</v>
      </c>
      <c r="JP70" s="139">
        <v>3148882</v>
      </c>
      <c r="JQ70" s="139">
        <f>42453691+13785147-JN70-JO70-JP70</f>
        <v>17073032</v>
      </c>
      <c r="JR70" s="139">
        <v>54139594</v>
      </c>
      <c r="JS70" s="139">
        <v>110378432</v>
      </c>
      <c r="JU70" s="70">
        <f t="shared" si="158"/>
        <v>26625906</v>
      </c>
      <c r="JV70" s="70">
        <f t="shared" si="159"/>
        <v>0</v>
      </c>
      <c r="JW70" s="70">
        <f t="shared" si="160"/>
        <v>1715099</v>
      </c>
      <c r="JX70" s="70">
        <f t="shared" si="161"/>
        <v>0</v>
      </c>
      <c r="JY70" s="70">
        <f t="shared" si="162"/>
        <v>415000</v>
      </c>
      <c r="JZ70" s="70">
        <f t="shared" si="163"/>
        <v>0</v>
      </c>
      <c r="KA70" s="70">
        <f t="shared" si="164"/>
        <v>124927474</v>
      </c>
      <c r="KB70" s="70">
        <f t="shared" si="165"/>
        <v>0</v>
      </c>
      <c r="KC70" s="70">
        <f t="shared" si="166"/>
        <v>178746</v>
      </c>
      <c r="KD70" s="70">
        <f t="shared" si="167"/>
        <v>0</v>
      </c>
      <c r="KE70" s="70">
        <f t="shared" si="168"/>
        <v>440000</v>
      </c>
      <c r="KF70" s="70">
        <f t="shared" si="169"/>
        <v>0</v>
      </c>
      <c r="KG70" s="70">
        <f t="shared" si="170"/>
        <v>0</v>
      </c>
      <c r="KH70" s="70">
        <f t="shared" si="171"/>
        <v>0</v>
      </c>
      <c r="KI70" s="70">
        <f t="shared" si="172"/>
        <v>0</v>
      </c>
      <c r="KJ70" s="70">
        <f t="shared" si="173"/>
        <v>0</v>
      </c>
      <c r="KK70" s="70">
        <f t="shared" si="174"/>
        <v>22643365</v>
      </c>
      <c r="KL70" s="70">
        <f t="shared" si="175"/>
        <v>0</v>
      </c>
      <c r="KM70" s="70">
        <f t="shared" si="176"/>
        <v>28386</v>
      </c>
      <c r="KN70" s="70">
        <f t="shared" si="177"/>
        <v>0</v>
      </c>
      <c r="KO70" s="70">
        <f t="shared" si="178"/>
        <v>5008686</v>
      </c>
      <c r="KP70" s="70">
        <f t="shared" si="179"/>
        <v>0</v>
      </c>
      <c r="KQ70" s="70">
        <f t="shared" si="180"/>
        <v>7900297</v>
      </c>
      <c r="KR70" s="70">
        <f t="shared" si="181"/>
        <v>0</v>
      </c>
      <c r="KS70" s="70">
        <f t="shared" si="182"/>
        <v>1350553</v>
      </c>
      <c r="KT70" s="70">
        <f t="shared" si="183"/>
        <v>0</v>
      </c>
      <c r="KU70" s="70">
        <f t="shared" si="184"/>
        <v>185967</v>
      </c>
      <c r="KV70" s="70">
        <f t="shared" si="185"/>
        <v>0</v>
      </c>
      <c r="KW70" s="70">
        <f t="shared" si="186"/>
        <v>4610919</v>
      </c>
      <c r="KX70" s="70">
        <f t="shared" si="187"/>
        <v>0</v>
      </c>
      <c r="KY70" s="70">
        <f t="shared" si="188"/>
        <v>196030398</v>
      </c>
      <c r="KZ70" s="70">
        <f t="shared" si="189"/>
        <v>0</v>
      </c>
      <c r="LA70" s="70">
        <f t="shared" si="190"/>
        <v>9959416</v>
      </c>
      <c r="LB70" s="70">
        <f t="shared" si="191"/>
        <v>0</v>
      </c>
      <c r="LC70" s="70">
        <f t="shared" si="192"/>
        <v>1670720</v>
      </c>
      <c r="LD70" s="70">
        <f t="shared" si="193"/>
        <v>0</v>
      </c>
      <c r="LE70" s="70">
        <f t="shared" si="194"/>
        <v>16165437</v>
      </c>
      <c r="LF70" s="70">
        <f t="shared" si="195"/>
        <v>0</v>
      </c>
      <c r="LG70" s="70">
        <f t="shared" si="155"/>
        <v>118514</v>
      </c>
      <c r="LH70" s="70">
        <f t="shared" si="156"/>
        <v>0</v>
      </c>
      <c r="LI70" s="70">
        <f t="shared" si="196"/>
        <v>20121340</v>
      </c>
      <c r="LJ70" s="70">
        <f t="shared" si="197"/>
        <v>0</v>
      </c>
      <c r="LK70" s="70">
        <f t="shared" si="198"/>
        <v>60232</v>
      </c>
      <c r="LL70" s="70">
        <f t="shared" si="199"/>
        <v>0</v>
      </c>
      <c r="LM70" s="70">
        <f t="shared" si="200"/>
        <v>0</v>
      </c>
      <c r="LN70" s="70">
        <f t="shared" si="201"/>
        <v>0</v>
      </c>
      <c r="LO70" s="70">
        <f t="shared" si="202"/>
        <v>1527949</v>
      </c>
      <c r="LP70" s="70">
        <f t="shared" si="203"/>
        <v>0</v>
      </c>
      <c r="LQ70" s="70">
        <f t="shared" si="204"/>
        <v>4264972</v>
      </c>
      <c r="LR70" s="70">
        <f t="shared" si="205"/>
        <v>0</v>
      </c>
      <c r="LS70" s="70">
        <f t="shared" si="206"/>
        <v>990530</v>
      </c>
      <c r="LT70" s="70">
        <f t="shared" si="207"/>
        <v>0</v>
      </c>
      <c r="LU70" s="70">
        <f t="shared" si="208"/>
        <v>2894287</v>
      </c>
      <c r="LV70" s="70">
        <f t="shared" si="209"/>
        <v>0</v>
      </c>
      <c r="LW70" s="70">
        <f t="shared" si="210"/>
        <v>1948678</v>
      </c>
      <c r="LX70" s="70">
        <f t="shared" si="211"/>
        <v>0</v>
      </c>
      <c r="LY70" s="70">
        <f t="shared" si="212"/>
        <v>611722</v>
      </c>
      <c r="LZ70" s="70">
        <f t="shared" si="213"/>
        <v>0</v>
      </c>
      <c r="MA70" s="70">
        <f t="shared" si="214"/>
        <v>36187900</v>
      </c>
      <c r="MB70" s="70">
        <f t="shared" si="215"/>
        <v>0</v>
      </c>
      <c r="MC70" s="70">
        <f t="shared" si="216"/>
        <v>305331</v>
      </c>
      <c r="MD70" s="70">
        <f t="shared" si="217"/>
        <v>0</v>
      </c>
      <c r="ME70" s="70">
        <f t="shared" si="218"/>
        <v>0</v>
      </c>
      <c r="MF70" s="70">
        <f t="shared" si="219"/>
        <v>0</v>
      </c>
      <c r="MG70" s="70">
        <f t="shared" si="220"/>
        <v>1259107</v>
      </c>
      <c r="MH70" s="70">
        <f t="shared" si="221"/>
        <v>0</v>
      </c>
      <c r="MI70" s="70">
        <f t="shared" si="222"/>
        <v>75146</v>
      </c>
      <c r="MJ70" s="70">
        <f t="shared" si="223"/>
        <v>0</v>
      </c>
      <c r="MK70" s="70">
        <f t="shared" si="224"/>
        <v>12217151</v>
      </c>
      <c r="ML70" s="70">
        <f t="shared" si="225"/>
        <v>0</v>
      </c>
      <c r="MM70" s="70">
        <f t="shared" si="226"/>
        <v>110378432</v>
      </c>
      <c r="MN70" s="70">
        <f t="shared" si="227"/>
        <v>0</v>
      </c>
      <c r="MO70" s="70">
        <f t="shared" si="228"/>
        <v>0</v>
      </c>
      <c r="MP70" s="70">
        <f t="shared" si="229"/>
        <v>0</v>
      </c>
      <c r="MQ70" s="70">
        <f t="shared" si="230"/>
        <v>110378432</v>
      </c>
      <c r="MR70" s="70">
        <f t="shared" si="231"/>
        <v>0</v>
      </c>
      <c r="MT70" s="70">
        <f t="shared" si="232"/>
        <v>0</v>
      </c>
      <c r="MV70" s="68">
        <f t="shared" si="233"/>
        <v>0</v>
      </c>
      <c r="NG70" s="80"/>
    </row>
    <row r="71" spans="1:371" x14ac:dyDescent="0.15">
      <c r="A71" s="182" t="s">
        <v>354</v>
      </c>
      <c r="B71" s="76" t="s">
        <v>426</v>
      </c>
      <c r="C71" s="90">
        <v>187985</v>
      </c>
      <c r="D71" s="90">
        <v>2014</v>
      </c>
      <c r="E71" s="90">
        <v>1</v>
      </c>
      <c r="F71" s="91">
        <v>4</v>
      </c>
      <c r="G71" s="92">
        <v>9902</v>
      </c>
      <c r="H71" s="92">
        <v>8216</v>
      </c>
      <c r="I71" s="93">
        <v>911425000</v>
      </c>
      <c r="J71" s="93">
        <v>846302000</v>
      </c>
      <c r="K71" s="93">
        <v>8008200</v>
      </c>
      <c r="L71" s="93">
        <v>7467398</v>
      </c>
      <c r="M71" s="93">
        <v>55255000</v>
      </c>
      <c r="N71" s="93">
        <v>72534000</v>
      </c>
      <c r="O71" s="93">
        <v>88808128</v>
      </c>
      <c r="P71" s="93">
        <v>93264488</v>
      </c>
      <c r="Q71" s="93">
        <v>634309000</v>
      </c>
      <c r="R71" s="93">
        <v>547520000</v>
      </c>
      <c r="S71" s="93">
        <v>736602000</v>
      </c>
      <c r="T71" s="93">
        <v>685879000</v>
      </c>
      <c r="U71" s="93">
        <v>23253</v>
      </c>
      <c r="V71" s="93">
        <v>21274</v>
      </c>
      <c r="W71" s="93">
        <v>40425</v>
      </c>
      <c r="X71" s="93">
        <v>35458</v>
      </c>
      <c r="Y71" s="93">
        <v>24594</v>
      </c>
      <c r="Z71" s="93">
        <v>23890</v>
      </c>
      <c r="AA71" s="93">
        <v>40425</v>
      </c>
      <c r="AB71" s="93">
        <v>35458</v>
      </c>
      <c r="AC71" s="114">
        <v>9</v>
      </c>
      <c r="AD71" s="114">
        <v>11</v>
      </c>
      <c r="AE71" s="114">
        <v>0</v>
      </c>
      <c r="AF71" s="115">
        <v>5021189</v>
      </c>
      <c r="AG71" s="115">
        <v>4135814</v>
      </c>
      <c r="AH71" s="115">
        <v>699143</v>
      </c>
      <c r="AI71" s="115">
        <v>289662</v>
      </c>
      <c r="AJ71" s="115">
        <v>596655</v>
      </c>
      <c r="AK71" s="116">
        <v>7</v>
      </c>
      <c r="AL71" s="115">
        <v>596655</v>
      </c>
      <c r="AM71" s="116">
        <v>7</v>
      </c>
      <c r="AN71" s="115">
        <v>181687</v>
      </c>
      <c r="AO71" s="116">
        <v>9</v>
      </c>
      <c r="AP71" s="115">
        <v>181687</v>
      </c>
      <c r="AQ71" s="116">
        <v>9</v>
      </c>
      <c r="AR71" s="115">
        <v>219609</v>
      </c>
      <c r="AS71" s="116">
        <v>20</v>
      </c>
      <c r="AT71" s="115">
        <v>219609</v>
      </c>
      <c r="AU71" s="116">
        <v>20</v>
      </c>
      <c r="AV71" s="115">
        <v>92503</v>
      </c>
      <c r="AW71" s="116">
        <v>17</v>
      </c>
      <c r="AX71" s="115">
        <v>92503</v>
      </c>
      <c r="AY71" s="116">
        <v>17</v>
      </c>
      <c r="AZ71" s="139">
        <v>8079469</v>
      </c>
      <c r="BA71" s="139">
        <v>757966</v>
      </c>
      <c r="BB71" s="139">
        <v>82422</v>
      </c>
      <c r="BC71" s="139">
        <v>908898</v>
      </c>
      <c r="BD71" s="139">
        <v>251559</v>
      </c>
      <c r="BE71" s="139">
        <v>10080314</v>
      </c>
      <c r="BF71" s="139">
        <v>1453980</v>
      </c>
      <c r="BG71" s="139">
        <v>778879</v>
      </c>
      <c r="BH71" s="139">
        <v>59444</v>
      </c>
      <c r="BI71" s="139">
        <v>210528</v>
      </c>
      <c r="BJ71" s="139">
        <v>0</v>
      </c>
      <c r="BK71" s="139">
        <v>2502831</v>
      </c>
      <c r="BL71" s="139">
        <v>250000</v>
      </c>
      <c r="BM71" s="139">
        <v>90000</v>
      </c>
      <c r="BN71" s="139">
        <v>0</v>
      </c>
      <c r="BO71" s="139">
        <v>0</v>
      </c>
      <c r="BP71" s="139">
        <v>0</v>
      </c>
      <c r="BQ71" s="139">
        <v>340000</v>
      </c>
      <c r="BR71" s="139">
        <v>1428763</v>
      </c>
      <c r="BS71" s="139">
        <v>102843</v>
      </c>
      <c r="BT71" s="139">
        <v>74279</v>
      </c>
      <c r="BU71" s="139">
        <v>432492</v>
      </c>
      <c r="BV71" s="139">
        <v>8631819</v>
      </c>
      <c r="BW71" s="139">
        <v>10670196</v>
      </c>
      <c r="BX71" s="139">
        <v>0</v>
      </c>
      <c r="BY71" s="139">
        <v>0</v>
      </c>
      <c r="BZ71" s="139">
        <v>0</v>
      </c>
      <c r="CA71" s="139">
        <v>0</v>
      </c>
      <c r="CB71" s="139">
        <v>0</v>
      </c>
      <c r="CC71" s="139">
        <v>0</v>
      </c>
      <c r="CD71" s="139">
        <v>0</v>
      </c>
      <c r="CE71" s="139">
        <v>0</v>
      </c>
      <c r="CF71" s="139">
        <v>0</v>
      </c>
      <c r="CG71" s="139">
        <v>428242</v>
      </c>
      <c r="CH71" s="139">
        <v>11758</v>
      </c>
      <c r="CI71" s="139">
        <v>440000</v>
      </c>
      <c r="CJ71" s="139">
        <v>0</v>
      </c>
      <c r="CK71" s="139">
        <v>0</v>
      </c>
      <c r="CL71" s="139">
        <v>0</v>
      </c>
      <c r="CM71" s="139">
        <v>0</v>
      </c>
      <c r="CN71" s="139">
        <v>3354375</v>
      </c>
      <c r="CO71" s="139">
        <v>3354375</v>
      </c>
      <c r="CP71" s="139">
        <v>0</v>
      </c>
      <c r="CQ71" s="139">
        <v>0</v>
      </c>
      <c r="CR71" s="139">
        <v>0</v>
      </c>
      <c r="CS71" s="139">
        <v>0</v>
      </c>
      <c r="CT71" s="139">
        <v>5988247</v>
      </c>
      <c r="CU71" s="139">
        <v>5988247</v>
      </c>
      <c r="CV71" s="139">
        <v>16442118</v>
      </c>
      <c r="CW71" s="139">
        <v>3721231</v>
      </c>
      <c r="CX71" s="139">
        <v>2410</v>
      </c>
      <c r="CY71" s="139">
        <v>243359</v>
      </c>
      <c r="CZ71" s="139">
        <v>3306285</v>
      </c>
      <c r="DA71" s="139">
        <v>23715403</v>
      </c>
      <c r="DB71" s="139">
        <v>0</v>
      </c>
      <c r="DC71" s="139">
        <v>0</v>
      </c>
      <c r="DD71" s="139">
        <v>0</v>
      </c>
      <c r="DE71" s="139">
        <v>0</v>
      </c>
      <c r="DF71" s="139">
        <v>0</v>
      </c>
      <c r="DG71" s="139">
        <v>0</v>
      </c>
      <c r="DH71" s="139">
        <v>434329</v>
      </c>
      <c r="DI71" s="139">
        <v>62979</v>
      </c>
      <c r="DJ71" s="139">
        <v>14956</v>
      </c>
      <c r="DK71" s="139">
        <v>94712</v>
      </c>
      <c r="DL71" s="139">
        <v>538550</v>
      </c>
      <c r="DM71" s="139">
        <v>1145526</v>
      </c>
      <c r="DN71" s="139">
        <v>0</v>
      </c>
      <c r="DO71" s="139">
        <v>0</v>
      </c>
      <c r="DP71" s="139">
        <v>0</v>
      </c>
      <c r="DQ71" s="139">
        <v>0</v>
      </c>
      <c r="DR71" s="139">
        <v>3183927</v>
      </c>
      <c r="DS71" s="139">
        <v>3183927</v>
      </c>
      <c r="DT71" s="139">
        <v>224750</v>
      </c>
      <c r="DU71" s="139">
        <v>11712</v>
      </c>
      <c r="DV71" s="139">
        <v>80977</v>
      </c>
      <c r="DW71" s="139">
        <v>921325</v>
      </c>
      <c r="DX71" s="139">
        <v>40822</v>
      </c>
      <c r="DY71" s="139">
        <v>1279586</v>
      </c>
      <c r="DZ71" s="139">
        <v>0</v>
      </c>
      <c r="EA71" s="139">
        <v>0</v>
      </c>
      <c r="EB71" s="139">
        <v>0</v>
      </c>
      <c r="EC71" s="139">
        <v>9</v>
      </c>
      <c r="ED71" s="139">
        <v>239673</v>
      </c>
      <c r="EE71" s="139">
        <v>239682</v>
      </c>
      <c r="EF71" s="139">
        <v>11840</v>
      </c>
      <c r="EG71" s="139">
        <v>495</v>
      </c>
      <c r="EH71" s="139">
        <v>1090</v>
      </c>
      <c r="EI71" s="139">
        <v>26928</v>
      </c>
      <c r="EJ71" s="139">
        <v>321354</v>
      </c>
      <c r="EK71" s="139">
        <v>361707</v>
      </c>
      <c r="EL71" s="139">
        <v>28325249</v>
      </c>
      <c r="EM71" s="139">
        <v>5526105</v>
      </c>
      <c r="EN71" s="139">
        <v>315578</v>
      </c>
      <c r="EO71" s="139">
        <v>3266493</v>
      </c>
      <c r="EP71" s="139">
        <v>25868369</v>
      </c>
      <c r="EQ71" s="139">
        <v>63301794</v>
      </c>
      <c r="ER71" s="139">
        <v>3218850</v>
      </c>
      <c r="ES71" s="139">
        <v>462649</v>
      </c>
      <c r="ET71" s="139">
        <v>449987</v>
      </c>
      <c r="EU71" s="139">
        <v>5025517</v>
      </c>
      <c r="EV71" s="139">
        <v>294223</v>
      </c>
      <c r="EW71" s="139">
        <v>9451226</v>
      </c>
      <c r="EX71" s="139">
        <v>775000</v>
      </c>
      <c r="EY71" s="139">
        <v>390000</v>
      </c>
      <c r="EZ71" s="139">
        <v>59131</v>
      </c>
      <c r="FA71" s="139">
        <v>52232</v>
      </c>
      <c r="FB71" s="139">
        <v>0</v>
      </c>
      <c r="FC71" s="139">
        <v>1276363</v>
      </c>
      <c r="FD71" s="139">
        <v>4497771</v>
      </c>
      <c r="FE71" s="139">
        <v>2189766</v>
      </c>
      <c r="FF71" s="139">
        <v>878681</v>
      </c>
      <c r="FG71" s="139">
        <v>4210282</v>
      </c>
      <c r="FH71" s="139">
        <v>0</v>
      </c>
      <c r="FI71" s="139">
        <v>11776500</v>
      </c>
      <c r="FJ71" s="139">
        <v>0</v>
      </c>
      <c r="FK71" s="139">
        <v>0</v>
      </c>
      <c r="FL71" s="139">
        <v>0</v>
      </c>
      <c r="FM71" s="139">
        <v>0</v>
      </c>
      <c r="FN71" s="139">
        <v>0</v>
      </c>
      <c r="FO71" s="139">
        <v>0</v>
      </c>
      <c r="FP71" s="139">
        <v>824355</v>
      </c>
      <c r="FQ71" s="139">
        <v>186191</v>
      </c>
      <c r="FR71" s="139">
        <v>131632</v>
      </c>
      <c r="FS71" s="139">
        <v>318013</v>
      </c>
      <c r="FT71" s="139">
        <v>6778489</v>
      </c>
      <c r="FU71" s="139">
        <v>8238680</v>
      </c>
      <c r="FV71" s="139">
        <v>0</v>
      </c>
      <c r="FW71" s="139">
        <v>0</v>
      </c>
      <c r="FX71" s="139">
        <v>0</v>
      </c>
      <c r="FY71" s="139">
        <v>0</v>
      </c>
      <c r="FZ71" s="139">
        <v>0</v>
      </c>
      <c r="GA71" s="139">
        <v>0</v>
      </c>
      <c r="GB71" s="139">
        <v>0</v>
      </c>
      <c r="GC71" s="139">
        <v>0</v>
      </c>
      <c r="GD71" s="139">
        <v>0</v>
      </c>
      <c r="GE71" s="139">
        <v>4143888</v>
      </c>
      <c r="GF71" s="139">
        <v>0</v>
      </c>
      <c r="GG71" s="139">
        <v>4143888</v>
      </c>
      <c r="GH71" s="139">
        <v>406513</v>
      </c>
      <c r="GI71" s="139">
        <v>155754</v>
      </c>
      <c r="GJ71" s="139">
        <v>105038</v>
      </c>
      <c r="GK71" s="139">
        <v>321500</v>
      </c>
      <c r="GL71" s="139">
        <v>43046</v>
      </c>
      <c r="GM71" s="139">
        <v>1031851</v>
      </c>
      <c r="GN71" s="139">
        <v>2056175</v>
      </c>
      <c r="GO71" s="139">
        <v>472437</v>
      </c>
      <c r="GP71" s="139">
        <v>223127</v>
      </c>
      <c r="GQ71" s="139">
        <v>1965679</v>
      </c>
      <c r="GR71" s="139">
        <v>140766</v>
      </c>
      <c r="GS71" s="139">
        <v>4858184</v>
      </c>
      <c r="GT71" s="139">
        <v>618278</v>
      </c>
      <c r="GU71" s="139">
        <v>40337</v>
      </c>
      <c r="GV71" s="139">
        <v>11127</v>
      </c>
      <c r="GW71" s="139">
        <v>216287</v>
      </c>
      <c r="GX71" s="139">
        <v>187618</v>
      </c>
      <c r="GY71" s="139">
        <v>1073647</v>
      </c>
      <c r="GZ71" s="139">
        <v>208122</v>
      </c>
      <c r="HA71" s="139">
        <v>23741</v>
      </c>
      <c r="HB71" s="139">
        <v>12245</v>
      </c>
      <c r="HC71" s="139">
        <v>686225</v>
      </c>
      <c r="HD71" s="139">
        <v>874457</v>
      </c>
      <c r="HE71" s="139">
        <v>1804790</v>
      </c>
      <c r="HF71" s="139">
        <v>209931</v>
      </c>
      <c r="HG71" s="139">
        <v>64889</v>
      </c>
      <c r="HH71" s="139">
        <v>50173</v>
      </c>
      <c r="HI71" s="139">
        <v>84730</v>
      </c>
      <c r="HJ71" s="139">
        <v>2781534</v>
      </c>
      <c r="HK71" s="139">
        <v>3191257</v>
      </c>
      <c r="HL71" s="139">
        <v>173911</v>
      </c>
      <c r="HM71" s="139">
        <v>12058</v>
      </c>
      <c r="HN71" s="139">
        <v>35511</v>
      </c>
      <c r="HO71" s="139">
        <v>532637</v>
      </c>
      <c r="HP71" s="139">
        <v>48864</v>
      </c>
      <c r="HQ71" s="139">
        <v>802981</v>
      </c>
      <c r="HR71" s="139">
        <v>166544</v>
      </c>
      <c r="HS71" s="139">
        <v>2963</v>
      </c>
      <c r="HT71" s="139">
        <v>1129</v>
      </c>
      <c r="HU71" s="139">
        <v>18152</v>
      </c>
      <c r="HV71" s="139">
        <v>10616063</v>
      </c>
      <c r="HW71" s="139">
        <v>10804851</v>
      </c>
      <c r="HX71" s="139">
        <v>0</v>
      </c>
      <c r="HY71" s="139">
        <v>0</v>
      </c>
      <c r="HZ71" s="139">
        <v>0</v>
      </c>
      <c r="IA71" s="139">
        <v>0</v>
      </c>
      <c r="IB71" s="139">
        <v>51310</v>
      </c>
      <c r="IC71" s="139">
        <v>51310</v>
      </c>
      <c r="ID71" s="139">
        <v>0</v>
      </c>
      <c r="IE71" s="139">
        <v>0</v>
      </c>
      <c r="IF71" s="139">
        <v>0</v>
      </c>
      <c r="IG71" s="139">
        <v>0</v>
      </c>
      <c r="IH71" s="139">
        <v>5988247</v>
      </c>
      <c r="II71" s="139">
        <v>5988247</v>
      </c>
      <c r="IJ71" s="139">
        <v>179207</v>
      </c>
      <c r="IK71" s="139">
        <v>22059</v>
      </c>
      <c r="IL71" s="139">
        <v>12697</v>
      </c>
      <c r="IM71" s="139">
        <v>209297</v>
      </c>
      <c r="IN71" s="139">
        <v>806741</v>
      </c>
      <c r="IO71" s="139">
        <v>1230001</v>
      </c>
      <c r="IP71" s="139">
        <v>116390</v>
      </c>
      <c r="IQ71" s="139">
        <v>145510</v>
      </c>
      <c r="IR71" s="139">
        <v>115279</v>
      </c>
      <c r="IS71" s="139">
        <v>116488</v>
      </c>
      <c r="IT71" s="139">
        <v>2270917</v>
      </c>
      <c r="IU71" s="139">
        <v>2764584</v>
      </c>
      <c r="IV71" s="139">
        <v>904612</v>
      </c>
      <c r="IW71" s="139">
        <v>123661</v>
      </c>
      <c r="IX71" s="139">
        <v>78158</v>
      </c>
      <c r="IY71" s="139">
        <v>554499</v>
      </c>
      <c r="IZ71" s="139">
        <v>2870713</v>
      </c>
      <c r="JA71" s="139">
        <v>4531643</v>
      </c>
      <c r="JB71" s="139">
        <v>14355659</v>
      </c>
      <c r="JC71" s="139">
        <v>4292015</v>
      </c>
      <c r="JD71" s="139">
        <v>2163915</v>
      </c>
      <c r="JE71" s="139">
        <v>18455426</v>
      </c>
      <c r="JF71" s="139">
        <v>33752988</v>
      </c>
      <c r="JG71" s="139">
        <v>73020003</v>
      </c>
      <c r="JH71" s="139">
        <v>0</v>
      </c>
      <c r="JI71" s="139">
        <v>0</v>
      </c>
      <c r="JJ71" s="139">
        <v>0</v>
      </c>
      <c r="JK71" s="139">
        <v>0</v>
      </c>
      <c r="JL71" s="139">
        <v>0</v>
      </c>
      <c r="JM71" s="139">
        <v>0</v>
      </c>
      <c r="JN71" s="139">
        <v>14355659</v>
      </c>
      <c r="JO71" s="139">
        <v>4292015</v>
      </c>
      <c r="JP71" s="139">
        <v>2163915</v>
      </c>
      <c r="JQ71" s="139">
        <v>18455426</v>
      </c>
      <c r="JR71" s="139">
        <v>33752988</v>
      </c>
      <c r="JS71" s="139">
        <v>73020003</v>
      </c>
      <c r="JU71" s="70">
        <f t="shared" si="158"/>
        <v>10080314</v>
      </c>
      <c r="JV71" s="70">
        <f t="shared" si="159"/>
        <v>0</v>
      </c>
      <c r="JW71" s="70">
        <f t="shared" si="160"/>
        <v>2502831</v>
      </c>
      <c r="JX71" s="70">
        <f t="shared" si="161"/>
        <v>0</v>
      </c>
      <c r="JY71" s="70">
        <f t="shared" si="162"/>
        <v>340000</v>
      </c>
      <c r="JZ71" s="70">
        <f t="shared" si="163"/>
        <v>0</v>
      </c>
      <c r="KA71" s="70">
        <f t="shared" si="164"/>
        <v>10670196</v>
      </c>
      <c r="KB71" s="70">
        <f t="shared" si="165"/>
        <v>0</v>
      </c>
      <c r="KC71" s="70">
        <f t="shared" si="166"/>
        <v>0</v>
      </c>
      <c r="KD71" s="70">
        <f t="shared" si="167"/>
        <v>0</v>
      </c>
      <c r="KE71" s="70">
        <f t="shared" si="168"/>
        <v>440000</v>
      </c>
      <c r="KF71" s="70">
        <f t="shared" si="169"/>
        <v>0</v>
      </c>
      <c r="KG71" s="70">
        <f t="shared" si="170"/>
        <v>3354375</v>
      </c>
      <c r="KH71" s="70">
        <f t="shared" si="171"/>
        <v>0</v>
      </c>
      <c r="KI71" s="70">
        <f t="shared" si="172"/>
        <v>5988247</v>
      </c>
      <c r="KJ71" s="70">
        <f t="shared" si="173"/>
        <v>0</v>
      </c>
      <c r="KK71" s="70">
        <f t="shared" si="174"/>
        <v>23715403</v>
      </c>
      <c r="KL71" s="70">
        <f t="shared" si="175"/>
        <v>0</v>
      </c>
      <c r="KM71" s="70">
        <f t="shared" si="176"/>
        <v>0</v>
      </c>
      <c r="KN71" s="70">
        <f t="shared" si="177"/>
        <v>0</v>
      </c>
      <c r="KO71" s="70">
        <f t="shared" si="178"/>
        <v>1145526</v>
      </c>
      <c r="KP71" s="70">
        <f t="shared" si="179"/>
        <v>0</v>
      </c>
      <c r="KQ71" s="70">
        <f t="shared" si="180"/>
        <v>3183927</v>
      </c>
      <c r="KR71" s="70">
        <f t="shared" si="181"/>
        <v>0</v>
      </c>
      <c r="KS71" s="70">
        <f t="shared" si="182"/>
        <v>1279586</v>
      </c>
      <c r="KT71" s="70">
        <f t="shared" si="183"/>
        <v>0</v>
      </c>
      <c r="KU71" s="70">
        <f t="shared" si="184"/>
        <v>239682</v>
      </c>
      <c r="KV71" s="70">
        <f t="shared" si="185"/>
        <v>0</v>
      </c>
      <c r="KW71" s="70">
        <f t="shared" si="186"/>
        <v>361707</v>
      </c>
      <c r="KX71" s="70">
        <f t="shared" si="187"/>
        <v>0</v>
      </c>
      <c r="KY71" s="70">
        <f t="shared" si="188"/>
        <v>63301794</v>
      </c>
      <c r="KZ71" s="70">
        <f t="shared" si="189"/>
        <v>0</v>
      </c>
      <c r="LA71" s="70">
        <f t="shared" si="190"/>
        <v>9451226</v>
      </c>
      <c r="LB71" s="70">
        <f t="shared" si="191"/>
        <v>0</v>
      </c>
      <c r="LC71" s="70">
        <f t="shared" si="192"/>
        <v>1276363</v>
      </c>
      <c r="LD71" s="70">
        <f t="shared" si="193"/>
        <v>0</v>
      </c>
      <c r="LE71" s="70">
        <f t="shared" si="194"/>
        <v>11776500</v>
      </c>
      <c r="LF71" s="70">
        <f t="shared" si="195"/>
        <v>0</v>
      </c>
      <c r="LG71" s="70">
        <f t="shared" si="155"/>
        <v>0</v>
      </c>
      <c r="LH71" s="70">
        <f t="shared" si="156"/>
        <v>0</v>
      </c>
      <c r="LI71" s="70">
        <f t="shared" si="196"/>
        <v>8238680</v>
      </c>
      <c r="LJ71" s="70">
        <f t="shared" si="197"/>
        <v>0</v>
      </c>
      <c r="LK71" s="70">
        <f t="shared" si="198"/>
        <v>0</v>
      </c>
      <c r="LL71" s="70">
        <f t="shared" si="199"/>
        <v>0</v>
      </c>
      <c r="LM71" s="70">
        <f t="shared" si="200"/>
        <v>4143888</v>
      </c>
      <c r="LN71" s="70">
        <f t="shared" si="201"/>
        <v>0</v>
      </c>
      <c r="LO71" s="70">
        <f t="shared" si="202"/>
        <v>1031851</v>
      </c>
      <c r="LP71" s="70">
        <f t="shared" si="203"/>
        <v>0</v>
      </c>
      <c r="LQ71" s="70">
        <f t="shared" si="204"/>
        <v>4858184</v>
      </c>
      <c r="LR71" s="70">
        <f t="shared" si="205"/>
        <v>0</v>
      </c>
      <c r="LS71" s="70">
        <f t="shared" si="206"/>
        <v>1073647</v>
      </c>
      <c r="LT71" s="70">
        <f t="shared" si="207"/>
        <v>0</v>
      </c>
      <c r="LU71" s="70">
        <f t="shared" si="208"/>
        <v>1804790</v>
      </c>
      <c r="LV71" s="70">
        <f t="shared" si="209"/>
        <v>0</v>
      </c>
      <c r="LW71" s="70">
        <f t="shared" si="210"/>
        <v>3191257</v>
      </c>
      <c r="LX71" s="70">
        <f t="shared" si="211"/>
        <v>0</v>
      </c>
      <c r="LY71" s="70">
        <f t="shared" si="212"/>
        <v>802981</v>
      </c>
      <c r="LZ71" s="70">
        <f t="shared" si="213"/>
        <v>0</v>
      </c>
      <c r="MA71" s="70">
        <f t="shared" si="214"/>
        <v>10804851</v>
      </c>
      <c r="MB71" s="70">
        <f t="shared" si="215"/>
        <v>0</v>
      </c>
      <c r="MC71" s="70">
        <f t="shared" si="216"/>
        <v>51310</v>
      </c>
      <c r="MD71" s="70">
        <f t="shared" si="217"/>
        <v>0</v>
      </c>
      <c r="ME71" s="70">
        <f t="shared" si="218"/>
        <v>5988247</v>
      </c>
      <c r="MF71" s="70">
        <f t="shared" si="219"/>
        <v>0</v>
      </c>
      <c r="MG71" s="70">
        <f t="shared" si="220"/>
        <v>1230001</v>
      </c>
      <c r="MH71" s="70">
        <f t="shared" si="221"/>
        <v>0</v>
      </c>
      <c r="MI71" s="70">
        <f t="shared" si="222"/>
        <v>2764584</v>
      </c>
      <c r="MJ71" s="70">
        <f t="shared" si="223"/>
        <v>0</v>
      </c>
      <c r="MK71" s="70">
        <f t="shared" si="224"/>
        <v>4531643</v>
      </c>
      <c r="ML71" s="70">
        <f t="shared" si="225"/>
        <v>0</v>
      </c>
      <c r="MM71" s="70">
        <f t="shared" si="226"/>
        <v>73020003</v>
      </c>
      <c r="MN71" s="70">
        <f t="shared" si="227"/>
        <v>0</v>
      </c>
      <c r="MO71" s="70">
        <f t="shared" si="228"/>
        <v>0</v>
      </c>
      <c r="MP71" s="70">
        <f t="shared" si="229"/>
        <v>0</v>
      </c>
      <c r="MQ71" s="70">
        <f t="shared" si="230"/>
        <v>73020003</v>
      </c>
      <c r="MR71" s="70">
        <f t="shared" si="231"/>
        <v>0</v>
      </c>
      <c r="MT71" s="70">
        <f t="shared" si="232"/>
        <v>0</v>
      </c>
      <c r="MV71" s="68">
        <f t="shared" si="233"/>
        <v>0</v>
      </c>
      <c r="NG71" s="80"/>
    </row>
    <row r="72" spans="1:371" x14ac:dyDescent="0.15">
      <c r="A72" s="182" t="s">
        <v>355</v>
      </c>
      <c r="B72" s="76" t="s">
        <v>426</v>
      </c>
      <c r="C72" s="90">
        <v>199120</v>
      </c>
      <c r="D72" s="90">
        <v>2014</v>
      </c>
      <c r="E72" s="90">
        <v>1</v>
      </c>
      <c r="F72" s="91">
        <v>3</v>
      </c>
      <c r="G72" s="92">
        <v>16843</v>
      </c>
      <c r="H72" s="92">
        <v>12597</v>
      </c>
      <c r="I72" s="93">
        <v>1623563254</v>
      </c>
      <c r="J72" s="93">
        <v>1589776813</v>
      </c>
      <c r="K72" s="93">
        <v>8888112</v>
      </c>
      <c r="L72" s="93">
        <v>8977342</v>
      </c>
      <c r="M72" s="93">
        <v>84498817</v>
      </c>
      <c r="N72" s="93">
        <v>78829341</v>
      </c>
      <c r="O72" s="93">
        <v>133320000</v>
      </c>
      <c r="P72" s="93">
        <v>124175000</v>
      </c>
      <c r="Q72" s="93">
        <v>762032016</v>
      </c>
      <c r="R72" s="93">
        <v>782336971</v>
      </c>
      <c r="S72" s="93">
        <v>1458745150</v>
      </c>
      <c r="T72" s="93">
        <v>1401738769</v>
      </c>
      <c r="U72" s="93">
        <v>21092</v>
      </c>
      <c r="V72" s="93">
        <v>21078</v>
      </c>
      <c r="W72" s="93">
        <v>39694</v>
      </c>
      <c r="X72" s="93">
        <v>39880</v>
      </c>
      <c r="Y72" s="93">
        <v>23242</v>
      </c>
      <c r="Z72" s="93">
        <v>23468</v>
      </c>
      <c r="AA72" s="93">
        <v>42194</v>
      </c>
      <c r="AB72" s="93">
        <v>42480</v>
      </c>
      <c r="AC72" s="114">
        <v>10</v>
      </c>
      <c r="AD72" s="114">
        <v>10</v>
      </c>
      <c r="AE72" s="114">
        <v>0</v>
      </c>
      <c r="AF72" s="115">
        <v>6547982</v>
      </c>
      <c r="AG72" s="115">
        <v>4082123</v>
      </c>
      <c r="AH72" s="115">
        <v>773235</v>
      </c>
      <c r="AI72" s="115">
        <v>370618</v>
      </c>
      <c r="AJ72" s="115">
        <v>730028</v>
      </c>
      <c r="AK72" s="116">
        <v>7.5</v>
      </c>
      <c r="AL72" s="115">
        <v>684401</v>
      </c>
      <c r="AM72" s="116">
        <v>8</v>
      </c>
      <c r="AN72" s="115">
        <v>222895</v>
      </c>
      <c r="AO72" s="116">
        <v>7.1</v>
      </c>
      <c r="AP72" s="115">
        <v>197819</v>
      </c>
      <c r="AQ72" s="116">
        <v>8</v>
      </c>
      <c r="AR72" s="115">
        <v>168364</v>
      </c>
      <c r="AS72" s="116">
        <v>24</v>
      </c>
      <c r="AT72" s="115">
        <v>139335</v>
      </c>
      <c r="AU72" s="116">
        <v>29</v>
      </c>
      <c r="AV72" s="115">
        <v>89543</v>
      </c>
      <c r="AW72" s="116">
        <v>15</v>
      </c>
      <c r="AX72" s="115">
        <v>74619</v>
      </c>
      <c r="AY72" s="116">
        <v>18</v>
      </c>
      <c r="AZ72" s="139">
        <v>9628594</v>
      </c>
      <c r="BA72" s="139">
        <v>3964735</v>
      </c>
      <c r="BB72" s="139">
        <v>347875</v>
      </c>
      <c r="BC72" s="139">
        <v>464018</v>
      </c>
      <c r="BD72" s="139">
        <v>15856</v>
      </c>
      <c r="BE72" s="139">
        <v>14421078</v>
      </c>
      <c r="BF72" s="139">
        <v>0</v>
      </c>
      <c r="BG72" s="139">
        <v>0</v>
      </c>
      <c r="BH72" s="139">
        <v>0</v>
      </c>
      <c r="BI72" s="139">
        <v>0</v>
      </c>
      <c r="BJ72" s="139">
        <v>0</v>
      </c>
      <c r="BK72" s="139">
        <v>0</v>
      </c>
      <c r="BL72" s="139">
        <v>350000</v>
      </c>
      <c r="BM72" s="139">
        <v>50000</v>
      </c>
      <c r="BN72" s="139">
        <v>0</v>
      </c>
      <c r="BO72" s="139">
        <v>0</v>
      </c>
      <c r="BP72" s="139">
        <v>0</v>
      </c>
      <c r="BQ72" s="139">
        <v>400000</v>
      </c>
      <c r="BR72" s="139">
        <v>4615964</v>
      </c>
      <c r="BS72" s="139">
        <v>1080420</v>
      </c>
      <c r="BT72" s="139">
        <v>258533</v>
      </c>
      <c r="BU72" s="139">
        <v>2742725</v>
      </c>
      <c r="BV72" s="139">
        <v>6583994</v>
      </c>
      <c r="BW72" s="139">
        <v>15281636</v>
      </c>
      <c r="BX72" s="139">
        <v>48731</v>
      </c>
      <c r="BY72" s="139">
        <v>17394</v>
      </c>
      <c r="BZ72" s="139">
        <v>12385</v>
      </c>
      <c r="CA72" s="139">
        <v>12135</v>
      </c>
      <c r="CB72" s="139">
        <v>48671</v>
      </c>
      <c r="CC72" s="139">
        <v>139316</v>
      </c>
      <c r="CD72" s="139">
        <v>0</v>
      </c>
      <c r="CE72" s="139">
        <v>0</v>
      </c>
      <c r="CF72" s="139">
        <v>0</v>
      </c>
      <c r="CG72" s="139">
        <v>0</v>
      </c>
      <c r="CH72" s="139">
        <v>0</v>
      </c>
      <c r="CI72" s="139">
        <v>0</v>
      </c>
      <c r="CJ72" s="139">
        <v>0</v>
      </c>
      <c r="CK72" s="139">
        <v>0</v>
      </c>
      <c r="CL72" s="139">
        <v>0</v>
      </c>
      <c r="CM72" s="139">
        <v>0</v>
      </c>
      <c r="CN72" s="139">
        <v>0</v>
      </c>
      <c r="CO72" s="139">
        <v>0</v>
      </c>
      <c r="CP72" s="139">
        <v>0</v>
      </c>
      <c r="CQ72" s="139">
        <v>0</v>
      </c>
      <c r="CR72" s="139">
        <v>0</v>
      </c>
      <c r="CS72" s="139">
        <v>0</v>
      </c>
      <c r="CT72" s="139">
        <v>0</v>
      </c>
      <c r="CU72" s="139">
        <v>0</v>
      </c>
      <c r="CV72" s="139">
        <v>4398647</v>
      </c>
      <c r="CW72" s="139">
        <v>4192371</v>
      </c>
      <c r="CX72" s="139">
        <v>0</v>
      </c>
      <c r="CY72" s="139">
        <v>0</v>
      </c>
      <c r="CZ72" s="139">
        <v>20337726</v>
      </c>
      <c r="DA72" s="139">
        <v>28928744</v>
      </c>
      <c r="DB72" s="139">
        <v>0</v>
      </c>
      <c r="DC72" s="139">
        <v>0</v>
      </c>
      <c r="DD72" s="139">
        <v>0</v>
      </c>
      <c r="DE72" s="139">
        <v>0</v>
      </c>
      <c r="DF72" s="139">
        <v>0</v>
      </c>
      <c r="DG72" s="139">
        <v>0</v>
      </c>
      <c r="DH72" s="139">
        <v>469603</v>
      </c>
      <c r="DI72" s="139">
        <v>89986</v>
      </c>
      <c r="DJ72" s="139">
        <v>31795</v>
      </c>
      <c r="DK72" s="139">
        <v>6582</v>
      </c>
      <c r="DL72" s="139">
        <v>1480039</v>
      </c>
      <c r="DM72" s="139">
        <v>2078005</v>
      </c>
      <c r="DN72" s="139">
        <v>0</v>
      </c>
      <c r="DO72" s="139">
        <v>0</v>
      </c>
      <c r="DP72" s="139">
        <v>0</v>
      </c>
      <c r="DQ72" s="139">
        <v>0</v>
      </c>
      <c r="DR72" s="139">
        <v>6453081</v>
      </c>
      <c r="DS72" s="139">
        <v>6453081</v>
      </c>
      <c r="DT72" s="139">
        <v>0</v>
      </c>
      <c r="DU72" s="139">
        <v>0</v>
      </c>
      <c r="DV72" s="139">
        <v>0</v>
      </c>
      <c r="DW72" s="139">
        <v>17174</v>
      </c>
      <c r="DX72" s="139">
        <v>123125</v>
      </c>
      <c r="DY72" s="139">
        <v>140299</v>
      </c>
      <c r="DZ72" s="139">
        <v>278991</v>
      </c>
      <c r="EA72" s="139">
        <v>109900</v>
      </c>
      <c r="EB72" s="139">
        <v>96652</v>
      </c>
      <c r="EC72" s="139">
        <v>103409</v>
      </c>
      <c r="ED72" s="139">
        <v>864460</v>
      </c>
      <c r="EE72" s="139">
        <v>1453412</v>
      </c>
      <c r="EF72" s="139">
        <v>43864</v>
      </c>
      <c r="EG72" s="139">
        <v>5202</v>
      </c>
      <c r="EH72" s="139">
        <v>0</v>
      </c>
      <c r="EI72" s="139">
        <v>27</v>
      </c>
      <c r="EJ72" s="139">
        <v>2027542</v>
      </c>
      <c r="EK72" s="139">
        <v>2076635</v>
      </c>
      <c r="EL72" s="139">
        <v>19834394</v>
      </c>
      <c r="EM72" s="139">
        <v>9510008</v>
      </c>
      <c r="EN72" s="139">
        <v>747240</v>
      </c>
      <c r="EO72" s="139">
        <v>3346070</v>
      </c>
      <c r="EP72" s="139">
        <v>37934494</v>
      </c>
      <c r="EQ72" s="139">
        <v>71372206</v>
      </c>
      <c r="ER72" s="139">
        <v>3986548</v>
      </c>
      <c r="ES72" s="139">
        <v>400867</v>
      </c>
      <c r="ET72" s="139">
        <v>488242</v>
      </c>
      <c r="EU72" s="139">
        <v>5754448</v>
      </c>
      <c r="EV72" s="139">
        <v>115061</v>
      </c>
      <c r="EW72" s="139">
        <v>10745166</v>
      </c>
      <c r="EX72" s="139">
        <v>1350000</v>
      </c>
      <c r="EY72" s="139">
        <v>627106</v>
      </c>
      <c r="EZ72" s="139">
        <v>42963</v>
      </c>
      <c r="FA72" s="139">
        <v>65344</v>
      </c>
      <c r="FB72" s="139">
        <v>0</v>
      </c>
      <c r="FC72" s="139">
        <v>2085413</v>
      </c>
      <c r="FD72" s="139">
        <v>4838672</v>
      </c>
      <c r="FE72" s="139">
        <v>3121033</v>
      </c>
      <c r="FF72" s="139">
        <v>983154</v>
      </c>
      <c r="FG72" s="139">
        <v>3498775</v>
      </c>
      <c r="FH72" s="139">
        <v>0</v>
      </c>
      <c r="FI72" s="139">
        <v>12441634</v>
      </c>
      <c r="FJ72" s="139">
        <v>48731</v>
      </c>
      <c r="FK72" s="139">
        <v>17394</v>
      </c>
      <c r="FL72" s="139">
        <v>12385</v>
      </c>
      <c r="FM72" s="139">
        <v>12135</v>
      </c>
      <c r="FN72" s="139">
        <v>0</v>
      </c>
      <c r="FO72" s="139">
        <v>90645</v>
      </c>
      <c r="FP72" s="139">
        <v>695655</v>
      </c>
      <c r="FQ72" s="139">
        <v>324733</v>
      </c>
      <c r="FR72" s="139">
        <v>245044</v>
      </c>
      <c r="FS72" s="139">
        <v>534301</v>
      </c>
      <c r="FT72" s="139">
        <v>12327882</v>
      </c>
      <c r="FU72" s="139">
        <v>14127615</v>
      </c>
      <c r="FV72" s="139">
        <v>0</v>
      </c>
      <c r="FW72" s="139">
        <v>0</v>
      </c>
      <c r="FX72" s="139">
        <v>0</v>
      </c>
      <c r="FY72" s="139">
        <v>0</v>
      </c>
      <c r="FZ72" s="139">
        <v>48671</v>
      </c>
      <c r="GA72" s="139">
        <v>48671</v>
      </c>
      <c r="GB72" s="139">
        <v>0</v>
      </c>
      <c r="GC72" s="139">
        <v>0</v>
      </c>
      <c r="GD72" s="139">
        <v>0</v>
      </c>
      <c r="GE72" s="139">
        <v>0</v>
      </c>
      <c r="GF72" s="139">
        <v>0</v>
      </c>
      <c r="GG72" s="139">
        <v>0</v>
      </c>
      <c r="GH72" s="139">
        <v>406384</v>
      </c>
      <c r="GI72" s="139">
        <v>197206</v>
      </c>
      <c r="GJ72" s="139">
        <v>128386</v>
      </c>
      <c r="GK72" s="139">
        <v>411877</v>
      </c>
      <c r="GL72" s="139">
        <v>0</v>
      </c>
      <c r="GM72" s="139">
        <v>1143853</v>
      </c>
      <c r="GN72" s="139">
        <v>1485044</v>
      </c>
      <c r="GO72" s="139">
        <v>708171</v>
      </c>
      <c r="GP72" s="139">
        <v>515880</v>
      </c>
      <c r="GQ72" s="139">
        <v>2147463</v>
      </c>
      <c r="GR72" s="139">
        <v>36518</v>
      </c>
      <c r="GS72" s="139">
        <v>4893076</v>
      </c>
      <c r="GT72" s="139">
        <v>385745</v>
      </c>
      <c r="GU72" s="139">
        <v>116052</v>
      </c>
      <c r="GV72" s="139">
        <v>109427</v>
      </c>
      <c r="GW72" s="139">
        <v>661785</v>
      </c>
      <c r="GX72" s="139">
        <v>243857</v>
      </c>
      <c r="GY72" s="139">
        <v>1516866</v>
      </c>
      <c r="GZ72" s="139">
        <v>1305450</v>
      </c>
      <c r="HA72" s="139">
        <v>581738</v>
      </c>
      <c r="HB72" s="139">
        <v>359439</v>
      </c>
      <c r="HC72" s="139">
        <v>326218</v>
      </c>
      <c r="HD72" s="139">
        <v>30836</v>
      </c>
      <c r="HE72" s="139">
        <v>2603681</v>
      </c>
      <c r="HF72" s="139">
        <v>197629</v>
      </c>
      <c r="HG72" s="139">
        <v>112413</v>
      </c>
      <c r="HH72" s="139">
        <v>88783</v>
      </c>
      <c r="HI72" s="139">
        <v>53184</v>
      </c>
      <c r="HJ72" s="139">
        <v>2998805</v>
      </c>
      <c r="HK72" s="139">
        <v>3450814</v>
      </c>
      <c r="HL72" s="139">
        <v>0</v>
      </c>
      <c r="HM72" s="139">
        <v>0</v>
      </c>
      <c r="HN72" s="139">
        <v>0</v>
      </c>
      <c r="HO72" s="139">
        <v>0</v>
      </c>
      <c r="HP72" s="139">
        <v>6849</v>
      </c>
      <c r="HQ72" s="139">
        <v>6849</v>
      </c>
      <c r="HR72" s="139">
        <v>236472</v>
      </c>
      <c r="HS72" s="139">
        <v>16128</v>
      </c>
      <c r="HT72" s="139">
        <v>3242</v>
      </c>
      <c r="HU72" s="139">
        <v>1051727</v>
      </c>
      <c r="HV72" s="139">
        <v>14793312</v>
      </c>
      <c r="HW72" s="139">
        <v>16100881</v>
      </c>
      <c r="HX72" s="139">
        <v>0</v>
      </c>
      <c r="HY72" s="139">
        <v>0</v>
      </c>
      <c r="HZ72" s="139">
        <v>0</v>
      </c>
      <c r="IA72" s="139">
        <v>0</v>
      </c>
      <c r="IB72" s="139">
        <v>83674</v>
      </c>
      <c r="IC72" s="139">
        <v>83674</v>
      </c>
      <c r="ID72" s="139">
        <v>0</v>
      </c>
      <c r="IE72" s="139">
        <v>0</v>
      </c>
      <c r="IF72" s="139">
        <v>0</v>
      </c>
      <c r="IG72" s="139">
        <v>0</v>
      </c>
      <c r="IH72" s="139">
        <v>0</v>
      </c>
      <c r="II72" s="139">
        <v>0</v>
      </c>
      <c r="IJ72" s="139">
        <v>23962</v>
      </c>
      <c r="IK72" s="139">
        <v>7097</v>
      </c>
      <c r="IL72" s="139">
        <v>3468</v>
      </c>
      <c r="IM72" s="139">
        <v>26810</v>
      </c>
      <c r="IN72" s="139">
        <v>1012528</v>
      </c>
      <c r="IO72" s="139">
        <v>1073865</v>
      </c>
      <c r="IP72" s="139">
        <v>2400</v>
      </c>
      <c r="IQ72" s="139">
        <v>185</v>
      </c>
      <c r="IR72" s="139">
        <v>100</v>
      </c>
      <c r="IS72" s="139">
        <v>7065</v>
      </c>
      <c r="IT72" s="139">
        <v>99832</v>
      </c>
      <c r="IU72" s="139">
        <v>109582</v>
      </c>
      <c r="IV72" s="139">
        <v>414747</v>
      </c>
      <c r="IW72" s="139">
        <v>172904</v>
      </c>
      <c r="IX72" s="139">
        <v>105422</v>
      </c>
      <c r="IY72" s="139">
        <v>474703</v>
      </c>
      <c r="IZ72" s="139">
        <v>2914695</v>
      </c>
      <c r="JA72" s="139">
        <v>4082471</v>
      </c>
      <c r="JB72" s="139">
        <v>15377439</v>
      </c>
      <c r="JC72" s="139">
        <v>6403027</v>
      </c>
      <c r="JD72" s="139">
        <v>3085935</v>
      </c>
      <c r="JE72" s="139">
        <v>15025835</v>
      </c>
      <c r="JF72" s="139">
        <v>34712520</v>
      </c>
      <c r="JG72" s="139">
        <v>74604756</v>
      </c>
      <c r="JH72" s="139">
        <v>0</v>
      </c>
      <c r="JI72" s="139">
        <v>0</v>
      </c>
      <c r="JJ72" s="139">
        <v>0</v>
      </c>
      <c r="JK72" s="139">
        <v>0</v>
      </c>
      <c r="JL72" s="139">
        <v>1716728</v>
      </c>
      <c r="JM72" s="139">
        <v>1716728</v>
      </c>
      <c r="JN72" s="139">
        <v>15377439</v>
      </c>
      <c r="JO72" s="139">
        <v>6403027</v>
      </c>
      <c r="JP72" s="139">
        <v>3085935</v>
      </c>
      <c r="JQ72" s="139">
        <v>15025835</v>
      </c>
      <c r="JR72" s="139">
        <v>36429248</v>
      </c>
      <c r="JS72" s="139">
        <v>76321484</v>
      </c>
      <c r="JU72" s="70">
        <f t="shared" si="158"/>
        <v>14421078</v>
      </c>
      <c r="JV72" s="70">
        <f t="shared" si="159"/>
        <v>0</v>
      </c>
      <c r="JW72" s="70">
        <f t="shared" si="160"/>
        <v>0</v>
      </c>
      <c r="JX72" s="70">
        <f t="shared" si="161"/>
        <v>0</v>
      </c>
      <c r="JY72" s="70">
        <f t="shared" si="162"/>
        <v>400000</v>
      </c>
      <c r="JZ72" s="70">
        <f t="shared" si="163"/>
        <v>0</v>
      </c>
      <c r="KA72" s="70">
        <f t="shared" si="164"/>
        <v>15281636</v>
      </c>
      <c r="KB72" s="70">
        <f t="shared" si="165"/>
        <v>0</v>
      </c>
      <c r="KC72" s="70">
        <f t="shared" si="166"/>
        <v>139316</v>
      </c>
      <c r="KD72" s="70">
        <f t="shared" si="167"/>
        <v>0</v>
      </c>
      <c r="KE72" s="70">
        <f t="shared" si="168"/>
        <v>0</v>
      </c>
      <c r="KF72" s="70">
        <f t="shared" si="169"/>
        <v>0</v>
      </c>
      <c r="KG72" s="70">
        <f t="shared" si="170"/>
        <v>0</v>
      </c>
      <c r="KH72" s="70">
        <f t="shared" si="171"/>
        <v>0</v>
      </c>
      <c r="KI72" s="70">
        <f t="shared" si="172"/>
        <v>0</v>
      </c>
      <c r="KJ72" s="70">
        <f t="shared" si="173"/>
        <v>0</v>
      </c>
      <c r="KK72" s="70">
        <f t="shared" si="174"/>
        <v>28928744</v>
      </c>
      <c r="KL72" s="70">
        <f t="shared" si="175"/>
        <v>0</v>
      </c>
      <c r="KM72" s="70">
        <f t="shared" si="176"/>
        <v>0</v>
      </c>
      <c r="KN72" s="70">
        <f t="shared" si="177"/>
        <v>0</v>
      </c>
      <c r="KO72" s="70">
        <f t="shared" si="178"/>
        <v>2078005</v>
      </c>
      <c r="KP72" s="70">
        <f t="shared" si="179"/>
        <v>0</v>
      </c>
      <c r="KQ72" s="70">
        <f t="shared" si="180"/>
        <v>6453081</v>
      </c>
      <c r="KR72" s="70">
        <f t="shared" si="181"/>
        <v>0</v>
      </c>
      <c r="KS72" s="70">
        <f t="shared" si="182"/>
        <v>140299</v>
      </c>
      <c r="KT72" s="70">
        <f t="shared" si="183"/>
        <v>0</v>
      </c>
      <c r="KU72" s="70">
        <f t="shared" si="184"/>
        <v>1453412</v>
      </c>
      <c r="KV72" s="70">
        <f t="shared" si="185"/>
        <v>0</v>
      </c>
      <c r="KW72" s="70">
        <f t="shared" si="186"/>
        <v>2076635</v>
      </c>
      <c r="KX72" s="70">
        <f t="shared" si="187"/>
        <v>0</v>
      </c>
      <c r="KY72" s="70">
        <f t="shared" si="188"/>
        <v>71372206</v>
      </c>
      <c r="KZ72" s="70">
        <f t="shared" si="189"/>
        <v>0</v>
      </c>
      <c r="LA72" s="70">
        <f t="shared" si="190"/>
        <v>10745166</v>
      </c>
      <c r="LB72" s="70">
        <f t="shared" si="191"/>
        <v>0</v>
      </c>
      <c r="LC72" s="70">
        <f t="shared" si="192"/>
        <v>2085413</v>
      </c>
      <c r="LD72" s="70">
        <f t="shared" si="193"/>
        <v>0</v>
      </c>
      <c r="LE72" s="70">
        <f t="shared" si="194"/>
        <v>12441634</v>
      </c>
      <c r="LF72" s="70">
        <f t="shared" si="195"/>
        <v>0</v>
      </c>
      <c r="LG72" s="70">
        <f t="shared" si="155"/>
        <v>90645</v>
      </c>
      <c r="LH72" s="70">
        <f t="shared" si="156"/>
        <v>0</v>
      </c>
      <c r="LI72" s="70">
        <f t="shared" si="196"/>
        <v>14127615</v>
      </c>
      <c r="LJ72" s="70">
        <f t="shared" si="197"/>
        <v>0</v>
      </c>
      <c r="LK72" s="70">
        <f t="shared" si="198"/>
        <v>48671</v>
      </c>
      <c r="LL72" s="70">
        <f t="shared" si="199"/>
        <v>0</v>
      </c>
      <c r="LM72" s="70">
        <f t="shared" si="200"/>
        <v>0</v>
      </c>
      <c r="LN72" s="70">
        <f t="shared" si="201"/>
        <v>0</v>
      </c>
      <c r="LO72" s="70">
        <f t="shared" si="202"/>
        <v>1143853</v>
      </c>
      <c r="LP72" s="70">
        <f t="shared" si="203"/>
        <v>0</v>
      </c>
      <c r="LQ72" s="70">
        <f t="shared" si="204"/>
        <v>4893076</v>
      </c>
      <c r="LR72" s="70">
        <f t="shared" si="205"/>
        <v>0</v>
      </c>
      <c r="LS72" s="70">
        <f t="shared" si="206"/>
        <v>1516866</v>
      </c>
      <c r="LT72" s="70">
        <f t="shared" si="207"/>
        <v>0</v>
      </c>
      <c r="LU72" s="70">
        <f t="shared" si="208"/>
        <v>2603681</v>
      </c>
      <c r="LV72" s="70">
        <f t="shared" si="209"/>
        <v>0</v>
      </c>
      <c r="LW72" s="70">
        <f t="shared" si="210"/>
        <v>3450814</v>
      </c>
      <c r="LX72" s="70">
        <f t="shared" si="211"/>
        <v>0</v>
      </c>
      <c r="LY72" s="70">
        <f t="shared" si="212"/>
        <v>6849</v>
      </c>
      <c r="LZ72" s="70">
        <f t="shared" si="213"/>
        <v>0</v>
      </c>
      <c r="MA72" s="70">
        <f t="shared" si="214"/>
        <v>16100881</v>
      </c>
      <c r="MB72" s="70">
        <f t="shared" si="215"/>
        <v>0</v>
      </c>
      <c r="MC72" s="70">
        <f t="shared" si="216"/>
        <v>83674</v>
      </c>
      <c r="MD72" s="70">
        <f t="shared" si="217"/>
        <v>0</v>
      </c>
      <c r="ME72" s="70">
        <f t="shared" si="218"/>
        <v>0</v>
      </c>
      <c r="MF72" s="70">
        <f t="shared" si="219"/>
        <v>0</v>
      </c>
      <c r="MG72" s="70">
        <f t="shared" si="220"/>
        <v>1073865</v>
      </c>
      <c r="MH72" s="70">
        <f t="shared" si="221"/>
        <v>0</v>
      </c>
      <c r="MI72" s="70">
        <f t="shared" si="222"/>
        <v>109582</v>
      </c>
      <c r="MJ72" s="70">
        <f t="shared" si="223"/>
        <v>0</v>
      </c>
      <c r="MK72" s="70">
        <f t="shared" si="224"/>
        <v>4082471</v>
      </c>
      <c r="ML72" s="70">
        <f t="shared" si="225"/>
        <v>0</v>
      </c>
      <c r="MM72" s="70">
        <f t="shared" si="226"/>
        <v>74604756</v>
      </c>
      <c r="MN72" s="70">
        <f t="shared" si="227"/>
        <v>0</v>
      </c>
      <c r="MO72" s="70">
        <f t="shared" si="228"/>
        <v>1716728</v>
      </c>
      <c r="MP72" s="70">
        <f t="shared" si="229"/>
        <v>0</v>
      </c>
      <c r="MQ72" s="70">
        <f t="shared" si="230"/>
        <v>76321484</v>
      </c>
      <c r="MR72" s="70">
        <f t="shared" si="231"/>
        <v>0</v>
      </c>
      <c r="MT72" s="70">
        <f t="shared" si="232"/>
        <v>0</v>
      </c>
      <c r="MV72" s="68">
        <f t="shared" si="233"/>
        <v>0</v>
      </c>
      <c r="NG72" s="80"/>
    </row>
    <row r="73" spans="1:371" x14ac:dyDescent="0.15">
      <c r="A73" s="183" t="s">
        <v>356</v>
      </c>
      <c r="B73" s="76" t="s">
        <v>426</v>
      </c>
      <c r="C73" s="90">
        <v>199193</v>
      </c>
      <c r="D73" s="90">
        <v>2014</v>
      </c>
      <c r="E73" s="90">
        <v>1</v>
      </c>
      <c r="F73" s="91">
        <v>3</v>
      </c>
      <c r="G73" s="92">
        <v>15908</v>
      </c>
      <c r="H73" s="92">
        <v>15722</v>
      </c>
      <c r="I73" s="93">
        <v>3360116000</v>
      </c>
      <c r="J73" s="93">
        <v>1985392000</v>
      </c>
      <c r="K73" s="93">
        <v>4952146</v>
      </c>
      <c r="L73" s="93">
        <v>6040406</v>
      </c>
      <c r="M73" s="93">
        <v>145105470</v>
      </c>
      <c r="N73" s="93">
        <v>94153878</v>
      </c>
      <c r="O73" s="93">
        <v>90555000</v>
      </c>
      <c r="P73" s="93">
        <v>92985000</v>
      </c>
      <c r="Q73" s="93">
        <v>2073308045</v>
      </c>
      <c r="R73" s="93">
        <v>1120651939</v>
      </c>
      <c r="S73" s="93">
        <v>2452965000</v>
      </c>
      <c r="T73" s="93">
        <v>1706005000</v>
      </c>
      <c r="U73" s="93">
        <v>26871</v>
      </c>
      <c r="V73" s="93">
        <v>26238</v>
      </c>
      <c r="W73" s="93">
        <v>40895</v>
      </c>
      <c r="X73" s="93">
        <v>39532</v>
      </c>
      <c r="Y73" s="93">
        <v>29950</v>
      </c>
      <c r="Z73" s="93">
        <v>29050</v>
      </c>
      <c r="AA73" s="93">
        <v>43670</v>
      </c>
      <c r="AB73" s="93">
        <v>42090</v>
      </c>
      <c r="AC73" s="114">
        <v>10</v>
      </c>
      <c r="AD73" s="114">
        <v>14</v>
      </c>
      <c r="AE73" s="114">
        <v>0</v>
      </c>
      <c r="AF73" s="115">
        <v>5556394</v>
      </c>
      <c r="AG73" s="115">
        <v>5067106</v>
      </c>
      <c r="AH73" s="115">
        <v>673523</v>
      </c>
      <c r="AI73" s="115">
        <v>295728</v>
      </c>
      <c r="AJ73" s="115"/>
      <c r="AK73" s="116"/>
      <c r="AL73" s="115"/>
      <c r="AM73" s="116"/>
      <c r="AN73" s="115"/>
      <c r="AO73" s="116"/>
      <c r="AP73" s="115"/>
      <c r="AQ73" s="116"/>
      <c r="AR73" s="115"/>
      <c r="AS73" s="116"/>
      <c r="AT73" s="115"/>
      <c r="AU73" s="116"/>
      <c r="AV73" s="115"/>
      <c r="AW73" s="116"/>
      <c r="AX73" s="115"/>
      <c r="AY73" s="116"/>
      <c r="AZ73" s="139">
        <v>8767194</v>
      </c>
      <c r="BA73" s="139">
        <v>1306028</v>
      </c>
      <c r="BB73" s="139">
        <v>290030</v>
      </c>
      <c r="BC73" s="139">
        <v>103237</v>
      </c>
      <c r="BD73" s="139">
        <v>0</v>
      </c>
      <c r="BE73" s="139">
        <v>10466489</v>
      </c>
      <c r="BF73" s="139">
        <v>0</v>
      </c>
      <c r="BG73" s="139">
        <v>0</v>
      </c>
      <c r="BH73" s="139">
        <v>1138608</v>
      </c>
      <c r="BI73" s="139">
        <v>3670780</v>
      </c>
      <c r="BJ73" s="139">
        <v>5513702</v>
      </c>
      <c r="BK73" s="139">
        <v>10323090</v>
      </c>
      <c r="BL73" s="139">
        <v>275000</v>
      </c>
      <c r="BM73" s="139">
        <v>0</v>
      </c>
      <c r="BN73" s="139">
        <v>0</v>
      </c>
      <c r="BO73" s="139">
        <v>0</v>
      </c>
      <c r="BP73" s="139">
        <v>0</v>
      </c>
      <c r="BQ73" s="139">
        <v>275000</v>
      </c>
      <c r="BR73" s="139">
        <v>1003513</v>
      </c>
      <c r="BS73" s="139">
        <v>152295</v>
      </c>
      <c r="BT73" s="139">
        <v>63077</v>
      </c>
      <c r="BU73" s="139">
        <v>647471</v>
      </c>
      <c r="BV73" s="139">
        <v>6247636</v>
      </c>
      <c r="BW73" s="139">
        <v>8113992</v>
      </c>
      <c r="BX73" s="139">
        <v>58250</v>
      </c>
      <c r="BY73" s="139">
        <v>21500</v>
      </c>
      <c r="BZ73" s="139">
        <v>138600</v>
      </c>
      <c r="CA73" s="139">
        <v>615797</v>
      </c>
      <c r="CB73" s="139">
        <v>125465</v>
      </c>
      <c r="CC73" s="139">
        <v>959612</v>
      </c>
      <c r="CD73" s="139">
        <v>0</v>
      </c>
      <c r="CE73" s="139">
        <v>0</v>
      </c>
      <c r="CF73" s="139">
        <v>0</v>
      </c>
      <c r="CG73" s="139">
        <v>0</v>
      </c>
      <c r="CH73" s="139">
        <v>16228</v>
      </c>
      <c r="CI73" s="139">
        <v>16228</v>
      </c>
      <c r="CJ73" s="139">
        <v>0</v>
      </c>
      <c r="CK73" s="139">
        <v>0</v>
      </c>
      <c r="CL73" s="139">
        <v>909669</v>
      </c>
      <c r="CM73" s="139">
        <v>9483666</v>
      </c>
      <c r="CN73" s="139">
        <v>15608012</v>
      </c>
      <c r="CO73" s="139">
        <v>26001347</v>
      </c>
      <c r="CP73" s="139">
        <v>0</v>
      </c>
      <c r="CQ73" s="139">
        <v>0</v>
      </c>
      <c r="CR73" s="139">
        <v>0</v>
      </c>
      <c r="CS73" s="139">
        <v>0</v>
      </c>
      <c r="CT73" s="139">
        <v>0</v>
      </c>
      <c r="CU73" s="139">
        <v>0</v>
      </c>
      <c r="CV73" s="139">
        <v>4266447</v>
      </c>
      <c r="CW73" s="139">
        <v>3026283</v>
      </c>
      <c r="CX73" s="139">
        <v>37991</v>
      </c>
      <c r="CY73" s="139">
        <v>0</v>
      </c>
      <c r="CZ73" s="139">
        <v>1938745</v>
      </c>
      <c r="DA73" s="139">
        <v>9269466</v>
      </c>
      <c r="DB73" s="139">
        <v>0</v>
      </c>
      <c r="DC73" s="139">
        <v>0</v>
      </c>
      <c r="DD73" s="139">
        <v>0</v>
      </c>
      <c r="DE73" s="139">
        <v>0</v>
      </c>
      <c r="DF73" s="139">
        <v>0</v>
      </c>
      <c r="DG73" s="139">
        <v>0</v>
      </c>
      <c r="DH73" s="139">
        <v>1543288</v>
      </c>
      <c r="DI73" s="139">
        <v>270472</v>
      </c>
      <c r="DJ73" s="139">
        <v>90157</v>
      </c>
      <c r="DK73" s="139">
        <v>0</v>
      </c>
      <c r="DL73" s="139">
        <v>0</v>
      </c>
      <c r="DM73" s="139">
        <v>1903917</v>
      </c>
      <c r="DN73" s="139">
        <v>5313058</v>
      </c>
      <c r="DO73" s="139">
        <v>1009941</v>
      </c>
      <c r="DP73" s="139">
        <v>1009941</v>
      </c>
      <c r="DQ73" s="139">
        <v>0</v>
      </c>
      <c r="DR73" s="139">
        <v>345109</v>
      </c>
      <c r="DS73" s="139">
        <v>7678049</v>
      </c>
      <c r="DT73" s="139">
        <v>0</v>
      </c>
      <c r="DU73" s="139">
        <v>0</v>
      </c>
      <c r="DV73" s="139">
        <v>0</v>
      </c>
      <c r="DW73" s="139">
        <v>0</v>
      </c>
      <c r="DX73" s="139">
        <v>8678</v>
      </c>
      <c r="DY73" s="139">
        <v>8678</v>
      </c>
      <c r="DZ73" s="139">
        <v>384633</v>
      </c>
      <c r="EA73" s="139">
        <v>78218</v>
      </c>
      <c r="EB73" s="139">
        <v>59120</v>
      </c>
      <c r="EC73" s="139">
        <v>156722</v>
      </c>
      <c r="ED73" s="139">
        <v>297945</v>
      </c>
      <c r="EE73" s="139">
        <v>976638</v>
      </c>
      <c r="EF73" s="139">
        <v>84317</v>
      </c>
      <c r="EG73" s="139">
        <v>80986</v>
      </c>
      <c r="EH73" s="139">
        <v>0</v>
      </c>
      <c r="EI73" s="139">
        <v>88765</v>
      </c>
      <c r="EJ73" s="139">
        <v>409765</v>
      </c>
      <c r="EK73" s="139">
        <v>663833</v>
      </c>
      <c r="EL73" s="139">
        <v>21695700</v>
      </c>
      <c r="EM73" s="139">
        <v>5945723</v>
      </c>
      <c r="EN73" s="139">
        <v>3737193</v>
      </c>
      <c r="EO73" s="139">
        <v>14766438</v>
      </c>
      <c r="EP73" s="139">
        <v>30511285</v>
      </c>
      <c r="EQ73" s="139">
        <v>76656339</v>
      </c>
      <c r="ER73" s="139">
        <v>3321737</v>
      </c>
      <c r="ES73" s="139">
        <v>545754</v>
      </c>
      <c r="ET73" s="139">
        <v>458167</v>
      </c>
      <c r="EU73" s="139">
        <v>6297842</v>
      </c>
      <c r="EV73" s="139">
        <v>0</v>
      </c>
      <c r="EW73" s="139">
        <v>10623500</v>
      </c>
      <c r="EX73" s="139">
        <v>1480000</v>
      </c>
      <c r="EY73" s="139">
        <v>310000</v>
      </c>
      <c r="EZ73" s="139">
        <v>78000</v>
      </c>
      <c r="FA73" s="139">
        <v>0</v>
      </c>
      <c r="FB73" s="139">
        <v>0</v>
      </c>
      <c r="FC73" s="139">
        <v>1868000</v>
      </c>
      <c r="FD73" s="139">
        <v>3390710</v>
      </c>
      <c r="FE73" s="139">
        <v>1733104</v>
      </c>
      <c r="FF73" s="139">
        <v>1561850</v>
      </c>
      <c r="FG73" s="139">
        <v>3750277</v>
      </c>
      <c r="FH73" s="139">
        <v>0</v>
      </c>
      <c r="FI73" s="139">
        <v>10435941</v>
      </c>
      <c r="FJ73" s="139">
        <v>26250</v>
      </c>
      <c r="FK73" s="139">
        <v>17000</v>
      </c>
      <c r="FL73" s="139">
        <v>134500</v>
      </c>
      <c r="FM73" s="139">
        <v>613297</v>
      </c>
      <c r="FN73" s="139">
        <v>0</v>
      </c>
      <c r="FO73" s="139">
        <v>791047</v>
      </c>
      <c r="FP73" s="139">
        <v>2045803</v>
      </c>
      <c r="FQ73" s="139">
        <v>514811</v>
      </c>
      <c r="FR73" s="139">
        <v>354200</v>
      </c>
      <c r="FS73" s="139">
        <v>370265</v>
      </c>
      <c r="FT73" s="139">
        <v>6847471</v>
      </c>
      <c r="FU73" s="139">
        <v>10132550</v>
      </c>
      <c r="FV73" s="139">
        <v>32000</v>
      </c>
      <c r="FW73" s="139">
        <v>4500</v>
      </c>
      <c r="FX73" s="139">
        <v>4100</v>
      </c>
      <c r="FY73" s="139">
        <v>2500</v>
      </c>
      <c r="FZ73" s="139">
        <v>125465</v>
      </c>
      <c r="GA73" s="139">
        <v>168565</v>
      </c>
      <c r="GB73" s="139">
        <v>0</v>
      </c>
      <c r="GC73" s="139">
        <v>0</v>
      </c>
      <c r="GD73" s="139">
        <v>0</v>
      </c>
      <c r="GE73" s="139">
        <v>0</v>
      </c>
      <c r="GF73" s="139">
        <v>0</v>
      </c>
      <c r="GG73" s="139">
        <v>0</v>
      </c>
      <c r="GH73" s="139">
        <v>482220</v>
      </c>
      <c r="GI73" s="139">
        <v>111178</v>
      </c>
      <c r="GJ73" s="139">
        <v>119645</v>
      </c>
      <c r="GK73" s="139">
        <v>256208</v>
      </c>
      <c r="GL73" s="139">
        <v>0</v>
      </c>
      <c r="GM73" s="139">
        <v>969251</v>
      </c>
      <c r="GN73" s="139">
        <v>2444403</v>
      </c>
      <c r="GO73" s="139">
        <v>669015</v>
      </c>
      <c r="GP73" s="139">
        <v>585567</v>
      </c>
      <c r="GQ73" s="139">
        <v>2109684</v>
      </c>
      <c r="GR73" s="139">
        <v>3772</v>
      </c>
      <c r="GS73" s="139">
        <v>5812441</v>
      </c>
      <c r="GT73" s="139">
        <v>802212</v>
      </c>
      <c r="GU73" s="139">
        <v>77242</v>
      </c>
      <c r="GV73" s="139">
        <v>33601</v>
      </c>
      <c r="GW73" s="139">
        <v>592591</v>
      </c>
      <c r="GX73" s="139">
        <v>31730</v>
      </c>
      <c r="GY73" s="139">
        <v>1537376</v>
      </c>
      <c r="GZ73" s="139">
        <v>3240404</v>
      </c>
      <c r="HA73" s="139">
        <v>443199</v>
      </c>
      <c r="HB73" s="139">
        <v>318120</v>
      </c>
      <c r="HC73" s="139">
        <v>133263</v>
      </c>
      <c r="HD73" s="139">
        <v>0</v>
      </c>
      <c r="HE73" s="139">
        <v>4134986</v>
      </c>
      <c r="HF73" s="139">
        <v>145327</v>
      </c>
      <c r="HG73" s="139">
        <v>29108</v>
      </c>
      <c r="HH73" s="139">
        <v>7768</v>
      </c>
      <c r="HI73" s="139">
        <v>61477</v>
      </c>
      <c r="HJ73" s="139">
        <v>2269867</v>
      </c>
      <c r="HK73" s="139">
        <v>2513547</v>
      </c>
      <c r="HL73" s="139">
        <v>0</v>
      </c>
      <c r="HM73" s="139">
        <v>0</v>
      </c>
      <c r="HN73" s="139">
        <v>0</v>
      </c>
      <c r="HO73" s="139">
        <v>0</v>
      </c>
      <c r="HP73" s="139">
        <v>8678</v>
      </c>
      <c r="HQ73" s="139">
        <v>8678</v>
      </c>
      <c r="HR73" s="139">
        <v>366319</v>
      </c>
      <c r="HS73" s="139">
        <v>69519</v>
      </c>
      <c r="HT73" s="139">
        <v>0</v>
      </c>
      <c r="HU73" s="139">
        <v>134892</v>
      </c>
      <c r="HV73" s="139">
        <v>10402443</v>
      </c>
      <c r="HW73" s="139">
        <v>10973173</v>
      </c>
      <c r="HX73" s="139">
        <v>0</v>
      </c>
      <c r="HY73" s="139">
        <v>0</v>
      </c>
      <c r="HZ73" s="139">
        <v>0</v>
      </c>
      <c r="IA73" s="139">
        <v>0</v>
      </c>
      <c r="IB73" s="139">
        <v>633404</v>
      </c>
      <c r="IC73" s="139">
        <v>633404</v>
      </c>
      <c r="ID73" s="139">
        <v>0</v>
      </c>
      <c r="IE73" s="139">
        <v>0</v>
      </c>
      <c r="IF73" s="139">
        <v>0</v>
      </c>
      <c r="IG73" s="139">
        <v>0</v>
      </c>
      <c r="IH73" s="139">
        <v>0</v>
      </c>
      <c r="II73" s="139">
        <v>0</v>
      </c>
      <c r="IJ73" s="139">
        <v>0</v>
      </c>
      <c r="IK73" s="139">
        <v>0</v>
      </c>
      <c r="IL73" s="139">
        <v>0</v>
      </c>
      <c r="IM73" s="139">
        <v>0</v>
      </c>
      <c r="IN73" s="139">
        <v>2482998</v>
      </c>
      <c r="IO73" s="139">
        <v>2482998</v>
      </c>
      <c r="IP73" s="139">
        <v>3330</v>
      </c>
      <c r="IQ73" s="139">
        <v>1595</v>
      </c>
      <c r="IR73" s="139">
        <v>2655</v>
      </c>
      <c r="IS73" s="139">
        <v>10680</v>
      </c>
      <c r="IT73" s="139">
        <v>6518070</v>
      </c>
      <c r="IU73" s="139">
        <v>6536330</v>
      </c>
      <c r="IV73" s="139">
        <v>1918949</v>
      </c>
      <c r="IW73" s="139">
        <v>217407</v>
      </c>
      <c r="IX73" s="139">
        <v>79020</v>
      </c>
      <c r="IY73" s="139">
        <v>433462</v>
      </c>
      <c r="IZ73" s="139">
        <v>4385714</v>
      </c>
      <c r="JA73" s="139">
        <v>7034552</v>
      </c>
      <c r="JB73" s="139">
        <v>19699664</v>
      </c>
      <c r="JC73" s="139">
        <v>4743432</v>
      </c>
      <c r="JD73" s="139">
        <v>3737193</v>
      </c>
      <c r="JE73" s="139">
        <v>14766438</v>
      </c>
      <c r="JF73" s="139">
        <v>33709612</v>
      </c>
      <c r="JG73" s="139">
        <v>76656339</v>
      </c>
      <c r="JH73" s="139">
        <v>0</v>
      </c>
      <c r="JI73" s="139">
        <v>0</v>
      </c>
      <c r="JJ73" s="139">
        <v>0</v>
      </c>
      <c r="JK73" s="139">
        <v>0</v>
      </c>
      <c r="JL73" s="139">
        <v>0</v>
      </c>
      <c r="JM73" s="139">
        <v>0</v>
      </c>
      <c r="JN73" s="139">
        <v>19699664</v>
      </c>
      <c r="JO73" s="139">
        <v>4743432</v>
      </c>
      <c r="JP73" s="139">
        <v>3737193</v>
      </c>
      <c r="JQ73" s="139">
        <v>14766438</v>
      </c>
      <c r="JR73" s="139">
        <v>33709612</v>
      </c>
      <c r="JS73" s="139">
        <v>76656339</v>
      </c>
      <c r="JU73" s="70">
        <f t="shared" si="158"/>
        <v>10466489</v>
      </c>
      <c r="JV73" s="70">
        <f t="shared" si="159"/>
        <v>0</v>
      </c>
      <c r="JW73" s="70">
        <f t="shared" si="160"/>
        <v>10323090</v>
      </c>
      <c r="JX73" s="70">
        <f t="shared" si="161"/>
        <v>0</v>
      </c>
      <c r="JY73" s="70">
        <f t="shared" si="162"/>
        <v>275000</v>
      </c>
      <c r="JZ73" s="70">
        <f t="shared" si="163"/>
        <v>0</v>
      </c>
      <c r="KA73" s="70">
        <f t="shared" si="164"/>
        <v>8113992</v>
      </c>
      <c r="KB73" s="70">
        <f t="shared" si="165"/>
        <v>0</v>
      </c>
      <c r="KC73" s="70">
        <f t="shared" si="166"/>
        <v>959612</v>
      </c>
      <c r="KD73" s="70">
        <f t="shared" si="167"/>
        <v>0</v>
      </c>
      <c r="KE73" s="70">
        <f t="shared" si="168"/>
        <v>16228</v>
      </c>
      <c r="KF73" s="70">
        <f t="shared" si="169"/>
        <v>0</v>
      </c>
      <c r="KG73" s="70">
        <f t="shared" si="170"/>
        <v>26001347</v>
      </c>
      <c r="KH73" s="70">
        <f t="shared" si="171"/>
        <v>0</v>
      </c>
      <c r="KI73" s="70">
        <f t="shared" si="172"/>
        <v>0</v>
      </c>
      <c r="KJ73" s="70">
        <f t="shared" si="173"/>
        <v>0</v>
      </c>
      <c r="KK73" s="70">
        <f t="shared" si="174"/>
        <v>9269466</v>
      </c>
      <c r="KL73" s="70">
        <f t="shared" si="175"/>
        <v>0</v>
      </c>
      <c r="KM73" s="70">
        <f t="shared" si="176"/>
        <v>0</v>
      </c>
      <c r="KN73" s="70">
        <f t="shared" si="177"/>
        <v>0</v>
      </c>
      <c r="KO73" s="70">
        <f t="shared" si="178"/>
        <v>1903917</v>
      </c>
      <c r="KP73" s="70">
        <f t="shared" si="179"/>
        <v>0</v>
      </c>
      <c r="KQ73" s="70">
        <f t="shared" si="180"/>
        <v>7678049</v>
      </c>
      <c r="KR73" s="70">
        <f t="shared" si="181"/>
        <v>0</v>
      </c>
      <c r="KS73" s="70">
        <f t="shared" si="182"/>
        <v>8678</v>
      </c>
      <c r="KT73" s="70">
        <f t="shared" si="183"/>
        <v>0</v>
      </c>
      <c r="KU73" s="70">
        <f t="shared" si="184"/>
        <v>976638</v>
      </c>
      <c r="KV73" s="70">
        <f t="shared" si="185"/>
        <v>0</v>
      </c>
      <c r="KW73" s="70">
        <f t="shared" si="186"/>
        <v>663833</v>
      </c>
      <c r="KX73" s="70">
        <f t="shared" si="187"/>
        <v>0</v>
      </c>
      <c r="KY73" s="70">
        <f t="shared" si="188"/>
        <v>76656339</v>
      </c>
      <c r="KZ73" s="70">
        <f t="shared" si="189"/>
        <v>0</v>
      </c>
      <c r="LA73" s="70">
        <f t="shared" si="190"/>
        <v>10623500</v>
      </c>
      <c r="LB73" s="70">
        <f t="shared" si="191"/>
        <v>0</v>
      </c>
      <c r="LC73" s="70">
        <f t="shared" si="192"/>
        <v>1868000</v>
      </c>
      <c r="LD73" s="70">
        <f t="shared" si="193"/>
        <v>0</v>
      </c>
      <c r="LE73" s="70">
        <f t="shared" si="194"/>
        <v>10435941</v>
      </c>
      <c r="LF73" s="70">
        <f t="shared" si="195"/>
        <v>0</v>
      </c>
      <c r="LG73" s="70">
        <f t="shared" si="155"/>
        <v>791047</v>
      </c>
      <c r="LH73" s="70">
        <f t="shared" si="156"/>
        <v>0</v>
      </c>
      <c r="LI73" s="70">
        <f t="shared" si="196"/>
        <v>10132550</v>
      </c>
      <c r="LJ73" s="70">
        <f t="shared" si="197"/>
        <v>0</v>
      </c>
      <c r="LK73" s="70">
        <f t="shared" si="198"/>
        <v>168565</v>
      </c>
      <c r="LL73" s="70">
        <f t="shared" si="199"/>
        <v>0</v>
      </c>
      <c r="LM73" s="70">
        <f t="shared" si="200"/>
        <v>0</v>
      </c>
      <c r="LN73" s="70">
        <f t="shared" si="201"/>
        <v>0</v>
      </c>
      <c r="LO73" s="70">
        <f t="shared" si="202"/>
        <v>969251</v>
      </c>
      <c r="LP73" s="70">
        <f t="shared" si="203"/>
        <v>0</v>
      </c>
      <c r="LQ73" s="70">
        <f t="shared" si="204"/>
        <v>5812441</v>
      </c>
      <c r="LR73" s="70">
        <f t="shared" si="205"/>
        <v>0</v>
      </c>
      <c r="LS73" s="70">
        <f t="shared" si="206"/>
        <v>1537376</v>
      </c>
      <c r="LT73" s="70">
        <f t="shared" si="207"/>
        <v>0</v>
      </c>
      <c r="LU73" s="70">
        <f t="shared" si="208"/>
        <v>4134986</v>
      </c>
      <c r="LV73" s="70">
        <f t="shared" si="209"/>
        <v>0</v>
      </c>
      <c r="LW73" s="70">
        <f t="shared" si="210"/>
        <v>2513547</v>
      </c>
      <c r="LX73" s="70">
        <f t="shared" si="211"/>
        <v>0</v>
      </c>
      <c r="LY73" s="70">
        <f t="shared" si="212"/>
        <v>8678</v>
      </c>
      <c r="LZ73" s="70">
        <f t="shared" si="213"/>
        <v>0</v>
      </c>
      <c r="MA73" s="70">
        <f t="shared" si="214"/>
        <v>10973173</v>
      </c>
      <c r="MB73" s="70">
        <f t="shared" si="215"/>
        <v>0</v>
      </c>
      <c r="MC73" s="70">
        <f t="shared" si="216"/>
        <v>633404</v>
      </c>
      <c r="MD73" s="70">
        <f t="shared" si="217"/>
        <v>0</v>
      </c>
      <c r="ME73" s="70">
        <f t="shared" si="218"/>
        <v>0</v>
      </c>
      <c r="MF73" s="70">
        <f t="shared" si="219"/>
        <v>0</v>
      </c>
      <c r="MG73" s="70">
        <f t="shared" si="220"/>
        <v>2482998</v>
      </c>
      <c r="MH73" s="70">
        <f t="shared" si="221"/>
        <v>0</v>
      </c>
      <c r="MI73" s="70">
        <f t="shared" si="222"/>
        <v>6536330</v>
      </c>
      <c r="MJ73" s="70">
        <f t="shared" si="223"/>
        <v>0</v>
      </c>
      <c r="MK73" s="70">
        <f t="shared" si="224"/>
        <v>7034552</v>
      </c>
      <c r="ML73" s="70">
        <f t="shared" si="225"/>
        <v>0</v>
      </c>
      <c r="MM73" s="70">
        <f t="shared" si="226"/>
        <v>76656339</v>
      </c>
      <c r="MN73" s="70">
        <f t="shared" si="227"/>
        <v>0</v>
      </c>
      <c r="MO73" s="70">
        <f t="shared" si="228"/>
        <v>0</v>
      </c>
      <c r="MP73" s="70">
        <f t="shared" si="229"/>
        <v>0</v>
      </c>
      <c r="MQ73" s="70">
        <f t="shared" si="230"/>
        <v>76656339</v>
      </c>
      <c r="MR73" s="70">
        <f t="shared" si="231"/>
        <v>0</v>
      </c>
      <c r="MT73" s="70">
        <f t="shared" si="232"/>
        <v>0</v>
      </c>
      <c r="MV73" s="68">
        <f t="shared" si="233"/>
        <v>0</v>
      </c>
    </row>
    <row r="74" spans="1:371" x14ac:dyDescent="0.15">
      <c r="A74" s="182" t="s">
        <v>357</v>
      </c>
      <c r="B74" s="76" t="s">
        <v>426</v>
      </c>
      <c r="C74" s="90">
        <v>147703</v>
      </c>
      <c r="D74" s="90">
        <v>2014</v>
      </c>
      <c r="E74" s="90">
        <v>1</v>
      </c>
      <c r="F74" s="91">
        <v>10</v>
      </c>
      <c r="G74" s="92">
        <v>13208</v>
      </c>
      <c r="H74" s="92">
        <v>12654</v>
      </c>
      <c r="I74" s="93">
        <v>396961426</v>
      </c>
      <c r="J74" s="93">
        <v>388263183</v>
      </c>
      <c r="K74" s="93">
        <v>0</v>
      </c>
      <c r="L74" s="93">
        <v>0</v>
      </c>
      <c r="M74" s="93">
        <v>22434772</v>
      </c>
      <c r="N74" s="93">
        <v>18333771</v>
      </c>
      <c r="O74" s="93">
        <v>0</v>
      </c>
      <c r="P74" s="93">
        <v>0</v>
      </c>
      <c r="Q74" s="93">
        <v>341526084</v>
      </c>
      <c r="R74" s="93">
        <v>317294063</v>
      </c>
      <c r="S74" s="93">
        <v>341526084</v>
      </c>
      <c r="T74" s="93">
        <v>311122634</v>
      </c>
      <c r="U74" s="93">
        <v>19760</v>
      </c>
      <c r="V74" s="93">
        <v>18928</v>
      </c>
      <c r="W74" s="93">
        <v>30920</v>
      </c>
      <c r="X74" s="93">
        <v>30088</v>
      </c>
      <c r="Y74" s="93">
        <v>24642</v>
      </c>
      <c r="Z74" s="93">
        <v>25216</v>
      </c>
      <c r="AA74" s="93">
        <v>35802</v>
      </c>
      <c r="AB74" s="93">
        <v>34144</v>
      </c>
      <c r="AC74" s="114">
        <v>6</v>
      </c>
      <c r="AD74" s="114">
        <v>13</v>
      </c>
      <c r="AE74" s="114">
        <v>0</v>
      </c>
      <c r="AF74" s="115">
        <v>1591713</v>
      </c>
      <c r="AG74" s="115">
        <v>2575954</v>
      </c>
      <c r="AH74" s="115">
        <v>339840</v>
      </c>
      <c r="AI74" s="115">
        <v>155369</v>
      </c>
      <c r="AJ74" s="115">
        <v>305769</v>
      </c>
      <c r="AK74" s="116">
        <v>5.25</v>
      </c>
      <c r="AL74" s="115">
        <v>267548</v>
      </c>
      <c r="AM74" s="116">
        <v>6</v>
      </c>
      <c r="AN74" s="115">
        <v>128428</v>
      </c>
      <c r="AO74" s="116">
        <v>10.25</v>
      </c>
      <c r="AP74" s="115">
        <v>101260</v>
      </c>
      <c r="AQ74" s="116">
        <v>13</v>
      </c>
      <c r="AR74" s="115">
        <v>148976</v>
      </c>
      <c r="AS74" s="116">
        <v>16.14</v>
      </c>
      <c r="AT74" s="115">
        <v>133582</v>
      </c>
      <c r="AU74" s="116">
        <v>18</v>
      </c>
      <c r="AV74" s="115">
        <v>83621</v>
      </c>
      <c r="AW74" s="116">
        <v>11.01</v>
      </c>
      <c r="AX74" s="115">
        <v>51148</v>
      </c>
      <c r="AY74" s="116">
        <v>18</v>
      </c>
      <c r="AZ74" s="139">
        <v>1345171</v>
      </c>
      <c r="BA74" s="139">
        <v>93933</v>
      </c>
      <c r="BB74" s="139">
        <v>10009</v>
      </c>
      <c r="BC74" s="139">
        <v>34604</v>
      </c>
      <c r="BD74" s="139">
        <v>0</v>
      </c>
      <c r="BE74" s="139">
        <v>1483717</v>
      </c>
      <c r="BF74" s="139">
        <v>0</v>
      </c>
      <c r="BG74" s="139">
        <v>0</v>
      </c>
      <c r="BH74" s="139">
        <v>0</v>
      </c>
      <c r="BI74" s="139">
        <v>0</v>
      </c>
      <c r="BJ74" s="139">
        <v>7847970</v>
      </c>
      <c r="BK74" s="139">
        <v>7847970</v>
      </c>
      <c r="BL74" s="139">
        <v>1014908</v>
      </c>
      <c r="BM74" s="139">
        <v>20000</v>
      </c>
      <c r="BN74" s="139">
        <v>25000</v>
      </c>
      <c r="BO74" s="139">
        <v>26000</v>
      </c>
      <c r="BP74" s="139">
        <v>0</v>
      </c>
      <c r="BQ74" s="139">
        <v>1085908</v>
      </c>
      <c r="BR74" s="139">
        <v>1411851</v>
      </c>
      <c r="BS74" s="139">
        <v>14190</v>
      </c>
      <c r="BT74" s="139">
        <v>3243</v>
      </c>
      <c r="BU74" s="139">
        <v>364954</v>
      </c>
      <c r="BV74" s="139">
        <v>1713298</v>
      </c>
      <c r="BW74" s="139">
        <v>3507536</v>
      </c>
      <c r="BX74" s="139">
        <v>0</v>
      </c>
      <c r="BY74" s="139">
        <v>0</v>
      </c>
      <c r="BZ74" s="139">
        <v>0</v>
      </c>
      <c r="CA74" s="139">
        <v>0</v>
      </c>
      <c r="CB74" s="139">
        <v>0</v>
      </c>
      <c r="CC74" s="139">
        <v>0</v>
      </c>
      <c r="CD74" s="139">
        <v>0</v>
      </c>
      <c r="CE74" s="139">
        <v>0</v>
      </c>
      <c r="CF74" s="139">
        <v>0</v>
      </c>
      <c r="CG74" s="139">
        <v>0</v>
      </c>
      <c r="CH74" s="139">
        <v>0</v>
      </c>
      <c r="CI74" s="139">
        <v>0</v>
      </c>
      <c r="CJ74" s="139">
        <v>0</v>
      </c>
      <c r="CK74" s="139">
        <v>0</v>
      </c>
      <c r="CL74" s="139">
        <v>0</v>
      </c>
      <c r="CM74" s="139">
        <v>0</v>
      </c>
      <c r="CN74" s="139">
        <v>9776195</v>
      </c>
      <c r="CO74" s="139">
        <v>9776195</v>
      </c>
      <c r="CP74" s="139">
        <v>0</v>
      </c>
      <c r="CQ74" s="139">
        <v>0</v>
      </c>
      <c r="CR74" s="139">
        <v>0</v>
      </c>
      <c r="CS74" s="139">
        <v>0</v>
      </c>
      <c r="CT74" s="139">
        <v>652517</v>
      </c>
      <c r="CU74" s="139">
        <v>652517</v>
      </c>
      <c r="CV74" s="139">
        <v>264931</v>
      </c>
      <c r="CW74" s="139">
        <v>858730</v>
      </c>
      <c r="CX74" s="139">
        <v>0</v>
      </c>
      <c r="CY74" s="139">
        <v>0</v>
      </c>
      <c r="CZ74" s="139">
        <v>1110226</v>
      </c>
      <c r="DA74" s="139">
        <v>2233887</v>
      </c>
      <c r="DB74" s="139">
        <v>722975</v>
      </c>
      <c r="DC74" s="139">
        <v>0</v>
      </c>
      <c r="DD74" s="139">
        <v>0</v>
      </c>
      <c r="DE74" s="139">
        <v>0</v>
      </c>
      <c r="DF74" s="139">
        <v>0</v>
      </c>
      <c r="DG74" s="139">
        <v>722975</v>
      </c>
      <c r="DH74" s="139">
        <v>287945</v>
      </c>
      <c r="DI74" s="139">
        <v>0</v>
      </c>
      <c r="DJ74" s="139">
        <v>0</v>
      </c>
      <c r="DK74" s="139">
        <v>1850</v>
      </c>
      <c r="DL74" s="139">
        <v>249986</v>
      </c>
      <c r="DM74" s="139">
        <v>539781</v>
      </c>
      <c r="DN74" s="139">
        <v>426791</v>
      </c>
      <c r="DO74" s="139">
        <v>61051</v>
      </c>
      <c r="DP74" s="139">
        <v>0</v>
      </c>
      <c r="DQ74" s="139">
        <v>0</v>
      </c>
      <c r="DR74" s="139">
        <v>116058</v>
      </c>
      <c r="DS74" s="139">
        <v>603900</v>
      </c>
      <c r="DT74" s="139">
        <v>61751</v>
      </c>
      <c r="DU74" s="139">
        <v>0</v>
      </c>
      <c r="DV74" s="139">
        <v>0</v>
      </c>
      <c r="DW74" s="139">
        <v>0</v>
      </c>
      <c r="DX74" s="139">
        <v>0</v>
      </c>
      <c r="DY74" s="139">
        <v>61751</v>
      </c>
      <c r="DZ74" s="139">
        <v>32102</v>
      </c>
      <c r="EA74" s="139">
        <v>0</v>
      </c>
      <c r="EB74" s="139">
        <v>2523</v>
      </c>
      <c r="EC74" s="139">
        <v>192956</v>
      </c>
      <c r="ED74" s="139">
        <v>29903</v>
      </c>
      <c r="EE74" s="139">
        <v>257484</v>
      </c>
      <c r="EF74" s="139">
        <v>148166</v>
      </c>
      <c r="EG74" s="139">
        <v>3770</v>
      </c>
      <c r="EH74" s="139">
        <v>4820</v>
      </c>
      <c r="EI74" s="139">
        <v>92495</v>
      </c>
      <c r="EJ74" s="139">
        <v>644068</v>
      </c>
      <c r="EK74" s="139">
        <v>893319</v>
      </c>
      <c r="EL74" s="139">
        <v>5716591</v>
      </c>
      <c r="EM74" s="139">
        <v>1051674</v>
      </c>
      <c r="EN74" s="139">
        <v>45595</v>
      </c>
      <c r="EO74" s="139">
        <v>712859</v>
      </c>
      <c r="EP74" s="139">
        <v>22140221</v>
      </c>
      <c r="EQ74" s="139">
        <v>29666940</v>
      </c>
      <c r="ER74" s="139">
        <v>1630131</v>
      </c>
      <c r="ES74" s="139">
        <v>360651</v>
      </c>
      <c r="ET74" s="139">
        <v>362634</v>
      </c>
      <c r="EU74" s="139">
        <v>2814251</v>
      </c>
      <c r="EV74" s="139">
        <v>490204</v>
      </c>
      <c r="EW74" s="139">
        <v>5657871</v>
      </c>
      <c r="EX74" s="139">
        <v>450000</v>
      </c>
      <c r="EY74" s="139">
        <v>7500</v>
      </c>
      <c r="EZ74" s="139">
        <v>6750</v>
      </c>
      <c r="FA74" s="139">
        <v>3240</v>
      </c>
      <c r="FB74" s="139">
        <v>0</v>
      </c>
      <c r="FC74" s="139">
        <v>467490</v>
      </c>
      <c r="FD74" s="139">
        <v>2166970</v>
      </c>
      <c r="FE74" s="139">
        <v>1016180</v>
      </c>
      <c r="FF74" s="139">
        <v>547911</v>
      </c>
      <c r="FG74" s="139">
        <v>2515748</v>
      </c>
      <c r="FH74" s="139">
        <v>0</v>
      </c>
      <c r="FI74" s="139">
        <v>6246809</v>
      </c>
      <c r="FJ74" s="139">
        <v>0</v>
      </c>
      <c r="FK74" s="139">
        <v>0</v>
      </c>
      <c r="FL74" s="139">
        <v>0</v>
      </c>
      <c r="FM74" s="139">
        <v>0</v>
      </c>
      <c r="FN74" s="139">
        <v>0</v>
      </c>
      <c r="FO74" s="139">
        <v>0</v>
      </c>
      <c r="FP74" s="139">
        <v>198508</v>
      </c>
      <c r="FQ74" s="139">
        <v>87319</v>
      </c>
      <c r="FR74" s="139">
        <v>0</v>
      </c>
      <c r="FS74" s="139">
        <v>8902</v>
      </c>
      <c r="FT74" s="139">
        <v>3904863</v>
      </c>
      <c r="FU74" s="139">
        <v>4199592</v>
      </c>
      <c r="FV74" s="139">
        <v>0</v>
      </c>
      <c r="FW74" s="139">
        <v>0</v>
      </c>
      <c r="FX74" s="139">
        <v>0</v>
      </c>
      <c r="FY74" s="139">
        <v>0</v>
      </c>
      <c r="FZ74" s="139">
        <v>0</v>
      </c>
      <c r="GA74" s="139">
        <v>0</v>
      </c>
      <c r="GB74" s="139">
        <v>0</v>
      </c>
      <c r="GC74" s="139">
        <v>0</v>
      </c>
      <c r="GD74" s="139">
        <v>143735</v>
      </c>
      <c r="GE74" s="139">
        <v>0</v>
      </c>
      <c r="GF74" s="139">
        <v>0</v>
      </c>
      <c r="GG74" s="139">
        <v>143735</v>
      </c>
      <c r="GH74" s="139">
        <v>193587</v>
      </c>
      <c r="GI74" s="139">
        <v>100596</v>
      </c>
      <c r="GJ74" s="139">
        <v>44485</v>
      </c>
      <c r="GK74" s="139">
        <v>156541</v>
      </c>
      <c r="GL74" s="139">
        <v>9195</v>
      </c>
      <c r="GM74" s="139">
        <v>504404</v>
      </c>
      <c r="GN74" s="139">
        <v>720768</v>
      </c>
      <c r="GO74" s="139">
        <v>245006</v>
      </c>
      <c r="GP74" s="139">
        <v>132726</v>
      </c>
      <c r="GQ74" s="139">
        <v>1291245</v>
      </c>
      <c r="GR74" s="139">
        <v>8615</v>
      </c>
      <c r="GS74" s="139">
        <v>2398360</v>
      </c>
      <c r="GT74" s="139">
        <v>175633</v>
      </c>
      <c r="GU74" s="139">
        <v>45880</v>
      </c>
      <c r="GV74" s="139">
        <v>49826</v>
      </c>
      <c r="GW74" s="139">
        <v>319100</v>
      </c>
      <c r="GX74" s="139">
        <v>53843</v>
      </c>
      <c r="GY74" s="139">
        <v>644282</v>
      </c>
      <c r="GZ74" s="139">
        <v>668116</v>
      </c>
      <c r="HA74" s="139">
        <v>183020</v>
      </c>
      <c r="HB74" s="139">
        <v>153865</v>
      </c>
      <c r="HC74" s="139">
        <v>268871</v>
      </c>
      <c r="HD74" s="139">
        <v>24</v>
      </c>
      <c r="HE74" s="139">
        <v>1273896</v>
      </c>
      <c r="HF74" s="139">
        <v>55491</v>
      </c>
      <c r="HG74" s="139">
        <v>9105</v>
      </c>
      <c r="HH74" s="139">
        <v>2448</v>
      </c>
      <c r="HI74" s="139">
        <v>110251</v>
      </c>
      <c r="HJ74" s="139">
        <v>1326386</v>
      </c>
      <c r="HK74" s="139">
        <v>1503681</v>
      </c>
      <c r="HL74" s="139">
        <v>55869</v>
      </c>
      <c r="HM74" s="139">
        <v>0</v>
      </c>
      <c r="HN74" s="139">
        <v>0</v>
      </c>
      <c r="HO74" s="139">
        <v>0</v>
      </c>
      <c r="HP74" s="139">
        <v>0</v>
      </c>
      <c r="HQ74" s="139">
        <v>55869</v>
      </c>
      <c r="HR74" s="139">
        <v>208945</v>
      </c>
      <c r="HS74" s="139">
        <v>10587</v>
      </c>
      <c r="HT74" s="139">
        <v>741</v>
      </c>
      <c r="HU74" s="139">
        <v>110699</v>
      </c>
      <c r="HV74" s="139">
        <v>386021</v>
      </c>
      <c r="HW74" s="139">
        <v>716993</v>
      </c>
      <c r="HX74" s="139">
        <v>0</v>
      </c>
      <c r="HY74" s="139">
        <v>0</v>
      </c>
      <c r="HZ74" s="139">
        <v>0</v>
      </c>
      <c r="IA74" s="139">
        <v>0</v>
      </c>
      <c r="IB74" s="139">
        <v>60262</v>
      </c>
      <c r="IC74" s="139">
        <v>60262</v>
      </c>
      <c r="ID74" s="139">
        <v>0</v>
      </c>
      <c r="IE74" s="139">
        <v>0</v>
      </c>
      <c r="IF74" s="139">
        <v>0</v>
      </c>
      <c r="IG74" s="139">
        <v>0</v>
      </c>
      <c r="IH74" s="139">
        <v>652517</v>
      </c>
      <c r="II74" s="139">
        <v>652517</v>
      </c>
      <c r="IJ74" s="139">
        <v>0</v>
      </c>
      <c r="IK74" s="139">
        <v>0</v>
      </c>
      <c r="IL74" s="139">
        <v>0</v>
      </c>
      <c r="IM74" s="139">
        <v>4980</v>
      </c>
      <c r="IN74" s="139">
        <v>616931</v>
      </c>
      <c r="IO74" s="139">
        <v>621911</v>
      </c>
      <c r="IP74" s="139">
        <v>0</v>
      </c>
      <c r="IQ74" s="139">
        <v>0</v>
      </c>
      <c r="IR74" s="139">
        <v>1240</v>
      </c>
      <c r="IS74" s="139">
        <v>5285</v>
      </c>
      <c r="IT74" s="139">
        <v>1411790</v>
      </c>
      <c r="IU74" s="139">
        <v>1418315</v>
      </c>
      <c r="IV74" s="139">
        <v>307321</v>
      </c>
      <c r="IW74" s="139">
        <v>115021</v>
      </c>
      <c r="IX74" s="139">
        <v>34649</v>
      </c>
      <c r="IY74" s="139">
        <v>160921</v>
      </c>
      <c r="IZ74" s="139">
        <v>632058</v>
      </c>
      <c r="JA74" s="139">
        <v>1249970</v>
      </c>
      <c r="JB74" s="139">
        <v>6831339</v>
      </c>
      <c r="JC74" s="139">
        <v>2180865</v>
      </c>
      <c r="JD74" s="139">
        <v>1481010</v>
      </c>
      <c r="JE74" s="139">
        <v>7770034</v>
      </c>
      <c r="JF74" s="139">
        <v>9552709</v>
      </c>
      <c r="JG74" s="139">
        <v>27815957</v>
      </c>
      <c r="JH74" s="139">
        <v>0</v>
      </c>
      <c r="JI74" s="139">
        <v>0</v>
      </c>
      <c r="JJ74" s="139">
        <v>0</v>
      </c>
      <c r="JK74" s="139">
        <v>0</v>
      </c>
      <c r="JL74" s="139">
        <v>250000</v>
      </c>
      <c r="JM74" s="139">
        <v>250000</v>
      </c>
      <c r="JN74" s="139">
        <v>6831339</v>
      </c>
      <c r="JO74" s="139">
        <v>2180865</v>
      </c>
      <c r="JP74" s="139">
        <v>1481010</v>
      </c>
      <c r="JQ74" s="139">
        <v>7770034</v>
      </c>
      <c r="JR74" s="139">
        <v>9802709</v>
      </c>
      <c r="JS74" s="139">
        <v>28065957</v>
      </c>
      <c r="JU74" s="70">
        <f t="shared" si="158"/>
        <v>1483717</v>
      </c>
      <c r="JV74" s="70">
        <f t="shared" si="159"/>
        <v>0</v>
      </c>
      <c r="JW74" s="70">
        <f t="shared" si="160"/>
        <v>7847970</v>
      </c>
      <c r="JX74" s="70">
        <f t="shared" si="161"/>
        <v>0</v>
      </c>
      <c r="JY74" s="70">
        <f t="shared" si="162"/>
        <v>1085908</v>
      </c>
      <c r="JZ74" s="70">
        <f t="shared" si="163"/>
        <v>0</v>
      </c>
      <c r="KA74" s="70">
        <f t="shared" si="164"/>
        <v>3507536</v>
      </c>
      <c r="KB74" s="70">
        <f t="shared" si="165"/>
        <v>0</v>
      </c>
      <c r="KC74" s="70">
        <f t="shared" si="166"/>
        <v>0</v>
      </c>
      <c r="KD74" s="70">
        <f t="shared" si="167"/>
        <v>0</v>
      </c>
      <c r="KE74" s="70">
        <f t="shared" si="168"/>
        <v>0</v>
      </c>
      <c r="KF74" s="70">
        <f t="shared" si="169"/>
        <v>0</v>
      </c>
      <c r="KG74" s="70">
        <f t="shared" si="170"/>
        <v>9776195</v>
      </c>
      <c r="KH74" s="70">
        <f t="shared" si="171"/>
        <v>0</v>
      </c>
      <c r="KI74" s="70">
        <f t="shared" si="172"/>
        <v>652517</v>
      </c>
      <c r="KJ74" s="70">
        <f t="shared" si="173"/>
        <v>0</v>
      </c>
      <c r="KK74" s="70">
        <f t="shared" si="174"/>
        <v>2233887</v>
      </c>
      <c r="KL74" s="70">
        <f t="shared" si="175"/>
        <v>0</v>
      </c>
      <c r="KM74" s="70">
        <f t="shared" si="176"/>
        <v>722975</v>
      </c>
      <c r="KN74" s="70">
        <f t="shared" si="177"/>
        <v>0</v>
      </c>
      <c r="KO74" s="70">
        <f t="shared" si="178"/>
        <v>539781</v>
      </c>
      <c r="KP74" s="70">
        <f t="shared" si="179"/>
        <v>0</v>
      </c>
      <c r="KQ74" s="70">
        <f t="shared" si="180"/>
        <v>603900</v>
      </c>
      <c r="KR74" s="70">
        <f t="shared" si="181"/>
        <v>0</v>
      </c>
      <c r="KS74" s="70">
        <f t="shared" si="182"/>
        <v>61751</v>
      </c>
      <c r="KT74" s="70">
        <f t="shared" si="183"/>
        <v>0</v>
      </c>
      <c r="KU74" s="70">
        <f t="shared" si="184"/>
        <v>257484</v>
      </c>
      <c r="KV74" s="70">
        <f t="shared" si="185"/>
        <v>0</v>
      </c>
      <c r="KW74" s="70">
        <f t="shared" si="186"/>
        <v>893319</v>
      </c>
      <c r="KX74" s="70">
        <f t="shared" si="187"/>
        <v>0</v>
      </c>
      <c r="KY74" s="70">
        <f t="shared" si="188"/>
        <v>29666940</v>
      </c>
      <c r="KZ74" s="70">
        <f t="shared" si="189"/>
        <v>0</v>
      </c>
      <c r="LA74" s="70">
        <f t="shared" si="190"/>
        <v>5657871</v>
      </c>
      <c r="LB74" s="70">
        <f t="shared" si="191"/>
        <v>0</v>
      </c>
      <c r="LC74" s="70">
        <f t="shared" si="192"/>
        <v>467490</v>
      </c>
      <c r="LD74" s="70">
        <f t="shared" si="193"/>
        <v>0</v>
      </c>
      <c r="LE74" s="70">
        <f t="shared" si="194"/>
        <v>6246809</v>
      </c>
      <c r="LF74" s="70">
        <f t="shared" si="195"/>
        <v>0</v>
      </c>
      <c r="LG74" s="70">
        <f t="shared" si="155"/>
        <v>0</v>
      </c>
      <c r="LH74" s="70">
        <f t="shared" si="156"/>
        <v>0</v>
      </c>
      <c r="LI74" s="70">
        <f t="shared" si="196"/>
        <v>4199592</v>
      </c>
      <c r="LJ74" s="70">
        <f t="shared" si="197"/>
        <v>0</v>
      </c>
      <c r="LK74" s="70">
        <f t="shared" si="198"/>
        <v>0</v>
      </c>
      <c r="LL74" s="70">
        <f t="shared" si="199"/>
        <v>0</v>
      </c>
      <c r="LM74" s="70">
        <f t="shared" si="200"/>
        <v>143735</v>
      </c>
      <c r="LN74" s="70">
        <f t="shared" si="201"/>
        <v>0</v>
      </c>
      <c r="LO74" s="70">
        <f t="shared" si="202"/>
        <v>504404</v>
      </c>
      <c r="LP74" s="70">
        <f t="shared" si="203"/>
        <v>0</v>
      </c>
      <c r="LQ74" s="70">
        <f t="shared" si="204"/>
        <v>2398360</v>
      </c>
      <c r="LR74" s="70">
        <f t="shared" si="205"/>
        <v>0</v>
      </c>
      <c r="LS74" s="70">
        <f t="shared" si="206"/>
        <v>644282</v>
      </c>
      <c r="LT74" s="70">
        <f t="shared" si="207"/>
        <v>0</v>
      </c>
      <c r="LU74" s="70">
        <f t="shared" si="208"/>
        <v>1273896</v>
      </c>
      <c r="LV74" s="70">
        <f t="shared" si="209"/>
        <v>0</v>
      </c>
      <c r="LW74" s="70">
        <f t="shared" si="210"/>
        <v>1503681</v>
      </c>
      <c r="LX74" s="70">
        <f t="shared" si="211"/>
        <v>0</v>
      </c>
      <c r="LY74" s="70">
        <f t="shared" si="212"/>
        <v>55869</v>
      </c>
      <c r="LZ74" s="70">
        <f t="shared" si="213"/>
        <v>0</v>
      </c>
      <c r="MA74" s="70">
        <f t="shared" si="214"/>
        <v>716993</v>
      </c>
      <c r="MB74" s="70">
        <f t="shared" si="215"/>
        <v>0</v>
      </c>
      <c r="MC74" s="70">
        <f t="shared" si="216"/>
        <v>60262</v>
      </c>
      <c r="MD74" s="70">
        <f t="shared" si="217"/>
        <v>0</v>
      </c>
      <c r="ME74" s="70">
        <f t="shared" si="218"/>
        <v>652517</v>
      </c>
      <c r="MF74" s="70">
        <f t="shared" si="219"/>
        <v>0</v>
      </c>
      <c r="MG74" s="70">
        <f t="shared" si="220"/>
        <v>621911</v>
      </c>
      <c r="MH74" s="70">
        <f t="shared" si="221"/>
        <v>0</v>
      </c>
      <c r="MI74" s="70">
        <f t="shared" si="222"/>
        <v>1418315</v>
      </c>
      <c r="MJ74" s="70">
        <f t="shared" si="223"/>
        <v>0</v>
      </c>
      <c r="MK74" s="70">
        <f t="shared" si="224"/>
        <v>1249970</v>
      </c>
      <c r="ML74" s="70">
        <f t="shared" si="225"/>
        <v>0</v>
      </c>
      <c r="MM74" s="70">
        <f t="shared" si="226"/>
        <v>27815957</v>
      </c>
      <c r="MN74" s="70">
        <f t="shared" si="227"/>
        <v>0</v>
      </c>
      <c r="MO74" s="70">
        <f t="shared" si="228"/>
        <v>250000</v>
      </c>
      <c r="MP74" s="70">
        <f t="shared" si="229"/>
        <v>0</v>
      </c>
      <c r="MQ74" s="70">
        <f t="shared" si="230"/>
        <v>28065957</v>
      </c>
      <c r="MR74" s="70">
        <f t="shared" si="231"/>
        <v>0</v>
      </c>
      <c r="MT74" s="70">
        <f t="shared" si="232"/>
        <v>0</v>
      </c>
      <c r="MV74" s="68">
        <f t="shared" si="233"/>
        <v>0</v>
      </c>
    </row>
    <row r="75" spans="1:371" x14ac:dyDescent="0.15">
      <c r="A75" s="182" t="s">
        <v>358</v>
      </c>
      <c r="B75" s="76" t="s">
        <v>426</v>
      </c>
      <c r="C75" s="90">
        <v>102094</v>
      </c>
      <c r="D75" s="90">
        <v>2014</v>
      </c>
      <c r="E75" s="90">
        <v>1</v>
      </c>
      <c r="F75" s="91">
        <v>11</v>
      </c>
      <c r="G75" s="92">
        <v>3830</v>
      </c>
      <c r="H75" s="92">
        <v>4924</v>
      </c>
      <c r="I75" s="93">
        <v>633978000</v>
      </c>
      <c r="J75" s="93">
        <v>602120000</v>
      </c>
      <c r="K75" s="93">
        <v>1433000</v>
      </c>
      <c r="L75" s="93">
        <v>1344000</v>
      </c>
      <c r="M75" s="93">
        <v>28548000</v>
      </c>
      <c r="N75" s="93">
        <v>24852000</v>
      </c>
      <c r="O75" s="93">
        <v>20428000</v>
      </c>
      <c r="P75" s="93">
        <v>20879000</v>
      </c>
      <c r="Q75" s="93">
        <v>395306000</v>
      </c>
      <c r="R75" s="93">
        <v>400890000</v>
      </c>
      <c r="S75" s="93">
        <v>332090000</v>
      </c>
      <c r="T75" s="93">
        <v>322112000</v>
      </c>
      <c r="U75" s="93">
        <v>17284</v>
      </c>
      <c r="V75" s="93">
        <v>16434</v>
      </c>
      <c r="W75" s="93">
        <v>25594</v>
      </c>
      <c r="X75" s="93">
        <v>24684</v>
      </c>
      <c r="Y75" s="93">
        <v>22170</v>
      </c>
      <c r="Z75" s="93">
        <v>21000</v>
      </c>
      <c r="AA75" s="93">
        <v>29522</v>
      </c>
      <c r="AB75" s="93">
        <v>27812</v>
      </c>
      <c r="AC75" s="114">
        <v>8</v>
      </c>
      <c r="AD75" s="114">
        <v>9</v>
      </c>
      <c r="AE75" s="114">
        <v>0</v>
      </c>
      <c r="AF75" s="115">
        <v>3367422</v>
      </c>
      <c r="AG75" s="115">
        <v>2143874</v>
      </c>
      <c r="AH75" s="115">
        <v>458173</v>
      </c>
      <c r="AI75" s="115">
        <v>53580</v>
      </c>
      <c r="AJ75" s="115">
        <v>233572</v>
      </c>
      <c r="AK75" s="116">
        <v>5.5</v>
      </c>
      <c r="AL75" s="115">
        <v>214108</v>
      </c>
      <c r="AM75" s="116">
        <v>6</v>
      </c>
      <c r="AN75" s="115">
        <v>104973</v>
      </c>
      <c r="AO75" s="116">
        <v>6.5</v>
      </c>
      <c r="AP75" s="115">
        <v>97475</v>
      </c>
      <c r="AQ75" s="116">
        <v>7</v>
      </c>
      <c r="AR75" s="115">
        <v>114695</v>
      </c>
      <c r="AS75" s="116">
        <v>15.75</v>
      </c>
      <c r="AT75" s="115">
        <v>100358</v>
      </c>
      <c r="AU75" s="116">
        <v>18</v>
      </c>
      <c r="AV75" s="115">
        <v>58949</v>
      </c>
      <c r="AW75" s="116">
        <v>9.75</v>
      </c>
      <c r="AX75" s="115">
        <v>47896</v>
      </c>
      <c r="AY75" s="116">
        <v>12</v>
      </c>
      <c r="AZ75" s="139">
        <v>1127264</v>
      </c>
      <c r="BA75" s="139">
        <v>183179</v>
      </c>
      <c r="BB75" s="139">
        <v>3037</v>
      </c>
      <c r="BC75" s="139">
        <v>92761</v>
      </c>
      <c r="BD75" s="139">
        <v>0</v>
      </c>
      <c r="BE75" s="139">
        <v>1406241</v>
      </c>
      <c r="BF75" s="139">
        <v>5924029</v>
      </c>
      <c r="BG75" s="139">
        <v>80175</v>
      </c>
      <c r="BH75" s="139">
        <v>74448</v>
      </c>
      <c r="BI75" s="139">
        <v>1763846</v>
      </c>
      <c r="BJ75" s="139">
        <v>0</v>
      </c>
      <c r="BK75" s="139">
        <v>7842498</v>
      </c>
      <c r="BL75" s="139">
        <v>500000</v>
      </c>
      <c r="BM75" s="139">
        <v>193000</v>
      </c>
      <c r="BN75" s="139">
        <v>17000</v>
      </c>
      <c r="BO75" s="139">
        <v>12500</v>
      </c>
      <c r="BP75" s="139">
        <v>0</v>
      </c>
      <c r="BQ75" s="139">
        <v>722500</v>
      </c>
      <c r="BR75" s="139">
        <v>6168</v>
      </c>
      <c r="BS75" s="139">
        <v>27775</v>
      </c>
      <c r="BT75" s="139">
        <v>1100</v>
      </c>
      <c r="BU75" s="139">
        <v>146106</v>
      </c>
      <c r="BV75" s="139">
        <v>545625</v>
      </c>
      <c r="BW75" s="139">
        <v>726774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540762</v>
      </c>
      <c r="CK75" s="139">
        <v>1326253</v>
      </c>
      <c r="CL75" s="139">
        <v>1115235</v>
      </c>
      <c r="CM75" s="139">
        <v>2998211</v>
      </c>
      <c r="CN75" s="139">
        <v>4060206</v>
      </c>
      <c r="CO75" s="139">
        <v>10040667</v>
      </c>
      <c r="CP75" s="139">
        <v>0</v>
      </c>
      <c r="CQ75" s="139">
        <v>0</v>
      </c>
      <c r="CR75" s="139">
        <v>0</v>
      </c>
      <c r="CS75" s="139">
        <v>0</v>
      </c>
      <c r="CT75" s="139">
        <v>0</v>
      </c>
      <c r="CU75" s="139">
        <v>0</v>
      </c>
      <c r="CV75" s="139">
        <v>399458</v>
      </c>
      <c r="CW75" s="139">
        <v>44739</v>
      </c>
      <c r="CX75" s="139">
        <v>41544</v>
      </c>
      <c r="CY75" s="139">
        <v>984263</v>
      </c>
      <c r="CZ75" s="139">
        <v>0</v>
      </c>
      <c r="DA75" s="139">
        <v>1470004</v>
      </c>
      <c r="DB75" s="139">
        <v>0</v>
      </c>
      <c r="DC75" s="139">
        <v>0</v>
      </c>
      <c r="DD75" s="139">
        <v>0</v>
      </c>
      <c r="DE75" s="139">
        <v>0</v>
      </c>
      <c r="DF75" s="139">
        <v>0</v>
      </c>
      <c r="DG75" s="139">
        <v>0</v>
      </c>
      <c r="DH75" s="139">
        <v>137409</v>
      </c>
      <c r="DI75" s="139">
        <v>0</v>
      </c>
      <c r="DJ75" s="139">
        <v>0</v>
      </c>
      <c r="DK75" s="139">
        <v>3772</v>
      </c>
      <c r="DL75" s="139">
        <v>0</v>
      </c>
      <c r="DM75" s="139">
        <v>141181</v>
      </c>
      <c r="DN75" s="139">
        <v>176926</v>
      </c>
      <c r="DO75" s="139">
        <v>0</v>
      </c>
      <c r="DP75" s="139"/>
      <c r="DQ75" s="139">
        <v>35000</v>
      </c>
      <c r="DR75" s="139">
        <v>261800</v>
      </c>
      <c r="DS75" s="139">
        <v>473726</v>
      </c>
      <c r="DT75" s="139">
        <v>0</v>
      </c>
      <c r="DU75" s="139">
        <v>0</v>
      </c>
      <c r="DV75" s="139">
        <v>0</v>
      </c>
      <c r="DW75" s="139">
        <v>0</v>
      </c>
      <c r="DX75" s="139">
        <v>0</v>
      </c>
      <c r="DY75" s="139">
        <v>0</v>
      </c>
      <c r="DZ75" s="139">
        <v>0</v>
      </c>
      <c r="EA75" s="139">
        <v>0</v>
      </c>
      <c r="EB75" s="139">
        <v>0</v>
      </c>
      <c r="EC75" s="139">
        <v>0</v>
      </c>
      <c r="ED75" s="139">
        <v>0</v>
      </c>
      <c r="EE75" s="139">
        <v>0</v>
      </c>
      <c r="EF75" s="139">
        <v>50639</v>
      </c>
      <c r="EG75" s="139">
        <v>25000</v>
      </c>
      <c r="EH75" s="139">
        <v>25000</v>
      </c>
      <c r="EI75" s="139">
        <v>141661</v>
      </c>
      <c r="EJ75" s="139">
        <v>25837</v>
      </c>
      <c r="EK75" s="139">
        <v>268137</v>
      </c>
      <c r="EL75" s="139">
        <v>8862655</v>
      </c>
      <c r="EM75" s="139">
        <v>1880121</v>
      </c>
      <c r="EN75" s="139">
        <v>1277364</v>
      </c>
      <c r="EO75" s="139">
        <v>6178120</v>
      </c>
      <c r="EP75" s="139">
        <v>4893468</v>
      </c>
      <c r="EQ75" s="139">
        <v>23091728</v>
      </c>
      <c r="ER75" s="139">
        <v>2152403</v>
      </c>
      <c r="ES75" s="139">
        <v>401004</v>
      </c>
      <c r="ET75" s="139">
        <v>415506</v>
      </c>
      <c r="EU75" s="139">
        <v>2542383</v>
      </c>
      <c r="EV75" s="139">
        <v>260120</v>
      </c>
      <c r="EW75" s="139">
        <v>5771416</v>
      </c>
      <c r="EX75" s="139">
        <v>450000</v>
      </c>
      <c r="EY75" s="139">
        <v>27127</v>
      </c>
      <c r="EZ75" s="139">
        <v>1000</v>
      </c>
      <c r="FA75" s="139">
        <v>18513</v>
      </c>
      <c r="FB75" s="139">
        <v>0</v>
      </c>
      <c r="FC75" s="139">
        <v>496640</v>
      </c>
      <c r="FD75" s="139">
        <v>1736594</v>
      </c>
      <c r="FE75" s="139">
        <v>656675</v>
      </c>
      <c r="FF75" s="139">
        <v>454834</v>
      </c>
      <c r="FG75" s="139">
        <v>1500061</v>
      </c>
      <c r="FH75" s="139">
        <v>0</v>
      </c>
      <c r="FI75" s="139">
        <v>4348164</v>
      </c>
      <c r="FJ75" s="139">
        <v>0</v>
      </c>
      <c r="FK75" s="139">
        <v>0</v>
      </c>
      <c r="FL75" s="139">
        <v>0</v>
      </c>
      <c r="FM75" s="139">
        <v>0</v>
      </c>
      <c r="FN75" s="139">
        <v>0</v>
      </c>
      <c r="FO75" s="139">
        <v>0</v>
      </c>
      <c r="FP75" s="139">
        <v>899291</v>
      </c>
      <c r="FQ75" s="139">
        <v>96862</v>
      </c>
      <c r="FR75" s="139">
        <v>69301</v>
      </c>
      <c r="FS75" s="139">
        <v>149330</v>
      </c>
      <c r="FT75" s="139">
        <v>2792063</v>
      </c>
      <c r="FU75" s="139">
        <v>4006847</v>
      </c>
      <c r="FV75" s="139">
        <v>0</v>
      </c>
      <c r="FW75" s="139">
        <v>0</v>
      </c>
      <c r="FX75" s="139">
        <v>0</v>
      </c>
      <c r="FY75" s="139">
        <v>0</v>
      </c>
      <c r="FZ75" s="139">
        <v>0</v>
      </c>
      <c r="GA75" s="139">
        <v>0</v>
      </c>
      <c r="GB75" s="139">
        <v>0</v>
      </c>
      <c r="GC75" s="139">
        <v>0</v>
      </c>
      <c r="GD75" s="139">
        <v>0</v>
      </c>
      <c r="GE75" s="139">
        <v>0</v>
      </c>
      <c r="GF75" s="139">
        <v>0</v>
      </c>
      <c r="GG75" s="139">
        <v>0</v>
      </c>
      <c r="GH75" s="139">
        <v>259638</v>
      </c>
      <c r="GI75" s="139">
        <v>107188</v>
      </c>
      <c r="GJ75" s="139">
        <v>71250</v>
      </c>
      <c r="GK75" s="139">
        <v>173677</v>
      </c>
      <c r="GL75" s="139">
        <v>6695</v>
      </c>
      <c r="GM75" s="139">
        <v>618448</v>
      </c>
      <c r="GN75" s="139">
        <v>969241</v>
      </c>
      <c r="GO75" s="139">
        <v>223988</v>
      </c>
      <c r="GP75" s="139">
        <v>114723</v>
      </c>
      <c r="GQ75" s="139">
        <v>756997</v>
      </c>
      <c r="GR75" s="139">
        <v>34663</v>
      </c>
      <c r="GS75" s="139">
        <v>2099612</v>
      </c>
      <c r="GT75" s="139">
        <v>493518</v>
      </c>
      <c r="GU75" s="139">
        <v>66323</v>
      </c>
      <c r="GV75" s="139">
        <v>49918</v>
      </c>
      <c r="GW75" s="139">
        <v>309735</v>
      </c>
      <c r="GX75" s="139">
        <v>331278</v>
      </c>
      <c r="GY75" s="139">
        <v>1250772</v>
      </c>
      <c r="GZ75" s="139">
        <v>190831</v>
      </c>
      <c r="HA75" s="139">
        <v>116887</v>
      </c>
      <c r="HB75" s="139">
        <v>69002</v>
      </c>
      <c r="HC75" s="139">
        <v>89609</v>
      </c>
      <c r="HD75" s="139">
        <v>45773</v>
      </c>
      <c r="HE75" s="139">
        <v>512102</v>
      </c>
      <c r="HF75" s="139">
        <v>8340</v>
      </c>
      <c r="HG75" s="139">
        <v>0</v>
      </c>
      <c r="HH75" s="139">
        <v>0</v>
      </c>
      <c r="HI75" s="139">
        <v>320</v>
      </c>
      <c r="HJ75" s="139">
        <v>405348</v>
      </c>
      <c r="HK75" s="139">
        <v>414008</v>
      </c>
      <c r="HL75" s="139">
        <v>0</v>
      </c>
      <c r="HM75" s="139">
        <v>0</v>
      </c>
      <c r="HN75" s="139">
        <v>0</v>
      </c>
      <c r="HO75" s="139">
        <v>0</v>
      </c>
      <c r="HP75" s="139">
        <v>0</v>
      </c>
      <c r="HQ75" s="139">
        <v>0</v>
      </c>
      <c r="HR75" s="139">
        <v>339323</v>
      </c>
      <c r="HS75" s="139">
        <v>50000</v>
      </c>
      <c r="HT75" s="139">
        <v>52908</v>
      </c>
      <c r="HU75" s="139">
        <v>44781</v>
      </c>
      <c r="HV75" s="139">
        <v>648158</v>
      </c>
      <c r="HW75" s="139">
        <v>1135170</v>
      </c>
      <c r="HX75" s="139">
        <v>0</v>
      </c>
      <c r="HY75" s="139">
        <v>0</v>
      </c>
      <c r="HZ75" s="139">
        <v>0</v>
      </c>
      <c r="IA75" s="139">
        <v>0</v>
      </c>
      <c r="IB75" s="139">
        <v>251498</v>
      </c>
      <c r="IC75" s="139">
        <v>251498</v>
      </c>
      <c r="ID75" s="139">
        <v>0</v>
      </c>
      <c r="IE75" s="139">
        <v>0</v>
      </c>
      <c r="IF75" s="139">
        <v>0</v>
      </c>
      <c r="IG75" s="139">
        <v>0</v>
      </c>
      <c r="IH75" s="139">
        <v>0</v>
      </c>
      <c r="II75" s="139">
        <v>0</v>
      </c>
      <c r="IJ75" s="139">
        <v>318734</v>
      </c>
      <c r="IK75" s="139">
        <v>2067</v>
      </c>
      <c r="IL75" s="139">
        <v>0</v>
      </c>
      <c r="IM75" s="139">
        <v>35</v>
      </c>
      <c r="IN75" s="139">
        <v>208529</v>
      </c>
      <c r="IO75" s="139">
        <v>529365</v>
      </c>
      <c r="IP75" s="139">
        <v>4669</v>
      </c>
      <c r="IQ75" s="139">
        <v>1230</v>
      </c>
      <c r="IR75" s="139">
        <v>0</v>
      </c>
      <c r="IS75" s="139">
        <v>12607</v>
      </c>
      <c r="IT75" s="139">
        <v>119550</v>
      </c>
      <c r="IU75" s="139">
        <v>138056</v>
      </c>
      <c r="IV75" s="139">
        <v>598618</v>
      </c>
      <c r="IW75" s="139">
        <v>19878</v>
      </c>
      <c r="IX75" s="139">
        <v>23677</v>
      </c>
      <c r="IY75" s="139">
        <v>390118</v>
      </c>
      <c r="IZ75" s="139">
        <v>356370</v>
      </c>
      <c r="JA75" s="139">
        <v>1388661</v>
      </c>
      <c r="JB75" s="139">
        <v>8421200</v>
      </c>
      <c r="JC75" s="139">
        <v>1769229</v>
      </c>
      <c r="JD75" s="139">
        <v>1322119</v>
      </c>
      <c r="JE75" s="139">
        <v>5988166</v>
      </c>
      <c r="JF75" s="139">
        <v>5460045</v>
      </c>
      <c r="JG75" s="139">
        <v>22960759</v>
      </c>
      <c r="JH75" s="139">
        <v>0</v>
      </c>
      <c r="JI75" s="139">
        <v>0</v>
      </c>
      <c r="JJ75" s="139">
        <v>0</v>
      </c>
      <c r="JK75" s="139">
        <v>0</v>
      </c>
      <c r="JL75" s="139">
        <v>0</v>
      </c>
      <c r="JM75" s="139">
        <v>0</v>
      </c>
      <c r="JN75" s="139">
        <v>8421200</v>
      </c>
      <c r="JO75" s="139">
        <v>1769229</v>
      </c>
      <c r="JP75" s="139">
        <v>1322119</v>
      </c>
      <c r="JQ75" s="139">
        <v>5988166</v>
      </c>
      <c r="JR75" s="139">
        <v>5460045</v>
      </c>
      <c r="JS75" s="139">
        <v>22960759</v>
      </c>
      <c r="JU75" s="70">
        <f t="shared" si="158"/>
        <v>1406241</v>
      </c>
      <c r="JV75" s="70">
        <f t="shared" si="159"/>
        <v>0</v>
      </c>
      <c r="JW75" s="70">
        <f t="shared" si="160"/>
        <v>7842498</v>
      </c>
      <c r="JX75" s="70">
        <f t="shared" si="161"/>
        <v>0</v>
      </c>
      <c r="JY75" s="70">
        <f t="shared" si="162"/>
        <v>722500</v>
      </c>
      <c r="JZ75" s="70">
        <f t="shared" si="163"/>
        <v>0</v>
      </c>
      <c r="KA75" s="70">
        <f t="shared" si="164"/>
        <v>726774</v>
      </c>
      <c r="KB75" s="70">
        <f t="shared" si="165"/>
        <v>0</v>
      </c>
      <c r="KC75" s="70">
        <f t="shared" si="166"/>
        <v>0</v>
      </c>
      <c r="KD75" s="70">
        <f t="shared" si="167"/>
        <v>0</v>
      </c>
      <c r="KE75" s="70">
        <f t="shared" si="168"/>
        <v>0</v>
      </c>
      <c r="KF75" s="70">
        <f t="shared" si="169"/>
        <v>0</v>
      </c>
      <c r="KG75" s="70">
        <f t="shared" si="170"/>
        <v>10040667</v>
      </c>
      <c r="KH75" s="70">
        <f t="shared" si="171"/>
        <v>0</v>
      </c>
      <c r="KI75" s="70">
        <f t="shared" si="172"/>
        <v>0</v>
      </c>
      <c r="KJ75" s="70">
        <f t="shared" si="173"/>
        <v>0</v>
      </c>
      <c r="KK75" s="70">
        <f t="shared" si="174"/>
        <v>1470004</v>
      </c>
      <c r="KL75" s="70">
        <f t="shared" si="175"/>
        <v>0</v>
      </c>
      <c r="KM75" s="70">
        <f t="shared" si="176"/>
        <v>0</v>
      </c>
      <c r="KN75" s="70">
        <f t="shared" si="177"/>
        <v>0</v>
      </c>
      <c r="KO75" s="70">
        <f t="shared" si="178"/>
        <v>141181</v>
      </c>
      <c r="KP75" s="70">
        <f t="shared" si="179"/>
        <v>0</v>
      </c>
      <c r="KQ75" s="70">
        <f t="shared" si="180"/>
        <v>473726</v>
      </c>
      <c r="KR75" s="70">
        <f t="shared" si="181"/>
        <v>0</v>
      </c>
      <c r="KS75" s="70">
        <f t="shared" si="182"/>
        <v>0</v>
      </c>
      <c r="KT75" s="70">
        <f t="shared" si="183"/>
        <v>0</v>
      </c>
      <c r="KU75" s="70">
        <f t="shared" si="184"/>
        <v>0</v>
      </c>
      <c r="KV75" s="70">
        <f t="shared" si="185"/>
        <v>0</v>
      </c>
      <c r="KW75" s="70">
        <f t="shared" si="186"/>
        <v>268137</v>
      </c>
      <c r="KX75" s="70">
        <f t="shared" si="187"/>
        <v>0</v>
      </c>
      <c r="KY75" s="70">
        <f t="shared" si="188"/>
        <v>23091728</v>
      </c>
      <c r="KZ75" s="70">
        <f t="shared" si="189"/>
        <v>0</v>
      </c>
      <c r="LA75" s="70">
        <f t="shared" si="190"/>
        <v>5771416</v>
      </c>
      <c r="LB75" s="70">
        <f t="shared" si="191"/>
        <v>0</v>
      </c>
      <c r="LC75" s="70">
        <f t="shared" si="192"/>
        <v>496640</v>
      </c>
      <c r="LD75" s="70">
        <f t="shared" si="193"/>
        <v>0</v>
      </c>
      <c r="LE75" s="70">
        <f t="shared" si="194"/>
        <v>4348164</v>
      </c>
      <c r="LF75" s="70">
        <f t="shared" si="195"/>
        <v>0</v>
      </c>
      <c r="LG75" s="70">
        <f t="shared" si="155"/>
        <v>0</v>
      </c>
      <c r="LH75" s="70">
        <f t="shared" si="156"/>
        <v>0</v>
      </c>
      <c r="LI75" s="70">
        <f t="shared" si="196"/>
        <v>4006847</v>
      </c>
      <c r="LJ75" s="70">
        <f t="shared" si="197"/>
        <v>0</v>
      </c>
      <c r="LK75" s="70">
        <f t="shared" si="198"/>
        <v>0</v>
      </c>
      <c r="LL75" s="70">
        <f t="shared" si="199"/>
        <v>0</v>
      </c>
      <c r="LM75" s="70">
        <f t="shared" si="200"/>
        <v>0</v>
      </c>
      <c r="LN75" s="70">
        <f t="shared" si="201"/>
        <v>0</v>
      </c>
      <c r="LO75" s="70">
        <f t="shared" si="202"/>
        <v>618448</v>
      </c>
      <c r="LP75" s="70">
        <f t="shared" si="203"/>
        <v>0</v>
      </c>
      <c r="LQ75" s="70">
        <f t="shared" si="204"/>
        <v>2099612</v>
      </c>
      <c r="LR75" s="70">
        <f t="shared" si="205"/>
        <v>0</v>
      </c>
      <c r="LS75" s="70">
        <f t="shared" si="206"/>
        <v>1250772</v>
      </c>
      <c r="LT75" s="70">
        <f t="shared" si="207"/>
        <v>0</v>
      </c>
      <c r="LU75" s="70">
        <f t="shared" si="208"/>
        <v>512102</v>
      </c>
      <c r="LV75" s="70">
        <f t="shared" si="209"/>
        <v>0</v>
      </c>
      <c r="LW75" s="70">
        <f t="shared" si="210"/>
        <v>414008</v>
      </c>
      <c r="LX75" s="70">
        <f t="shared" si="211"/>
        <v>0</v>
      </c>
      <c r="LY75" s="70">
        <f t="shared" si="212"/>
        <v>0</v>
      </c>
      <c r="LZ75" s="70">
        <f t="shared" si="213"/>
        <v>0</v>
      </c>
      <c r="MA75" s="70">
        <f t="shared" si="214"/>
        <v>1135170</v>
      </c>
      <c r="MB75" s="70">
        <f t="shared" si="215"/>
        <v>0</v>
      </c>
      <c r="MC75" s="70">
        <f t="shared" si="216"/>
        <v>251498</v>
      </c>
      <c r="MD75" s="70">
        <f t="shared" si="217"/>
        <v>0</v>
      </c>
      <c r="ME75" s="70">
        <f t="shared" si="218"/>
        <v>0</v>
      </c>
      <c r="MF75" s="70">
        <f t="shared" si="219"/>
        <v>0</v>
      </c>
      <c r="MG75" s="70">
        <f t="shared" si="220"/>
        <v>529365</v>
      </c>
      <c r="MH75" s="70">
        <f t="shared" si="221"/>
        <v>0</v>
      </c>
      <c r="MI75" s="70">
        <f t="shared" si="222"/>
        <v>138056</v>
      </c>
      <c r="MJ75" s="70">
        <f t="shared" si="223"/>
        <v>0</v>
      </c>
      <c r="MK75" s="70">
        <f t="shared" si="224"/>
        <v>1388661</v>
      </c>
      <c r="ML75" s="70">
        <f t="shared" si="225"/>
        <v>0</v>
      </c>
      <c r="MM75" s="70">
        <f t="shared" si="226"/>
        <v>22960759</v>
      </c>
      <c r="MN75" s="70">
        <f t="shared" si="227"/>
        <v>0</v>
      </c>
      <c r="MO75" s="70">
        <f t="shared" si="228"/>
        <v>0</v>
      </c>
      <c r="MP75" s="70">
        <f t="shared" si="229"/>
        <v>0</v>
      </c>
      <c r="MQ75" s="70">
        <f t="shared" si="230"/>
        <v>22960759</v>
      </c>
      <c r="MR75" s="70">
        <f t="shared" si="231"/>
        <v>0</v>
      </c>
      <c r="MT75" s="70">
        <f t="shared" si="232"/>
        <v>0</v>
      </c>
      <c r="MV75" s="68">
        <f t="shared" si="233"/>
        <v>0</v>
      </c>
    </row>
    <row r="76" spans="1:371" x14ac:dyDescent="0.15">
      <c r="A76" s="81" t="s">
        <v>359</v>
      </c>
      <c r="B76" s="67" t="s">
        <v>427</v>
      </c>
      <c r="C76" s="90">
        <v>218663</v>
      </c>
      <c r="D76" s="90">
        <v>2014</v>
      </c>
      <c r="E76" s="90">
        <v>1</v>
      </c>
      <c r="F76" s="91">
        <v>5</v>
      </c>
      <c r="G76" s="92">
        <v>10171</v>
      </c>
      <c r="H76" s="92">
        <v>12362</v>
      </c>
      <c r="I76" s="93">
        <v>897738840</v>
      </c>
      <c r="J76" s="93">
        <v>835602371</v>
      </c>
      <c r="K76" s="93">
        <v>8136628</v>
      </c>
      <c r="L76" s="93">
        <v>8162102</v>
      </c>
      <c r="M76" s="93">
        <v>36093515</v>
      </c>
      <c r="N76" s="93">
        <v>35305289</v>
      </c>
      <c r="O76" s="93">
        <v>119250000</v>
      </c>
      <c r="P76" s="93">
        <v>121915000</v>
      </c>
      <c r="Q76" s="93">
        <v>432135246</v>
      </c>
      <c r="R76" s="93">
        <v>434955509</v>
      </c>
      <c r="S76" s="93">
        <v>724425391</v>
      </c>
      <c r="T76" s="93">
        <v>680008000</v>
      </c>
      <c r="U76" s="93">
        <v>20329</v>
      </c>
      <c r="V76" s="93">
        <v>19642</v>
      </c>
      <c r="W76" s="93">
        <v>38041</v>
      </c>
      <c r="X76" s="93">
        <v>36798</v>
      </c>
      <c r="Y76" s="93">
        <v>26316</v>
      </c>
      <c r="Z76" s="93">
        <v>25302</v>
      </c>
      <c r="AA76" s="93">
        <v>44055</v>
      </c>
      <c r="AB76" s="93">
        <v>42730</v>
      </c>
      <c r="AC76" s="114">
        <v>9</v>
      </c>
      <c r="AD76" s="114">
        <v>12</v>
      </c>
      <c r="AE76" s="114">
        <v>0</v>
      </c>
      <c r="AF76" s="115">
        <v>6845147</v>
      </c>
      <c r="AG76" s="115">
        <v>5120662</v>
      </c>
      <c r="AH76" s="115">
        <v>758931</v>
      </c>
      <c r="AI76" s="115">
        <v>439195</v>
      </c>
      <c r="AJ76" s="115">
        <v>527636</v>
      </c>
      <c r="AK76" s="116">
        <v>6.9</v>
      </c>
      <c r="AL76" s="115">
        <v>455086</v>
      </c>
      <c r="AM76" s="116">
        <v>8</v>
      </c>
      <c r="AN76" s="115">
        <v>229424</v>
      </c>
      <c r="AO76" s="116">
        <v>9.1</v>
      </c>
      <c r="AP76" s="115">
        <v>208776</v>
      </c>
      <c r="AQ76" s="116">
        <v>10</v>
      </c>
      <c r="AR76" s="115">
        <v>230615</v>
      </c>
      <c r="AS76" s="116">
        <v>22.5</v>
      </c>
      <c r="AT76" s="115">
        <v>185316</v>
      </c>
      <c r="AU76" s="116">
        <v>28</v>
      </c>
      <c r="AV76" s="115">
        <v>95149</v>
      </c>
      <c r="AW76" s="116">
        <v>18.5</v>
      </c>
      <c r="AX76" s="115">
        <v>73344</v>
      </c>
      <c r="AY76" s="116">
        <v>24</v>
      </c>
      <c r="AZ76" s="139">
        <v>18429618</v>
      </c>
      <c r="BA76" s="139">
        <v>1067730</v>
      </c>
      <c r="BB76" s="139">
        <v>117155</v>
      </c>
      <c r="BC76" s="139">
        <v>1572536</v>
      </c>
      <c r="BD76" s="139">
        <v>159707</v>
      </c>
      <c r="BE76" s="139">
        <v>21346746</v>
      </c>
      <c r="BF76" s="139">
        <v>0</v>
      </c>
      <c r="BG76" s="139">
        <v>0</v>
      </c>
      <c r="BH76" s="139">
        <v>0</v>
      </c>
      <c r="BI76" s="139">
        <v>0</v>
      </c>
      <c r="BJ76" s="139">
        <v>2592673</v>
      </c>
      <c r="BK76" s="139">
        <v>2592673</v>
      </c>
      <c r="BL76" s="139">
        <v>300000</v>
      </c>
      <c r="BM76" s="139">
        <v>0</v>
      </c>
      <c r="BN76" s="139">
        <v>0</v>
      </c>
      <c r="BO76" s="139">
        <v>2500</v>
      </c>
      <c r="BP76" s="139">
        <v>0</v>
      </c>
      <c r="BQ76" s="139">
        <v>302500</v>
      </c>
      <c r="BR76" s="139">
        <v>13860877</v>
      </c>
      <c r="BS76" s="139">
        <v>268670</v>
      </c>
      <c r="BT76" s="139">
        <v>1230</v>
      </c>
      <c r="BU76" s="139">
        <v>705174</v>
      </c>
      <c r="BV76" s="139">
        <v>15367800</v>
      </c>
      <c r="BW76" s="139">
        <v>30203751</v>
      </c>
      <c r="BX76" s="139">
        <v>3525000</v>
      </c>
      <c r="BY76" s="139">
        <v>1400000</v>
      </c>
      <c r="BZ76" s="139">
        <v>500000</v>
      </c>
      <c r="CA76" s="139">
        <v>175000</v>
      </c>
      <c r="CB76" s="139">
        <v>150000</v>
      </c>
      <c r="CC76" s="139">
        <v>5750000</v>
      </c>
      <c r="CD76" s="139">
        <v>0</v>
      </c>
      <c r="CE76" s="139">
        <v>0</v>
      </c>
      <c r="CF76" s="139">
        <v>0</v>
      </c>
      <c r="CG76" s="139">
        <v>0</v>
      </c>
      <c r="CH76" s="139">
        <v>0</v>
      </c>
      <c r="CI76" s="139">
        <v>0</v>
      </c>
      <c r="CJ76" s="139">
        <v>949501</v>
      </c>
      <c r="CK76" s="139">
        <v>156158</v>
      </c>
      <c r="CL76" s="139">
        <v>118204</v>
      </c>
      <c r="CM76" s="139">
        <v>1791722</v>
      </c>
      <c r="CN76" s="139">
        <v>23718</v>
      </c>
      <c r="CO76" s="139">
        <v>3039303</v>
      </c>
      <c r="CP76" s="139">
        <v>0</v>
      </c>
      <c r="CQ76" s="139">
        <v>0</v>
      </c>
      <c r="CR76" s="139">
        <v>0</v>
      </c>
      <c r="CS76" s="139">
        <v>0</v>
      </c>
      <c r="CT76" s="139">
        <v>0</v>
      </c>
      <c r="CU76" s="139">
        <v>0</v>
      </c>
      <c r="CV76" s="139">
        <v>15460939</v>
      </c>
      <c r="CW76" s="172">
        <v>5149203</v>
      </c>
      <c r="CX76" s="157">
        <v>150360</v>
      </c>
      <c r="CY76" s="172">
        <v>140476</v>
      </c>
      <c r="CZ76" s="172">
        <v>2002561</v>
      </c>
      <c r="DA76" s="172">
        <v>22903539</v>
      </c>
      <c r="DB76" s="139">
        <v>5000</v>
      </c>
      <c r="DC76" s="172">
        <v>0</v>
      </c>
      <c r="DD76" s="172">
        <v>5000</v>
      </c>
      <c r="DE76" s="172">
        <v>0</v>
      </c>
      <c r="DF76" s="172">
        <v>250000</v>
      </c>
      <c r="DG76" s="172">
        <v>260000</v>
      </c>
      <c r="DH76" s="139">
        <v>3143872</v>
      </c>
      <c r="DI76" s="172">
        <v>4609</v>
      </c>
      <c r="DJ76" s="172">
        <v>860</v>
      </c>
      <c r="DK76" s="172">
        <v>365310</v>
      </c>
      <c r="DL76" s="172">
        <v>647492</v>
      </c>
      <c r="DM76" s="172">
        <v>4162143</v>
      </c>
      <c r="DN76" s="139">
        <v>0</v>
      </c>
      <c r="DO76" s="172">
        <v>0</v>
      </c>
      <c r="DP76" s="172">
        <v>0</v>
      </c>
      <c r="DQ76" s="172">
        <v>0</v>
      </c>
      <c r="DR76" s="172">
        <v>31049</v>
      </c>
      <c r="DS76" s="172">
        <v>31049</v>
      </c>
      <c r="DT76" s="139">
        <v>0</v>
      </c>
      <c r="DU76" s="172">
        <v>0</v>
      </c>
      <c r="DV76" s="172">
        <v>0</v>
      </c>
      <c r="DW76" s="172">
        <v>0</v>
      </c>
      <c r="DX76" s="172">
        <v>31049</v>
      </c>
      <c r="DY76" s="172">
        <v>31049</v>
      </c>
      <c r="DZ76" s="139">
        <v>0</v>
      </c>
      <c r="EA76" s="139">
        <v>0</v>
      </c>
      <c r="EB76" s="139">
        <v>0</v>
      </c>
      <c r="EC76" s="139">
        <v>0</v>
      </c>
      <c r="ED76" s="139">
        <v>405198</v>
      </c>
      <c r="EE76" s="139">
        <v>405198</v>
      </c>
      <c r="EF76" s="139">
        <v>2263</v>
      </c>
      <c r="EG76" s="172">
        <v>0</v>
      </c>
      <c r="EH76" s="172">
        <v>12225</v>
      </c>
      <c r="EI76" s="172">
        <v>407214</v>
      </c>
      <c r="EJ76" s="172">
        <v>2933031</v>
      </c>
      <c r="EK76" s="172">
        <v>3354733</v>
      </c>
      <c r="EL76" s="139">
        <v>55699770</v>
      </c>
      <c r="EM76" s="139">
        <v>8052994</v>
      </c>
      <c r="EN76" s="139">
        <v>939479</v>
      </c>
      <c r="EO76" s="139">
        <v>5321482</v>
      </c>
      <c r="EP76" s="139">
        <v>28605754</v>
      </c>
      <c r="EQ76" s="139">
        <v>98619479</v>
      </c>
      <c r="ER76" s="139">
        <v>3924715</v>
      </c>
      <c r="ES76" s="172">
        <v>638905</v>
      </c>
      <c r="ET76" s="172">
        <v>555207</v>
      </c>
      <c r="EU76" s="172">
        <v>6846982</v>
      </c>
      <c r="EV76" s="172">
        <v>464902</v>
      </c>
      <c r="EW76" s="172">
        <v>12430711</v>
      </c>
      <c r="EX76" s="139">
        <v>925000</v>
      </c>
      <c r="EY76" s="139">
        <v>460571</v>
      </c>
      <c r="EZ76" s="139">
        <v>101451</v>
      </c>
      <c r="FA76" s="139">
        <v>100821</v>
      </c>
      <c r="FB76" s="139">
        <v>0</v>
      </c>
      <c r="FC76" s="139">
        <v>1587843</v>
      </c>
      <c r="FD76" s="139">
        <v>4591353</v>
      </c>
      <c r="FE76" s="139">
        <v>2099515</v>
      </c>
      <c r="FF76" s="139">
        <v>1323568</v>
      </c>
      <c r="FG76" s="139">
        <v>4663117</v>
      </c>
      <c r="FH76" s="139">
        <v>0</v>
      </c>
      <c r="FI76" s="139">
        <v>12677553</v>
      </c>
      <c r="FJ76" s="139">
        <v>3525000</v>
      </c>
      <c r="FK76" s="139">
        <v>1400000</v>
      </c>
      <c r="FL76" s="139">
        <v>500000</v>
      </c>
      <c r="FM76" s="139">
        <v>175000</v>
      </c>
      <c r="FN76" s="139">
        <v>0</v>
      </c>
      <c r="FO76" s="139">
        <v>5600000</v>
      </c>
      <c r="FP76" s="139">
        <v>1519847</v>
      </c>
      <c r="FQ76" s="139">
        <v>437827</v>
      </c>
      <c r="FR76" s="139">
        <v>304682</v>
      </c>
      <c r="FS76" s="139">
        <v>575142</v>
      </c>
      <c r="FT76" s="139">
        <v>14622110</v>
      </c>
      <c r="FU76" s="139">
        <v>17459608</v>
      </c>
      <c r="FV76" s="139">
        <v>0</v>
      </c>
      <c r="FW76" s="139">
        <v>0</v>
      </c>
      <c r="FX76" s="139">
        <v>0</v>
      </c>
      <c r="FY76" s="139">
        <v>0</v>
      </c>
      <c r="FZ76" s="139">
        <v>150000</v>
      </c>
      <c r="GA76" s="139">
        <v>150000</v>
      </c>
      <c r="GB76" s="139">
        <v>0</v>
      </c>
      <c r="GC76" s="139">
        <v>0</v>
      </c>
      <c r="GD76" s="139">
        <v>0</v>
      </c>
      <c r="GE76" s="139">
        <v>0</v>
      </c>
      <c r="GF76" s="139">
        <v>0</v>
      </c>
      <c r="GG76" s="139">
        <v>0</v>
      </c>
      <c r="GH76" s="139">
        <v>347081</v>
      </c>
      <c r="GI76" s="139">
        <v>213913</v>
      </c>
      <c r="GJ76" s="139">
        <v>110356</v>
      </c>
      <c r="GK76" s="139">
        <v>526776</v>
      </c>
      <c r="GL76" s="139">
        <v>0</v>
      </c>
      <c r="GM76" s="139">
        <v>1198126</v>
      </c>
      <c r="GN76" s="139">
        <v>2003782</v>
      </c>
      <c r="GO76" s="139">
        <v>780800</v>
      </c>
      <c r="GP76" s="139">
        <v>664060</v>
      </c>
      <c r="GQ76" s="139">
        <v>2720263</v>
      </c>
      <c r="GR76" s="139">
        <v>0</v>
      </c>
      <c r="GS76" s="139">
        <v>6168905</v>
      </c>
      <c r="GT76" s="139">
        <v>1322179</v>
      </c>
      <c r="GU76" s="139">
        <v>232533</v>
      </c>
      <c r="GV76" s="139">
        <v>107270</v>
      </c>
      <c r="GW76" s="139">
        <v>1422163</v>
      </c>
      <c r="GX76" s="139">
        <v>98042</v>
      </c>
      <c r="GY76" s="139">
        <v>3182187</v>
      </c>
      <c r="GZ76" s="139">
        <v>3764331</v>
      </c>
      <c r="HA76" s="139">
        <v>561196</v>
      </c>
      <c r="HB76" s="139">
        <v>414211</v>
      </c>
      <c r="HC76" s="139">
        <v>1718416</v>
      </c>
      <c r="HD76" s="139">
        <v>498647</v>
      </c>
      <c r="HE76" s="139">
        <v>6956801</v>
      </c>
      <c r="HF76" s="139">
        <v>60399</v>
      </c>
      <c r="HG76" s="139">
        <v>38762</v>
      </c>
      <c r="HH76" s="139">
        <v>72335</v>
      </c>
      <c r="HI76" s="139">
        <v>32217</v>
      </c>
      <c r="HJ76" s="139">
        <v>3377604</v>
      </c>
      <c r="HK76" s="139">
        <v>3581317</v>
      </c>
      <c r="HL76" s="139">
        <v>0</v>
      </c>
      <c r="HM76" s="139">
        <v>0</v>
      </c>
      <c r="HN76" s="139">
        <v>0</v>
      </c>
      <c r="HO76" s="139">
        <v>0</v>
      </c>
      <c r="HP76" s="139">
        <v>97637</v>
      </c>
      <c r="HQ76" s="139">
        <v>97637</v>
      </c>
      <c r="HR76" s="139">
        <v>3749372</v>
      </c>
      <c r="HS76" s="139">
        <v>138258</v>
      </c>
      <c r="HT76" s="139">
        <v>251817</v>
      </c>
      <c r="HU76" s="139">
        <v>2347699</v>
      </c>
      <c r="HV76" s="139">
        <v>7766461</v>
      </c>
      <c r="HW76" s="139">
        <v>14253607</v>
      </c>
      <c r="HX76" s="139">
        <v>96552</v>
      </c>
      <c r="HY76" s="139">
        <v>0</v>
      </c>
      <c r="HZ76" s="139">
        <v>0</v>
      </c>
      <c r="IA76" s="139">
        <v>0</v>
      </c>
      <c r="IB76" s="139">
        <v>520221</v>
      </c>
      <c r="IC76" s="139">
        <v>616773</v>
      </c>
      <c r="ID76" s="139">
        <v>0</v>
      </c>
      <c r="IE76" s="139">
        <v>0</v>
      </c>
      <c r="IF76" s="139">
        <v>0</v>
      </c>
      <c r="IG76" s="139">
        <v>0</v>
      </c>
      <c r="IH76" s="139">
        <v>0</v>
      </c>
      <c r="II76" s="139">
        <v>0</v>
      </c>
      <c r="IJ76" s="139">
        <v>0</v>
      </c>
      <c r="IK76" s="139">
        <v>0</v>
      </c>
      <c r="IL76" s="139">
        <v>0</v>
      </c>
      <c r="IM76" s="139">
        <v>0</v>
      </c>
      <c r="IN76" s="139">
        <v>931642</v>
      </c>
      <c r="IO76" s="139">
        <v>931642</v>
      </c>
      <c r="IP76" s="139">
        <v>3304</v>
      </c>
      <c r="IQ76" s="139">
        <v>896</v>
      </c>
      <c r="IR76" s="139">
        <v>2735</v>
      </c>
      <c r="IS76" s="139">
        <v>38270</v>
      </c>
      <c r="IT76" s="139">
        <v>40963</v>
      </c>
      <c r="IU76" s="139">
        <v>86168</v>
      </c>
      <c r="IV76" s="139">
        <v>354437</v>
      </c>
      <c r="IW76" s="139">
        <v>60960</v>
      </c>
      <c r="IX76" s="139">
        <v>69754</v>
      </c>
      <c r="IY76" s="139">
        <v>358923</v>
      </c>
      <c r="IZ76" s="139">
        <v>7939834</v>
      </c>
      <c r="JA76" s="139">
        <v>8783908</v>
      </c>
      <c r="JB76" s="139">
        <v>26187352</v>
      </c>
      <c r="JC76" s="139">
        <v>7064136</v>
      </c>
      <c r="JD76" s="139">
        <v>4477446</v>
      </c>
      <c r="JE76" s="139">
        <v>21525789</v>
      </c>
      <c r="JF76" s="139">
        <v>36508063</v>
      </c>
      <c r="JG76" s="139">
        <v>95762786</v>
      </c>
      <c r="JH76" s="139">
        <v>0</v>
      </c>
      <c r="JI76" s="139">
        <v>0</v>
      </c>
      <c r="JJ76" s="139">
        <v>0</v>
      </c>
      <c r="JK76" s="139">
        <v>0</v>
      </c>
      <c r="JL76" s="139">
        <v>2636306</v>
      </c>
      <c r="JM76" s="139">
        <v>2636306</v>
      </c>
      <c r="JN76" s="139">
        <v>26187352</v>
      </c>
      <c r="JO76" s="139">
        <v>7064136</v>
      </c>
      <c r="JP76" s="139">
        <v>4477446</v>
      </c>
      <c r="JQ76" s="139">
        <v>21525789</v>
      </c>
      <c r="JR76" s="139">
        <v>39144369</v>
      </c>
      <c r="JS76" s="139">
        <v>98399092</v>
      </c>
      <c r="JU76" s="70">
        <f t="shared" si="158"/>
        <v>21346746</v>
      </c>
      <c r="JV76" s="70">
        <f t="shared" si="159"/>
        <v>0</v>
      </c>
      <c r="JW76" s="70">
        <f t="shared" si="160"/>
        <v>2592673</v>
      </c>
      <c r="JX76" s="70">
        <f t="shared" si="161"/>
        <v>0</v>
      </c>
      <c r="JY76" s="70">
        <f t="shared" si="162"/>
        <v>302500</v>
      </c>
      <c r="JZ76" s="70">
        <f t="shared" si="163"/>
        <v>0</v>
      </c>
      <c r="KA76" s="70">
        <f t="shared" si="164"/>
        <v>30203751</v>
      </c>
      <c r="KB76" s="70">
        <f t="shared" si="165"/>
        <v>0</v>
      </c>
      <c r="KC76" s="70">
        <f t="shared" si="166"/>
        <v>5750000</v>
      </c>
      <c r="KD76" s="70">
        <f t="shared" si="167"/>
        <v>0</v>
      </c>
      <c r="KE76" s="70">
        <f t="shared" si="168"/>
        <v>0</v>
      </c>
      <c r="KF76" s="70">
        <f t="shared" si="169"/>
        <v>0</v>
      </c>
      <c r="KG76" s="70">
        <f t="shared" si="170"/>
        <v>3039303</v>
      </c>
      <c r="KH76" s="70">
        <f t="shared" si="171"/>
        <v>0</v>
      </c>
      <c r="KI76" s="70">
        <f t="shared" si="172"/>
        <v>0</v>
      </c>
      <c r="KJ76" s="70">
        <f t="shared" si="173"/>
        <v>0</v>
      </c>
      <c r="KK76" s="70">
        <f t="shared" si="174"/>
        <v>22903539</v>
      </c>
      <c r="KL76" s="70">
        <f t="shared" si="175"/>
        <v>0</v>
      </c>
      <c r="KM76" s="70">
        <f t="shared" si="176"/>
        <v>260000</v>
      </c>
      <c r="KN76" s="70">
        <f t="shared" si="177"/>
        <v>0</v>
      </c>
      <c r="KO76" s="70">
        <f t="shared" si="178"/>
        <v>4162143</v>
      </c>
      <c r="KP76" s="70">
        <f t="shared" si="179"/>
        <v>0</v>
      </c>
      <c r="KQ76" s="70">
        <f t="shared" si="180"/>
        <v>31049</v>
      </c>
      <c r="KR76" s="70">
        <f t="shared" si="181"/>
        <v>0</v>
      </c>
      <c r="KS76" s="70">
        <f t="shared" si="182"/>
        <v>31049</v>
      </c>
      <c r="KT76" s="70">
        <f t="shared" si="183"/>
        <v>0</v>
      </c>
      <c r="KU76" s="70">
        <f t="shared" si="184"/>
        <v>405198</v>
      </c>
      <c r="KV76" s="70">
        <f t="shared" si="185"/>
        <v>0</v>
      </c>
      <c r="KW76" s="70">
        <f t="shared" si="186"/>
        <v>3354733</v>
      </c>
      <c r="KX76" s="70">
        <f t="shared" si="187"/>
        <v>0</v>
      </c>
      <c r="KY76" s="70">
        <f t="shared" si="188"/>
        <v>98619479</v>
      </c>
      <c r="KZ76" s="70">
        <f t="shared" si="189"/>
        <v>0</v>
      </c>
      <c r="LA76" s="70">
        <f t="shared" si="190"/>
        <v>12430711</v>
      </c>
      <c r="LB76" s="70">
        <f t="shared" si="191"/>
        <v>0</v>
      </c>
      <c r="LC76" s="70">
        <f t="shared" si="192"/>
        <v>1587843</v>
      </c>
      <c r="LD76" s="70">
        <f t="shared" si="193"/>
        <v>0</v>
      </c>
      <c r="LE76" s="70">
        <f t="shared" si="194"/>
        <v>12677553</v>
      </c>
      <c r="LF76" s="70">
        <f t="shared" si="195"/>
        <v>0</v>
      </c>
      <c r="LG76" s="70">
        <f t="shared" si="155"/>
        <v>5600000</v>
      </c>
      <c r="LH76" s="70">
        <f t="shared" si="156"/>
        <v>0</v>
      </c>
      <c r="LI76" s="70">
        <f t="shared" si="196"/>
        <v>17459608</v>
      </c>
      <c r="LJ76" s="70">
        <f t="shared" si="197"/>
        <v>0</v>
      </c>
      <c r="LK76" s="70">
        <f t="shared" si="198"/>
        <v>150000</v>
      </c>
      <c r="LL76" s="70">
        <f t="shared" si="199"/>
        <v>0</v>
      </c>
      <c r="LM76" s="70">
        <f t="shared" si="200"/>
        <v>0</v>
      </c>
      <c r="LN76" s="70">
        <f t="shared" si="201"/>
        <v>0</v>
      </c>
      <c r="LO76" s="70">
        <f t="shared" si="202"/>
        <v>1198126</v>
      </c>
      <c r="LP76" s="70">
        <f t="shared" si="203"/>
        <v>0</v>
      </c>
      <c r="LQ76" s="70">
        <f t="shared" si="204"/>
        <v>6168905</v>
      </c>
      <c r="LR76" s="70">
        <f t="shared" si="205"/>
        <v>0</v>
      </c>
      <c r="LS76" s="70">
        <f t="shared" si="206"/>
        <v>3182187</v>
      </c>
      <c r="LT76" s="70">
        <f t="shared" si="207"/>
        <v>0</v>
      </c>
      <c r="LU76" s="70">
        <f t="shared" si="208"/>
        <v>6956801</v>
      </c>
      <c r="LV76" s="70">
        <f t="shared" si="209"/>
        <v>0</v>
      </c>
      <c r="LW76" s="70">
        <f t="shared" si="210"/>
        <v>3581317</v>
      </c>
      <c r="LX76" s="70">
        <f t="shared" si="211"/>
        <v>0</v>
      </c>
      <c r="LY76" s="70">
        <f t="shared" si="212"/>
        <v>97637</v>
      </c>
      <c r="LZ76" s="70">
        <f t="shared" si="213"/>
        <v>0</v>
      </c>
      <c r="MA76" s="70">
        <f t="shared" si="214"/>
        <v>14253607</v>
      </c>
      <c r="MB76" s="70">
        <f t="shared" si="215"/>
        <v>0</v>
      </c>
      <c r="MC76" s="70">
        <f t="shared" si="216"/>
        <v>616773</v>
      </c>
      <c r="MD76" s="70">
        <f t="shared" si="217"/>
        <v>0</v>
      </c>
      <c r="ME76" s="70">
        <f t="shared" si="218"/>
        <v>0</v>
      </c>
      <c r="MF76" s="70">
        <f t="shared" si="219"/>
        <v>0</v>
      </c>
      <c r="MG76" s="70">
        <f t="shared" si="220"/>
        <v>931642</v>
      </c>
      <c r="MH76" s="70">
        <f t="shared" si="221"/>
        <v>0</v>
      </c>
      <c r="MI76" s="70">
        <f t="shared" si="222"/>
        <v>86168</v>
      </c>
      <c r="MJ76" s="70">
        <f t="shared" si="223"/>
        <v>0</v>
      </c>
      <c r="MK76" s="70">
        <f t="shared" si="224"/>
        <v>8783908</v>
      </c>
      <c r="ML76" s="70">
        <f t="shared" si="225"/>
        <v>0</v>
      </c>
      <c r="MM76" s="70">
        <f t="shared" si="226"/>
        <v>95762786</v>
      </c>
      <c r="MN76" s="70">
        <f t="shared" si="227"/>
        <v>0</v>
      </c>
      <c r="MO76" s="70">
        <f t="shared" si="228"/>
        <v>2636306</v>
      </c>
      <c r="MP76" s="70">
        <f t="shared" si="229"/>
        <v>0</v>
      </c>
      <c r="MQ76" s="70">
        <f t="shared" si="230"/>
        <v>98399092</v>
      </c>
      <c r="MR76" s="70">
        <f t="shared" si="231"/>
        <v>0</v>
      </c>
      <c r="MT76" s="70">
        <f t="shared" si="232"/>
        <v>0</v>
      </c>
      <c r="MV76" s="68">
        <f t="shared" si="233"/>
        <v>0</v>
      </c>
    </row>
    <row r="77" spans="1:371" x14ac:dyDescent="0.15">
      <c r="A77" s="182" t="s">
        <v>361</v>
      </c>
      <c r="B77" s="76" t="s">
        <v>427</v>
      </c>
      <c r="C77" s="90">
        <v>137351</v>
      </c>
      <c r="D77" s="90">
        <v>2014</v>
      </c>
      <c r="E77" s="90">
        <v>1</v>
      </c>
      <c r="F77" s="91">
        <v>6</v>
      </c>
      <c r="G77" s="92">
        <v>10282</v>
      </c>
      <c r="H77" s="92">
        <v>13158</v>
      </c>
      <c r="I77" s="93">
        <v>1125884325</v>
      </c>
      <c r="J77" s="93">
        <v>1091536716</v>
      </c>
      <c r="K77" s="93">
        <v>2656747</v>
      </c>
      <c r="L77" s="93">
        <v>2619231</v>
      </c>
      <c r="M77" s="93">
        <v>36618699</v>
      </c>
      <c r="N77" s="93">
        <v>35279572</v>
      </c>
      <c r="O77" s="93">
        <v>29302127</v>
      </c>
      <c r="P77" s="93">
        <v>30684387</v>
      </c>
      <c r="Q77" s="93">
        <v>462704504</v>
      </c>
      <c r="R77" s="93">
        <v>461828883</v>
      </c>
      <c r="S77" s="93">
        <v>891978319</v>
      </c>
      <c r="T77" s="93">
        <v>855366878</v>
      </c>
      <c r="U77" s="93">
        <v>16610</v>
      </c>
      <c r="V77" s="93">
        <v>16290</v>
      </c>
      <c r="W77" s="93">
        <v>27524</v>
      </c>
      <c r="X77" s="93">
        <v>26220</v>
      </c>
      <c r="Y77" s="93">
        <v>20910</v>
      </c>
      <c r="Z77" s="93">
        <v>20390</v>
      </c>
      <c r="AA77" s="93">
        <v>31824</v>
      </c>
      <c r="AB77" s="93">
        <v>30320</v>
      </c>
      <c r="AC77" s="114">
        <v>9</v>
      </c>
      <c r="AD77" s="114">
        <v>10</v>
      </c>
      <c r="AE77" s="114">
        <v>0</v>
      </c>
      <c r="AF77" s="115">
        <v>3345503</v>
      </c>
      <c r="AG77" s="115">
        <v>2151151</v>
      </c>
      <c r="AH77" s="115">
        <v>495495</v>
      </c>
      <c r="AI77" s="115">
        <v>259431</v>
      </c>
      <c r="AJ77" s="115">
        <v>465492</v>
      </c>
      <c r="AK77" s="116">
        <v>6.5</v>
      </c>
      <c r="AL77" s="115">
        <v>432242</v>
      </c>
      <c r="AM77" s="116">
        <v>7</v>
      </c>
      <c r="AN77" s="115">
        <v>144023</v>
      </c>
      <c r="AO77" s="116">
        <v>7.5</v>
      </c>
      <c r="AP77" s="115">
        <v>135022</v>
      </c>
      <c r="AQ77" s="116">
        <v>8</v>
      </c>
      <c r="AR77" s="115">
        <v>158389</v>
      </c>
      <c r="AS77" s="116">
        <v>20.25</v>
      </c>
      <c r="AT77" s="115">
        <v>139451</v>
      </c>
      <c r="AU77" s="116">
        <v>23</v>
      </c>
      <c r="AV77" s="115">
        <v>62535</v>
      </c>
      <c r="AW77" s="116">
        <v>13.21</v>
      </c>
      <c r="AX77" s="115">
        <v>48594</v>
      </c>
      <c r="AY77" s="116">
        <v>17</v>
      </c>
      <c r="AZ77" s="139">
        <v>4119576</v>
      </c>
      <c r="BA77" s="139">
        <v>638301</v>
      </c>
      <c r="BB77" s="139">
        <v>75491</v>
      </c>
      <c r="BC77" s="139">
        <v>146720</v>
      </c>
      <c r="BD77" s="139">
        <v>0</v>
      </c>
      <c r="BE77" s="139">
        <v>4980088</v>
      </c>
      <c r="BF77" s="139">
        <v>0</v>
      </c>
      <c r="BG77" s="139">
        <v>0</v>
      </c>
      <c r="BH77" s="139">
        <v>0</v>
      </c>
      <c r="BI77" s="139">
        <v>0</v>
      </c>
      <c r="BJ77" s="139">
        <v>16450523</v>
      </c>
      <c r="BK77" s="139">
        <v>16450523</v>
      </c>
      <c r="BL77" s="139">
        <v>250000</v>
      </c>
      <c r="BM77" s="139">
        <v>0</v>
      </c>
      <c r="BN77" s="139">
        <v>0</v>
      </c>
      <c r="BO77" s="139">
        <v>10500</v>
      </c>
      <c r="BP77" s="139">
        <v>0</v>
      </c>
      <c r="BQ77" s="139">
        <v>260500</v>
      </c>
      <c r="BR77" s="139">
        <v>2873240</v>
      </c>
      <c r="BS77" s="139">
        <v>327198</v>
      </c>
      <c r="BT77" s="139">
        <v>7131</v>
      </c>
      <c r="BU77" s="139">
        <v>105746</v>
      </c>
      <c r="BV77" s="139">
        <v>405906</v>
      </c>
      <c r="BW77" s="139">
        <v>3719221</v>
      </c>
      <c r="BX77" s="139">
        <v>31200</v>
      </c>
      <c r="BY77" s="139">
        <v>12300</v>
      </c>
      <c r="BZ77" s="139">
        <v>4200</v>
      </c>
      <c r="CA77" s="139">
        <v>16950</v>
      </c>
      <c r="CB77" s="139">
        <v>31500</v>
      </c>
      <c r="CC77" s="139">
        <v>96150</v>
      </c>
      <c r="CD77" s="139">
        <v>263048</v>
      </c>
      <c r="CE77" s="139">
        <v>43304</v>
      </c>
      <c r="CF77" s="139">
        <v>5164</v>
      </c>
      <c r="CG77" s="139">
        <v>9440</v>
      </c>
      <c r="CH77" s="139">
        <v>0</v>
      </c>
      <c r="CI77" s="139">
        <v>320956</v>
      </c>
      <c r="CJ77" s="139">
        <v>158324</v>
      </c>
      <c r="CK77" s="139">
        <v>88847</v>
      </c>
      <c r="CL77" s="139">
        <v>81641</v>
      </c>
      <c r="CM77" s="139">
        <v>268500</v>
      </c>
      <c r="CN77" s="139">
        <v>3987179</v>
      </c>
      <c r="CO77" s="139">
        <v>4584491</v>
      </c>
      <c r="CP77" s="139">
        <v>0</v>
      </c>
      <c r="CQ77" s="139">
        <v>0</v>
      </c>
      <c r="CR77" s="139">
        <v>0</v>
      </c>
      <c r="CS77" s="139">
        <v>0</v>
      </c>
      <c r="CT77" s="139">
        <v>0</v>
      </c>
      <c r="CU77" s="139">
        <v>0</v>
      </c>
      <c r="CV77" s="139">
        <v>2970000</v>
      </c>
      <c r="CW77" s="139">
        <v>3060757</v>
      </c>
      <c r="CX77" s="139">
        <v>43116</v>
      </c>
      <c r="CY77" s="139">
        <v>76296</v>
      </c>
      <c r="CZ77" s="139">
        <v>5606806</v>
      </c>
      <c r="DA77" s="139">
        <v>11756975</v>
      </c>
      <c r="DB77" s="139">
        <v>272391</v>
      </c>
      <c r="DC77" s="139">
        <v>124249</v>
      </c>
      <c r="DD77" s="139">
        <v>28673</v>
      </c>
      <c r="DE77" s="139">
        <v>14336</v>
      </c>
      <c r="DF77" s="139">
        <v>38230</v>
      </c>
      <c r="DG77" s="139">
        <v>477879</v>
      </c>
      <c r="DH77" s="139">
        <v>313900</v>
      </c>
      <c r="DI77" s="139">
        <v>52205</v>
      </c>
      <c r="DJ77" s="139">
        <v>0</v>
      </c>
      <c r="DK77" s="139">
        <v>0</v>
      </c>
      <c r="DL77" s="139">
        <v>60201</v>
      </c>
      <c r="DM77" s="139">
        <v>426306</v>
      </c>
      <c r="DN77" s="139">
        <v>2449283</v>
      </c>
      <c r="DO77" s="139">
        <v>969892</v>
      </c>
      <c r="DP77" s="139">
        <v>240607</v>
      </c>
      <c r="DQ77" s="139">
        <v>477857</v>
      </c>
      <c r="DR77" s="139">
        <v>785196</v>
      </c>
      <c r="DS77" s="139">
        <v>4922835</v>
      </c>
      <c r="DT77" s="139">
        <v>0</v>
      </c>
      <c r="DU77" s="139">
        <v>0</v>
      </c>
      <c r="DV77" s="139">
        <v>0</v>
      </c>
      <c r="DW77" s="139">
        <v>0</v>
      </c>
      <c r="DX77" s="139">
        <v>0</v>
      </c>
      <c r="DY77" s="139">
        <v>0</v>
      </c>
      <c r="DZ77" s="139">
        <v>180040</v>
      </c>
      <c r="EA77" s="139">
        <v>15419</v>
      </c>
      <c r="EB77" s="139">
        <v>0</v>
      </c>
      <c r="EC77" s="139">
        <v>24104</v>
      </c>
      <c r="ED77" s="139">
        <v>12371</v>
      </c>
      <c r="EE77" s="139">
        <v>231934</v>
      </c>
      <c r="EF77" s="139">
        <v>9355</v>
      </c>
      <c r="EG77" s="139">
        <v>0</v>
      </c>
      <c r="EH77" s="139">
        <v>0</v>
      </c>
      <c r="EI77" s="139">
        <v>72921</v>
      </c>
      <c r="EJ77" s="139">
        <v>73794</v>
      </c>
      <c r="EK77" s="139">
        <v>156070</v>
      </c>
      <c r="EL77" s="139">
        <v>13890357</v>
      </c>
      <c r="EM77" s="139">
        <v>5332472</v>
      </c>
      <c r="EN77" s="139">
        <v>486023</v>
      </c>
      <c r="EO77" s="139">
        <v>1223370</v>
      </c>
      <c r="EP77" s="139">
        <v>27451706</v>
      </c>
      <c r="EQ77" s="139">
        <v>48383928</v>
      </c>
      <c r="ER77" s="139">
        <v>1869982</v>
      </c>
      <c r="ES77" s="139">
        <v>387469</v>
      </c>
      <c r="ET77" s="139">
        <v>429134</v>
      </c>
      <c r="EU77" s="139">
        <v>2810069</v>
      </c>
      <c r="EV77" s="139">
        <v>115780</v>
      </c>
      <c r="EW77" s="139">
        <v>5612434</v>
      </c>
      <c r="EX77" s="139">
        <v>850000</v>
      </c>
      <c r="EY77" s="139">
        <v>305000</v>
      </c>
      <c r="EZ77" s="139">
        <v>105000</v>
      </c>
      <c r="FA77" s="139">
        <v>134172</v>
      </c>
      <c r="FB77" s="139">
        <v>0</v>
      </c>
      <c r="FC77" s="139">
        <v>1394172</v>
      </c>
      <c r="FD77" s="139">
        <v>3403661</v>
      </c>
      <c r="FE77" s="139">
        <v>1745698</v>
      </c>
      <c r="FF77" s="139">
        <v>702537</v>
      </c>
      <c r="FG77" s="139">
        <v>2287441</v>
      </c>
      <c r="FH77" s="139">
        <v>0</v>
      </c>
      <c r="FI77" s="139">
        <v>8139337</v>
      </c>
      <c r="FJ77" s="139">
        <v>15000</v>
      </c>
      <c r="FK77" s="139">
        <v>12300</v>
      </c>
      <c r="FL77" s="139">
        <v>4200</v>
      </c>
      <c r="FM77" s="139">
        <v>16950</v>
      </c>
      <c r="FN77" s="139">
        <v>0</v>
      </c>
      <c r="FO77" s="139">
        <v>48450</v>
      </c>
      <c r="FP77" s="139">
        <v>563523</v>
      </c>
      <c r="FQ77" s="139">
        <v>233412</v>
      </c>
      <c r="FR77" s="139">
        <v>131058</v>
      </c>
      <c r="FS77" s="139">
        <v>103778</v>
      </c>
      <c r="FT77" s="139">
        <v>6780277</v>
      </c>
      <c r="FU77" s="139">
        <v>7812048</v>
      </c>
      <c r="FV77" s="139">
        <v>16200</v>
      </c>
      <c r="FW77" s="139">
        <v>0</v>
      </c>
      <c r="FX77" s="139">
        <v>0</v>
      </c>
      <c r="FY77" s="139">
        <f>16200+0-FV77-FW77-FX77</f>
        <v>0</v>
      </c>
      <c r="FZ77" s="139">
        <v>31500</v>
      </c>
      <c r="GA77" s="139">
        <v>47700</v>
      </c>
      <c r="GB77" s="139">
        <v>850424</v>
      </c>
      <c r="GC77" s="139">
        <v>141409</v>
      </c>
      <c r="GD77" s="139">
        <v>0</v>
      </c>
      <c r="GE77" s="139">
        <f>994877+0-GB77-GC77-GD77</f>
        <v>3044</v>
      </c>
      <c r="GF77" s="139">
        <v>674755</v>
      </c>
      <c r="GG77" s="139">
        <v>1669632</v>
      </c>
      <c r="GH77" s="139">
        <v>264488</v>
      </c>
      <c r="GI77" s="139">
        <v>122773</v>
      </c>
      <c r="GJ77" s="139">
        <v>197772</v>
      </c>
      <c r="GK77" s="139">
        <f>495495+259431-GH77-GI77-GJ77</f>
        <v>169893</v>
      </c>
      <c r="GL77" s="139">
        <v>45000</v>
      </c>
      <c r="GM77" s="139">
        <v>799926</v>
      </c>
      <c r="GN77" s="139">
        <v>1500835</v>
      </c>
      <c r="GO77" s="139">
        <v>604427</v>
      </c>
      <c r="GP77" s="139">
        <v>565753</v>
      </c>
      <c r="GQ77" s="139">
        <f>2998419+1729421-GN77-GO77-GP77</f>
        <v>2056825</v>
      </c>
      <c r="GR77" s="139">
        <v>0</v>
      </c>
      <c r="GS77" s="139">
        <v>4727840</v>
      </c>
      <c r="GT77" s="139">
        <v>667205</v>
      </c>
      <c r="GU77" s="139">
        <v>229144</v>
      </c>
      <c r="GV77" s="139">
        <v>161153</v>
      </c>
      <c r="GW77" s="139">
        <f>1185364+551801-GT77-GU77-GV77</f>
        <v>679663</v>
      </c>
      <c r="GX77" s="139">
        <v>0</v>
      </c>
      <c r="GY77" s="139">
        <v>1737165</v>
      </c>
      <c r="GZ77" s="139">
        <v>968745</v>
      </c>
      <c r="HA77" s="139">
        <v>266791</v>
      </c>
      <c r="HB77" s="139">
        <v>214934</v>
      </c>
      <c r="HC77" s="139">
        <f>1377212+376678-GZ77-HA77-HB77</f>
        <v>303420</v>
      </c>
      <c r="HD77" s="139">
        <v>167263</v>
      </c>
      <c r="HE77" s="139">
        <v>1921153</v>
      </c>
      <c r="HF77" s="139">
        <v>0</v>
      </c>
      <c r="HG77" s="139">
        <v>0</v>
      </c>
      <c r="HH77" s="139">
        <v>0</v>
      </c>
      <c r="HI77" s="139">
        <v>0</v>
      </c>
      <c r="HJ77" s="139">
        <v>1381532</v>
      </c>
      <c r="HK77" s="139">
        <v>1381532</v>
      </c>
      <c r="HL77" s="139">
        <v>0</v>
      </c>
      <c r="HM77" s="139">
        <v>0</v>
      </c>
      <c r="HN77" s="139">
        <v>0</v>
      </c>
      <c r="HO77" s="139">
        <v>0</v>
      </c>
      <c r="HP77" s="139">
        <v>0</v>
      </c>
      <c r="HQ77" s="139">
        <v>0</v>
      </c>
      <c r="HR77" s="139">
        <v>906014</v>
      </c>
      <c r="HS77" s="139">
        <v>108210</v>
      </c>
      <c r="HT77" s="139">
        <v>96000</v>
      </c>
      <c r="HU77" s="139">
        <f>1020668+143456-HR77-HS77-HT77</f>
        <v>53900</v>
      </c>
      <c r="HV77" s="139">
        <v>4568335</v>
      </c>
      <c r="HW77" s="139">
        <v>5732459</v>
      </c>
      <c r="HX77" s="139">
        <v>0</v>
      </c>
      <c r="HY77" s="139">
        <v>0</v>
      </c>
      <c r="HZ77" s="139">
        <v>0</v>
      </c>
      <c r="IA77" s="139">
        <v>0</v>
      </c>
      <c r="IB77" s="139">
        <v>449593</v>
      </c>
      <c r="IC77" s="139">
        <v>449593</v>
      </c>
      <c r="ID77" s="139">
        <v>0</v>
      </c>
      <c r="IE77" s="139">
        <v>0</v>
      </c>
      <c r="IF77" s="139">
        <v>0</v>
      </c>
      <c r="IG77" s="139">
        <v>0</v>
      </c>
      <c r="IH77" s="139">
        <v>0</v>
      </c>
      <c r="II77" s="139">
        <v>0</v>
      </c>
      <c r="IJ77" s="139">
        <v>0</v>
      </c>
      <c r="IK77" s="139">
        <v>0</v>
      </c>
      <c r="IL77" s="139">
        <v>0</v>
      </c>
      <c r="IM77" s="139">
        <v>0</v>
      </c>
      <c r="IN77" s="139">
        <v>1363435</v>
      </c>
      <c r="IO77" s="139">
        <v>1363435</v>
      </c>
      <c r="IP77" s="139">
        <v>1115</v>
      </c>
      <c r="IQ77" s="139">
        <v>7330</v>
      </c>
      <c r="IR77" s="139">
        <v>3449</v>
      </c>
      <c r="IS77" s="139">
        <f>10000+8418-IP77-IQ77-IR77</f>
        <v>6524</v>
      </c>
      <c r="IT77" s="139">
        <v>29744</v>
      </c>
      <c r="IU77" s="139">
        <v>48162</v>
      </c>
      <c r="IV77" s="139">
        <v>254565</v>
      </c>
      <c r="IW77" s="139">
        <v>276364</v>
      </c>
      <c r="IX77" s="139">
        <v>98698</v>
      </c>
      <c r="IY77" s="139">
        <f>610365+293353-IV77-IW77-IX77</f>
        <v>274091</v>
      </c>
      <c r="IZ77" s="139">
        <v>3040891</v>
      </c>
      <c r="JA77" s="139">
        <v>3944609</v>
      </c>
      <c r="JB77" s="139">
        <v>12131757</v>
      </c>
      <c r="JC77" s="139">
        <v>4440327</v>
      </c>
      <c r="JD77" s="139">
        <v>2619688</v>
      </c>
      <c r="JE77" s="139">
        <f>20405143+7776399-JB77-JC77-JD77</f>
        <v>8989770</v>
      </c>
      <c r="JF77" s="139">
        <v>18648105</v>
      </c>
      <c r="JG77" s="139">
        <v>46829647</v>
      </c>
      <c r="JH77" s="139">
        <v>0</v>
      </c>
      <c r="JI77" s="139">
        <v>0</v>
      </c>
      <c r="JJ77" s="139">
        <v>0</v>
      </c>
      <c r="JK77" s="139">
        <v>0</v>
      </c>
      <c r="JL77" s="139">
        <v>0</v>
      </c>
      <c r="JM77" s="139">
        <v>0</v>
      </c>
      <c r="JN77" s="139">
        <v>12131757</v>
      </c>
      <c r="JO77" s="139">
        <v>4440327</v>
      </c>
      <c r="JP77" s="139">
        <v>2619688</v>
      </c>
      <c r="JQ77" s="139">
        <f>20405143+7776399-JN77-JO77-JP77</f>
        <v>8989770</v>
      </c>
      <c r="JR77" s="139">
        <v>18648105</v>
      </c>
      <c r="JS77" s="139">
        <v>46829647</v>
      </c>
      <c r="JU77" s="70">
        <f t="shared" si="158"/>
        <v>4980088</v>
      </c>
      <c r="JV77" s="70">
        <f t="shared" si="159"/>
        <v>0</v>
      </c>
      <c r="JW77" s="70">
        <f t="shared" si="160"/>
        <v>16450523</v>
      </c>
      <c r="JX77" s="70">
        <f t="shared" si="161"/>
        <v>0</v>
      </c>
      <c r="JY77" s="70">
        <f t="shared" si="162"/>
        <v>260500</v>
      </c>
      <c r="JZ77" s="70">
        <f t="shared" si="163"/>
        <v>0</v>
      </c>
      <c r="KA77" s="70">
        <f t="shared" si="164"/>
        <v>3719221</v>
      </c>
      <c r="KB77" s="70">
        <f t="shared" si="165"/>
        <v>0</v>
      </c>
      <c r="KC77" s="70">
        <f t="shared" si="166"/>
        <v>96150</v>
      </c>
      <c r="KD77" s="70">
        <f t="shared" si="167"/>
        <v>0</v>
      </c>
      <c r="KE77" s="70">
        <f t="shared" si="168"/>
        <v>320956</v>
      </c>
      <c r="KF77" s="70">
        <f t="shared" si="169"/>
        <v>0</v>
      </c>
      <c r="KG77" s="70">
        <f t="shared" si="170"/>
        <v>4584491</v>
      </c>
      <c r="KH77" s="70">
        <f t="shared" si="171"/>
        <v>0</v>
      </c>
      <c r="KI77" s="70">
        <f t="shared" si="172"/>
        <v>0</v>
      </c>
      <c r="KJ77" s="70">
        <f t="shared" si="173"/>
        <v>0</v>
      </c>
      <c r="KK77" s="70">
        <f t="shared" si="174"/>
        <v>11756975</v>
      </c>
      <c r="KL77" s="70">
        <f t="shared" si="175"/>
        <v>0</v>
      </c>
      <c r="KM77" s="70">
        <f t="shared" si="176"/>
        <v>477879</v>
      </c>
      <c r="KN77" s="70">
        <f t="shared" si="177"/>
        <v>0</v>
      </c>
      <c r="KO77" s="70">
        <f t="shared" si="178"/>
        <v>426306</v>
      </c>
      <c r="KP77" s="70">
        <f t="shared" si="179"/>
        <v>0</v>
      </c>
      <c r="KQ77" s="70">
        <f t="shared" si="180"/>
        <v>4922835</v>
      </c>
      <c r="KR77" s="70">
        <f t="shared" si="181"/>
        <v>0</v>
      </c>
      <c r="KS77" s="70">
        <f t="shared" si="182"/>
        <v>0</v>
      </c>
      <c r="KT77" s="70">
        <f t="shared" si="183"/>
        <v>0</v>
      </c>
      <c r="KU77" s="70">
        <f t="shared" si="184"/>
        <v>231934</v>
      </c>
      <c r="KV77" s="70">
        <f t="shared" si="185"/>
        <v>0</v>
      </c>
      <c r="KW77" s="70">
        <f t="shared" si="186"/>
        <v>156070</v>
      </c>
      <c r="KX77" s="70">
        <f t="shared" si="187"/>
        <v>0</v>
      </c>
      <c r="KY77" s="70">
        <f t="shared" si="188"/>
        <v>48383928</v>
      </c>
      <c r="KZ77" s="70">
        <f t="shared" si="189"/>
        <v>0</v>
      </c>
      <c r="LA77" s="70">
        <f t="shared" si="190"/>
        <v>5612434</v>
      </c>
      <c r="LB77" s="70">
        <f t="shared" si="191"/>
        <v>0</v>
      </c>
      <c r="LC77" s="70">
        <f t="shared" si="192"/>
        <v>1394172</v>
      </c>
      <c r="LD77" s="70">
        <f t="shared" si="193"/>
        <v>0</v>
      </c>
      <c r="LE77" s="70">
        <f t="shared" si="194"/>
        <v>8139337</v>
      </c>
      <c r="LF77" s="70">
        <f t="shared" si="195"/>
        <v>0</v>
      </c>
      <c r="LG77" s="70">
        <f t="shared" si="155"/>
        <v>48450</v>
      </c>
      <c r="LH77" s="70">
        <f t="shared" si="156"/>
        <v>0</v>
      </c>
      <c r="LI77" s="70">
        <f t="shared" si="196"/>
        <v>7812048</v>
      </c>
      <c r="LJ77" s="70">
        <f t="shared" si="197"/>
        <v>0</v>
      </c>
      <c r="LK77" s="70">
        <f t="shared" si="198"/>
        <v>47700</v>
      </c>
      <c r="LL77" s="70">
        <f t="shared" si="199"/>
        <v>0</v>
      </c>
      <c r="LM77" s="70">
        <f t="shared" si="200"/>
        <v>1669632</v>
      </c>
      <c r="LN77" s="70">
        <f t="shared" si="201"/>
        <v>0</v>
      </c>
      <c r="LO77" s="70">
        <f t="shared" si="202"/>
        <v>799926</v>
      </c>
      <c r="LP77" s="70">
        <f t="shared" si="203"/>
        <v>0</v>
      </c>
      <c r="LQ77" s="70">
        <f t="shared" si="204"/>
        <v>4727840</v>
      </c>
      <c r="LR77" s="70">
        <f t="shared" si="205"/>
        <v>0</v>
      </c>
      <c r="LS77" s="70">
        <f t="shared" si="206"/>
        <v>1737165</v>
      </c>
      <c r="LT77" s="70">
        <f t="shared" si="207"/>
        <v>0</v>
      </c>
      <c r="LU77" s="70">
        <f t="shared" si="208"/>
        <v>1921153</v>
      </c>
      <c r="LV77" s="70">
        <f t="shared" si="209"/>
        <v>0</v>
      </c>
      <c r="LW77" s="70">
        <f t="shared" si="210"/>
        <v>1381532</v>
      </c>
      <c r="LX77" s="70">
        <f t="shared" si="211"/>
        <v>0</v>
      </c>
      <c r="LY77" s="70">
        <f t="shared" si="212"/>
        <v>0</v>
      </c>
      <c r="LZ77" s="70">
        <f t="shared" si="213"/>
        <v>0</v>
      </c>
      <c r="MA77" s="70">
        <f t="shared" si="214"/>
        <v>5732459</v>
      </c>
      <c r="MB77" s="70">
        <f t="shared" si="215"/>
        <v>0</v>
      </c>
      <c r="MC77" s="70">
        <f t="shared" si="216"/>
        <v>449593</v>
      </c>
      <c r="MD77" s="70">
        <f t="shared" si="217"/>
        <v>0</v>
      </c>
      <c r="ME77" s="70">
        <f t="shared" si="218"/>
        <v>0</v>
      </c>
      <c r="MF77" s="70">
        <f t="shared" si="219"/>
        <v>0</v>
      </c>
      <c r="MG77" s="70">
        <f t="shared" si="220"/>
        <v>1363435</v>
      </c>
      <c r="MH77" s="70">
        <f t="shared" si="221"/>
        <v>0</v>
      </c>
      <c r="MI77" s="70">
        <f t="shared" si="222"/>
        <v>48162</v>
      </c>
      <c r="MJ77" s="70">
        <f t="shared" si="223"/>
        <v>0</v>
      </c>
      <c r="MK77" s="70">
        <f t="shared" si="224"/>
        <v>3944609</v>
      </c>
      <c r="ML77" s="70">
        <f t="shared" si="225"/>
        <v>0</v>
      </c>
      <c r="MM77" s="70">
        <f t="shared" si="226"/>
        <v>46829647</v>
      </c>
      <c r="MN77" s="70">
        <f t="shared" si="227"/>
        <v>0</v>
      </c>
      <c r="MO77" s="70">
        <f t="shared" si="228"/>
        <v>0</v>
      </c>
      <c r="MP77" s="70">
        <f t="shared" si="229"/>
        <v>0</v>
      </c>
      <c r="MQ77" s="70">
        <f t="shared" si="230"/>
        <v>46829647</v>
      </c>
      <c r="MR77" s="70">
        <f t="shared" si="231"/>
        <v>0</v>
      </c>
      <c r="MT77" s="70">
        <f t="shared" si="232"/>
        <v>0</v>
      </c>
      <c r="MV77" s="68">
        <f t="shared" si="233"/>
        <v>0</v>
      </c>
    </row>
    <row r="78" spans="1:371" x14ac:dyDescent="0.15">
      <c r="A78" s="182" t="s">
        <v>360</v>
      </c>
      <c r="B78" s="76" t="s">
        <v>427</v>
      </c>
      <c r="C78" s="90">
        <v>176372</v>
      </c>
      <c r="D78" s="90">
        <v>2014</v>
      </c>
      <c r="E78" s="90">
        <v>1</v>
      </c>
      <c r="F78" s="91">
        <v>8</v>
      </c>
      <c r="G78" s="92">
        <v>3875</v>
      </c>
      <c r="H78" s="92">
        <v>6954</v>
      </c>
      <c r="I78" s="93">
        <v>319940842</v>
      </c>
      <c r="J78" s="93">
        <v>305717107</v>
      </c>
      <c r="K78" s="93">
        <v>2076357</v>
      </c>
      <c r="L78" s="93">
        <v>2099774</v>
      </c>
      <c r="M78" s="93">
        <v>11587880</v>
      </c>
      <c r="N78" s="93">
        <v>11127144</v>
      </c>
      <c r="O78" s="93">
        <v>26920944</v>
      </c>
      <c r="P78" s="93">
        <v>27763130</v>
      </c>
      <c r="Q78" s="93">
        <v>185513300</v>
      </c>
      <c r="R78" s="93">
        <v>188982442</v>
      </c>
      <c r="S78" s="93">
        <v>203016429</v>
      </c>
      <c r="T78" s="93">
        <v>195167841</v>
      </c>
      <c r="U78" s="93">
        <v>14879</v>
      </c>
      <c r="V78" s="93">
        <v>14570</v>
      </c>
      <c r="W78" s="93">
        <v>23159</v>
      </c>
      <c r="X78" s="93">
        <v>22850</v>
      </c>
      <c r="Y78" s="93">
        <v>19894</v>
      </c>
      <c r="Z78" s="93">
        <v>19016</v>
      </c>
      <c r="AA78" s="93">
        <v>28174</v>
      </c>
      <c r="AB78" s="93">
        <v>27296</v>
      </c>
      <c r="AC78" s="114">
        <v>8</v>
      </c>
      <c r="AD78" s="114">
        <v>9</v>
      </c>
      <c r="AE78" s="114">
        <v>0</v>
      </c>
      <c r="AF78" s="115">
        <v>2964014</v>
      </c>
      <c r="AG78" s="115">
        <v>1904176</v>
      </c>
      <c r="AH78" s="115">
        <v>394806</v>
      </c>
      <c r="AI78" s="115">
        <v>143626</v>
      </c>
      <c r="AJ78" s="115">
        <v>321356</v>
      </c>
      <c r="AK78" s="116">
        <v>5.5</v>
      </c>
      <c r="AL78" s="115">
        <v>294576</v>
      </c>
      <c r="AM78" s="116">
        <v>6</v>
      </c>
      <c r="AN78" s="115">
        <v>87892</v>
      </c>
      <c r="AO78" s="116">
        <v>6.5</v>
      </c>
      <c r="AP78" s="115">
        <v>81614</v>
      </c>
      <c r="AQ78" s="116">
        <v>7</v>
      </c>
      <c r="AR78" s="115">
        <v>117902</v>
      </c>
      <c r="AS78" s="116">
        <v>16.5</v>
      </c>
      <c r="AT78" s="115">
        <v>108077</v>
      </c>
      <c r="AU78" s="116">
        <v>18</v>
      </c>
      <c r="AV78" s="115">
        <v>55030</v>
      </c>
      <c r="AW78" s="116">
        <v>8.5</v>
      </c>
      <c r="AX78" s="115">
        <v>46775</v>
      </c>
      <c r="AY78" s="116">
        <v>10</v>
      </c>
      <c r="AZ78" s="139">
        <v>1498393</v>
      </c>
      <c r="BA78" s="139">
        <v>415095</v>
      </c>
      <c r="BB78" s="139">
        <v>20057</v>
      </c>
      <c r="BC78" s="139">
        <v>281784</v>
      </c>
      <c r="BD78" s="139">
        <v>0</v>
      </c>
      <c r="BE78" s="139">
        <v>2215329</v>
      </c>
      <c r="BF78" s="139">
        <v>0</v>
      </c>
      <c r="BG78" s="139">
        <v>0</v>
      </c>
      <c r="BH78" s="139">
        <v>0</v>
      </c>
      <c r="BI78" s="139">
        <v>0</v>
      </c>
      <c r="BJ78" s="139">
        <v>5948981</v>
      </c>
      <c r="BK78" s="139">
        <v>5948981</v>
      </c>
      <c r="BL78" s="139">
        <v>3277405</v>
      </c>
      <c r="BM78" s="139">
        <v>285285</v>
      </c>
      <c r="BN78" s="139">
        <v>0</v>
      </c>
      <c r="BO78" s="139">
        <v>58596</v>
      </c>
      <c r="BP78" s="139">
        <v>0</v>
      </c>
      <c r="BQ78" s="139">
        <v>3621286</v>
      </c>
      <c r="BR78" s="139">
        <v>100672</v>
      </c>
      <c r="BS78" s="139">
        <v>27878</v>
      </c>
      <c r="BT78" s="139">
        <v>354</v>
      </c>
      <c r="BU78" s="139">
        <v>54022</v>
      </c>
      <c r="BV78" s="139">
        <v>3190771</v>
      </c>
      <c r="BW78" s="139">
        <v>3373697</v>
      </c>
      <c r="BX78" s="139">
        <v>0</v>
      </c>
      <c r="BY78" s="139">
        <v>0</v>
      </c>
      <c r="BZ78" s="139">
        <v>0</v>
      </c>
      <c r="CA78" s="139">
        <v>0</v>
      </c>
      <c r="CB78" s="139">
        <v>0</v>
      </c>
      <c r="CC78" s="139">
        <v>0</v>
      </c>
      <c r="CD78" s="139">
        <v>0</v>
      </c>
      <c r="CE78" s="139">
        <v>0</v>
      </c>
      <c r="CF78" s="139">
        <v>0</v>
      </c>
      <c r="CG78" s="139">
        <v>0</v>
      </c>
      <c r="CH78" s="139">
        <v>0</v>
      </c>
      <c r="CI78" s="139">
        <v>0</v>
      </c>
      <c r="CJ78" s="139">
        <v>0</v>
      </c>
      <c r="CK78" s="139">
        <v>0</v>
      </c>
      <c r="CL78" s="139">
        <v>0</v>
      </c>
      <c r="CM78" s="139">
        <v>0</v>
      </c>
      <c r="CN78" s="139">
        <v>2990183</v>
      </c>
      <c r="CO78" s="139">
        <v>2990183</v>
      </c>
      <c r="CP78" s="139">
        <v>0</v>
      </c>
      <c r="CQ78" s="139">
        <v>0</v>
      </c>
      <c r="CR78" s="139">
        <v>0</v>
      </c>
      <c r="CS78" s="139">
        <v>0</v>
      </c>
      <c r="CT78" s="139">
        <v>474309</v>
      </c>
      <c r="CU78" s="139">
        <v>474309</v>
      </c>
      <c r="CV78" s="139">
        <v>819724</v>
      </c>
      <c r="CW78" s="139">
        <v>387534</v>
      </c>
      <c r="CX78" s="139">
        <v>13609</v>
      </c>
      <c r="CY78" s="139">
        <v>39410</v>
      </c>
      <c r="CZ78" s="139">
        <v>1437641</v>
      </c>
      <c r="DA78" s="139">
        <v>2697918</v>
      </c>
      <c r="DB78" s="139">
        <v>0</v>
      </c>
      <c r="DC78" s="139">
        <v>0</v>
      </c>
      <c r="DD78" s="139">
        <v>0</v>
      </c>
      <c r="DE78" s="139">
        <v>0</v>
      </c>
      <c r="DF78" s="139">
        <v>0</v>
      </c>
      <c r="DG78" s="139">
        <v>0</v>
      </c>
      <c r="DH78" s="139">
        <v>129044</v>
      </c>
      <c r="DI78" s="139">
        <v>34716</v>
      </c>
      <c r="DJ78" s="139">
        <v>5690</v>
      </c>
      <c r="DK78" s="139">
        <v>34293</v>
      </c>
      <c r="DL78" s="139">
        <v>20950</v>
      </c>
      <c r="DM78" s="139">
        <v>224693</v>
      </c>
      <c r="DN78" s="139">
        <v>0</v>
      </c>
      <c r="DO78" s="139">
        <v>0</v>
      </c>
      <c r="DP78" s="139">
        <v>0</v>
      </c>
      <c r="DQ78" s="139">
        <v>0</v>
      </c>
      <c r="DR78" s="139">
        <v>1448527</v>
      </c>
      <c r="DS78" s="139">
        <v>1448527</v>
      </c>
      <c r="DT78" s="139">
        <v>16757</v>
      </c>
      <c r="DU78" s="139">
        <v>4225</v>
      </c>
      <c r="DV78" s="139">
        <v>21187</v>
      </c>
      <c r="DW78" s="139">
        <v>138329</v>
      </c>
      <c r="DX78" s="139">
        <v>20810</v>
      </c>
      <c r="DY78" s="139">
        <v>201308</v>
      </c>
      <c r="DZ78" s="139">
        <v>0</v>
      </c>
      <c r="EA78" s="139">
        <v>0</v>
      </c>
      <c r="EB78" s="139">
        <v>0</v>
      </c>
      <c r="EC78" s="139">
        <v>0</v>
      </c>
      <c r="ED78" s="139">
        <v>95983</v>
      </c>
      <c r="EE78" s="139">
        <v>95983</v>
      </c>
      <c r="EF78" s="139">
        <v>0</v>
      </c>
      <c r="EG78" s="139">
        <v>0</v>
      </c>
      <c r="EH78" s="139">
        <v>0</v>
      </c>
      <c r="EI78" s="139">
        <v>0</v>
      </c>
      <c r="EJ78" s="139">
        <v>244040</v>
      </c>
      <c r="EK78" s="139">
        <v>244040</v>
      </c>
      <c r="EL78" s="139">
        <v>5841995</v>
      </c>
      <c r="EM78" s="139">
        <v>1154733</v>
      </c>
      <c r="EN78" s="139">
        <v>60897</v>
      </c>
      <c r="EO78" s="139">
        <v>606434</v>
      </c>
      <c r="EP78" s="139">
        <v>15872195</v>
      </c>
      <c r="EQ78" s="139">
        <v>23536254</v>
      </c>
      <c r="ER78" s="139">
        <v>1970031</v>
      </c>
      <c r="ES78" s="139">
        <v>347103</v>
      </c>
      <c r="ET78" s="139">
        <v>348051</v>
      </c>
      <c r="EU78" s="139">
        <v>2203005</v>
      </c>
      <c r="EV78" s="139">
        <v>339136</v>
      </c>
      <c r="EW78" s="139">
        <v>5207326</v>
      </c>
      <c r="EX78" s="139">
        <v>200000</v>
      </c>
      <c r="EY78" s="139">
        <v>36000</v>
      </c>
      <c r="EZ78" s="139">
        <v>30218</v>
      </c>
      <c r="FA78" s="139">
        <v>10847</v>
      </c>
      <c r="FB78" s="139">
        <v>0</v>
      </c>
      <c r="FC78" s="139">
        <v>277065</v>
      </c>
      <c r="FD78" s="139">
        <v>2078895</v>
      </c>
      <c r="FE78" s="139">
        <v>947379</v>
      </c>
      <c r="FF78" s="139">
        <v>408214</v>
      </c>
      <c r="FG78" s="139">
        <v>1317411</v>
      </c>
      <c r="FH78" s="139">
        <v>0</v>
      </c>
      <c r="FI78" s="139">
        <v>4751899</v>
      </c>
      <c r="FJ78" s="139">
        <v>0</v>
      </c>
      <c r="FK78" s="139">
        <v>0</v>
      </c>
      <c r="FL78" s="139">
        <v>0</v>
      </c>
      <c r="FM78" s="139">
        <v>0</v>
      </c>
      <c r="FN78" s="139">
        <v>0</v>
      </c>
      <c r="FO78" s="139">
        <v>0</v>
      </c>
      <c r="FP78" s="139">
        <v>241527</v>
      </c>
      <c r="FQ78" s="139">
        <v>124245</v>
      </c>
      <c r="FR78" s="139">
        <v>72257</v>
      </c>
      <c r="FS78" s="139">
        <v>33485</v>
      </c>
      <c r="FT78" s="139">
        <v>2709603</v>
      </c>
      <c r="FU78" s="139">
        <v>3181117</v>
      </c>
      <c r="FV78" s="139">
        <v>0</v>
      </c>
      <c r="FW78" s="139">
        <v>0</v>
      </c>
      <c r="FX78" s="139">
        <v>0</v>
      </c>
      <c r="FY78" s="139">
        <v>0</v>
      </c>
      <c r="FZ78" s="139">
        <v>0</v>
      </c>
      <c r="GA78" s="139">
        <v>0</v>
      </c>
      <c r="GB78" s="139">
        <v>893288</v>
      </c>
      <c r="GC78" s="139">
        <v>0</v>
      </c>
      <c r="GD78" s="139">
        <v>0</v>
      </c>
      <c r="GE78" s="139">
        <v>0</v>
      </c>
      <c r="GF78" s="139">
        <v>0</v>
      </c>
      <c r="GG78" s="139">
        <v>893288</v>
      </c>
      <c r="GH78" s="139">
        <v>249145</v>
      </c>
      <c r="GI78" s="139">
        <v>94993</v>
      </c>
      <c r="GJ78" s="139">
        <v>67596</v>
      </c>
      <c r="GK78" s="139">
        <v>126698</v>
      </c>
      <c r="GL78" s="139">
        <v>0</v>
      </c>
      <c r="GM78" s="139">
        <v>538432</v>
      </c>
      <c r="GN78" s="139">
        <v>972453</v>
      </c>
      <c r="GO78" s="139">
        <v>484076</v>
      </c>
      <c r="GP78" s="139">
        <v>209509</v>
      </c>
      <c r="GQ78" s="139">
        <v>770095</v>
      </c>
      <c r="GR78" s="139">
        <v>0</v>
      </c>
      <c r="GS78" s="139">
        <v>2436133</v>
      </c>
      <c r="GT78" s="139">
        <v>235162</v>
      </c>
      <c r="GU78" s="139">
        <v>22316</v>
      </c>
      <c r="GV78" s="139">
        <v>21137</v>
      </c>
      <c r="GW78" s="139">
        <v>162923</v>
      </c>
      <c r="GX78" s="139">
        <v>0</v>
      </c>
      <c r="GY78" s="139">
        <v>441538</v>
      </c>
      <c r="GZ78" s="139">
        <v>297230</v>
      </c>
      <c r="HA78" s="139">
        <v>145522</v>
      </c>
      <c r="HB78" s="139">
        <v>124792</v>
      </c>
      <c r="HC78" s="139">
        <v>136930</v>
      </c>
      <c r="HD78" s="139">
        <v>0</v>
      </c>
      <c r="HE78" s="139">
        <v>704474</v>
      </c>
      <c r="HF78" s="139">
        <v>0</v>
      </c>
      <c r="HG78" s="139">
        <v>0</v>
      </c>
      <c r="HH78" s="139">
        <v>0</v>
      </c>
      <c r="HI78" s="139">
        <v>0</v>
      </c>
      <c r="HJ78" s="139">
        <v>264560</v>
      </c>
      <c r="HK78" s="139">
        <v>264560</v>
      </c>
      <c r="HL78" s="139">
        <v>20962</v>
      </c>
      <c r="HM78" s="139">
        <v>0</v>
      </c>
      <c r="HN78" s="139">
        <v>11254</v>
      </c>
      <c r="HO78" s="139">
        <v>37590</v>
      </c>
      <c r="HP78" s="139">
        <v>15866</v>
      </c>
      <c r="HQ78" s="139">
        <v>85672</v>
      </c>
      <c r="HR78" s="139">
        <v>5854</v>
      </c>
      <c r="HS78" s="139">
        <v>757</v>
      </c>
      <c r="HT78" s="139">
        <v>39</v>
      </c>
      <c r="HU78" s="139">
        <v>1850</v>
      </c>
      <c r="HV78" s="139">
        <v>2261068</v>
      </c>
      <c r="HW78" s="139">
        <v>2269568</v>
      </c>
      <c r="HX78" s="139">
        <v>0</v>
      </c>
      <c r="HY78" s="139">
        <v>0</v>
      </c>
      <c r="HZ78" s="139">
        <v>0</v>
      </c>
      <c r="IA78" s="139">
        <v>0</v>
      </c>
      <c r="IB78" s="139">
        <v>0</v>
      </c>
      <c r="IC78" s="139">
        <v>0</v>
      </c>
      <c r="ID78" s="139">
        <v>0</v>
      </c>
      <c r="IE78" s="139">
        <v>0</v>
      </c>
      <c r="IF78" s="139">
        <v>0</v>
      </c>
      <c r="IG78" s="139">
        <v>0</v>
      </c>
      <c r="IH78" s="139">
        <v>474309</v>
      </c>
      <c r="II78" s="139">
        <v>474309</v>
      </c>
      <c r="IJ78" s="139">
        <v>0</v>
      </c>
      <c r="IK78" s="139">
        <v>0</v>
      </c>
      <c r="IL78" s="139">
        <v>0</v>
      </c>
      <c r="IM78" s="139">
        <v>0</v>
      </c>
      <c r="IN78" s="139">
        <v>276193</v>
      </c>
      <c r="IO78" s="139">
        <v>276193</v>
      </c>
      <c r="IP78" s="139">
        <v>840</v>
      </c>
      <c r="IQ78" s="139">
        <v>625</v>
      </c>
      <c r="IR78" s="139">
        <v>730</v>
      </c>
      <c r="IS78" s="139">
        <v>5276</v>
      </c>
      <c r="IT78" s="139">
        <v>281712</v>
      </c>
      <c r="IU78" s="139">
        <v>289183</v>
      </c>
      <c r="IV78" s="139">
        <v>292094</v>
      </c>
      <c r="IW78" s="139">
        <v>54351</v>
      </c>
      <c r="IX78" s="139">
        <v>41287</v>
      </c>
      <c r="IY78" s="139">
        <v>95437</v>
      </c>
      <c r="IZ78" s="139">
        <v>962328</v>
      </c>
      <c r="JA78" s="139">
        <v>1445497</v>
      </c>
      <c r="JB78" s="139">
        <v>7457481</v>
      </c>
      <c r="JC78" s="139">
        <v>2257367</v>
      </c>
      <c r="JD78" s="139">
        <v>1335084</v>
      </c>
      <c r="JE78" s="139">
        <v>4901547</v>
      </c>
      <c r="JF78" s="139">
        <v>7584775</v>
      </c>
      <c r="JG78" s="139">
        <v>23536254</v>
      </c>
      <c r="JH78" s="139">
        <v>0</v>
      </c>
      <c r="JI78" s="139">
        <v>0</v>
      </c>
      <c r="JJ78" s="139">
        <v>0</v>
      </c>
      <c r="JK78" s="139">
        <v>0</v>
      </c>
      <c r="JL78" s="139">
        <v>0</v>
      </c>
      <c r="JM78" s="139">
        <v>0</v>
      </c>
      <c r="JN78" s="139">
        <v>7457481</v>
      </c>
      <c r="JO78" s="139">
        <v>2257367</v>
      </c>
      <c r="JP78" s="139">
        <v>1335084</v>
      </c>
      <c r="JQ78" s="139">
        <v>4901547</v>
      </c>
      <c r="JR78" s="139">
        <v>7584775</v>
      </c>
      <c r="JS78" s="139">
        <v>23536254</v>
      </c>
      <c r="JU78" s="70">
        <f t="shared" si="158"/>
        <v>2215329</v>
      </c>
      <c r="JV78" s="70">
        <f t="shared" si="159"/>
        <v>0</v>
      </c>
      <c r="JW78" s="70">
        <f t="shared" si="160"/>
        <v>5948981</v>
      </c>
      <c r="JX78" s="70">
        <f t="shared" si="161"/>
        <v>0</v>
      </c>
      <c r="JY78" s="70">
        <f t="shared" si="162"/>
        <v>3621286</v>
      </c>
      <c r="JZ78" s="70">
        <f t="shared" si="163"/>
        <v>0</v>
      </c>
      <c r="KA78" s="70">
        <f t="shared" si="164"/>
        <v>3373697</v>
      </c>
      <c r="KB78" s="70">
        <f t="shared" si="165"/>
        <v>0</v>
      </c>
      <c r="KC78" s="70">
        <f t="shared" si="166"/>
        <v>0</v>
      </c>
      <c r="KD78" s="70">
        <f t="shared" si="167"/>
        <v>0</v>
      </c>
      <c r="KE78" s="70">
        <f t="shared" si="168"/>
        <v>0</v>
      </c>
      <c r="KF78" s="70">
        <f t="shared" si="169"/>
        <v>0</v>
      </c>
      <c r="KG78" s="70">
        <f t="shared" si="170"/>
        <v>2990183</v>
      </c>
      <c r="KH78" s="70">
        <f t="shared" si="171"/>
        <v>0</v>
      </c>
      <c r="KI78" s="70">
        <f t="shared" si="172"/>
        <v>474309</v>
      </c>
      <c r="KJ78" s="70">
        <f t="shared" si="173"/>
        <v>0</v>
      </c>
      <c r="KK78" s="70">
        <f t="shared" si="174"/>
        <v>2697918</v>
      </c>
      <c r="KL78" s="70">
        <f t="shared" si="175"/>
        <v>0</v>
      </c>
      <c r="KM78" s="70">
        <f t="shared" si="176"/>
        <v>0</v>
      </c>
      <c r="KN78" s="70">
        <f t="shared" si="177"/>
        <v>0</v>
      </c>
      <c r="KO78" s="70">
        <f t="shared" si="178"/>
        <v>224693</v>
      </c>
      <c r="KP78" s="70">
        <f t="shared" si="179"/>
        <v>0</v>
      </c>
      <c r="KQ78" s="70">
        <f t="shared" si="180"/>
        <v>1448527</v>
      </c>
      <c r="KR78" s="70">
        <f t="shared" si="181"/>
        <v>0</v>
      </c>
      <c r="KS78" s="70">
        <f t="shared" si="182"/>
        <v>201308</v>
      </c>
      <c r="KT78" s="70">
        <f t="shared" si="183"/>
        <v>0</v>
      </c>
      <c r="KU78" s="70">
        <f t="shared" si="184"/>
        <v>95983</v>
      </c>
      <c r="KV78" s="70">
        <f t="shared" si="185"/>
        <v>0</v>
      </c>
      <c r="KW78" s="70">
        <f t="shared" si="186"/>
        <v>244040</v>
      </c>
      <c r="KX78" s="70">
        <f t="shared" si="187"/>
        <v>0</v>
      </c>
      <c r="KY78" s="70">
        <f t="shared" si="188"/>
        <v>23536254</v>
      </c>
      <c r="KZ78" s="70">
        <f t="shared" si="189"/>
        <v>0</v>
      </c>
      <c r="LA78" s="70">
        <f t="shared" si="190"/>
        <v>5207326</v>
      </c>
      <c r="LB78" s="70">
        <f t="shared" si="191"/>
        <v>0</v>
      </c>
      <c r="LC78" s="70">
        <f t="shared" si="192"/>
        <v>277065</v>
      </c>
      <c r="LD78" s="70">
        <f t="shared" si="193"/>
        <v>0</v>
      </c>
      <c r="LE78" s="70">
        <f t="shared" si="194"/>
        <v>4751899</v>
      </c>
      <c r="LF78" s="70">
        <f t="shared" si="195"/>
        <v>0</v>
      </c>
      <c r="LG78" s="70">
        <f t="shared" si="155"/>
        <v>0</v>
      </c>
      <c r="LH78" s="70">
        <f t="shared" si="156"/>
        <v>0</v>
      </c>
      <c r="LI78" s="70">
        <f t="shared" si="196"/>
        <v>3181117</v>
      </c>
      <c r="LJ78" s="70">
        <f t="shared" si="197"/>
        <v>0</v>
      </c>
      <c r="LK78" s="70">
        <f t="shared" si="198"/>
        <v>0</v>
      </c>
      <c r="LL78" s="70">
        <f t="shared" si="199"/>
        <v>0</v>
      </c>
      <c r="LM78" s="70">
        <f t="shared" si="200"/>
        <v>893288</v>
      </c>
      <c r="LN78" s="70">
        <f t="shared" si="201"/>
        <v>0</v>
      </c>
      <c r="LO78" s="70">
        <f t="shared" si="202"/>
        <v>538432</v>
      </c>
      <c r="LP78" s="70">
        <f t="shared" si="203"/>
        <v>0</v>
      </c>
      <c r="LQ78" s="70">
        <f t="shared" si="204"/>
        <v>2436133</v>
      </c>
      <c r="LR78" s="70">
        <f t="shared" si="205"/>
        <v>0</v>
      </c>
      <c r="LS78" s="70">
        <f t="shared" si="206"/>
        <v>441538</v>
      </c>
      <c r="LT78" s="70">
        <f t="shared" si="207"/>
        <v>0</v>
      </c>
      <c r="LU78" s="70">
        <f t="shared" si="208"/>
        <v>704474</v>
      </c>
      <c r="LV78" s="70">
        <f t="shared" si="209"/>
        <v>0</v>
      </c>
      <c r="LW78" s="70">
        <f t="shared" si="210"/>
        <v>264560</v>
      </c>
      <c r="LX78" s="70">
        <f t="shared" si="211"/>
        <v>0</v>
      </c>
      <c r="LY78" s="70">
        <f t="shared" si="212"/>
        <v>85672</v>
      </c>
      <c r="LZ78" s="70">
        <f t="shared" si="213"/>
        <v>0</v>
      </c>
      <c r="MA78" s="70">
        <f t="shared" si="214"/>
        <v>2269568</v>
      </c>
      <c r="MB78" s="70">
        <f t="shared" si="215"/>
        <v>0</v>
      </c>
      <c r="MC78" s="70">
        <f t="shared" si="216"/>
        <v>0</v>
      </c>
      <c r="MD78" s="70">
        <f t="shared" si="217"/>
        <v>0</v>
      </c>
      <c r="ME78" s="70">
        <f t="shared" si="218"/>
        <v>474309</v>
      </c>
      <c r="MF78" s="70">
        <f t="shared" si="219"/>
        <v>0</v>
      </c>
      <c r="MG78" s="70">
        <f t="shared" si="220"/>
        <v>276193</v>
      </c>
      <c r="MH78" s="70">
        <f t="shared" si="221"/>
        <v>0</v>
      </c>
      <c r="MI78" s="70">
        <f t="shared" si="222"/>
        <v>289183</v>
      </c>
      <c r="MJ78" s="70">
        <f t="shared" si="223"/>
        <v>0</v>
      </c>
      <c r="MK78" s="70">
        <f t="shared" si="224"/>
        <v>1445497</v>
      </c>
      <c r="ML78" s="70">
        <f t="shared" si="225"/>
        <v>0</v>
      </c>
      <c r="MM78" s="70">
        <f t="shared" si="226"/>
        <v>23536254</v>
      </c>
      <c r="MN78" s="70">
        <f t="shared" si="227"/>
        <v>0</v>
      </c>
      <c r="MO78" s="70">
        <f t="shared" si="228"/>
        <v>0</v>
      </c>
      <c r="MP78" s="70">
        <f t="shared" si="229"/>
        <v>0</v>
      </c>
      <c r="MQ78" s="70">
        <f t="shared" si="230"/>
        <v>23536254</v>
      </c>
      <c r="MR78" s="70">
        <f t="shared" si="231"/>
        <v>0</v>
      </c>
      <c r="MT78" s="70">
        <f t="shared" si="232"/>
        <v>0</v>
      </c>
      <c r="MV78" s="68">
        <f t="shared" si="233"/>
        <v>0</v>
      </c>
    </row>
    <row r="79" spans="1:371" x14ac:dyDescent="0.15">
      <c r="A79" s="78" t="s">
        <v>362</v>
      </c>
      <c r="B79" s="76" t="s">
        <v>427</v>
      </c>
      <c r="C79" s="90">
        <v>228778</v>
      </c>
      <c r="D79" s="90">
        <v>2014</v>
      </c>
      <c r="E79" s="90">
        <v>1</v>
      </c>
      <c r="F79" s="91">
        <v>2</v>
      </c>
      <c r="G79" s="92"/>
      <c r="H79" s="92"/>
      <c r="I79" s="93"/>
      <c r="J79" s="93"/>
      <c r="K79" s="93">
        <f>Texas!B49</f>
        <v>18746795</v>
      </c>
      <c r="L79" s="93"/>
      <c r="M79" s="93"/>
      <c r="N79" s="93"/>
      <c r="O79" s="93">
        <f>Texas!B48</f>
        <v>233002000</v>
      </c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114">
        <v>7</v>
      </c>
      <c r="AD79" s="114">
        <v>9</v>
      </c>
      <c r="AE79" s="114">
        <v>0</v>
      </c>
      <c r="AF79" s="115">
        <f>SUM(Texas!B24,Texas!C24,Texas!F24,Texas!H24,Texas!J24,Texas!L24,Texas!P24)</f>
        <v>6318684</v>
      </c>
      <c r="AG79" s="115">
        <f>SUM(Texas!D24,Texas!E24,Texas!G24,Texas!I24,Texas!K24,Texas!M24,Texas!N24,Texas!O24,Texas!Q24)</f>
        <v>4386176</v>
      </c>
      <c r="AH79" s="115">
        <f>SUM(Texas!B31,Texas!C31,Texas!F31,Texas!H31,Texas!J31,Texas!L31,Texas!P31)</f>
        <v>978242</v>
      </c>
      <c r="AI79" s="115">
        <f>SUM(Texas!D31,Texas!E31,Texas!G31,Texas!I31,Texas!K31,Texas!M31,Texas!N31,Texas!O31,Texas!Q31)</f>
        <v>485750</v>
      </c>
      <c r="AJ79" s="115"/>
      <c r="AK79" s="116"/>
      <c r="AL79" s="115"/>
      <c r="AM79" s="116"/>
      <c r="AN79" s="115"/>
      <c r="AO79" s="116"/>
      <c r="AP79" s="115"/>
      <c r="AQ79" s="116"/>
      <c r="AR79" s="115"/>
      <c r="AS79" s="116"/>
      <c r="AT79" s="115"/>
      <c r="AU79" s="116"/>
      <c r="AV79" s="115"/>
      <c r="AW79" s="116"/>
      <c r="AX79" s="115"/>
      <c r="AY79" s="116"/>
      <c r="AZ79" s="139">
        <f>Texas!B7</f>
        <v>34089405</v>
      </c>
      <c r="BA79" s="139">
        <f>Texas!C7</f>
        <v>3107303</v>
      </c>
      <c r="BB79" s="139">
        <f>Texas!D7</f>
        <v>267243</v>
      </c>
      <c r="BC79" s="139">
        <f>Texas!R7</f>
        <v>1449398</v>
      </c>
      <c r="BD79" s="139">
        <f>Texas!S7</f>
        <v>14742050</v>
      </c>
      <c r="BE79" s="139">
        <f>Texas!T7</f>
        <v>53655399</v>
      </c>
      <c r="BF79" s="139">
        <v>0</v>
      </c>
      <c r="BG79" s="139">
        <v>0</v>
      </c>
      <c r="BH79" s="139">
        <v>0</v>
      </c>
      <c r="BI79" s="139">
        <v>0</v>
      </c>
      <c r="BJ79" s="139">
        <v>0</v>
      </c>
      <c r="BK79" s="139">
        <v>0</v>
      </c>
      <c r="BL79" s="139">
        <f>Texas!B9</f>
        <v>450000</v>
      </c>
      <c r="BM79" s="139">
        <f>Texas!C9</f>
        <v>0</v>
      </c>
      <c r="BN79" s="139">
        <f>Texas!D9</f>
        <v>0</v>
      </c>
      <c r="BO79" s="139">
        <f>Texas!R9</f>
        <v>5500</v>
      </c>
      <c r="BP79" s="139">
        <f>Texas!S9</f>
        <v>0</v>
      </c>
      <c r="BQ79" s="139">
        <f>Texas!T9</f>
        <v>455500</v>
      </c>
      <c r="BR79" s="139">
        <f>Texas!B10</f>
        <v>30921120</v>
      </c>
      <c r="BS79" s="139">
        <f>Texas!C10</f>
        <v>3194884</v>
      </c>
      <c r="BT79" s="139">
        <f>Texas!D10</f>
        <v>482409</v>
      </c>
      <c r="BU79" s="139">
        <f>Texas!R10</f>
        <v>2932167</v>
      </c>
      <c r="BV79" s="139">
        <f>Texas!S10</f>
        <v>102450</v>
      </c>
      <c r="BW79" s="139">
        <f>Texas!T10</f>
        <v>37633030</v>
      </c>
      <c r="BX79" s="139">
        <v>0</v>
      </c>
      <c r="BY79" s="139">
        <v>0</v>
      </c>
      <c r="BZ79" s="139">
        <v>0</v>
      </c>
      <c r="CA79" s="139">
        <v>0</v>
      </c>
      <c r="CB79" s="139">
        <v>0</v>
      </c>
      <c r="CC79" s="139">
        <v>0</v>
      </c>
      <c r="CD79" s="139">
        <v>0</v>
      </c>
      <c r="CE79" s="139">
        <v>0</v>
      </c>
      <c r="CF79" s="139">
        <v>0</v>
      </c>
      <c r="CG79" s="139">
        <v>0</v>
      </c>
      <c r="CH79" s="139">
        <v>0</v>
      </c>
      <c r="CI79" s="139">
        <v>0</v>
      </c>
      <c r="CJ79" s="139">
        <v>0</v>
      </c>
      <c r="CK79" s="139">
        <v>0</v>
      </c>
      <c r="CL79" s="139">
        <v>0</v>
      </c>
      <c r="CM79" s="139">
        <v>0</v>
      </c>
      <c r="CN79" s="139">
        <v>0</v>
      </c>
      <c r="CO79" s="139">
        <v>0</v>
      </c>
      <c r="CP79" s="139">
        <v>0</v>
      </c>
      <c r="CQ79" s="139">
        <v>0</v>
      </c>
      <c r="CR79" s="139">
        <v>0</v>
      </c>
      <c r="CS79" s="139">
        <v>0</v>
      </c>
      <c r="CT79" s="139">
        <v>0</v>
      </c>
      <c r="CU79" s="139">
        <v>0</v>
      </c>
      <c r="CV79" s="139">
        <f>Texas!B15</f>
        <v>17098014</v>
      </c>
      <c r="CW79" s="139">
        <f>Texas!C15</f>
        <v>5348019</v>
      </c>
      <c r="CX79" s="139">
        <f>Texas!D15</f>
        <v>179616</v>
      </c>
      <c r="CY79" s="139">
        <f>Texas!R15</f>
        <v>1289281</v>
      </c>
      <c r="CZ79" s="139">
        <f>Texas!S15</f>
        <v>0</v>
      </c>
      <c r="DA79" s="139">
        <f>Texas!T15</f>
        <v>23914930</v>
      </c>
      <c r="DB79" s="139">
        <f>Texas!B16</f>
        <v>26422</v>
      </c>
      <c r="DC79" s="139">
        <f>Texas!C16</f>
        <v>0</v>
      </c>
      <c r="DD79" s="139">
        <f>Texas!D16</f>
        <v>0</v>
      </c>
      <c r="DE79" s="139">
        <f>Texas!R16</f>
        <v>0</v>
      </c>
      <c r="DF79" s="139">
        <f>Texas!S16</f>
        <v>0</v>
      </c>
      <c r="DG79" s="139">
        <f>Texas!T16</f>
        <v>26422</v>
      </c>
      <c r="DH79" s="139">
        <f>Texas!B17</f>
        <v>2573665</v>
      </c>
      <c r="DI79" s="139">
        <f>Texas!C17</f>
        <v>403123</v>
      </c>
      <c r="DJ79" s="139">
        <f>Texas!D17</f>
        <v>98148</v>
      </c>
      <c r="DK79" s="139">
        <f>Texas!R17</f>
        <v>580836</v>
      </c>
      <c r="DL79" s="139">
        <f>Texas!S17</f>
        <v>1169528</v>
      </c>
      <c r="DM79" s="139">
        <f>Texas!T17</f>
        <v>4825300</v>
      </c>
      <c r="DN79" s="139">
        <v>25550017</v>
      </c>
      <c r="DO79" s="139">
        <f>Texas!C18</f>
        <v>2468798</v>
      </c>
      <c r="DP79" s="139">
        <f>Texas!D18</f>
        <v>402844</v>
      </c>
      <c r="DQ79" s="139">
        <f>Texas!R18</f>
        <v>1628482</v>
      </c>
      <c r="DR79" s="139">
        <f>Texas!S18</f>
        <v>1905642</v>
      </c>
      <c r="DS79" s="139">
        <f>Texas!T18</f>
        <v>31955783</v>
      </c>
      <c r="DT79" s="139">
        <f>Texas!B19</f>
        <v>290530</v>
      </c>
      <c r="DU79" s="139">
        <f>Texas!C19</f>
        <v>298808</v>
      </c>
      <c r="DV79" s="139">
        <f>Texas!D19</f>
        <v>172595</v>
      </c>
      <c r="DW79" s="139">
        <f>Texas!R19</f>
        <v>3161512</v>
      </c>
      <c r="DX79" s="139">
        <f>Texas!S19</f>
        <v>603332</v>
      </c>
      <c r="DY79" s="139">
        <f>Texas!T19</f>
        <v>4526777</v>
      </c>
      <c r="DZ79" s="139">
        <f>Texas!B20</f>
        <v>633745</v>
      </c>
      <c r="EA79" s="139">
        <f>Texas!C20</f>
        <v>141751</v>
      </c>
      <c r="EB79" s="139">
        <f>Texas!D20</f>
        <v>52686</v>
      </c>
      <c r="EC79" s="139">
        <f>Texas!R20</f>
        <v>443083</v>
      </c>
      <c r="ED79" s="139">
        <f>Texas!S20</f>
        <v>33100</v>
      </c>
      <c r="EE79" s="139">
        <f>Texas!T20</f>
        <v>1304365</v>
      </c>
      <c r="EF79" s="139">
        <f>Texas!B21</f>
        <v>875244</v>
      </c>
      <c r="EG79" s="139">
        <f>Texas!C21</f>
        <v>0</v>
      </c>
      <c r="EH79" s="139">
        <f>Texas!D21</f>
        <v>0</v>
      </c>
      <c r="EI79" s="139">
        <f>Texas!R21</f>
        <v>126579</v>
      </c>
      <c r="EJ79" s="139">
        <f>Texas!S21</f>
        <v>1735853</v>
      </c>
      <c r="EK79" s="139">
        <f>Texas!T21</f>
        <v>2737676</v>
      </c>
      <c r="EL79" s="139">
        <f>Texas!B22</f>
        <v>112508162</v>
      </c>
      <c r="EM79" s="139">
        <f>Texas!C22</f>
        <v>14962686</v>
      </c>
      <c r="EN79" s="139">
        <f>Texas!D22</f>
        <v>1655541</v>
      </c>
      <c r="EO79" s="139">
        <f>Texas!R22</f>
        <v>11616838</v>
      </c>
      <c r="EP79" s="139">
        <f>Texas!S22</f>
        <v>20291955</v>
      </c>
      <c r="EQ79" s="139">
        <f>Texas!T22</f>
        <v>161035182</v>
      </c>
      <c r="ER79" s="139">
        <f>Texas!B24</f>
        <v>4074402</v>
      </c>
      <c r="ES79" s="139">
        <f>Texas!C24</f>
        <v>662936</v>
      </c>
      <c r="ET79" s="139">
        <f>Texas!D24</f>
        <v>732572</v>
      </c>
      <c r="EU79" s="139">
        <f>Texas!R24</f>
        <v>5234950</v>
      </c>
      <c r="EV79" s="139">
        <f>Texas!S24</f>
        <v>137416</v>
      </c>
      <c r="EW79" s="139">
        <f>Texas!T24</f>
        <v>10842276</v>
      </c>
      <c r="EX79" s="139">
        <f>Texas!B25</f>
        <v>1350000</v>
      </c>
      <c r="EY79" s="139">
        <f>Texas!C25</f>
        <v>502500</v>
      </c>
      <c r="EZ79" s="139">
        <f>Texas!D25</f>
        <v>97183</v>
      </c>
      <c r="FA79" s="139">
        <f>Texas!R25</f>
        <v>106786</v>
      </c>
      <c r="FB79" s="139">
        <f>Texas!S25</f>
        <v>0</v>
      </c>
      <c r="FC79" s="139">
        <f>Texas!T25</f>
        <v>2056469</v>
      </c>
      <c r="FD79" s="139">
        <f>Texas!B26</f>
        <v>12518126</v>
      </c>
      <c r="FE79" s="139">
        <f>Texas!C26</f>
        <v>4167913</v>
      </c>
      <c r="FF79" s="139">
        <f>Texas!D26</f>
        <v>1254535</v>
      </c>
      <c r="FG79" s="139">
        <f>Texas!R26</f>
        <v>7434520</v>
      </c>
      <c r="FH79" s="139">
        <f>Texas!S26</f>
        <v>0</v>
      </c>
      <c r="FI79" s="139">
        <f>Texas!T26</f>
        <v>25375094</v>
      </c>
      <c r="FJ79" s="139">
        <v>0</v>
      </c>
      <c r="FK79" s="139">
        <v>0</v>
      </c>
      <c r="FL79" s="139">
        <v>0</v>
      </c>
      <c r="FM79" s="139">
        <v>0</v>
      </c>
      <c r="FN79" s="139">
        <v>0</v>
      </c>
      <c r="FO79" s="139">
        <v>0</v>
      </c>
      <c r="FP79" s="139">
        <f>Texas!B28</f>
        <v>3580767</v>
      </c>
      <c r="FQ79" s="139">
        <f>Texas!C28</f>
        <v>745652</v>
      </c>
      <c r="FR79" s="139">
        <f>Texas!D28</f>
        <v>518905</v>
      </c>
      <c r="FS79" s="139">
        <f>Texas!R28</f>
        <v>1454339</v>
      </c>
      <c r="FT79" s="139">
        <f>Texas!S28</f>
        <v>29415034</v>
      </c>
      <c r="FU79" s="139">
        <f>Texas!T28</f>
        <v>35714697</v>
      </c>
      <c r="FV79" s="139">
        <v>0</v>
      </c>
      <c r="FW79" s="139">
        <v>0</v>
      </c>
      <c r="FX79" s="139">
        <v>0</v>
      </c>
      <c r="FY79" s="139">
        <v>0</v>
      </c>
      <c r="FZ79" s="139">
        <v>0</v>
      </c>
      <c r="GA79" s="139">
        <v>0</v>
      </c>
      <c r="GB79" s="139">
        <f>Texas!B30</f>
        <v>687500</v>
      </c>
      <c r="GC79" s="139">
        <f>Texas!C30</f>
        <v>0</v>
      </c>
      <c r="GD79" s="139">
        <f>Texas!D30</f>
        <v>0</v>
      </c>
      <c r="GE79" s="139">
        <f>Texas!R30</f>
        <v>96900</v>
      </c>
      <c r="GF79" s="139">
        <f>Texas!S30</f>
        <v>0</v>
      </c>
      <c r="GG79" s="139">
        <f>Texas!T30</f>
        <v>784400</v>
      </c>
      <c r="GH79" s="139">
        <f>Texas!B31</f>
        <v>594124</v>
      </c>
      <c r="GI79" s="139">
        <f>Texas!C31</f>
        <v>142031</v>
      </c>
      <c r="GJ79" s="139">
        <f>Texas!D31</f>
        <v>120868</v>
      </c>
      <c r="GK79" s="139">
        <f>Texas!R31</f>
        <v>606969</v>
      </c>
      <c r="GL79" s="139">
        <f>Texas!S31</f>
        <v>0</v>
      </c>
      <c r="GM79" s="139">
        <f>Texas!T31</f>
        <v>1463992</v>
      </c>
      <c r="GN79" s="139">
        <f>Texas!B32</f>
        <v>2059521</v>
      </c>
      <c r="GO79" s="139">
        <f>Texas!C32</f>
        <v>1394624</v>
      </c>
      <c r="GP79" s="139">
        <f>Texas!D32</f>
        <v>1029002</v>
      </c>
      <c r="GQ79" s="139">
        <f>Texas!R32</f>
        <v>3714559</v>
      </c>
      <c r="GR79" s="139">
        <f>Texas!S32</f>
        <v>0</v>
      </c>
      <c r="GS79" s="139">
        <f>Texas!T32</f>
        <v>8197706</v>
      </c>
      <c r="GT79" s="139">
        <f>Texas!B33</f>
        <v>415821</v>
      </c>
      <c r="GU79" s="139">
        <f>Texas!C33</f>
        <v>36086</v>
      </c>
      <c r="GV79" s="139">
        <f>Texas!D33</f>
        <v>29429</v>
      </c>
      <c r="GW79" s="139">
        <f>Texas!R33</f>
        <v>476878</v>
      </c>
      <c r="GX79" s="139">
        <f>Texas!S33</f>
        <v>509810</v>
      </c>
      <c r="GY79" s="139">
        <f>Texas!T33</f>
        <v>1468024</v>
      </c>
      <c r="GZ79" s="139">
        <f>Texas!B34</f>
        <v>3118899</v>
      </c>
      <c r="HA79" s="139">
        <f>Texas!C34</f>
        <v>806638</v>
      </c>
      <c r="HB79" s="139">
        <f>Texas!D34</f>
        <v>631017</v>
      </c>
      <c r="HC79" s="139">
        <f>Texas!R34</f>
        <v>2436751</v>
      </c>
      <c r="HD79" s="139">
        <f>Texas!S34</f>
        <v>11771312</v>
      </c>
      <c r="HE79" s="139">
        <f>Texas!T34</f>
        <v>18764617</v>
      </c>
      <c r="HF79" s="139">
        <f>Texas!B35</f>
        <v>0</v>
      </c>
      <c r="HG79" s="139">
        <f>Texas!C35</f>
        <v>0</v>
      </c>
      <c r="HH79" s="139">
        <f>Texas!D35</f>
        <v>0</v>
      </c>
      <c r="HI79" s="139">
        <f>Texas!R35</f>
        <v>4213</v>
      </c>
      <c r="HJ79" s="139">
        <f>Texas!S35</f>
        <v>4825093</v>
      </c>
      <c r="HK79" s="139">
        <f>Texas!T35</f>
        <v>4829306</v>
      </c>
      <c r="HL79" s="139">
        <f>Texas!B36</f>
        <v>44768</v>
      </c>
      <c r="HM79" s="139">
        <f>Texas!C36</f>
        <v>167746</v>
      </c>
      <c r="HN79" s="139">
        <f>Texas!D36</f>
        <v>202215</v>
      </c>
      <c r="HO79" s="139">
        <f>Texas!R36</f>
        <v>892835</v>
      </c>
      <c r="HP79" s="139">
        <f>Texas!S36</f>
        <v>242736</v>
      </c>
      <c r="HQ79" s="139">
        <f>Texas!T36</f>
        <v>1550300</v>
      </c>
      <c r="HR79" s="139">
        <f>Texas!B37</f>
        <v>109872</v>
      </c>
      <c r="HS79" s="139">
        <f>Texas!C37</f>
        <v>45263</v>
      </c>
      <c r="HT79" s="139">
        <f>Texas!D37</f>
        <v>27001</v>
      </c>
      <c r="HU79" s="139">
        <f>Texas!R37</f>
        <v>243491</v>
      </c>
      <c r="HV79" s="139">
        <f>Texas!S37</f>
        <v>25329263</v>
      </c>
      <c r="HW79" s="139">
        <f>Texas!T37</f>
        <v>25754890</v>
      </c>
      <c r="HX79" s="139">
        <f>Texas!B38</f>
        <v>946500</v>
      </c>
      <c r="HY79" s="139">
        <f>Texas!C38</f>
        <v>174976</v>
      </c>
      <c r="HZ79" s="139">
        <f>Texas!D38</f>
        <v>15777</v>
      </c>
      <c r="IA79" s="139">
        <f>Texas!R38</f>
        <v>135587</v>
      </c>
      <c r="IB79" s="139">
        <f>Texas!S38</f>
        <v>84429</v>
      </c>
      <c r="IC79" s="139">
        <f>Texas!T38</f>
        <v>1357269</v>
      </c>
      <c r="ID79" s="139">
        <v>0</v>
      </c>
      <c r="IE79" s="139">
        <v>0</v>
      </c>
      <c r="IF79" s="139">
        <v>0</v>
      </c>
      <c r="IG79" s="139">
        <v>0</v>
      </c>
      <c r="IH79" s="139">
        <v>0</v>
      </c>
      <c r="II79" s="139">
        <v>0</v>
      </c>
      <c r="IJ79" s="139">
        <f>Texas!B40</f>
        <v>163004</v>
      </c>
      <c r="IK79" s="139">
        <f>Texas!C40</f>
        <v>33896</v>
      </c>
      <c r="IL79" s="139">
        <f>Texas!D40</f>
        <v>50238</v>
      </c>
      <c r="IM79" s="139">
        <f>Texas!R40</f>
        <v>300059</v>
      </c>
      <c r="IN79" s="139">
        <f>Texas!S40</f>
        <v>1467479</v>
      </c>
      <c r="IO79" s="139">
        <f>Texas!T40</f>
        <v>2014676</v>
      </c>
      <c r="IP79" s="139">
        <f>Texas!B41</f>
        <v>5260</v>
      </c>
      <c r="IQ79" s="139">
        <f>Texas!C41</f>
        <v>4865</v>
      </c>
      <c r="IR79" s="139">
        <f>Texas!D41</f>
        <v>3605</v>
      </c>
      <c r="IS79" s="139">
        <f>Texas!R41</f>
        <v>40266</v>
      </c>
      <c r="IT79" s="139">
        <f>Texas!S41</f>
        <v>389549</v>
      </c>
      <c r="IU79" s="139">
        <f>Texas!T41</f>
        <v>443545</v>
      </c>
      <c r="IV79" s="139">
        <f>Texas!B42</f>
        <v>5216473</v>
      </c>
      <c r="IW79" s="139">
        <f>Texas!C42</f>
        <v>80454</v>
      </c>
      <c r="IX79" s="139">
        <f>Texas!D42</f>
        <v>102374</v>
      </c>
      <c r="IY79" s="139">
        <f>Texas!R42</f>
        <v>1028546</v>
      </c>
      <c r="IZ79" s="139">
        <f>Texas!S42</f>
        <v>7083766</v>
      </c>
      <c r="JA79" s="139">
        <f>Texas!T42</f>
        <v>13511613</v>
      </c>
      <c r="JB79" s="139">
        <f>Texas!B43</f>
        <v>34885037</v>
      </c>
      <c r="JC79" s="139">
        <f>Texas!C43</f>
        <v>8965580</v>
      </c>
      <c r="JD79" s="139">
        <f>Texas!D43</f>
        <v>4814721</v>
      </c>
      <c r="JE79" s="139">
        <f>Texas!R43</f>
        <v>24207649</v>
      </c>
      <c r="JF79" s="139">
        <f>Texas!S43</f>
        <v>81255887</v>
      </c>
      <c r="JG79" s="139">
        <f>Texas!T43</f>
        <v>154128874</v>
      </c>
      <c r="JH79" s="139">
        <f>Texas!B44</f>
        <v>0</v>
      </c>
      <c r="JI79" s="139">
        <f>Texas!C44</f>
        <v>0</v>
      </c>
      <c r="JJ79" s="139">
        <f>Texas!D44</f>
        <v>0</v>
      </c>
      <c r="JK79" s="139">
        <f>Texas!R44</f>
        <v>0</v>
      </c>
      <c r="JL79" s="139">
        <f>Texas!S44</f>
        <v>9721719</v>
      </c>
      <c r="JM79" s="139">
        <f>Texas!T44</f>
        <v>9721719</v>
      </c>
      <c r="JN79" s="139">
        <f>Texas!B45</f>
        <v>34885037</v>
      </c>
      <c r="JO79" s="139">
        <f>Texas!C45</f>
        <v>8965580</v>
      </c>
      <c r="JP79" s="139">
        <f>Texas!D45</f>
        <v>4814721</v>
      </c>
      <c r="JQ79" s="139">
        <f>Texas!R45</f>
        <v>24207649</v>
      </c>
      <c r="JR79" s="139">
        <f>Texas!S45</f>
        <v>90977606</v>
      </c>
      <c r="JS79" s="139">
        <f>Texas!T45</f>
        <v>163850593</v>
      </c>
      <c r="JU79" s="70">
        <f t="shared" si="158"/>
        <v>53655399</v>
      </c>
      <c r="JV79" s="70">
        <f t="shared" si="159"/>
        <v>0</v>
      </c>
      <c r="JW79" s="70">
        <f t="shared" si="160"/>
        <v>0</v>
      </c>
      <c r="JX79" s="70">
        <f t="shared" si="161"/>
        <v>0</v>
      </c>
      <c r="JY79" s="70">
        <f t="shared" si="162"/>
        <v>455500</v>
      </c>
      <c r="JZ79" s="70">
        <f t="shared" si="163"/>
        <v>0</v>
      </c>
      <c r="KA79" s="70">
        <f t="shared" si="164"/>
        <v>37633030</v>
      </c>
      <c r="KB79" s="70">
        <f t="shared" si="165"/>
        <v>0</v>
      </c>
      <c r="KC79" s="70">
        <f t="shared" si="166"/>
        <v>0</v>
      </c>
      <c r="KD79" s="70">
        <f t="shared" si="167"/>
        <v>0</v>
      </c>
      <c r="KE79" s="70">
        <f t="shared" si="168"/>
        <v>0</v>
      </c>
      <c r="KF79" s="70">
        <f t="shared" si="169"/>
        <v>0</v>
      </c>
      <c r="KG79" s="70">
        <f t="shared" si="170"/>
        <v>0</v>
      </c>
      <c r="KH79" s="70">
        <f t="shared" si="171"/>
        <v>0</v>
      </c>
      <c r="KI79" s="70">
        <f t="shared" si="172"/>
        <v>0</v>
      </c>
      <c r="KJ79" s="70">
        <f t="shared" si="173"/>
        <v>0</v>
      </c>
      <c r="KK79" s="70">
        <f t="shared" si="174"/>
        <v>23914930</v>
      </c>
      <c r="KL79" s="70">
        <f t="shared" si="175"/>
        <v>0</v>
      </c>
      <c r="KM79" s="70">
        <f t="shared" si="176"/>
        <v>26422</v>
      </c>
      <c r="KN79" s="70">
        <f t="shared" si="177"/>
        <v>0</v>
      </c>
      <c r="KO79" s="70">
        <f t="shared" si="178"/>
        <v>4825300</v>
      </c>
      <c r="KP79" s="70">
        <f t="shared" si="179"/>
        <v>0</v>
      </c>
      <c r="KQ79" s="70">
        <f t="shared" si="180"/>
        <v>31955783</v>
      </c>
      <c r="KR79" s="70">
        <f t="shared" si="181"/>
        <v>0</v>
      </c>
      <c r="KS79" s="70">
        <f t="shared" si="182"/>
        <v>4526777</v>
      </c>
      <c r="KT79" s="70">
        <f t="shared" si="183"/>
        <v>0</v>
      </c>
      <c r="KU79" s="70">
        <f t="shared" si="184"/>
        <v>1304365</v>
      </c>
      <c r="KV79" s="70">
        <f t="shared" si="185"/>
        <v>0</v>
      </c>
      <c r="KW79" s="70">
        <f t="shared" si="186"/>
        <v>2737676</v>
      </c>
      <c r="KX79" s="70">
        <f t="shared" si="187"/>
        <v>0</v>
      </c>
      <c r="KY79" s="70">
        <f t="shared" si="188"/>
        <v>161035182</v>
      </c>
      <c r="KZ79" s="70">
        <f t="shared" si="189"/>
        <v>0</v>
      </c>
      <c r="LA79" s="70">
        <f t="shared" si="190"/>
        <v>10842276</v>
      </c>
      <c r="LB79" s="70">
        <f t="shared" si="191"/>
        <v>0</v>
      </c>
      <c r="LC79" s="70">
        <f t="shared" si="192"/>
        <v>2056469</v>
      </c>
      <c r="LD79" s="70">
        <f t="shared" si="193"/>
        <v>0</v>
      </c>
      <c r="LE79" s="70">
        <f t="shared" si="194"/>
        <v>25375094</v>
      </c>
      <c r="LF79" s="70">
        <f t="shared" si="195"/>
        <v>0</v>
      </c>
      <c r="LG79" s="70">
        <f t="shared" ref="LG79:LG97" si="234">SUM(FJ79:FN79)</f>
        <v>0</v>
      </c>
      <c r="LH79" s="70">
        <f t="shared" ref="LH79:LH97" si="235">FO79-LG79</f>
        <v>0</v>
      </c>
      <c r="LI79" s="70">
        <f t="shared" si="196"/>
        <v>35714697</v>
      </c>
      <c r="LJ79" s="70">
        <f t="shared" si="197"/>
        <v>0</v>
      </c>
      <c r="LK79" s="70">
        <f t="shared" si="198"/>
        <v>0</v>
      </c>
      <c r="LL79" s="70">
        <f t="shared" si="199"/>
        <v>0</v>
      </c>
      <c r="LM79" s="70">
        <f t="shared" si="200"/>
        <v>784400</v>
      </c>
      <c r="LN79" s="70">
        <f t="shared" si="201"/>
        <v>0</v>
      </c>
      <c r="LO79" s="70">
        <f t="shared" si="202"/>
        <v>1463992</v>
      </c>
      <c r="LP79" s="70">
        <f t="shared" si="203"/>
        <v>0</v>
      </c>
      <c r="LQ79" s="70">
        <f t="shared" si="204"/>
        <v>8197706</v>
      </c>
      <c r="LR79" s="70">
        <f t="shared" si="205"/>
        <v>0</v>
      </c>
      <c r="LS79" s="70">
        <f t="shared" si="206"/>
        <v>1468024</v>
      </c>
      <c r="LT79" s="70">
        <f t="shared" si="207"/>
        <v>0</v>
      </c>
      <c r="LU79" s="70">
        <f t="shared" si="208"/>
        <v>18764617</v>
      </c>
      <c r="LV79" s="70">
        <f t="shared" si="209"/>
        <v>0</v>
      </c>
      <c r="LW79" s="70">
        <f t="shared" si="210"/>
        <v>4829306</v>
      </c>
      <c r="LX79" s="70">
        <f t="shared" si="211"/>
        <v>0</v>
      </c>
      <c r="LY79" s="70">
        <f t="shared" si="212"/>
        <v>1550300</v>
      </c>
      <c r="LZ79" s="70">
        <f t="shared" si="213"/>
        <v>0</v>
      </c>
      <c r="MA79" s="70">
        <f t="shared" si="214"/>
        <v>25754890</v>
      </c>
      <c r="MB79" s="70">
        <f t="shared" si="215"/>
        <v>0</v>
      </c>
      <c r="MC79" s="70">
        <f t="shared" si="216"/>
        <v>1357269</v>
      </c>
      <c r="MD79" s="70">
        <f t="shared" si="217"/>
        <v>0</v>
      </c>
      <c r="ME79" s="70">
        <f t="shared" si="218"/>
        <v>0</v>
      </c>
      <c r="MF79" s="70">
        <f t="shared" si="219"/>
        <v>0</v>
      </c>
      <c r="MG79" s="70">
        <f t="shared" si="220"/>
        <v>2014676</v>
      </c>
      <c r="MH79" s="70">
        <f t="shared" si="221"/>
        <v>0</v>
      </c>
      <c r="MI79" s="70">
        <f t="shared" si="222"/>
        <v>443545</v>
      </c>
      <c r="MJ79" s="70">
        <f t="shared" si="223"/>
        <v>0</v>
      </c>
      <c r="MK79" s="70">
        <f t="shared" si="224"/>
        <v>13511613</v>
      </c>
      <c r="ML79" s="70">
        <f t="shared" si="225"/>
        <v>0</v>
      </c>
      <c r="MM79" s="70">
        <f t="shared" si="226"/>
        <v>154128874</v>
      </c>
      <c r="MN79" s="70">
        <f t="shared" si="227"/>
        <v>0</v>
      </c>
      <c r="MO79" s="70">
        <f t="shared" si="228"/>
        <v>9721719</v>
      </c>
      <c r="MP79" s="70">
        <f t="shared" si="229"/>
        <v>0</v>
      </c>
      <c r="MQ79" s="70">
        <f t="shared" si="230"/>
        <v>163850593</v>
      </c>
      <c r="MR79" s="70">
        <f t="shared" si="231"/>
        <v>0</v>
      </c>
      <c r="MT79" s="70">
        <f t="shared" si="232"/>
        <v>0</v>
      </c>
      <c r="MV79" s="68">
        <f t="shared" si="233"/>
        <v>0</v>
      </c>
    </row>
    <row r="80" spans="1:371" x14ac:dyDescent="0.15">
      <c r="A80" s="78" t="s">
        <v>363</v>
      </c>
      <c r="B80" s="76" t="s">
        <v>427</v>
      </c>
      <c r="C80" s="90">
        <v>228723</v>
      </c>
      <c r="D80" s="90">
        <v>2014</v>
      </c>
      <c r="E80" s="90">
        <v>1</v>
      </c>
      <c r="F80" s="91">
        <v>5</v>
      </c>
      <c r="G80" s="92">
        <v>18736</v>
      </c>
      <c r="H80" s="92">
        <v>17367</v>
      </c>
      <c r="I80" s="93">
        <v>1367957134</v>
      </c>
      <c r="J80" s="93"/>
      <c r="K80" s="93">
        <v>5473123</v>
      </c>
      <c r="L80" s="93"/>
      <c r="M80" s="93">
        <v>52826006</v>
      </c>
      <c r="N80" s="93"/>
      <c r="O80" s="93">
        <v>41556950</v>
      </c>
      <c r="P80" s="93"/>
      <c r="Q80" s="93">
        <v>606958912</v>
      </c>
      <c r="R80" s="93"/>
      <c r="S80" s="93">
        <v>962564231</v>
      </c>
      <c r="T80" s="93"/>
      <c r="U80" s="93">
        <v>18706</v>
      </c>
      <c r="V80" s="93"/>
      <c r="W80" s="93">
        <v>35236</v>
      </c>
      <c r="X80" s="93"/>
      <c r="Y80" s="93">
        <v>20886</v>
      </c>
      <c r="Z80" s="93"/>
      <c r="AA80" s="93">
        <v>37916</v>
      </c>
      <c r="AB80" s="93"/>
      <c r="AC80" s="114">
        <v>9</v>
      </c>
      <c r="AD80" s="114">
        <v>11</v>
      </c>
      <c r="AE80" s="114">
        <v>0</v>
      </c>
      <c r="AF80" s="115">
        <v>4000537</v>
      </c>
      <c r="AG80" s="115">
        <v>3499677</v>
      </c>
      <c r="AH80" s="115">
        <v>918226</v>
      </c>
      <c r="AI80" s="115">
        <v>377089</v>
      </c>
      <c r="AJ80" s="115">
        <v>856938.46</v>
      </c>
      <c r="AK80" s="116">
        <v>6.5</v>
      </c>
      <c r="AL80" s="115">
        <v>795728.57</v>
      </c>
      <c r="AM80" s="116">
        <v>7</v>
      </c>
      <c r="AN80" s="115">
        <v>323168</v>
      </c>
      <c r="AO80" s="116">
        <v>8.5</v>
      </c>
      <c r="AP80" s="115">
        <v>305214.21999999997</v>
      </c>
      <c r="AQ80" s="116">
        <v>9</v>
      </c>
      <c r="AR80" s="115">
        <v>264462.59999999998</v>
      </c>
      <c r="AS80" s="116">
        <v>20</v>
      </c>
      <c r="AT80" s="115">
        <v>229967.48</v>
      </c>
      <c r="AU80" s="116">
        <v>23</v>
      </c>
      <c r="AV80" s="115">
        <v>128946.82</v>
      </c>
      <c r="AW80" s="116">
        <v>17</v>
      </c>
      <c r="AX80" s="115">
        <v>109604.8</v>
      </c>
      <c r="AY80" s="116">
        <v>20</v>
      </c>
      <c r="AZ80" s="139">
        <v>30122030</v>
      </c>
      <c r="BA80" s="139">
        <v>2340651</v>
      </c>
      <c r="BB80" s="139">
        <v>651670</v>
      </c>
      <c r="BC80" s="139">
        <v>2121084</v>
      </c>
      <c r="BD80" s="139">
        <v>0</v>
      </c>
      <c r="BE80" s="139">
        <v>35235435</v>
      </c>
      <c r="BF80" s="139">
        <v>0</v>
      </c>
      <c r="BG80" s="139">
        <v>0</v>
      </c>
      <c r="BH80" s="139">
        <v>0</v>
      </c>
      <c r="BI80" s="139">
        <v>0</v>
      </c>
      <c r="BJ80" s="139">
        <v>0</v>
      </c>
      <c r="BK80" s="139">
        <v>0</v>
      </c>
      <c r="BL80" s="139">
        <v>425000</v>
      </c>
      <c r="BM80" s="139">
        <v>0</v>
      </c>
      <c r="BN80" s="139">
        <v>0</v>
      </c>
      <c r="BO80" s="139">
        <v>12000</v>
      </c>
      <c r="BP80" s="139">
        <v>0</v>
      </c>
      <c r="BQ80" s="139">
        <v>437000</v>
      </c>
      <c r="BR80" s="139">
        <v>5278616</v>
      </c>
      <c r="BS80" s="139">
        <v>1061095</v>
      </c>
      <c r="BT80" s="139">
        <v>17974</v>
      </c>
      <c r="BU80" s="139">
        <v>640426</v>
      </c>
      <c r="BV80" s="139">
        <v>8293312</v>
      </c>
      <c r="BW80" s="139">
        <v>15291423</v>
      </c>
      <c r="BX80" s="139">
        <v>0</v>
      </c>
      <c r="BY80" s="139">
        <v>0</v>
      </c>
      <c r="BZ80" s="139">
        <v>0</v>
      </c>
      <c r="CA80" s="139">
        <v>0</v>
      </c>
      <c r="CB80" s="139">
        <v>0</v>
      </c>
      <c r="CC80" s="139">
        <v>0</v>
      </c>
      <c r="CD80" s="139">
        <v>0</v>
      </c>
      <c r="CE80" s="139">
        <v>0</v>
      </c>
      <c r="CF80" s="139">
        <v>0</v>
      </c>
      <c r="CG80" s="139">
        <v>0</v>
      </c>
      <c r="CH80" s="139">
        <v>0</v>
      </c>
      <c r="CI80" s="139">
        <v>0</v>
      </c>
      <c r="CJ80" s="139">
        <v>0</v>
      </c>
      <c r="CK80" s="139">
        <v>0</v>
      </c>
      <c r="CL80" s="139">
        <v>0</v>
      </c>
      <c r="CM80" s="139">
        <v>0</v>
      </c>
      <c r="CN80" s="139">
        <v>590973</v>
      </c>
      <c r="CO80" s="139">
        <v>590973</v>
      </c>
      <c r="CP80" s="139">
        <v>0</v>
      </c>
      <c r="CQ80" s="139">
        <v>0</v>
      </c>
      <c r="CR80" s="139">
        <v>0</v>
      </c>
      <c r="CS80" s="139">
        <v>0</v>
      </c>
      <c r="CT80" s="139">
        <v>0</v>
      </c>
      <c r="CU80" s="139">
        <v>0</v>
      </c>
      <c r="CV80" s="139">
        <v>14509466</v>
      </c>
      <c r="CW80" s="139">
        <v>5030438</v>
      </c>
      <c r="CX80" s="139">
        <v>192149</v>
      </c>
      <c r="CY80" s="139">
        <v>359198</v>
      </c>
      <c r="CZ80" s="139">
        <v>1070552</v>
      </c>
      <c r="DA80" s="139">
        <v>21161803</v>
      </c>
      <c r="DB80" s="139">
        <v>0</v>
      </c>
      <c r="DC80" s="139">
        <v>0</v>
      </c>
      <c r="DD80" s="139">
        <v>0</v>
      </c>
      <c r="DE80" s="139">
        <v>0</v>
      </c>
      <c r="DF80" s="139">
        <v>0</v>
      </c>
      <c r="DG80" s="139">
        <v>0</v>
      </c>
      <c r="DH80" s="139">
        <v>2116329</v>
      </c>
      <c r="DI80" s="139">
        <v>210767</v>
      </c>
      <c r="DJ80" s="139">
        <v>157745</v>
      </c>
      <c r="DK80" s="139">
        <v>534672</v>
      </c>
      <c r="DL80" s="139">
        <v>205201</v>
      </c>
      <c r="DM80" s="139">
        <v>3224714</v>
      </c>
      <c r="DN80" s="139">
        <v>500000</v>
      </c>
      <c r="DO80" s="139">
        <v>87000</v>
      </c>
      <c r="DP80" s="139">
        <v>52500</v>
      </c>
      <c r="DQ80" s="139">
        <v>860964</v>
      </c>
      <c r="DR80" s="139">
        <v>9752692</v>
      </c>
      <c r="DS80" s="139">
        <v>11253156</v>
      </c>
      <c r="DT80" s="139">
        <v>420717</v>
      </c>
      <c r="DU80" s="139">
        <v>373516</v>
      </c>
      <c r="DV80" s="139">
        <v>342168</v>
      </c>
      <c r="DW80" s="139">
        <v>4158477</v>
      </c>
      <c r="DX80" s="139">
        <v>32162</v>
      </c>
      <c r="DY80" s="139">
        <v>5327040</v>
      </c>
      <c r="DZ80" s="139">
        <v>0</v>
      </c>
      <c r="EA80" s="139">
        <v>0</v>
      </c>
      <c r="EB80" s="139">
        <v>0</v>
      </c>
      <c r="EC80" s="139">
        <v>0</v>
      </c>
      <c r="ED80" s="139">
        <v>262472</v>
      </c>
      <c r="EE80" s="139">
        <v>262472</v>
      </c>
      <c r="EF80" s="139">
        <v>428767</v>
      </c>
      <c r="EG80" s="139">
        <v>1351</v>
      </c>
      <c r="EH80" s="139">
        <v>996</v>
      </c>
      <c r="EI80" s="139">
        <v>209323</v>
      </c>
      <c r="EJ80" s="139">
        <v>533453</v>
      </c>
      <c r="EK80" s="139">
        <v>1173890</v>
      </c>
      <c r="EL80" s="139">
        <v>53800925</v>
      </c>
      <c r="EM80" s="139">
        <v>9104818</v>
      </c>
      <c r="EN80" s="139">
        <v>1415202</v>
      </c>
      <c r="EO80" s="139">
        <v>8896144</v>
      </c>
      <c r="EP80" s="139">
        <v>20740817</v>
      </c>
      <c r="EQ80" s="139">
        <v>93957906</v>
      </c>
      <c r="ER80" s="139">
        <v>2270994</v>
      </c>
      <c r="ES80" s="139">
        <v>378631</v>
      </c>
      <c r="ET80" s="139">
        <v>377791</v>
      </c>
      <c r="EU80" s="139">
        <v>4472798</v>
      </c>
      <c r="EV80" s="139">
        <v>0</v>
      </c>
      <c r="EW80" s="139">
        <v>7500214</v>
      </c>
      <c r="EX80" s="139">
        <v>1201682</v>
      </c>
      <c r="EY80" s="139">
        <v>634959</v>
      </c>
      <c r="EZ80" s="139">
        <v>158596</v>
      </c>
      <c r="FA80" s="139">
        <v>74930</v>
      </c>
      <c r="FB80" s="139">
        <v>0</v>
      </c>
      <c r="FC80" s="139">
        <v>2070167</v>
      </c>
      <c r="FD80" s="139">
        <v>6235114</v>
      </c>
      <c r="FE80" s="139">
        <v>2033579</v>
      </c>
      <c r="FF80" s="139">
        <v>1550340</v>
      </c>
      <c r="FG80" s="139">
        <v>5979343</v>
      </c>
      <c r="FH80" s="139">
        <v>0</v>
      </c>
      <c r="FI80" s="139">
        <v>15798376</v>
      </c>
      <c r="FJ80" s="139">
        <v>0</v>
      </c>
      <c r="FK80" s="139">
        <v>0</v>
      </c>
      <c r="FL80" s="139">
        <v>0</v>
      </c>
      <c r="FM80" s="139">
        <v>0</v>
      </c>
      <c r="FN80" s="139">
        <v>0</v>
      </c>
      <c r="FO80" s="139">
        <v>0</v>
      </c>
      <c r="FP80" s="139">
        <v>1972106</v>
      </c>
      <c r="FQ80" s="139">
        <v>511931</v>
      </c>
      <c r="FR80" s="139">
        <v>407470</v>
      </c>
      <c r="FS80" s="139">
        <v>1733494</v>
      </c>
      <c r="FT80" s="139">
        <v>11211783</v>
      </c>
      <c r="FU80" s="139">
        <v>15836784</v>
      </c>
      <c r="FV80" s="139">
        <v>0</v>
      </c>
      <c r="FW80" s="139">
        <v>0</v>
      </c>
      <c r="FX80" s="139">
        <v>0</v>
      </c>
      <c r="FY80" s="139">
        <v>0</v>
      </c>
      <c r="FZ80" s="139">
        <v>0</v>
      </c>
      <c r="GA80" s="139">
        <v>0</v>
      </c>
      <c r="GB80" s="139">
        <v>0</v>
      </c>
      <c r="GC80" s="139">
        <v>0</v>
      </c>
      <c r="GD80" s="139">
        <v>0</v>
      </c>
      <c r="GE80" s="139">
        <v>0</v>
      </c>
      <c r="GF80" s="139">
        <v>984061</v>
      </c>
      <c r="GG80" s="139">
        <v>984061</v>
      </c>
      <c r="GH80" s="139">
        <v>401167</v>
      </c>
      <c r="GI80" s="139">
        <v>370072</v>
      </c>
      <c r="GJ80" s="139">
        <v>110983</v>
      </c>
      <c r="GK80" s="139">
        <v>413093</v>
      </c>
      <c r="GL80" s="139">
        <v>0</v>
      </c>
      <c r="GM80" s="139">
        <v>1295315</v>
      </c>
      <c r="GN80" s="139">
        <v>1430126</v>
      </c>
      <c r="GO80" s="139">
        <v>820635</v>
      </c>
      <c r="GP80" s="139">
        <v>776172</v>
      </c>
      <c r="GQ80" s="139">
        <v>4154343</v>
      </c>
      <c r="GR80" s="139">
        <v>0</v>
      </c>
      <c r="GS80" s="139">
        <v>7181276</v>
      </c>
      <c r="GT80" s="139">
        <v>1042214</v>
      </c>
      <c r="GU80" s="139">
        <v>92199</v>
      </c>
      <c r="GV80" s="139">
        <v>57330</v>
      </c>
      <c r="GW80" s="139">
        <v>913965</v>
      </c>
      <c r="GX80" s="139">
        <v>312366</v>
      </c>
      <c r="GY80" s="139">
        <v>2418074</v>
      </c>
      <c r="GZ80" s="139">
        <v>911821</v>
      </c>
      <c r="HA80" s="139">
        <v>305378</v>
      </c>
      <c r="HB80" s="139">
        <v>178706</v>
      </c>
      <c r="HC80" s="139">
        <v>546141</v>
      </c>
      <c r="HD80" s="139">
        <v>7337</v>
      </c>
      <c r="HE80" s="139">
        <v>1949383</v>
      </c>
      <c r="HF80" s="139">
        <v>30388</v>
      </c>
      <c r="HG80" s="139">
        <v>12382</v>
      </c>
      <c r="HH80" s="139">
        <v>4439</v>
      </c>
      <c r="HI80" s="139">
        <v>9710</v>
      </c>
      <c r="HJ80" s="139">
        <v>12925</v>
      </c>
      <c r="HK80" s="139">
        <v>69844</v>
      </c>
      <c r="HL80" s="139">
        <v>241655</v>
      </c>
      <c r="HM80" s="139">
        <v>248710</v>
      </c>
      <c r="HN80" s="139">
        <v>172577</v>
      </c>
      <c r="HO80" s="139">
        <v>2346913</v>
      </c>
      <c r="HP80" s="139">
        <v>24768</v>
      </c>
      <c r="HQ80" s="139">
        <v>3034623</v>
      </c>
      <c r="HR80" s="139">
        <v>34673</v>
      </c>
      <c r="HS80" s="139">
        <v>443607</v>
      </c>
      <c r="HT80" s="139">
        <v>316559</v>
      </c>
      <c r="HU80" s="139">
        <v>1108409</v>
      </c>
      <c r="HV80" s="139">
        <v>11171666</v>
      </c>
      <c r="HW80" s="139">
        <v>13074914</v>
      </c>
      <c r="HX80" s="139">
        <v>50000</v>
      </c>
      <c r="HY80" s="139">
        <v>0</v>
      </c>
      <c r="HZ80" s="139">
        <v>0</v>
      </c>
      <c r="IA80" s="139">
        <v>0</v>
      </c>
      <c r="IB80" s="139">
        <v>93691</v>
      </c>
      <c r="IC80" s="139">
        <v>143691</v>
      </c>
      <c r="ID80" s="139">
        <v>0</v>
      </c>
      <c r="IE80" s="139">
        <v>0</v>
      </c>
      <c r="IF80" s="139">
        <v>0</v>
      </c>
      <c r="IG80" s="139">
        <v>0</v>
      </c>
      <c r="IH80" s="139">
        <v>0</v>
      </c>
      <c r="II80" s="139">
        <v>0</v>
      </c>
      <c r="IJ80" s="139">
        <v>101170</v>
      </c>
      <c r="IK80" s="139">
        <v>27472</v>
      </c>
      <c r="IL80" s="139">
        <v>9257</v>
      </c>
      <c r="IM80" s="139">
        <v>143844</v>
      </c>
      <c r="IN80" s="139">
        <v>271014</v>
      </c>
      <c r="IO80" s="139">
        <v>552757</v>
      </c>
      <c r="IP80" s="139">
        <v>18760</v>
      </c>
      <c r="IQ80" s="139">
        <v>3520</v>
      </c>
      <c r="IR80" s="139">
        <v>1323</v>
      </c>
      <c r="IS80" s="139">
        <v>38728</v>
      </c>
      <c r="IT80" s="139">
        <v>55345</v>
      </c>
      <c r="IU80" s="139">
        <v>117676</v>
      </c>
      <c r="IV80" s="139">
        <v>2124734</v>
      </c>
      <c r="IW80" s="139">
        <v>490718</v>
      </c>
      <c r="IX80" s="139">
        <v>531400</v>
      </c>
      <c r="IY80" s="139">
        <v>1689404</v>
      </c>
      <c r="IZ80" s="139">
        <v>8251177</v>
      </c>
      <c r="JA80" s="139">
        <v>13087433</v>
      </c>
      <c r="JB80" s="139">
        <v>18066604</v>
      </c>
      <c r="JC80" s="139">
        <v>6373793</v>
      </c>
      <c r="JD80" s="139">
        <v>4652943</v>
      </c>
      <c r="JE80" s="139">
        <v>23625115</v>
      </c>
      <c r="JF80" s="139">
        <v>32396133</v>
      </c>
      <c r="JG80" s="139">
        <v>85114588</v>
      </c>
      <c r="JH80" s="139">
        <v>0</v>
      </c>
      <c r="JI80" s="139">
        <v>0</v>
      </c>
      <c r="JJ80" s="139">
        <v>0</v>
      </c>
      <c r="JK80" s="139">
        <v>0</v>
      </c>
      <c r="JL80" s="139">
        <v>0</v>
      </c>
      <c r="JM80" s="139">
        <v>0</v>
      </c>
      <c r="JN80" s="139">
        <v>18066604</v>
      </c>
      <c r="JO80" s="139">
        <v>6373793</v>
      </c>
      <c r="JP80" s="139">
        <v>4652943</v>
      </c>
      <c r="JQ80" s="139">
        <v>23625115</v>
      </c>
      <c r="JR80" s="139">
        <v>32396133</v>
      </c>
      <c r="JS80" s="139">
        <v>85114588</v>
      </c>
      <c r="JU80" s="70">
        <f t="shared" si="158"/>
        <v>35235435</v>
      </c>
      <c r="JV80" s="70">
        <f t="shared" si="159"/>
        <v>0</v>
      </c>
      <c r="JW80" s="70">
        <f t="shared" si="160"/>
        <v>0</v>
      </c>
      <c r="JX80" s="70">
        <f t="shared" si="161"/>
        <v>0</v>
      </c>
      <c r="JY80" s="70">
        <f t="shared" si="162"/>
        <v>437000</v>
      </c>
      <c r="JZ80" s="70">
        <f t="shared" si="163"/>
        <v>0</v>
      </c>
      <c r="KA80" s="70">
        <f t="shared" si="164"/>
        <v>15291423</v>
      </c>
      <c r="KB80" s="70">
        <f t="shared" si="165"/>
        <v>0</v>
      </c>
      <c r="KC80" s="70">
        <f t="shared" si="166"/>
        <v>0</v>
      </c>
      <c r="KD80" s="70">
        <f t="shared" si="167"/>
        <v>0</v>
      </c>
      <c r="KE80" s="70">
        <f t="shared" si="168"/>
        <v>0</v>
      </c>
      <c r="KF80" s="70">
        <f t="shared" si="169"/>
        <v>0</v>
      </c>
      <c r="KG80" s="70">
        <f t="shared" si="170"/>
        <v>590973</v>
      </c>
      <c r="KH80" s="70">
        <f t="shared" si="171"/>
        <v>0</v>
      </c>
      <c r="KI80" s="70">
        <f t="shared" si="172"/>
        <v>0</v>
      </c>
      <c r="KJ80" s="70">
        <f t="shared" si="173"/>
        <v>0</v>
      </c>
      <c r="KK80" s="70">
        <f t="shared" si="174"/>
        <v>21161803</v>
      </c>
      <c r="KL80" s="70">
        <f t="shared" si="175"/>
        <v>0</v>
      </c>
      <c r="KM80" s="70">
        <f t="shared" si="176"/>
        <v>0</v>
      </c>
      <c r="KN80" s="70">
        <f t="shared" si="177"/>
        <v>0</v>
      </c>
      <c r="KO80" s="70">
        <f t="shared" si="178"/>
        <v>3224714</v>
      </c>
      <c r="KP80" s="70">
        <f t="shared" si="179"/>
        <v>0</v>
      </c>
      <c r="KQ80" s="70">
        <f t="shared" si="180"/>
        <v>11253156</v>
      </c>
      <c r="KR80" s="70">
        <f t="shared" si="181"/>
        <v>0</v>
      </c>
      <c r="KS80" s="70">
        <f t="shared" si="182"/>
        <v>5327040</v>
      </c>
      <c r="KT80" s="70">
        <f t="shared" si="183"/>
        <v>0</v>
      </c>
      <c r="KU80" s="70">
        <f t="shared" si="184"/>
        <v>262472</v>
      </c>
      <c r="KV80" s="70">
        <f t="shared" si="185"/>
        <v>0</v>
      </c>
      <c r="KW80" s="70">
        <f t="shared" si="186"/>
        <v>1173890</v>
      </c>
      <c r="KX80" s="70">
        <f t="shared" si="187"/>
        <v>0</v>
      </c>
      <c r="KY80" s="70">
        <f t="shared" si="188"/>
        <v>93957906</v>
      </c>
      <c r="KZ80" s="70">
        <f t="shared" si="189"/>
        <v>0</v>
      </c>
      <c r="LA80" s="70">
        <f t="shared" si="190"/>
        <v>7500214</v>
      </c>
      <c r="LB80" s="70">
        <f t="shared" si="191"/>
        <v>0</v>
      </c>
      <c r="LC80" s="70">
        <f t="shared" si="192"/>
        <v>2070167</v>
      </c>
      <c r="LD80" s="70">
        <f t="shared" si="193"/>
        <v>0</v>
      </c>
      <c r="LE80" s="70">
        <f t="shared" si="194"/>
        <v>15798376</v>
      </c>
      <c r="LF80" s="70">
        <f t="shared" si="195"/>
        <v>0</v>
      </c>
      <c r="LG80" s="70">
        <f t="shared" si="234"/>
        <v>0</v>
      </c>
      <c r="LH80" s="70">
        <f t="shared" si="235"/>
        <v>0</v>
      </c>
      <c r="LI80" s="70">
        <f t="shared" si="196"/>
        <v>15836784</v>
      </c>
      <c r="LJ80" s="70">
        <f t="shared" si="197"/>
        <v>0</v>
      </c>
      <c r="LK80" s="70">
        <f t="shared" si="198"/>
        <v>0</v>
      </c>
      <c r="LL80" s="70">
        <f t="shared" si="199"/>
        <v>0</v>
      </c>
      <c r="LM80" s="70">
        <f t="shared" si="200"/>
        <v>984061</v>
      </c>
      <c r="LN80" s="70">
        <f t="shared" si="201"/>
        <v>0</v>
      </c>
      <c r="LO80" s="70">
        <f t="shared" si="202"/>
        <v>1295315</v>
      </c>
      <c r="LP80" s="70">
        <f t="shared" si="203"/>
        <v>0</v>
      </c>
      <c r="LQ80" s="70">
        <f t="shared" si="204"/>
        <v>7181276</v>
      </c>
      <c r="LR80" s="70">
        <f t="shared" si="205"/>
        <v>0</v>
      </c>
      <c r="LS80" s="70">
        <f t="shared" si="206"/>
        <v>2418074</v>
      </c>
      <c r="LT80" s="70">
        <f t="shared" si="207"/>
        <v>0</v>
      </c>
      <c r="LU80" s="70">
        <f t="shared" si="208"/>
        <v>1949383</v>
      </c>
      <c r="LV80" s="70">
        <f t="shared" si="209"/>
        <v>0</v>
      </c>
      <c r="LW80" s="70">
        <f t="shared" si="210"/>
        <v>69844</v>
      </c>
      <c r="LX80" s="70">
        <f t="shared" si="211"/>
        <v>0</v>
      </c>
      <c r="LY80" s="70">
        <f t="shared" si="212"/>
        <v>3034623</v>
      </c>
      <c r="LZ80" s="70">
        <f t="shared" si="213"/>
        <v>0</v>
      </c>
      <c r="MA80" s="70">
        <f t="shared" si="214"/>
        <v>13074914</v>
      </c>
      <c r="MB80" s="70">
        <f t="shared" si="215"/>
        <v>0</v>
      </c>
      <c r="MC80" s="70">
        <f t="shared" si="216"/>
        <v>143691</v>
      </c>
      <c r="MD80" s="70">
        <f t="shared" si="217"/>
        <v>0</v>
      </c>
      <c r="ME80" s="70">
        <f t="shared" si="218"/>
        <v>0</v>
      </c>
      <c r="MF80" s="70">
        <f t="shared" si="219"/>
        <v>0</v>
      </c>
      <c r="MG80" s="70">
        <f t="shared" si="220"/>
        <v>552757</v>
      </c>
      <c r="MH80" s="70">
        <f t="shared" si="221"/>
        <v>0</v>
      </c>
      <c r="MI80" s="70">
        <f t="shared" si="222"/>
        <v>117676</v>
      </c>
      <c r="MJ80" s="70">
        <f t="shared" si="223"/>
        <v>0</v>
      </c>
      <c r="MK80" s="70">
        <f t="shared" si="224"/>
        <v>13087433</v>
      </c>
      <c r="ML80" s="70">
        <f t="shared" si="225"/>
        <v>0</v>
      </c>
      <c r="MM80" s="70">
        <f t="shared" si="226"/>
        <v>85114588</v>
      </c>
      <c r="MN80" s="70">
        <f t="shared" si="227"/>
        <v>0</v>
      </c>
      <c r="MO80" s="70">
        <f t="shared" si="228"/>
        <v>0</v>
      </c>
      <c r="MP80" s="70">
        <f t="shared" si="229"/>
        <v>0</v>
      </c>
      <c r="MQ80" s="70">
        <f t="shared" si="230"/>
        <v>85114588</v>
      </c>
      <c r="MR80" s="70">
        <f t="shared" si="231"/>
        <v>0</v>
      </c>
      <c r="MT80" s="70">
        <f t="shared" si="232"/>
        <v>0</v>
      </c>
      <c r="MV80" s="68">
        <f t="shared" si="233"/>
        <v>0</v>
      </c>
    </row>
    <row r="81" spans="1:361" x14ac:dyDescent="0.15">
      <c r="A81" s="182" t="s">
        <v>364</v>
      </c>
      <c r="B81" s="76" t="s">
        <v>427</v>
      </c>
      <c r="C81" s="90">
        <v>228459</v>
      </c>
      <c r="D81" s="90">
        <v>2014</v>
      </c>
      <c r="E81" s="90">
        <v>1</v>
      </c>
      <c r="F81" s="91">
        <v>11</v>
      </c>
      <c r="G81" s="92">
        <v>11207</v>
      </c>
      <c r="H81" s="92">
        <v>14476</v>
      </c>
      <c r="I81" s="93">
        <v>512715657</v>
      </c>
      <c r="J81" s="93">
        <v>468960363</v>
      </c>
      <c r="K81" s="93">
        <v>4425561</v>
      </c>
      <c r="L81" s="93">
        <v>4602300</v>
      </c>
      <c r="M81" s="93">
        <v>31087186</v>
      </c>
      <c r="N81" s="93">
        <v>28122869</v>
      </c>
      <c r="O81" s="93">
        <v>74752665</v>
      </c>
      <c r="P81" s="93">
        <v>81768939</v>
      </c>
      <c r="Q81" s="93">
        <v>484086372</v>
      </c>
      <c r="R81" s="93">
        <v>493016638</v>
      </c>
      <c r="S81" s="93">
        <v>440985314</v>
      </c>
      <c r="T81" s="93">
        <v>402262127</v>
      </c>
      <c r="U81" s="93">
        <v>17750</v>
      </c>
      <c r="V81" s="93">
        <v>17252</v>
      </c>
      <c r="W81" s="93">
        <v>28370</v>
      </c>
      <c r="X81" s="93">
        <v>27782</v>
      </c>
      <c r="Y81" s="93">
        <v>20710</v>
      </c>
      <c r="Z81" s="93">
        <v>21130</v>
      </c>
      <c r="AA81" s="93">
        <v>31330</v>
      </c>
      <c r="AB81" s="93">
        <v>31660</v>
      </c>
      <c r="AC81" s="114">
        <v>7</v>
      </c>
      <c r="AD81" s="114">
        <v>9</v>
      </c>
      <c r="AE81" s="114">
        <v>0</v>
      </c>
      <c r="AF81" s="115">
        <v>3005516</v>
      </c>
      <c r="AG81" s="115">
        <v>1803362</v>
      </c>
      <c r="AH81" s="115">
        <v>309296</v>
      </c>
      <c r="AI81" s="115">
        <v>92722</v>
      </c>
      <c r="AJ81" s="115">
        <f>(987324+46500)/AK81</f>
        <v>229738.66666666666</v>
      </c>
      <c r="AK81" s="116">
        <v>4.5</v>
      </c>
      <c r="AL81" s="115">
        <f>(987324+46500)/AM81</f>
        <v>206764.79999999999</v>
      </c>
      <c r="AM81" s="116">
        <v>5</v>
      </c>
      <c r="AN81" s="115">
        <f>(621587+50642)/AO81</f>
        <v>103419.84615384616</v>
      </c>
      <c r="AO81" s="116">
        <v>6.5</v>
      </c>
      <c r="AP81" s="115">
        <f>(621587+50642)/AQ81</f>
        <v>96032.71428571429</v>
      </c>
      <c r="AQ81" s="116">
        <v>7</v>
      </c>
      <c r="AR81" s="115">
        <f>(1572114+95900)/AS81</f>
        <v>102647.01538461538</v>
      </c>
      <c r="AS81" s="116">
        <v>16.25</v>
      </c>
      <c r="AT81" s="115">
        <f>(1572114+95900)/AU81</f>
        <v>87790.210526315786</v>
      </c>
      <c r="AU81" s="116">
        <v>19</v>
      </c>
      <c r="AV81" s="115">
        <f>(604179+49275)/AW81</f>
        <v>58084.800000000003</v>
      </c>
      <c r="AW81" s="116">
        <v>11.25</v>
      </c>
      <c r="AX81" s="115">
        <f>(604179+49275)/AY81</f>
        <v>46675.285714285717</v>
      </c>
      <c r="AY81" s="116">
        <v>14</v>
      </c>
      <c r="AZ81" s="139">
        <v>707863</v>
      </c>
      <c r="BA81" s="139">
        <v>33720</v>
      </c>
      <c r="BB81" s="139">
        <v>10964</v>
      </c>
      <c r="BC81" s="139">
        <v>107313</v>
      </c>
      <c r="BD81" s="139">
        <v>0</v>
      </c>
      <c r="BE81" s="139">
        <v>859860</v>
      </c>
      <c r="BF81" s="139">
        <v>0</v>
      </c>
      <c r="BG81" s="139">
        <v>0</v>
      </c>
      <c r="BH81" s="139">
        <v>0</v>
      </c>
      <c r="BI81" s="139">
        <v>0</v>
      </c>
      <c r="BJ81" s="139">
        <v>16949255</v>
      </c>
      <c r="BK81" s="139">
        <v>16949255</v>
      </c>
      <c r="BL81" s="139">
        <v>750000</v>
      </c>
      <c r="BM81" s="139">
        <v>160000</v>
      </c>
      <c r="BN81" s="139">
        <v>42000</v>
      </c>
      <c r="BO81" s="139">
        <v>23500</v>
      </c>
      <c r="BP81" s="139">
        <v>0</v>
      </c>
      <c r="BQ81" s="139">
        <v>975500</v>
      </c>
      <c r="BR81" s="139">
        <v>70972</v>
      </c>
      <c r="BS81" s="139">
        <v>53490</v>
      </c>
      <c r="BT81" s="139">
        <v>21077</v>
      </c>
      <c r="BU81" s="139">
        <v>314408</v>
      </c>
      <c r="BV81" s="139">
        <v>2316071</v>
      </c>
      <c r="BW81" s="139">
        <v>2776018</v>
      </c>
      <c r="BX81" s="139">
        <v>69810</v>
      </c>
      <c r="BY81" s="139">
        <v>19600</v>
      </c>
      <c r="BZ81" s="139">
        <v>1875</v>
      </c>
      <c r="CA81" s="139">
        <v>160342</v>
      </c>
      <c r="CB81" s="139">
        <v>13000</v>
      </c>
      <c r="CC81" s="139">
        <v>264627</v>
      </c>
      <c r="CD81" s="139">
        <v>0</v>
      </c>
      <c r="CE81" s="139">
        <v>0</v>
      </c>
      <c r="CF81" s="139">
        <v>0</v>
      </c>
      <c r="CG81" s="139">
        <v>0</v>
      </c>
      <c r="CH81" s="139">
        <v>0</v>
      </c>
      <c r="CI81" s="139">
        <v>0</v>
      </c>
      <c r="CJ81" s="139">
        <v>272636</v>
      </c>
      <c r="CK81" s="139">
        <v>93920</v>
      </c>
      <c r="CL81" s="139">
        <v>34576</v>
      </c>
      <c r="CM81" s="139">
        <v>200830</v>
      </c>
      <c r="CN81" s="139">
        <v>6019586</v>
      </c>
      <c r="CO81" s="139">
        <v>6621548</v>
      </c>
      <c r="CP81" s="139">
        <v>0</v>
      </c>
      <c r="CQ81" s="139">
        <v>0</v>
      </c>
      <c r="CR81" s="139">
        <v>0</v>
      </c>
      <c r="CS81" s="139">
        <v>0</v>
      </c>
      <c r="CT81" s="139">
        <v>0</v>
      </c>
      <c r="CU81" s="139">
        <v>0</v>
      </c>
      <c r="CV81" s="139">
        <v>53553</v>
      </c>
      <c r="CW81" s="139">
        <v>10706</v>
      </c>
      <c r="CX81" s="139">
        <v>3921</v>
      </c>
      <c r="CY81" s="139">
        <v>50109</v>
      </c>
      <c r="CZ81" s="139">
        <v>1156299</v>
      </c>
      <c r="DA81" s="139">
        <v>1274588</v>
      </c>
      <c r="DB81" s="139">
        <v>0</v>
      </c>
      <c r="DC81" s="139">
        <v>0</v>
      </c>
      <c r="DD81" s="139">
        <v>0</v>
      </c>
      <c r="DE81" s="139">
        <v>0</v>
      </c>
      <c r="DF81" s="139">
        <v>0</v>
      </c>
      <c r="DG81" s="139">
        <v>0</v>
      </c>
      <c r="DH81" s="139">
        <v>29910</v>
      </c>
      <c r="DI81" s="139">
        <v>11250</v>
      </c>
      <c r="DJ81" s="139">
        <v>0</v>
      </c>
      <c r="DK81" s="139">
        <v>0</v>
      </c>
      <c r="DL81" s="139">
        <v>201674</v>
      </c>
      <c r="DM81" s="139">
        <v>242834</v>
      </c>
      <c r="DN81" s="139">
        <v>0</v>
      </c>
      <c r="DO81" s="139">
        <v>0</v>
      </c>
      <c r="DP81" s="139">
        <v>0</v>
      </c>
      <c r="DQ81" s="139">
        <v>0</v>
      </c>
      <c r="DR81" s="139">
        <v>1065114</v>
      </c>
      <c r="DS81" s="139">
        <v>1065114</v>
      </c>
      <c r="DT81" s="139">
        <v>0</v>
      </c>
      <c r="DU81" s="139">
        <v>0</v>
      </c>
      <c r="DV81" s="139">
        <v>0</v>
      </c>
      <c r="DW81" s="139">
        <v>0</v>
      </c>
      <c r="DX81" s="139">
        <v>342567</v>
      </c>
      <c r="DY81" s="139">
        <v>342567</v>
      </c>
      <c r="DZ81" s="139">
        <v>4800</v>
      </c>
      <c r="EA81" s="139">
        <v>5600</v>
      </c>
      <c r="EB81" s="139">
        <v>0</v>
      </c>
      <c r="EC81" s="139">
        <v>1968</v>
      </c>
      <c r="ED81" s="139">
        <v>49248</v>
      </c>
      <c r="EE81" s="139">
        <v>61616</v>
      </c>
      <c r="EF81" s="139">
        <v>537</v>
      </c>
      <c r="EG81" s="139">
        <v>39</v>
      </c>
      <c r="EH81" s="139">
        <v>838</v>
      </c>
      <c r="EI81" s="139">
        <v>195466</v>
      </c>
      <c r="EJ81" s="139">
        <v>559784</v>
      </c>
      <c r="EK81" s="139">
        <v>756664</v>
      </c>
      <c r="EL81" s="139">
        <v>1960081</v>
      </c>
      <c r="EM81" s="139">
        <v>388325</v>
      </c>
      <c r="EN81" s="139">
        <v>115251</v>
      </c>
      <c r="EO81" s="139">
        <v>1053936</v>
      </c>
      <c r="EP81" s="139">
        <v>28672598</v>
      </c>
      <c r="EQ81" s="139">
        <v>32190191</v>
      </c>
      <c r="ER81" s="139">
        <v>2073625</v>
      </c>
      <c r="ES81" s="139">
        <v>413522</v>
      </c>
      <c r="ET81" s="139">
        <v>333394</v>
      </c>
      <c r="EU81" s="139">
        <v>1988337</v>
      </c>
      <c r="EV81" s="139">
        <v>89066</v>
      </c>
      <c r="EW81" s="139">
        <v>4897944</v>
      </c>
      <c r="EX81" s="139">
        <v>508184</v>
      </c>
      <c r="EY81" s="139">
        <v>29528</v>
      </c>
      <c r="EZ81" s="139">
        <v>4000</v>
      </c>
      <c r="FA81" s="139">
        <v>41848</v>
      </c>
      <c r="FB81" s="139">
        <v>0</v>
      </c>
      <c r="FC81" s="139">
        <v>583560</v>
      </c>
      <c r="FD81" s="139">
        <v>1418570</v>
      </c>
      <c r="FE81" s="139">
        <v>639046</v>
      </c>
      <c r="FF81" s="139">
        <v>371507</v>
      </c>
      <c r="FG81" s="139">
        <v>1356081</v>
      </c>
      <c r="FH81" s="139">
        <v>0</v>
      </c>
      <c r="FI81" s="139">
        <v>3785204</v>
      </c>
      <c r="FJ81" s="139">
        <v>65000</v>
      </c>
      <c r="FK81" s="139">
        <v>17600</v>
      </c>
      <c r="FL81" s="139">
        <v>875</v>
      </c>
      <c r="FM81" s="139">
        <v>158842</v>
      </c>
      <c r="FN81" s="139">
        <v>0</v>
      </c>
      <c r="FO81" s="139">
        <v>242317</v>
      </c>
      <c r="FP81" s="139">
        <v>554943</v>
      </c>
      <c r="FQ81" s="139">
        <v>168090</v>
      </c>
      <c r="FR81" s="139">
        <v>128170</v>
      </c>
      <c r="FS81" s="139">
        <v>171823</v>
      </c>
      <c r="FT81" s="139">
        <v>2886507</v>
      </c>
      <c r="FU81" s="139">
        <v>3909533</v>
      </c>
      <c r="FV81" s="139">
        <v>4810</v>
      </c>
      <c r="FW81" s="139">
        <v>2000</v>
      </c>
      <c r="FX81" s="139">
        <v>1000</v>
      </c>
      <c r="FY81" s="139">
        <v>1500</v>
      </c>
      <c r="FZ81" s="139">
        <v>13000</v>
      </c>
      <c r="GA81" s="139">
        <v>22310</v>
      </c>
      <c r="GB81" s="139">
        <v>21694</v>
      </c>
      <c r="GC81" s="139">
        <v>9017</v>
      </c>
      <c r="GD81" s="139">
        <v>13690</v>
      </c>
      <c r="GE81" s="139">
        <v>6708</v>
      </c>
      <c r="GF81" s="139">
        <v>32997</v>
      </c>
      <c r="GG81" s="139">
        <v>84106</v>
      </c>
      <c r="GH81" s="139">
        <v>174742</v>
      </c>
      <c r="GI81" s="139">
        <v>98878</v>
      </c>
      <c r="GJ81" s="139">
        <v>40608</v>
      </c>
      <c r="GK81" s="139">
        <v>87790</v>
      </c>
      <c r="GL81" s="139">
        <v>0</v>
      </c>
      <c r="GM81" s="139">
        <v>402018</v>
      </c>
      <c r="GN81" s="139">
        <v>754014</v>
      </c>
      <c r="GO81" s="139">
        <v>221194</v>
      </c>
      <c r="GP81" s="139">
        <v>255346</v>
      </c>
      <c r="GQ81" s="139">
        <v>964211</v>
      </c>
      <c r="GR81" s="139">
        <v>0</v>
      </c>
      <c r="GS81" s="139">
        <v>2194765</v>
      </c>
      <c r="GT81" s="139">
        <v>124776</v>
      </c>
      <c r="GU81" s="139">
        <v>21739</v>
      </c>
      <c r="GV81" s="139">
        <v>38100</v>
      </c>
      <c r="GW81" s="139">
        <v>243182</v>
      </c>
      <c r="GX81" s="139">
        <v>0</v>
      </c>
      <c r="GY81" s="139">
        <v>427797</v>
      </c>
      <c r="GZ81" s="139">
        <v>400201</v>
      </c>
      <c r="HA81" s="139">
        <v>107866</v>
      </c>
      <c r="HB81" s="139">
        <v>88322</v>
      </c>
      <c r="HC81" s="139">
        <v>155861</v>
      </c>
      <c r="HD81" s="139">
        <v>0</v>
      </c>
      <c r="HE81" s="139">
        <v>752250</v>
      </c>
      <c r="HF81" s="139">
        <v>6351</v>
      </c>
      <c r="HG81" s="139">
        <v>5289</v>
      </c>
      <c r="HH81" s="139">
        <v>1573</v>
      </c>
      <c r="HI81" s="139">
        <v>148553</v>
      </c>
      <c r="HJ81" s="139">
        <v>641683</v>
      </c>
      <c r="HK81" s="139">
        <v>803449</v>
      </c>
      <c r="HL81" s="139">
        <v>0</v>
      </c>
      <c r="HM81" s="139">
        <v>0</v>
      </c>
      <c r="HN81" s="139">
        <v>0</v>
      </c>
      <c r="HO81" s="139">
        <v>0</v>
      </c>
      <c r="HP81" s="139">
        <v>0</v>
      </c>
      <c r="HQ81" s="139">
        <v>0</v>
      </c>
      <c r="HR81" s="139">
        <v>0</v>
      </c>
      <c r="HS81" s="139">
        <v>0</v>
      </c>
      <c r="HT81" s="139">
        <v>0</v>
      </c>
      <c r="HU81" s="139">
        <v>0</v>
      </c>
      <c r="HV81" s="139">
        <v>8004148</v>
      </c>
      <c r="HW81" s="139">
        <v>8004148</v>
      </c>
      <c r="HX81" s="139">
        <v>0</v>
      </c>
      <c r="HY81" s="139">
        <v>0</v>
      </c>
      <c r="HZ81" s="139">
        <v>0</v>
      </c>
      <c r="IA81" s="139">
        <v>0</v>
      </c>
      <c r="IB81" s="139">
        <v>147452</v>
      </c>
      <c r="IC81" s="139">
        <v>147452</v>
      </c>
      <c r="ID81" s="139">
        <v>0</v>
      </c>
      <c r="IE81" s="139">
        <v>0</v>
      </c>
      <c r="IF81" s="139">
        <v>0</v>
      </c>
      <c r="IG81" s="139">
        <v>0</v>
      </c>
      <c r="IH81" s="139">
        <v>0</v>
      </c>
      <c r="II81" s="139">
        <v>0</v>
      </c>
      <c r="IJ81" s="139">
        <v>132013</v>
      </c>
      <c r="IK81" s="139">
        <v>4656</v>
      </c>
      <c r="IL81" s="139">
        <v>4265</v>
      </c>
      <c r="IM81" s="139">
        <v>39401</v>
      </c>
      <c r="IN81" s="139">
        <v>115602</v>
      </c>
      <c r="IO81" s="139">
        <v>295937</v>
      </c>
      <c r="IP81" s="139">
        <v>2070</v>
      </c>
      <c r="IQ81" s="139">
        <v>965</v>
      </c>
      <c r="IR81" s="139">
        <v>750</v>
      </c>
      <c r="IS81" s="139">
        <v>3361</v>
      </c>
      <c r="IT81" s="139">
        <v>89600</v>
      </c>
      <c r="IU81" s="139">
        <v>96746</v>
      </c>
      <c r="IV81" s="139">
        <v>264090</v>
      </c>
      <c r="IW81" s="139">
        <v>61040</v>
      </c>
      <c r="IX81" s="139">
        <v>60815</v>
      </c>
      <c r="IY81" s="139">
        <v>193309</v>
      </c>
      <c r="IZ81" s="139">
        <v>1149259</v>
      </c>
      <c r="JA81" s="139">
        <v>1728513</v>
      </c>
      <c r="JB81" s="139">
        <v>6505083</v>
      </c>
      <c r="JC81" s="139">
        <v>1800430</v>
      </c>
      <c r="JD81" s="139">
        <v>1342415</v>
      </c>
      <c r="JE81" s="139">
        <v>5560807</v>
      </c>
      <c r="JF81" s="139">
        <v>13169314</v>
      </c>
      <c r="JG81" s="139">
        <v>28378049</v>
      </c>
      <c r="JH81" s="139">
        <v>0</v>
      </c>
      <c r="JI81" s="139">
        <v>0</v>
      </c>
      <c r="JJ81" s="139">
        <v>0</v>
      </c>
      <c r="JK81" s="139">
        <v>0</v>
      </c>
      <c r="JL81" s="139">
        <v>0</v>
      </c>
      <c r="JM81" s="139">
        <v>0</v>
      </c>
      <c r="JN81" s="139">
        <v>6505083</v>
      </c>
      <c r="JO81" s="139">
        <v>1800430</v>
      </c>
      <c r="JP81" s="139">
        <v>1342415</v>
      </c>
      <c r="JQ81" s="139">
        <v>5560807</v>
      </c>
      <c r="JR81" s="139">
        <v>13169314</v>
      </c>
      <c r="JS81" s="139">
        <v>28378049</v>
      </c>
      <c r="JU81" s="70">
        <f t="shared" si="158"/>
        <v>859860</v>
      </c>
      <c r="JV81" s="70">
        <f t="shared" si="159"/>
        <v>0</v>
      </c>
      <c r="JW81" s="70">
        <f t="shared" si="160"/>
        <v>16949255</v>
      </c>
      <c r="JX81" s="70">
        <f t="shared" si="161"/>
        <v>0</v>
      </c>
      <c r="JY81" s="70">
        <f t="shared" si="162"/>
        <v>975500</v>
      </c>
      <c r="JZ81" s="70">
        <f t="shared" si="163"/>
        <v>0</v>
      </c>
      <c r="KA81" s="70">
        <f t="shared" si="164"/>
        <v>2776018</v>
      </c>
      <c r="KB81" s="70">
        <f t="shared" si="165"/>
        <v>0</v>
      </c>
      <c r="KC81" s="70">
        <f t="shared" si="166"/>
        <v>264627</v>
      </c>
      <c r="KD81" s="70">
        <f t="shared" si="167"/>
        <v>0</v>
      </c>
      <c r="KE81" s="70">
        <f t="shared" si="168"/>
        <v>0</v>
      </c>
      <c r="KF81" s="70">
        <f t="shared" si="169"/>
        <v>0</v>
      </c>
      <c r="KG81" s="70">
        <f t="shared" si="170"/>
        <v>6621548</v>
      </c>
      <c r="KH81" s="70">
        <f t="shared" si="171"/>
        <v>0</v>
      </c>
      <c r="KI81" s="70">
        <f t="shared" si="172"/>
        <v>0</v>
      </c>
      <c r="KJ81" s="70">
        <f t="shared" si="173"/>
        <v>0</v>
      </c>
      <c r="KK81" s="70">
        <f t="shared" si="174"/>
        <v>1274588</v>
      </c>
      <c r="KL81" s="70">
        <f t="shared" si="175"/>
        <v>0</v>
      </c>
      <c r="KM81" s="70">
        <f t="shared" si="176"/>
        <v>0</v>
      </c>
      <c r="KN81" s="70">
        <f t="shared" si="177"/>
        <v>0</v>
      </c>
      <c r="KO81" s="70">
        <f t="shared" si="178"/>
        <v>242834</v>
      </c>
      <c r="KP81" s="70">
        <f t="shared" si="179"/>
        <v>0</v>
      </c>
      <c r="KQ81" s="70">
        <f t="shared" si="180"/>
        <v>1065114</v>
      </c>
      <c r="KR81" s="70">
        <f t="shared" si="181"/>
        <v>0</v>
      </c>
      <c r="KS81" s="70">
        <f t="shared" si="182"/>
        <v>342567</v>
      </c>
      <c r="KT81" s="70">
        <f t="shared" si="183"/>
        <v>0</v>
      </c>
      <c r="KU81" s="70">
        <f t="shared" si="184"/>
        <v>61616</v>
      </c>
      <c r="KV81" s="70">
        <f t="shared" si="185"/>
        <v>0</v>
      </c>
      <c r="KW81" s="70">
        <f t="shared" si="186"/>
        <v>756664</v>
      </c>
      <c r="KX81" s="70">
        <f t="shared" si="187"/>
        <v>0</v>
      </c>
      <c r="KY81" s="70">
        <f t="shared" si="188"/>
        <v>32190191</v>
      </c>
      <c r="KZ81" s="70">
        <f t="shared" si="189"/>
        <v>0</v>
      </c>
      <c r="LA81" s="70">
        <f t="shared" si="190"/>
        <v>4897944</v>
      </c>
      <c r="LB81" s="70">
        <f t="shared" si="191"/>
        <v>0</v>
      </c>
      <c r="LC81" s="70">
        <f t="shared" si="192"/>
        <v>583560</v>
      </c>
      <c r="LD81" s="70">
        <f t="shared" si="193"/>
        <v>0</v>
      </c>
      <c r="LE81" s="70">
        <f t="shared" si="194"/>
        <v>3785204</v>
      </c>
      <c r="LF81" s="70">
        <f t="shared" si="195"/>
        <v>0</v>
      </c>
      <c r="LG81" s="70">
        <f t="shared" si="234"/>
        <v>242317</v>
      </c>
      <c r="LH81" s="70">
        <f t="shared" si="235"/>
        <v>0</v>
      </c>
      <c r="LI81" s="70">
        <f t="shared" si="196"/>
        <v>3909533</v>
      </c>
      <c r="LJ81" s="70">
        <f t="shared" si="197"/>
        <v>0</v>
      </c>
      <c r="LK81" s="70">
        <f t="shared" si="198"/>
        <v>22310</v>
      </c>
      <c r="LL81" s="70">
        <f t="shared" si="199"/>
        <v>0</v>
      </c>
      <c r="LM81" s="70">
        <f t="shared" si="200"/>
        <v>84106</v>
      </c>
      <c r="LN81" s="70">
        <f t="shared" si="201"/>
        <v>0</v>
      </c>
      <c r="LO81" s="70">
        <f t="shared" si="202"/>
        <v>402018</v>
      </c>
      <c r="LP81" s="70">
        <f t="shared" si="203"/>
        <v>0</v>
      </c>
      <c r="LQ81" s="70">
        <f t="shared" si="204"/>
        <v>2194765</v>
      </c>
      <c r="LR81" s="70">
        <f t="shared" si="205"/>
        <v>0</v>
      </c>
      <c r="LS81" s="70">
        <f t="shared" si="206"/>
        <v>427797</v>
      </c>
      <c r="LT81" s="70">
        <f t="shared" si="207"/>
        <v>0</v>
      </c>
      <c r="LU81" s="70">
        <f t="shared" si="208"/>
        <v>752250</v>
      </c>
      <c r="LV81" s="70">
        <f t="shared" si="209"/>
        <v>0</v>
      </c>
      <c r="LW81" s="70">
        <f t="shared" si="210"/>
        <v>803449</v>
      </c>
      <c r="LX81" s="70">
        <f t="shared" si="211"/>
        <v>0</v>
      </c>
      <c r="LY81" s="70">
        <f t="shared" si="212"/>
        <v>0</v>
      </c>
      <c r="LZ81" s="70">
        <f t="shared" si="213"/>
        <v>0</v>
      </c>
      <c r="MA81" s="70">
        <f t="shared" si="214"/>
        <v>8004148</v>
      </c>
      <c r="MB81" s="70">
        <f t="shared" si="215"/>
        <v>0</v>
      </c>
      <c r="MC81" s="70">
        <f t="shared" si="216"/>
        <v>147452</v>
      </c>
      <c r="MD81" s="70">
        <f t="shared" si="217"/>
        <v>0</v>
      </c>
      <c r="ME81" s="70">
        <f t="shared" si="218"/>
        <v>0</v>
      </c>
      <c r="MF81" s="70">
        <f t="shared" si="219"/>
        <v>0</v>
      </c>
      <c r="MG81" s="70">
        <f t="shared" si="220"/>
        <v>295937</v>
      </c>
      <c r="MH81" s="70">
        <f t="shared" si="221"/>
        <v>0</v>
      </c>
      <c r="MI81" s="70">
        <f t="shared" si="222"/>
        <v>96746</v>
      </c>
      <c r="MJ81" s="70">
        <f t="shared" si="223"/>
        <v>0</v>
      </c>
      <c r="MK81" s="70">
        <f t="shared" si="224"/>
        <v>1728513</v>
      </c>
      <c r="ML81" s="70">
        <f t="shared" si="225"/>
        <v>0</v>
      </c>
      <c r="MM81" s="70">
        <f t="shared" si="226"/>
        <v>28378049</v>
      </c>
      <c r="MN81" s="70">
        <f t="shared" si="227"/>
        <v>0</v>
      </c>
      <c r="MO81" s="70">
        <f t="shared" si="228"/>
        <v>0</v>
      </c>
      <c r="MP81" s="70">
        <f t="shared" si="229"/>
        <v>0</v>
      </c>
      <c r="MQ81" s="70">
        <f t="shared" si="230"/>
        <v>28378049</v>
      </c>
      <c r="MR81" s="70">
        <f t="shared" si="231"/>
        <v>0</v>
      </c>
      <c r="MT81" s="70">
        <f t="shared" si="232"/>
        <v>0</v>
      </c>
      <c r="MV81" s="68">
        <f t="shared" si="233"/>
        <v>0</v>
      </c>
    </row>
    <row r="82" spans="1:361" x14ac:dyDescent="0.15">
      <c r="A82" s="76" t="s">
        <v>365</v>
      </c>
      <c r="B82" s="76" t="s">
        <v>427</v>
      </c>
      <c r="C82" s="90">
        <v>229115</v>
      </c>
      <c r="D82" s="90">
        <v>2014</v>
      </c>
      <c r="E82" s="90">
        <v>1</v>
      </c>
      <c r="F82" s="91">
        <v>2</v>
      </c>
      <c r="G82" s="92">
        <v>13449</v>
      </c>
      <c r="H82" s="92">
        <v>10853</v>
      </c>
      <c r="I82" s="93">
        <v>731319979</v>
      </c>
      <c r="J82" s="93">
        <v>652204710</v>
      </c>
      <c r="K82" s="93">
        <v>12501180</v>
      </c>
      <c r="L82" s="93">
        <v>12657469</v>
      </c>
      <c r="M82" s="93">
        <v>53584826</v>
      </c>
      <c r="N82" s="93">
        <v>24611913</v>
      </c>
      <c r="O82" s="93">
        <v>115891307</v>
      </c>
      <c r="P82" s="93">
        <v>115218622</v>
      </c>
      <c r="Q82" s="93">
        <v>405810704</v>
      </c>
      <c r="R82" s="93">
        <v>372384580</v>
      </c>
      <c r="S82" s="93">
        <v>494984868</v>
      </c>
      <c r="T82" s="93">
        <v>440208052</v>
      </c>
      <c r="U82" s="93">
        <v>19758</v>
      </c>
      <c r="V82" s="93">
        <v>19610</v>
      </c>
      <c r="W82" s="93">
        <v>30387</v>
      </c>
      <c r="X82" s="93">
        <v>30140</v>
      </c>
      <c r="Y82" s="93">
        <v>23326</v>
      </c>
      <c r="Z82" s="93">
        <v>23326</v>
      </c>
      <c r="AA82" s="93">
        <v>33946</v>
      </c>
      <c r="AB82" s="93">
        <v>33856</v>
      </c>
      <c r="AC82" s="114">
        <v>8</v>
      </c>
      <c r="AD82" s="114">
        <v>9</v>
      </c>
      <c r="AE82" s="114">
        <v>0</v>
      </c>
      <c r="AF82" s="115">
        <v>3283260</v>
      </c>
      <c r="AG82" s="115">
        <v>2253351</v>
      </c>
      <c r="AH82" s="115">
        <v>1292400</v>
      </c>
      <c r="AI82" s="115">
        <v>562788</v>
      </c>
      <c r="AJ82" s="115">
        <v>908884</v>
      </c>
      <c r="AK82" s="116">
        <v>5.5</v>
      </c>
      <c r="AL82" s="115">
        <v>833144</v>
      </c>
      <c r="AM82" s="116">
        <v>6</v>
      </c>
      <c r="AN82" s="115">
        <v>232210</v>
      </c>
      <c r="AO82" s="116">
        <v>6.5</v>
      </c>
      <c r="AP82" s="115">
        <v>215623</v>
      </c>
      <c r="AQ82" s="116">
        <v>7</v>
      </c>
      <c r="AR82" s="115">
        <v>208741</v>
      </c>
      <c r="AS82" s="116">
        <v>18.5</v>
      </c>
      <c r="AT82" s="115">
        <v>183891</v>
      </c>
      <c r="AU82" s="116">
        <v>21</v>
      </c>
      <c r="AV82" s="115">
        <v>95698</v>
      </c>
      <c r="AW82" s="116">
        <v>13.5</v>
      </c>
      <c r="AX82" s="115">
        <v>80746</v>
      </c>
      <c r="AY82" s="116">
        <v>16</v>
      </c>
      <c r="AZ82" s="139">
        <v>9434804</v>
      </c>
      <c r="BA82" s="139">
        <v>661110</v>
      </c>
      <c r="BB82" s="139">
        <v>274010</v>
      </c>
      <c r="BC82" s="139">
        <v>361115</v>
      </c>
      <c r="BD82" s="139">
        <v>464111</v>
      </c>
      <c r="BE82" s="139">
        <v>11195150</v>
      </c>
      <c r="BF82" s="139">
        <v>1534242</v>
      </c>
      <c r="BG82" s="139">
        <v>767121</v>
      </c>
      <c r="BH82" s="139">
        <v>460273</v>
      </c>
      <c r="BI82" s="139">
        <v>306849</v>
      </c>
      <c r="BJ82" s="139">
        <v>0</v>
      </c>
      <c r="BK82" s="139">
        <v>3068485</v>
      </c>
      <c r="BL82" s="139">
        <v>200000</v>
      </c>
      <c r="BM82" s="139">
        <v>0</v>
      </c>
      <c r="BN82" s="139">
        <v>0</v>
      </c>
      <c r="BO82" s="139">
        <v>0</v>
      </c>
      <c r="BP82" s="139">
        <v>0</v>
      </c>
      <c r="BQ82" s="139">
        <v>200000</v>
      </c>
      <c r="BR82" s="139">
        <v>14510202</v>
      </c>
      <c r="BS82" s="139">
        <v>2108363</v>
      </c>
      <c r="BT82" s="139">
        <v>1629577</v>
      </c>
      <c r="BU82" s="139">
        <v>2228559</v>
      </c>
      <c r="BV82" s="139">
        <v>7150457</v>
      </c>
      <c r="BW82" s="139">
        <v>27627158</v>
      </c>
      <c r="BX82" s="139">
        <v>0</v>
      </c>
      <c r="BY82" s="139">
        <v>0</v>
      </c>
      <c r="BZ82" s="139">
        <v>0</v>
      </c>
      <c r="CA82" s="139">
        <v>0</v>
      </c>
      <c r="CB82" s="139">
        <v>0</v>
      </c>
      <c r="CC82" s="139">
        <v>0</v>
      </c>
      <c r="CD82" s="139">
        <v>0</v>
      </c>
      <c r="CE82" s="139">
        <v>0</v>
      </c>
      <c r="CF82" s="139">
        <v>0</v>
      </c>
      <c r="CG82" s="139">
        <v>0</v>
      </c>
      <c r="CH82" s="139">
        <v>0</v>
      </c>
      <c r="CI82" s="139">
        <v>0</v>
      </c>
      <c r="CJ82" s="139">
        <v>0</v>
      </c>
      <c r="CK82" s="139">
        <v>0</v>
      </c>
      <c r="CL82" s="139">
        <v>0</v>
      </c>
      <c r="CM82" s="139">
        <v>8686</v>
      </c>
      <c r="CN82" s="139">
        <v>1009585</v>
      </c>
      <c r="CO82" s="139">
        <v>1018271</v>
      </c>
      <c r="CP82" s="139">
        <v>0</v>
      </c>
      <c r="CQ82" s="139">
        <v>0</v>
      </c>
      <c r="CR82" s="139">
        <v>0</v>
      </c>
      <c r="CS82" s="139">
        <v>0</v>
      </c>
      <c r="CT82" s="139">
        <v>0</v>
      </c>
      <c r="CU82" s="139">
        <v>0</v>
      </c>
      <c r="CV82" s="139">
        <v>18020054</v>
      </c>
      <c r="CW82" s="139">
        <v>4170088</v>
      </c>
      <c r="CX82" s="139">
        <v>0</v>
      </c>
      <c r="CY82" s="139">
        <v>0</v>
      </c>
      <c r="CZ82" s="139">
        <v>984241</v>
      </c>
      <c r="DA82" s="139">
        <v>23174383</v>
      </c>
      <c r="DB82" s="139">
        <v>0</v>
      </c>
      <c r="DC82" s="139">
        <v>0</v>
      </c>
      <c r="DD82" s="139">
        <v>0</v>
      </c>
      <c r="DE82" s="139">
        <v>0</v>
      </c>
      <c r="DF82" s="139">
        <v>0</v>
      </c>
      <c r="DG82" s="139">
        <v>0</v>
      </c>
      <c r="DH82" s="139">
        <v>913809</v>
      </c>
      <c r="DI82" s="139">
        <v>28511</v>
      </c>
      <c r="DJ82" s="139">
        <v>24043</v>
      </c>
      <c r="DK82" s="139">
        <v>73113</v>
      </c>
      <c r="DL82" s="139">
        <v>180817</v>
      </c>
      <c r="DM82" s="139">
        <v>1220293</v>
      </c>
      <c r="DN82" s="139">
        <v>9800</v>
      </c>
      <c r="DO82" s="139">
        <v>6720</v>
      </c>
      <c r="DP82" s="139">
        <v>13710</v>
      </c>
      <c r="DQ82" s="139">
        <v>42010</v>
      </c>
      <c r="DR82" s="139">
        <v>7329890</v>
      </c>
      <c r="DS82" s="139">
        <v>7402130</v>
      </c>
      <c r="DT82" s="139">
        <v>0</v>
      </c>
      <c r="DU82" s="139">
        <v>0</v>
      </c>
      <c r="DV82" s="139">
        <v>0</v>
      </c>
      <c r="DW82" s="139">
        <v>0</v>
      </c>
      <c r="DX82" s="139">
        <v>0</v>
      </c>
      <c r="DY82" s="139">
        <v>0</v>
      </c>
      <c r="DZ82" s="139">
        <v>140680</v>
      </c>
      <c r="EA82" s="139">
        <v>41110</v>
      </c>
      <c r="EB82" s="139">
        <v>35270</v>
      </c>
      <c r="EC82" s="139">
        <v>196372</v>
      </c>
      <c r="ED82" s="139">
        <v>116406</v>
      </c>
      <c r="EE82" s="139">
        <v>529838</v>
      </c>
      <c r="EF82" s="139">
        <v>27710</v>
      </c>
      <c r="EG82" s="139">
        <v>-24120</v>
      </c>
      <c r="EH82" s="139">
        <v>17505</v>
      </c>
      <c r="EI82" s="139">
        <v>115591</v>
      </c>
      <c r="EJ82" s="139">
        <v>1151019</v>
      </c>
      <c r="EK82" s="139">
        <v>1287705</v>
      </c>
      <c r="EL82" s="139">
        <v>44791301</v>
      </c>
      <c r="EM82" s="139">
        <v>7758903</v>
      </c>
      <c r="EN82" s="139">
        <v>2454388</v>
      </c>
      <c r="EO82" s="139">
        <v>3332295</v>
      </c>
      <c r="EP82" s="139">
        <v>18386526</v>
      </c>
      <c r="EQ82" s="139">
        <v>76723413</v>
      </c>
      <c r="ER82" s="139">
        <v>2140420</v>
      </c>
      <c r="ES82" s="139">
        <v>330248</v>
      </c>
      <c r="ET82" s="139">
        <v>398270</v>
      </c>
      <c r="EU82" s="139">
        <v>2667673</v>
      </c>
      <c r="EV82" s="139">
        <v>112706</v>
      </c>
      <c r="EW82" s="139">
        <v>5649317</v>
      </c>
      <c r="EX82" s="139">
        <v>587500</v>
      </c>
      <c r="EY82" s="139">
        <v>566694</v>
      </c>
      <c r="EZ82" s="139">
        <v>171959</v>
      </c>
      <c r="FA82" s="139">
        <v>102112</v>
      </c>
      <c r="FB82" s="139">
        <v>0</v>
      </c>
      <c r="FC82" s="139">
        <v>1428265</v>
      </c>
      <c r="FD82" s="139">
        <v>4947932</v>
      </c>
      <c r="FE82" s="139">
        <v>2365077</v>
      </c>
      <c r="FF82" s="139">
        <v>942105</v>
      </c>
      <c r="FG82" s="139">
        <v>3406741</v>
      </c>
      <c r="FH82" s="139">
        <v>0</v>
      </c>
      <c r="FI82" s="139">
        <v>11661855</v>
      </c>
      <c r="FJ82" s="139">
        <v>0</v>
      </c>
      <c r="FK82" s="139">
        <v>0</v>
      </c>
      <c r="FL82" s="139">
        <v>0</v>
      </c>
      <c r="FM82" s="139">
        <v>0</v>
      </c>
      <c r="FN82" s="139">
        <v>0</v>
      </c>
      <c r="FO82" s="139">
        <v>0</v>
      </c>
      <c r="FP82" s="139">
        <v>1756852</v>
      </c>
      <c r="FQ82" s="139">
        <v>486889</v>
      </c>
      <c r="FR82" s="139">
        <v>236430</v>
      </c>
      <c r="FS82" s="139">
        <v>435274</v>
      </c>
      <c r="FT82" s="139">
        <v>10446339</v>
      </c>
      <c r="FU82" s="139">
        <v>13361784</v>
      </c>
      <c r="FV82" s="139">
        <v>0</v>
      </c>
      <c r="FW82" s="139">
        <v>0</v>
      </c>
      <c r="FX82" s="139">
        <v>0</v>
      </c>
      <c r="FY82" s="139">
        <v>0</v>
      </c>
      <c r="FZ82" s="139">
        <v>0</v>
      </c>
      <c r="GA82" s="139">
        <v>0</v>
      </c>
      <c r="GB82" s="139">
        <v>0</v>
      </c>
      <c r="GC82" s="139">
        <v>0</v>
      </c>
      <c r="GD82" s="139">
        <v>0</v>
      </c>
      <c r="GE82" s="139">
        <v>0</v>
      </c>
      <c r="GF82" s="139">
        <v>0</v>
      </c>
      <c r="GG82" s="139">
        <v>0</v>
      </c>
      <c r="GH82" s="139">
        <v>751027</v>
      </c>
      <c r="GI82" s="139">
        <v>282187</v>
      </c>
      <c r="GJ82" s="139">
        <v>237082</v>
      </c>
      <c r="GK82" s="139">
        <v>584892</v>
      </c>
      <c r="GL82" s="139">
        <v>0</v>
      </c>
      <c r="GM82" s="139">
        <v>1855188</v>
      </c>
      <c r="GN82" s="139">
        <v>1730501</v>
      </c>
      <c r="GO82" s="139">
        <v>853897</v>
      </c>
      <c r="GP82" s="139">
        <v>569259</v>
      </c>
      <c r="GQ82" s="139">
        <v>2198439</v>
      </c>
      <c r="GR82" s="139">
        <v>0</v>
      </c>
      <c r="GS82" s="139">
        <v>5352096</v>
      </c>
      <c r="GT82" s="139">
        <v>971981</v>
      </c>
      <c r="GU82" s="139">
        <v>81241</v>
      </c>
      <c r="GV82" s="139">
        <v>103001</v>
      </c>
      <c r="GW82" s="139">
        <v>703471</v>
      </c>
      <c r="GX82" s="139">
        <v>30824</v>
      </c>
      <c r="GY82" s="139">
        <v>1890518</v>
      </c>
      <c r="GZ82" s="139">
        <v>1515891</v>
      </c>
      <c r="HA82" s="139">
        <v>330276</v>
      </c>
      <c r="HB82" s="139">
        <v>273752</v>
      </c>
      <c r="HC82" s="139">
        <v>647109</v>
      </c>
      <c r="HD82" s="139">
        <v>114410</v>
      </c>
      <c r="HE82" s="139">
        <v>2881438</v>
      </c>
      <c r="HF82" s="139">
        <v>24959</v>
      </c>
      <c r="HG82" s="139">
        <v>26894</v>
      </c>
      <c r="HH82" s="139">
        <v>14477</v>
      </c>
      <c r="HI82" s="139">
        <v>57777</v>
      </c>
      <c r="HJ82" s="139">
        <v>1980575</v>
      </c>
      <c r="HK82" s="139">
        <v>2104682</v>
      </c>
      <c r="HL82" s="139">
        <v>0</v>
      </c>
      <c r="HM82" s="139">
        <v>0</v>
      </c>
      <c r="HN82" s="139">
        <v>0</v>
      </c>
      <c r="HO82" s="139">
        <v>0</v>
      </c>
      <c r="HP82" s="139">
        <v>0</v>
      </c>
      <c r="HQ82" s="139">
        <v>0</v>
      </c>
      <c r="HR82" s="139">
        <v>9257464</v>
      </c>
      <c r="HS82" s="139">
        <v>1469255</v>
      </c>
      <c r="HT82" s="139">
        <v>1391903</v>
      </c>
      <c r="HU82" s="139">
        <v>3893129</v>
      </c>
      <c r="HV82" s="139">
        <v>3944511</v>
      </c>
      <c r="HW82" s="139">
        <v>19956262</v>
      </c>
      <c r="HX82" s="139">
        <v>199766</v>
      </c>
      <c r="HY82" s="139">
        <v>0</v>
      </c>
      <c r="HZ82" s="139">
        <v>0</v>
      </c>
      <c r="IA82" s="139">
        <v>0</v>
      </c>
      <c r="IB82" s="139">
        <v>61717</v>
      </c>
      <c r="IC82" s="139">
        <v>261483</v>
      </c>
      <c r="ID82" s="139">
        <v>0</v>
      </c>
      <c r="IE82" s="139">
        <v>0</v>
      </c>
      <c r="IF82" s="139">
        <v>0</v>
      </c>
      <c r="IG82" s="139">
        <v>0</v>
      </c>
      <c r="IH82" s="139">
        <v>0</v>
      </c>
      <c r="II82" s="139">
        <v>0</v>
      </c>
      <c r="IJ82" s="139">
        <v>45613</v>
      </c>
      <c r="IK82" s="139">
        <v>3327</v>
      </c>
      <c r="IL82" s="139">
        <v>7241</v>
      </c>
      <c r="IM82" s="139">
        <v>87785</v>
      </c>
      <c r="IN82" s="139">
        <v>697745</v>
      </c>
      <c r="IO82" s="139">
        <v>841711</v>
      </c>
      <c r="IP82" s="139">
        <v>9273</v>
      </c>
      <c r="IQ82" s="139">
        <v>4375</v>
      </c>
      <c r="IR82" s="139">
        <v>9688</v>
      </c>
      <c r="IS82" s="139">
        <v>19677</v>
      </c>
      <c r="IT82" s="139">
        <v>53357</v>
      </c>
      <c r="IU82" s="139">
        <v>96370</v>
      </c>
      <c r="IV82" s="139">
        <v>280607</v>
      </c>
      <c r="IW82" s="139">
        <v>123974</v>
      </c>
      <c r="IX82" s="139">
        <v>90293</v>
      </c>
      <c r="IY82" s="139">
        <v>247225</v>
      </c>
      <c r="IZ82" s="139">
        <v>1576540</v>
      </c>
      <c r="JA82" s="139">
        <v>2318639</v>
      </c>
      <c r="JB82" s="139">
        <v>24219786</v>
      </c>
      <c r="JC82" s="139">
        <v>6924334</v>
      </c>
      <c r="JD82" s="139">
        <v>4445460</v>
      </c>
      <c r="JE82" s="139">
        <v>15051304</v>
      </c>
      <c r="JF82" s="139">
        <v>19018724</v>
      </c>
      <c r="JG82" s="139">
        <v>69659608</v>
      </c>
      <c r="JH82" s="139">
        <v>0</v>
      </c>
      <c r="JI82" s="139">
        <v>0</v>
      </c>
      <c r="JJ82" s="139">
        <v>0</v>
      </c>
      <c r="JK82" s="139">
        <v>0</v>
      </c>
      <c r="JL82" s="139">
        <v>0</v>
      </c>
      <c r="JM82" s="139">
        <v>0</v>
      </c>
      <c r="JN82" s="139">
        <v>24219786</v>
      </c>
      <c r="JO82" s="139">
        <v>6924334</v>
      </c>
      <c r="JP82" s="139">
        <v>4445460</v>
      </c>
      <c r="JQ82" s="139">
        <v>15051304</v>
      </c>
      <c r="JR82" s="139">
        <v>19018724</v>
      </c>
      <c r="JS82" s="139">
        <v>69659608</v>
      </c>
      <c r="JU82" s="70">
        <f t="shared" si="158"/>
        <v>11195150</v>
      </c>
      <c r="JV82" s="70">
        <f t="shared" si="159"/>
        <v>0</v>
      </c>
      <c r="JW82" s="70">
        <f t="shared" si="160"/>
        <v>3068485</v>
      </c>
      <c r="JX82" s="70">
        <f t="shared" si="161"/>
        <v>0</v>
      </c>
      <c r="JY82" s="70">
        <f t="shared" si="162"/>
        <v>200000</v>
      </c>
      <c r="JZ82" s="70">
        <f t="shared" si="163"/>
        <v>0</v>
      </c>
      <c r="KA82" s="70">
        <f t="shared" si="164"/>
        <v>27627158</v>
      </c>
      <c r="KB82" s="70">
        <f t="shared" si="165"/>
        <v>0</v>
      </c>
      <c r="KC82" s="70">
        <f t="shared" si="166"/>
        <v>0</v>
      </c>
      <c r="KD82" s="70">
        <f t="shared" si="167"/>
        <v>0</v>
      </c>
      <c r="KE82" s="70">
        <f t="shared" si="168"/>
        <v>0</v>
      </c>
      <c r="KF82" s="70">
        <f t="shared" si="169"/>
        <v>0</v>
      </c>
      <c r="KG82" s="70">
        <f t="shared" si="170"/>
        <v>1018271</v>
      </c>
      <c r="KH82" s="70">
        <f t="shared" si="171"/>
        <v>0</v>
      </c>
      <c r="KI82" s="70">
        <f t="shared" si="172"/>
        <v>0</v>
      </c>
      <c r="KJ82" s="70">
        <f t="shared" si="173"/>
        <v>0</v>
      </c>
      <c r="KK82" s="70">
        <f t="shared" si="174"/>
        <v>23174383</v>
      </c>
      <c r="KL82" s="70">
        <f t="shared" si="175"/>
        <v>0</v>
      </c>
      <c r="KM82" s="70">
        <f t="shared" si="176"/>
        <v>0</v>
      </c>
      <c r="KN82" s="70">
        <f t="shared" si="177"/>
        <v>0</v>
      </c>
      <c r="KO82" s="70">
        <f t="shared" si="178"/>
        <v>1220293</v>
      </c>
      <c r="KP82" s="70">
        <f t="shared" si="179"/>
        <v>0</v>
      </c>
      <c r="KQ82" s="70">
        <f t="shared" si="180"/>
        <v>7402130</v>
      </c>
      <c r="KR82" s="70">
        <f t="shared" si="181"/>
        <v>0</v>
      </c>
      <c r="KS82" s="70">
        <f t="shared" si="182"/>
        <v>0</v>
      </c>
      <c r="KT82" s="70">
        <f t="shared" si="183"/>
        <v>0</v>
      </c>
      <c r="KU82" s="70">
        <f t="shared" si="184"/>
        <v>529838</v>
      </c>
      <c r="KV82" s="70">
        <f t="shared" si="185"/>
        <v>0</v>
      </c>
      <c r="KW82" s="70">
        <f t="shared" si="186"/>
        <v>1287705</v>
      </c>
      <c r="KX82" s="70">
        <f t="shared" si="187"/>
        <v>0</v>
      </c>
      <c r="KY82" s="70">
        <f t="shared" si="188"/>
        <v>76723413</v>
      </c>
      <c r="KZ82" s="70">
        <f t="shared" si="189"/>
        <v>0</v>
      </c>
      <c r="LA82" s="70">
        <f t="shared" si="190"/>
        <v>5649317</v>
      </c>
      <c r="LB82" s="70">
        <f t="shared" si="191"/>
        <v>0</v>
      </c>
      <c r="LC82" s="70">
        <f t="shared" si="192"/>
        <v>1428265</v>
      </c>
      <c r="LD82" s="70">
        <f t="shared" si="193"/>
        <v>0</v>
      </c>
      <c r="LE82" s="70">
        <f t="shared" si="194"/>
        <v>11661855</v>
      </c>
      <c r="LF82" s="70">
        <f t="shared" si="195"/>
        <v>0</v>
      </c>
      <c r="LG82" s="70">
        <f t="shared" si="234"/>
        <v>0</v>
      </c>
      <c r="LH82" s="70">
        <f t="shared" si="235"/>
        <v>0</v>
      </c>
      <c r="LI82" s="70">
        <f t="shared" si="196"/>
        <v>13361784</v>
      </c>
      <c r="LJ82" s="70">
        <f t="shared" si="197"/>
        <v>0</v>
      </c>
      <c r="LK82" s="70">
        <f t="shared" si="198"/>
        <v>0</v>
      </c>
      <c r="LL82" s="70">
        <f t="shared" si="199"/>
        <v>0</v>
      </c>
      <c r="LM82" s="70">
        <f t="shared" si="200"/>
        <v>0</v>
      </c>
      <c r="LN82" s="70">
        <f t="shared" si="201"/>
        <v>0</v>
      </c>
      <c r="LO82" s="70">
        <f t="shared" si="202"/>
        <v>1855188</v>
      </c>
      <c r="LP82" s="70">
        <f t="shared" si="203"/>
        <v>0</v>
      </c>
      <c r="LQ82" s="70">
        <f t="shared" si="204"/>
        <v>5352096</v>
      </c>
      <c r="LR82" s="70">
        <f t="shared" si="205"/>
        <v>0</v>
      </c>
      <c r="LS82" s="70">
        <f t="shared" si="206"/>
        <v>1890518</v>
      </c>
      <c r="LT82" s="70">
        <f t="shared" si="207"/>
        <v>0</v>
      </c>
      <c r="LU82" s="70">
        <f t="shared" si="208"/>
        <v>2881438</v>
      </c>
      <c r="LV82" s="70">
        <f t="shared" si="209"/>
        <v>0</v>
      </c>
      <c r="LW82" s="70">
        <f t="shared" si="210"/>
        <v>2104682</v>
      </c>
      <c r="LX82" s="70">
        <f t="shared" si="211"/>
        <v>0</v>
      </c>
      <c r="LY82" s="70">
        <f t="shared" si="212"/>
        <v>0</v>
      </c>
      <c r="LZ82" s="70">
        <f t="shared" si="213"/>
        <v>0</v>
      </c>
      <c r="MA82" s="70">
        <f t="shared" si="214"/>
        <v>19956262</v>
      </c>
      <c r="MB82" s="70">
        <f t="shared" si="215"/>
        <v>0</v>
      </c>
      <c r="MC82" s="70">
        <f t="shared" si="216"/>
        <v>261483</v>
      </c>
      <c r="MD82" s="70">
        <f t="shared" si="217"/>
        <v>0</v>
      </c>
      <c r="ME82" s="70">
        <f t="shared" si="218"/>
        <v>0</v>
      </c>
      <c r="MF82" s="70">
        <f t="shared" si="219"/>
        <v>0</v>
      </c>
      <c r="MG82" s="70">
        <f t="shared" si="220"/>
        <v>841711</v>
      </c>
      <c r="MH82" s="70">
        <f t="shared" si="221"/>
        <v>0</v>
      </c>
      <c r="MI82" s="70">
        <f t="shared" si="222"/>
        <v>96370</v>
      </c>
      <c r="MJ82" s="70">
        <f t="shared" si="223"/>
        <v>0</v>
      </c>
      <c r="MK82" s="70">
        <f t="shared" si="224"/>
        <v>2318639</v>
      </c>
      <c r="ML82" s="70">
        <f t="shared" si="225"/>
        <v>0</v>
      </c>
      <c r="MM82" s="70">
        <f t="shared" si="226"/>
        <v>69659608</v>
      </c>
      <c r="MN82" s="70">
        <f t="shared" si="227"/>
        <v>0</v>
      </c>
      <c r="MO82" s="70">
        <f t="shared" si="228"/>
        <v>0</v>
      </c>
      <c r="MP82" s="70">
        <f t="shared" si="229"/>
        <v>0</v>
      </c>
      <c r="MQ82" s="70">
        <f t="shared" si="230"/>
        <v>69659608</v>
      </c>
      <c r="MR82" s="70">
        <f t="shared" si="231"/>
        <v>0</v>
      </c>
      <c r="MT82" s="70">
        <f t="shared" si="232"/>
        <v>0</v>
      </c>
      <c r="MV82" s="68">
        <f t="shared" si="233"/>
        <v>0</v>
      </c>
    </row>
    <row r="83" spans="1:361" x14ac:dyDescent="0.15">
      <c r="A83" s="182" t="s">
        <v>366</v>
      </c>
      <c r="B83" s="76" t="s">
        <v>427</v>
      </c>
      <c r="C83" s="90">
        <v>206084</v>
      </c>
      <c r="D83" s="90">
        <v>2014</v>
      </c>
      <c r="E83" s="90">
        <v>1</v>
      </c>
      <c r="F83" s="91">
        <v>9</v>
      </c>
      <c r="G83" s="92">
        <v>7250</v>
      </c>
      <c r="H83" s="92">
        <v>6800</v>
      </c>
      <c r="I83" s="93">
        <v>843685000</v>
      </c>
      <c r="J83" s="93">
        <v>838337000</v>
      </c>
      <c r="K83" s="93">
        <v>1779334</v>
      </c>
      <c r="L83" s="93">
        <v>1803738</v>
      </c>
      <c r="M83" s="93">
        <v>30146000</v>
      </c>
      <c r="N83" s="93">
        <v>38996000</v>
      </c>
      <c r="O83" s="93">
        <v>44287974</v>
      </c>
      <c r="P83" s="93">
        <v>46091711</v>
      </c>
      <c r="Q83" s="93">
        <v>483660000</v>
      </c>
      <c r="R83" s="93">
        <v>360225000</v>
      </c>
      <c r="S83" s="93">
        <v>356340000</v>
      </c>
      <c r="T83" s="93">
        <v>370606000</v>
      </c>
      <c r="U83" s="93">
        <v>21338</v>
      </c>
      <c r="V83" s="93">
        <v>20904</v>
      </c>
      <c r="W83" s="93">
        <v>30676</v>
      </c>
      <c r="X83" s="93">
        <v>30024</v>
      </c>
      <c r="Y83" s="93">
        <v>24921</v>
      </c>
      <c r="Z83" s="93">
        <v>24487</v>
      </c>
      <c r="AA83" s="93">
        <v>34259</v>
      </c>
      <c r="AB83" s="93">
        <v>33607</v>
      </c>
      <c r="AC83" s="114">
        <v>6</v>
      </c>
      <c r="AD83" s="114">
        <v>10</v>
      </c>
      <c r="AE83" s="114">
        <v>0</v>
      </c>
      <c r="AF83" s="115">
        <v>3276614</v>
      </c>
      <c r="AG83" s="115">
        <v>2891455</v>
      </c>
      <c r="AH83" s="115">
        <v>394603</v>
      </c>
      <c r="AI83" s="115">
        <v>128593</v>
      </c>
      <c r="AJ83" s="115" t="s">
        <v>415</v>
      </c>
      <c r="AK83" s="116">
        <v>5.25</v>
      </c>
      <c r="AL83" s="115">
        <v>257678</v>
      </c>
      <c r="AM83" s="116">
        <v>6</v>
      </c>
      <c r="AN83" s="115" t="s">
        <v>416</v>
      </c>
      <c r="AO83" s="116">
        <v>7.75</v>
      </c>
      <c r="AP83" s="115">
        <v>125079</v>
      </c>
      <c r="AQ83" s="116">
        <v>8</v>
      </c>
      <c r="AR83" s="115">
        <v>117420</v>
      </c>
      <c r="AS83" s="116">
        <v>14.25</v>
      </c>
      <c r="AT83" s="115">
        <v>111549</v>
      </c>
      <c r="AU83" s="116">
        <v>15</v>
      </c>
      <c r="AV83" s="115">
        <v>63750</v>
      </c>
      <c r="AW83" s="116">
        <v>11.75</v>
      </c>
      <c r="AX83" s="115">
        <v>57458</v>
      </c>
      <c r="AY83" s="116">
        <v>13</v>
      </c>
      <c r="AZ83" s="139">
        <v>824965</v>
      </c>
      <c r="BA83" s="139">
        <v>391229</v>
      </c>
      <c r="BB83" s="139">
        <v>173884</v>
      </c>
      <c r="BC83" s="139">
        <v>11898</v>
      </c>
      <c r="BD83" s="139">
        <v>19010</v>
      </c>
      <c r="BE83" s="139">
        <v>1420986</v>
      </c>
      <c r="BF83" s="139">
        <v>0</v>
      </c>
      <c r="BG83" s="139">
        <v>0</v>
      </c>
      <c r="BH83" s="139">
        <v>0</v>
      </c>
      <c r="BI83" s="139">
        <v>0</v>
      </c>
      <c r="BJ83" s="139">
        <v>10504815</v>
      </c>
      <c r="BK83" s="139">
        <v>10504815</v>
      </c>
      <c r="BL83" s="139">
        <v>1100000</v>
      </c>
      <c r="BM83" s="139">
        <v>135000</v>
      </c>
      <c r="BN83" s="139">
        <v>0</v>
      </c>
      <c r="BO83" s="139">
        <v>16450</v>
      </c>
      <c r="BP83" s="139">
        <v>0</v>
      </c>
      <c r="BQ83" s="139">
        <v>1251450</v>
      </c>
      <c r="BR83" s="139">
        <v>99948</v>
      </c>
      <c r="BS83" s="139">
        <v>145964</v>
      </c>
      <c r="BT83" s="139">
        <v>46850</v>
      </c>
      <c r="BU83" s="139">
        <v>1817</v>
      </c>
      <c r="BV83" s="139">
        <v>2286693</v>
      </c>
      <c r="BW83" s="139">
        <v>2581272</v>
      </c>
      <c r="BX83" s="139">
        <v>0</v>
      </c>
      <c r="BY83" s="139">
        <v>0</v>
      </c>
      <c r="BZ83" s="139">
        <v>0</v>
      </c>
      <c r="CA83" s="139">
        <v>0</v>
      </c>
      <c r="CB83" s="139">
        <v>0</v>
      </c>
      <c r="CC83" s="139">
        <v>0</v>
      </c>
      <c r="CD83" s="139">
        <v>0</v>
      </c>
      <c r="CE83" s="139">
        <v>0</v>
      </c>
      <c r="CF83" s="139">
        <v>0</v>
      </c>
      <c r="CG83" s="139">
        <v>0</v>
      </c>
      <c r="CH83" s="139">
        <v>0</v>
      </c>
      <c r="CI83" s="139">
        <v>0</v>
      </c>
      <c r="CJ83" s="139">
        <v>0</v>
      </c>
      <c r="CK83" s="139">
        <v>0</v>
      </c>
      <c r="CL83" s="139">
        <v>0</v>
      </c>
      <c r="CM83" s="139">
        <v>0</v>
      </c>
      <c r="CN83" s="139">
        <v>0</v>
      </c>
      <c r="CO83" s="139">
        <v>0</v>
      </c>
      <c r="CP83" s="139">
        <v>0</v>
      </c>
      <c r="CQ83" s="139">
        <v>0</v>
      </c>
      <c r="CR83" s="139">
        <v>0</v>
      </c>
      <c r="CS83" s="139">
        <v>0</v>
      </c>
      <c r="CT83" s="139">
        <v>2435894</v>
      </c>
      <c r="CU83" s="139">
        <v>2435894</v>
      </c>
      <c r="CV83" s="139">
        <v>0</v>
      </c>
      <c r="CW83" s="139">
        <v>100043</v>
      </c>
      <c r="CX83" s="139">
        <v>0</v>
      </c>
      <c r="CY83" s="139">
        <v>0</v>
      </c>
      <c r="CZ83" s="139">
        <v>1212076</v>
      </c>
      <c r="DA83" s="139">
        <v>1312119</v>
      </c>
      <c r="DB83" s="139">
        <v>0</v>
      </c>
      <c r="DC83" s="139">
        <v>0</v>
      </c>
      <c r="DD83" s="139">
        <v>0</v>
      </c>
      <c r="DE83" s="139">
        <v>0</v>
      </c>
      <c r="DF83" s="139">
        <v>0</v>
      </c>
      <c r="DG83" s="139">
        <v>0</v>
      </c>
      <c r="DH83" s="139">
        <v>131106</v>
      </c>
      <c r="DI83" s="139">
        <v>155410</v>
      </c>
      <c r="DJ83" s="139">
        <v>99837</v>
      </c>
      <c r="DK83" s="139">
        <v>5586</v>
      </c>
      <c r="DL83" s="139">
        <v>398181</v>
      </c>
      <c r="DM83" s="139">
        <v>790120</v>
      </c>
      <c r="DN83" s="139">
        <v>0</v>
      </c>
      <c r="DO83" s="139">
        <v>0</v>
      </c>
      <c r="DP83" s="139">
        <v>0</v>
      </c>
      <c r="DQ83" s="139">
        <v>0</v>
      </c>
      <c r="DR83" s="139">
        <v>1182506</v>
      </c>
      <c r="DS83" s="139">
        <v>1182506</v>
      </c>
      <c r="DT83" s="139">
        <v>54297</v>
      </c>
      <c r="DU83" s="139">
        <v>49855</v>
      </c>
      <c r="DV83" s="139">
        <v>51826</v>
      </c>
      <c r="DW83" s="139">
        <v>94002</v>
      </c>
      <c r="DX83" s="139">
        <v>0</v>
      </c>
      <c r="DY83" s="139">
        <v>249980</v>
      </c>
      <c r="DZ83" s="139">
        <v>0</v>
      </c>
      <c r="EA83" s="139">
        <v>0</v>
      </c>
      <c r="EB83" s="139">
        <v>0</v>
      </c>
      <c r="EC83" s="139">
        <v>0</v>
      </c>
      <c r="ED83" s="139">
        <v>0</v>
      </c>
      <c r="EE83" s="139">
        <v>0</v>
      </c>
      <c r="EF83" s="139">
        <v>0</v>
      </c>
      <c r="EG83" s="139">
        <v>0</v>
      </c>
      <c r="EH83" s="139">
        <v>0</v>
      </c>
      <c r="EI83" s="139">
        <v>0</v>
      </c>
      <c r="EJ83" s="139">
        <v>830033</v>
      </c>
      <c r="EK83" s="139">
        <v>830033</v>
      </c>
      <c r="EL83" s="139">
        <v>2210316</v>
      </c>
      <c r="EM83" s="139">
        <v>977501</v>
      </c>
      <c r="EN83" s="139">
        <v>372397</v>
      </c>
      <c r="EO83" s="139">
        <v>129753</v>
      </c>
      <c r="EP83" s="139">
        <v>18869208</v>
      </c>
      <c r="EQ83" s="139">
        <v>22559175</v>
      </c>
      <c r="ER83" s="139">
        <v>2230246</v>
      </c>
      <c r="ES83" s="139">
        <v>354656</v>
      </c>
      <c r="ET83" s="139">
        <v>415745</v>
      </c>
      <c r="EU83" s="139">
        <v>3167422</v>
      </c>
      <c r="EV83" s="139">
        <v>1453241</v>
      </c>
      <c r="EW83" s="139">
        <v>7621310</v>
      </c>
      <c r="EX83" s="139">
        <v>600000</v>
      </c>
      <c r="EY83" s="139">
        <v>78000</v>
      </c>
      <c r="EZ83" s="139">
        <v>39305</v>
      </c>
      <c r="FA83" s="139">
        <v>700</v>
      </c>
      <c r="FB83" s="139">
        <v>0</v>
      </c>
      <c r="FC83" s="139">
        <v>718005</v>
      </c>
      <c r="FD83" s="139">
        <v>1808660</v>
      </c>
      <c r="FE83" s="139">
        <v>1024796</v>
      </c>
      <c r="FF83" s="139">
        <v>772275</v>
      </c>
      <c r="FG83" s="139">
        <v>1361161</v>
      </c>
      <c r="FH83" s="139">
        <v>0</v>
      </c>
      <c r="FI83" s="139">
        <v>4966892</v>
      </c>
      <c r="FJ83" s="139">
        <v>0</v>
      </c>
      <c r="FK83" s="139">
        <v>0</v>
      </c>
      <c r="FL83" s="139">
        <v>0</v>
      </c>
      <c r="FM83" s="139">
        <v>0</v>
      </c>
      <c r="FN83" s="139">
        <v>0</v>
      </c>
      <c r="FO83" s="139">
        <v>0</v>
      </c>
      <c r="FP83" s="139">
        <v>339338</v>
      </c>
      <c r="FQ83" s="139">
        <v>52920</v>
      </c>
      <c r="FR83" s="139">
        <v>84328</v>
      </c>
      <c r="FS83" s="139">
        <v>0</v>
      </c>
      <c r="FT83" s="139">
        <v>2805439</v>
      </c>
      <c r="FU83" s="139">
        <v>3282025</v>
      </c>
      <c r="FV83" s="139">
        <v>0</v>
      </c>
      <c r="FW83" s="139">
        <v>0</v>
      </c>
      <c r="FX83" s="139">
        <v>0</v>
      </c>
      <c r="FY83" s="139">
        <v>0</v>
      </c>
      <c r="FZ83" s="139">
        <v>0</v>
      </c>
      <c r="GA83" s="139">
        <v>0</v>
      </c>
      <c r="GB83" s="139">
        <v>0</v>
      </c>
      <c r="GC83" s="139">
        <v>0</v>
      </c>
      <c r="GD83" s="139">
        <v>0</v>
      </c>
      <c r="GE83" s="139">
        <v>18522</v>
      </c>
      <c r="GF83" s="139">
        <v>0</v>
      </c>
      <c r="GG83" s="139">
        <v>18522</v>
      </c>
      <c r="GH83" s="139">
        <v>242496</v>
      </c>
      <c r="GI83" s="139">
        <v>136126</v>
      </c>
      <c r="GJ83" s="139">
        <v>69615</v>
      </c>
      <c r="GK83" s="139">
        <v>74959</v>
      </c>
      <c r="GL83" s="139">
        <v>0</v>
      </c>
      <c r="GM83" s="139">
        <v>523196</v>
      </c>
      <c r="GN83" s="139">
        <v>510619</v>
      </c>
      <c r="GO83" s="139">
        <v>172713</v>
      </c>
      <c r="GP83" s="139">
        <v>131942</v>
      </c>
      <c r="GQ83" s="139">
        <v>668916</v>
      </c>
      <c r="GR83" s="139">
        <v>171959</v>
      </c>
      <c r="GS83" s="139">
        <v>1656149</v>
      </c>
      <c r="GT83" s="139">
        <v>289034</v>
      </c>
      <c r="GU83" s="139">
        <v>49974</v>
      </c>
      <c r="GV83" s="139">
        <v>32849</v>
      </c>
      <c r="GW83" s="139">
        <v>235810</v>
      </c>
      <c r="GX83" s="139">
        <v>0</v>
      </c>
      <c r="GY83" s="139">
        <v>607667</v>
      </c>
      <c r="GZ83" s="139">
        <v>411603</v>
      </c>
      <c r="HA83" s="139">
        <v>286182</v>
      </c>
      <c r="HB83" s="139">
        <v>190928</v>
      </c>
      <c r="HC83" s="139">
        <v>59494</v>
      </c>
      <c r="HD83" s="139">
        <v>0</v>
      </c>
      <c r="HE83" s="139">
        <v>948207</v>
      </c>
      <c r="HF83" s="139">
        <v>0</v>
      </c>
      <c r="HG83" s="139">
        <v>11570</v>
      </c>
      <c r="HH83" s="139">
        <v>0</v>
      </c>
      <c r="HI83" s="139">
        <v>0</v>
      </c>
      <c r="HJ83" s="139">
        <v>756086</v>
      </c>
      <c r="HK83" s="139">
        <v>767656</v>
      </c>
      <c r="HL83" s="139">
        <v>46748</v>
      </c>
      <c r="HM83" s="139">
        <v>41693</v>
      </c>
      <c r="HN83" s="139">
        <v>42485</v>
      </c>
      <c r="HO83" s="139">
        <v>98626</v>
      </c>
      <c r="HP83" s="139">
        <v>0</v>
      </c>
      <c r="HQ83" s="139">
        <v>229552</v>
      </c>
      <c r="HR83" s="139">
        <v>0</v>
      </c>
      <c r="HS83" s="139">
        <v>0</v>
      </c>
      <c r="HT83" s="139">
        <v>0</v>
      </c>
      <c r="HU83" s="139">
        <v>0</v>
      </c>
      <c r="HV83" s="139">
        <v>584623</v>
      </c>
      <c r="HW83" s="139">
        <v>584623</v>
      </c>
      <c r="HX83" s="139">
        <v>0</v>
      </c>
      <c r="HY83" s="139">
        <v>0</v>
      </c>
      <c r="HZ83" s="139">
        <v>0</v>
      </c>
      <c r="IA83" s="139">
        <v>0</v>
      </c>
      <c r="IB83" s="139">
        <v>44873</v>
      </c>
      <c r="IC83" s="139">
        <v>44873</v>
      </c>
      <c r="ID83" s="139">
        <v>0</v>
      </c>
      <c r="IE83" s="139">
        <v>0</v>
      </c>
      <c r="IF83" s="139">
        <v>0</v>
      </c>
      <c r="IG83" s="139">
        <v>0</v>
      </c>
      <c r="IH83" s="139">
        <v>2435894</v>
      </c>
      <c r="II83" s="139">
        <v>2435894</v>
      </c>
      <c r="IJ83" s="139">
        <v>0</v>
      </c>
      <c r="IK83" s="139">
        <v>0</v>
      </c>
      <c r="IL83" s="139">
        <v>0</v>
      </c>
      <c r="IM83" s="139">
        <v>0</v>
      </c>
      <c r="IN83" s="139">
        <v>285696</v>
      </c>
      <c r="IO83" s="139">
        <v>285696</v>
      </c>
      <c r="IP83" s="139">
        <v>136000</v>
      </c>
      <c r="IQ83" s="139">
        <v>2400</v>
      </c>
      <c r="IR83" s="139">
        <v>1175</v>
      </c>
      <c r="IS83" s="139">
        <v>17495</v>
      </c>
      <c r="IT83" s="139">
        <v>29375</v>
      </c>
      <c r="IU83" s="139">
        <v>186445</v>
      </c>
      <c r="IV83" s="139">
        <v>63158</v>
      </c>
      <c r="IW83" s="139">
        <v>15466</v>
      </c>
      <c r="IX83" s="139">
        <v>22889</v>
      </c>
      <c r="IY83" s="139">
        <v>11461</v>
      </c>
      <c r="IZ83" s="139">
        <v>1314645</v>
      </c>
      <c r="JA83" s="139">
        <v>1427619</v>
      </c>
      <c r="JB83" s="139">
        <v>6677902</v>
      </c>
      <c r="JC83" s="139">
        <v>2226496</v>
      </c>
      <c r="JD83" s="139">
        <v>1803536</v>
      </c>
      <c r="JE83" s="139">
        <v>5714566</v>
      </c>
      <c r="JF83" s="139">
        <v>9881831</v>
      </c>
      <c r="JG83" s="139">
        <v>26304331</v>
      </c>
      <c r="JH83" s="139">
        <v>0</v>
      </c>
      <c r="JI83" s="139">
        <v>0</v>
      </c>
      <c r="JJ83" s="139">
        <v>0</v>
      </c>
      <c r="JK83" s="139">
        <v>0</v>
      </c>
      <c r="JL83" s="139">
        <v>0</v>
      </c>
      <c r="JM83" s="139">
        <v>0</v>
      </c>
      <c r="JN83" s="139">
        <v>6677902</v>
      </c>
      <c r="JO83" s="139">
        <v>2226496</v>
      </c>
      <c r="JP83" s="139">
        <v>1803536</v>
      </c>
      <c r="JQ83" s="139">
        <v>5714566</v>
      </c>
      <c r="JR83" s="139">
        <v>9881831</v>
      </c>
      <c r="JS83" s="139">
        <v>26304331</v>
      </c>
      <c r="JU83" s="70">
        <f t="shared" si="158"/>
        <v>1420986</v>
      </c>
      <c r="JV83" s="70">
        <f t="shared" si="159"/>
        <v>0</v>
      </c>
      <c r="JW83" s="70">
        <f t="shared" si="160"/>
        <v>10504815</v>
      </c>
      <c r="JX83" s="70">
        <f t="shared" si="161"/>
        <v>0</v>
      </c>
      <c r="JY83" s="70">
        <f t="shared" si="162"/>
        <v>1251450</v>
      </c>
      <c r="JZ83" s="70">
        <f t="shared" si="163"/>
        <v>0</v>
      </c>
      <c r="KA83" s="70">
        <f t="shared" si="164"/>
        <v>2581272</v>
      </c>
      <c r="KB83" s="70">
        <f t="shared" si="165"/>
        <v>0</v>
      </c>
      <c r="KC83" s="70">
        <f t="shared" si="166"/>
        <v>0</v>
      </c>
      <c r="KD83" s="70">
        <f t="shared" si="167"/>
        <v>0</v>
      </c>
      <c r="KE83" s="70">
        <f t="shared" si="168"/>
        <v>0</v>
      </c>
      <c r="KF83" s="70">
        <f t="shared" si="169"/>
        <v>0</v>
      </c>
      <c r="KG83" s="70">
        <f t="shared" si="170"/>
        <v>0</v>
      </c>
      <c r="KH83" s="70">
        <f t="shared" si="171"/>
        <v>0</v>
      </c>
      <c r="KI83" s="70">
        <f t="shared" si="172"/>
        <v>2435894</v>
      </c>
      <c r="KJ83" s="70">
        <f t="shared" si="173"/>
        <v>0</v>
      </c>
      <c r="KK83" s="70">
        <f t="shared" si="174"/>
        <v>1312119</v>
      </c>
      <c r="KL83" s="70">
        <f t="shared" si="175"/>
        <v>0</v>
      </c>
      <c r="KM83" s="70">
        <f t="shared" si="176"/>
        <v>0</v>
      </c>
      <c r="KN83" s="70">
        <f t="shared" si="177"/>
        <v>0</v>
      </c>
      <c r="KO83" s="70">
        <f t="shared" si="178"/>
        <v>790120</v>
      </c>
      <c r="KP83" s="70">
        <f t="shared" si="179"/>
        <v>0</v>
      </c>
      <c r="KQ83" s="70">
        <f t="shared" si="180"/>
        <v>1182506</v>
      </c>
      <c r="KR83" s="70">
        <f t="shared" si="181"/>
        <v>0</v>
      </c>
      <c r="KS83" s="70">
        <f t="shared" si="182"/>
        <v>249980</v>
      </c>
      <c r="KT83" s="70">
        <f t="shared" si="183"/>
        <v>0</v>
      </c>
      <c r="KU83" s="70">
        <f t="shared" si="184"/>
        <v>0</v>
      </c>
      <c r="KV83" s="70">
        <f t="shared" si="185"/>
        <v>0</v>
      </c>
      <c r="KW83" s="70">
        <f t="shared" si="186"/>
        <v>830033</v>
      </c>
      <c r="KX83" s="70">
        <f t="shared" si="187"/>
        <v>0</v>
      </c>
      <c r="KY83" s="70">
        <f t="shared" si="188"/>
        <v>22559175</v>
      </c>
      <c r="KZ83" s="70">
        <f t="shared" si="189"/>
        <v>0</v>
      </c>
      <c r="LA83" s="70">
        <f t="shared" si="190"/>
        <v>7621310</v>
      </c>
      <c r="LB83" s="70">
        <f t="shared" si="191"/>
        <v>0</v>
      </c>
      <c r="LC83" s="70">
        <f t="shared" si="192"/>
        <v>718005</v>
      </c>
      <c r="LD83" s="70">
        <f t="shared" si="193"/>
        <v>0</v>
      </c>
      <c r="LE83" s="70">
        <f t="shared" si="194"/>
        <v>4966892</v>
      </c>
      <c r="LF83" s="70">
        <f t="shared" si="195"/>
        <v>0</v>
      </c>
      <c r="LG83" s="70">
        <f t="shared" si="234"/>
        <v>0</v>
      </c>
      <c r="LH83" s="70">
        <f t="shared" si="235"/>
        <v>0</v>
      </c>
      <c r="LI83" s="70">
        <f t="shared" si="196"/>
        <v>3282025</v>
      </c>
      <c r="LJ83" s="70">
        <f t="shared" si="197"/>
        <v>0</v>
      </c>
      <c r="LK83" s="70">
        <f t="shared" si="198"/>
        <v>0</v>
      </c>
      <c r="LL83" s="70">
        <f t="shared" si="199"/>
        <v>0</v>
      </c>
      <c r="LM83" s="70">
        <f t="shared" si="200"/>
        <v>18522</v>
      </c>
      <c r="LN83" s="70">
        <f t="shared" si="201"/>
        <v>0</v>
      </c>
      <c r="LO83" s="70">
        <f t="shared" si="202"/>
        <v>523196</v>
      </c>
      <c r="LP83" s="70">
        <f t="shared" si="203"/>
        <v>0</v>
      </c>
      <c r="LQ83" s="70">
        <f t="shared" si="204"/>
        <v>1656149</v>
      </c>
      <c r="LR83" s="70">
        <f t="shared" si="205"/>
        <v>0</v>
      </c>
      <c r="LS83" s="70">
        <f t="shared" si="206"/>
        <v>607667</v>
      </c>
      <c r="LT83" s="70">
        <f t="shared" si="207"/>
        <v>0</v>
      </c>
      <c r="LU83" s="70">
        <f t="shared" si="208"/>
        <v>948207</v>
      </c>
      <c r="LV83" s="70">
        <f t="shared" si="209"/>
        <v>0</v>
      </c>
      <c r="LW83" s="70">
        <f t="shared" si="210"/>
        <v>767656</v>
      </c>
      <c r="LX83" s="70">
        <f t="shared" si="211"/>
        <v>0</v>
      </c>
      <c r="LY83" s="70">
        <f t="shared" si="212"/>
        <v>229552</v>
      </c>
      <c r="LZ83" s="70">
        <f t="shared" si="213"/>
        <v>0</v>
      </c>
      <c r="MA83" s="70">
        <f t="shared" si="214"/>
        <v>584623</v>
      </c>
      <c r="MB83" s="70">
        <f t="shared" si="215"/>
        <v>0</v>
      </c>
      <c r="MC83" s="70">
        <f t="shared" si="216"/>
        <v>44873</v>
      </c>
      <c r="MD83" s="70">
        <f t="shared" si="217"/>
        <v>0</v>
      </c>
      <c r="ME83" s="70">
        <f t="shared" si="218"/>
        <v>2435894</v>
      </c>
      <c r="MF83" s="70">
        <f t="shared" si="219"/>
        <v>0</v>
      </c>
      <c r="MG83" s="70">
        <f t="shared" si="220"/>
        <v>285696</v>
      </c>
      <c r="MH83" s="70">
        <f t="shared" si="221"/>
        <v>0</v>
      </c>
      <c r="MI83" s="70">
        <f t="shared" si="222"/>
        <v>186445</v>
      </c>
      <c r="MJ83" s="70">
        <f t="shared" si="223"/>
        <v>0</v>
      </c>
      <c r="MK83" s="70">
        <f t="shared" si="224"/>
        <v>1427619</v>
      </c>
      <c r="ML83" s="70">
        <f t="shared" si="225"/>
        <v>0</v>
      </c>
      <c r="MM83" s="70">
        <f t="shared" si="226"/>
        <v>26304331</v>
      </c>
      <c r="MN83" s="70">
        <f t="shared" si="227"/>
        <v>0</v>
      </c>
      <c r="MO83" s="70">
        <f t="shared" si="228"/>
        <v>0</v>
      </c>
      <c r="MP83" s="70">
        <f t="shared" si="229"/>
        <v>0</v>
      </c>
      <c r="MQ83" s="70">
        <f t="shared" si="230"/>
        <v>26304331</v>
      </c>
      <c r="MR83" s="70">
        <f t="shared" si="231"/>
        <v>0</v>
      </c>
      <c r="MT83" s="70">
        <f t="shared" si="232"/>
        <v>0</v>
      </c>
      <c r="MV83" s="68">
        <f t="shared" si="233"/>
        <v>0</v>
      </c>
    </row>
    <row r="84" spans="1:361" x14ac:dyDescent="0.15">
      <c r="A84" s="182" t="s">
        <v>367</v>
      </c>
      <c r="B84" s="76" t="s">
        <v>427</v>
      </c>
      <c r="C84" s="90">
        <v>102368</v>
      </c>
      <c r="D84" s="90">
        <v>2014</v>
      </c>
      <c r="E84" s="90">
        <v>1</v>
      </c>
      <c r="F84" s="91">
        <v>11</v>
      </c>
      <c r="G84" s="92">
        <v>6221</v>
      </c>
      <c r="H84" s="92">
        <v>10095</v>
      </c>
      <c r="I84" s="93">
        <v>241861462</v>
      </c>
      <c r="J84" s="93">
        <v>242192755</v>
      </c>
      <c r="K84" s="93">
        <v>2588592</v>
      </c>
      <c r="L84" s="93">
        <v>2588592</v>
      </c>
      <c r="M84" s="93">
        <v>9887233</v>
      </c>
      <c r="N84" s="93">
        <v>9894361</v>
      </c>
      <c r="O84" s="93">
        <v>61217294</v>
      </c>
      <c r="P84" s="93">
        <v>61217294</v>
      </c>
      <c r="Q84" s="93">
        <v>103095000</v>
      </c>
      <c r="R84" s="93">
        <v>107540000</v>
      </c>
      <c r="S84" s="93">
        <v>238440326</v>
      </c>
      <c r="T84" s="93">
        <v>238961462</v>
      </c>
      <c r="U84" s="93">
        <v>16832</v>
      </c>
      <c r="V84" s="93">
        <v>16443</v>
      </c>
      <c r="W84" s="93">
        <v>24224</v>
      </c>
      <c r="X84" s="93">
        <v>23415</v>
      </c>
      <c r="Y84" s="93">
        <v>21200</v>
      </c>
      <c r="Z84" s="93">
        <v>20732</v>
      </c>
      <c r="AA84" s="93">
        <v>29120</v>
      </c>
      <c r="AB84" s="93">
        <v>28202</v>
      </c>
      <c r="AC84" s="114">
        <v>7</v>
      </c>
      <c r="AD84" s="114">
        <v>9</v>
      </c>
      <c r="AE84" s="114">
        <v>1</v>
      </c>
      <c r="AF84" s="115">
        <v>3027690</v>
      </c>
      <c r="AG84" s="115">
        <v>1856346</v>
      </c>
      <c r="AH84" s="115">
        <v>225428</v>
      </c>
      <c r="AI84" s="115">
        <v>119846</v>
      </c>
      <c r="AJ84" s="115">
        <v>171920</v>
      </c>
      <c r="AK84" s="116">
        <v>6.4</v>
      </c>
      <c r="AL84" s="115">
        <v>157184</v>
      </c>
      <c r="AM84" s="116">
        <v>7</v>
      </c>
      <c r="AN84" s="115">
        <v>69472</v>
      </c>
      <c r="AO84" s="116">
        <v>7.6</v>
      </c>
      <c r="AP84" s="115">
        <v>65998</v>
      </c>
      <c r="AQ84" s="116">
        <v>8</v>
      </c>
      <c r="AR84" s="115">
        <v>125923</v>
      </c>
      <c r="AS84" s="116">
        <v>15.9</v>
      </c>
      <c r="AT84" s="115">
        <v>105378</v>
      </c>
      <c r="AU84" s="116">
        <v>19</v>
      </c>
      <c r="AV84" s="115">
        <v>59581</v>
      </c>
      <c r="AW84" s="116">
        <v>8.6</v>
      </c>
      <c r="AX84" s="115">
        <v>56933</v>
      </c>
      <c r="AY84" s="116">
        <v>9</v>
      </c>
      <c r="AZ84" s="139">
        <v>399394</v>
      </c>
      <c r="BA84" s="139">
        <v>40579</v>
      </c>
      <c r="BB84" s="139">
        <v>282</v>
      </c>
      <c r="BC84" s="139">
        <v>22808</v>
      </c>
      <c r="BD84" s="139">
        <v>0</v>
      </c>
      <c r="BE84" s="139">
        <v>463063</v>
      </c>
      <c r="BF84" s="139">
        <v>0</v>
      </c>
      <c r="BG84" s="139">
        <v>0</v>
      </c>
      <c r="BH84" s="139">
        <v>0</v>
      </c>
      <c r="BI84" s="139">
        <v>0</v>
      </c>
      <c r="BJ84" s="139">
        <v>1014429</v>
      </c>
      <c r="BK84" s="139">
        <v>1014429</v>
      </c>
      <c r="BL84" s="139">
        <v>2125000</v>
      </c>
      <c r="BM84" s="139">
        <v>300000</v>
      </c>
      <c r="BN84" s="139">
        <v>18500</v>
      </c>
      <c r="BO84" s="139">
        <v>10000</v>
      </c>
      <c r="BP84" s="139">
        <v>0</v>
      </c>
      <c r="BQ84" s="139">
        <v>2453500</v>
      </c>
      <c r="BR84" s="139">
        <v>514838</v>
      </c>
      <c r="BS84" s="139">
        <v>8320</v>
      </c>
      <c r="BT84" s="139">
        <v>8007</v>
      </c>
      <c r="BU84" s="139">
        <v>328123</v>
      </c>
      <c r="BV84" s="139">
        <v>1409553</v>
      </c>
      <c r="BW84" s="139">
        <v>2268841</v>
      </c>
      <c r="BX84" s="139">
        <v>0</v>
      </c>
      <c r="BY84" s="139">
        <v>0</v>
      </c>
      <c r="BZ84" s="139">
        <v>0</v>
      </c>
      <c r="CA84" s="139">
        <v>0</v>
      </c>
      <c r="CB84" s="139">
        <v>0</v>
      </c>
      <c r="CC84" s="139">
        <v>0</v>
      </c>
      <c r="CD84" s="139">
        <v>0</v>
      </c>
      <c r="CE84" s="139">
        <v>0</v>
      </c>
      <c r="CF84" s="139">
        <v>0</v>
      </c>
      <c r="CG84" s="139">
        <v>0</v>
      </c>
      <c r="CH84" s="139">
        <v>0</v>
      </c>
      <c r="CI84" s="139">
        <v>0</v>
      </c>
      <c r="CJ84" s="139">
        <v>2794175</v>
      </c>
      <c r="CK84" s="139">
        <v>1117320</v>
      </c>
      <c r="CL84" s="139">
        <v>910858</v>
      </c>
      <c r="CM84" s="139">
        <v>4450342</v>
      </c>
      <c r="CN84" s="139">
        <v>1629714</v>
      </c>
      <c r="CO84" s="139">
        <v>10902409</v>
      </c>
      <c r="CP84" s="139">
        <v>445183</v>
      </c>
      <c r="CQ84" s="139">
        <v>1028506</v>
      </c>
      <c r="CR84" s="139">
        <v>1027121</v>
      </c>
      <c r="CS84" s="139">
        <v>1720778</v>
      </c>
      <c r="CT84" s="139">
        <v>1696546</v>
      </c>
      <c r="CU84" s="139">
        <v>5918134</v>
      </c>
      <c r="CV84" s="139">
        <v>0</v>
      </c>
      <c r="CW84" s="139">
        <v>0</v>
      </c>
      <c r="CX84" s="139">
        <v>0</v>
      </c>
      <c r="CY84" s="139">
        <v>0</v>
      </c>
      <c r="CZ84" s="139">
        <v>1241162</v>
      </c>
      <c r="DA84" s="139">
        <v>1241162</v>
      </c>
      <c r="DB84" s="139">
        <v>0</v>
      </c>
      <c r="DC84" s="139">
        <v>0</v>
      </c>
      <c r="DD84" s="139">
        <v>0</v>
      </c>
      <c r="DE84" s="139">
        <v>0</v>
      </c>
      <c r="DF84" s="139">
        <v>0</v>
      </c>
      <c r="DG84" s="139">
        <v>0</v>
      </c>
      <c r="DH84" s="139">
        <v>4279</v>
      </c>
      <c r="DI84" s="139">
        <v>0</v>
      </c>
      <c r="DJ84" s="139">
        <v>0</v>
      </c>
      <c r="DK84" s="139">
        <v>0</v>
      </c>
      <c r="DL84" s="139">
        <v>78439</v>
      </c>
      <c r="DM84" s="139">
        <v>82718</v>
      </c>
      <c r="DN84" s="139">
        <v>0</v>
      </c>
      <c r="DO84" s="139">
        <v>0</v>
      </c>
      <c r="DP84" s="139">
        <v>0</v>
      </c>
      <c r="DQ84" s="139">
        <v>0</v>
      </c>
      <c r="DR84" s="139">
        <v>137029</v>
      </c>
      <c r="DS84" s="139">
        <v>137029</v>
      </c>
      <c r="DT84" s="139">
        <v>20945</v>
      </c>
      <c r="DU84" s="139">
        <v>0</v>
      </c>
      <c r="DV84" s="139">
        <v>17499</v>
      </c>
      <c r="DW84" s="139">
        <v>109012</v>
      </c>
      <c r="DX84" s="139">
        <v>0</v>
      </c>
      <c r="DY84" s="139">
        <v>147456</v>
      </c>
      <c r="DZ84" s="139">
        <v>0</v>
      </c>
      <c r="EA84" s="139">
        <v>0</v>
      </c>
      <c r="EB84" s="139">
        <v>0</v>
      </c>
      <c r="EC84" s="139">
        <v>0</v>
      </c>
      <c r="ED84" s="139">
        <v>0</v>
      </c>
      <c r="EE84" s="139">
        <v>0</v>
      </c>
      <c r="EF84" s="139">
        <v>0</v>
      </c>
      <c r="EG84" s="139">
        <v>0</v>
      </c>
      <c r="EH84" s="139">
        <v>0</v>
      </c>
      <c r="EI84" s="139">
        <v>0</v>
      </c>
      <c r="EJ84" s="139">
        <v>0</v>
      </c>
      <c r="EK84" s="139">
        <v>0</v>
      </c>
      <c r="EL84" s="139">
        <v>6303814</v>
      </c>
      <c r="EM84" s="139">
        <v>2494725</v>
      </c>
      <c r="EN84" s="139">
        <v>1982267</v>
      </c>
      <c r="EO84" s="139">
        <v>6641063</v>
      </c>
      <c r="EP84" s="139">
        <v>7206872</v>
      </c>
      <c r="EQ84" s="139">
        <v>24628741</v>
      </c>
      <c r="ER84" s="139">
        <v>1967728</v>
      </c>
      <c r="ES84" s="139">
        <v>329882</v>
      </c>
      <c r="ET84" s="139">
        <v>336410</v>
      </c>
      <c r="EU84" s="139">
        <v>2285900</v>
      </c>
      <c r="EV84" s="139">
        <v>251741</v>
      </c>
      <c r="EW84" s="139">
        <v>5171661</v>
      </c>
      <c r="EX84" s="139">
        <v>610000</v>
      </c>
      <c r="EY84" s="139">
        <v>0</v>
      </c>
      <c r="EZ84" s="139">
        <v>0</v>
      </c>
      <c r="FA84" s="139">
        <v>43782</v>
      </c>
      <c r="FB84" s="139">
        <v>0</v>
      </c>
      <c r="FC84" s="139">
        <v>653782</v>
      </c>
      <c r="FD84" s="139">
        <v>1728471</v>
      </c>
      <c r="FE84" s="139">
        <v>816681</v>
      </c>
      <c r="FF84" s="139">
        <v>362665</v>
      </c>
      <c r="FG84" s="139">
        <v>1235024</v>
      </c>
      <c r="FH84" s="139">
        <v>0</v>
      </c>
      <c r="FI84" s="139">
        <v>4142841</v>
      </c>
      <c r="FJ84" s="139">
        <v>0</v>
      </c>
      <c r="FK84" s="139">
        <v>0</v>
      </c>
      <c r="FL84" s="139">
        <v>0</v>
      </c>
      <c r="FM84" s="139">
        <v>0</v>
      </c>
      <c r="FN84" s="139">
        <v>0</v>
      </c>
      <c r="FO84" s="139">
        <v>0</v>
      </c>
      <c r="FP84" s="139">
        <v>36292</v>
      </c>
      <c r="FQ84" s="139">
        <v>10982</v>
      </c>
      <c r="FR84" s="139">
        <v>10982</v>
      </c>
      <c r="FS84" s="139">
        <v>30507</v>
      </c>
      <c r="FT84" s="139">
        <v>1907178</v>
      </c>
      <c r="FU84" s="139">
        <v>1995941</v>
      </c>
      <c r="FV84" s="139">
        <v>0</v>
      </c>
      <c r="FW84" s="139">
        <v>0</v>
      </c>
      <c r="FX84" s="139">
        <v>0</v>
      </c>
      <c r="FY84" s="139">
        <v>0</v>
      </c>
      <c r="FZ84" s="139">
        <v>0</v>
      </c>
      <c r="GA84" s="139">
        <v>0</v>
      </c>
      <c r="GB84" s="139">
        <v>0</v>
      </c>
      <c r="GC84" s="139">
        <v>0</v>
      </c>
      <c r="GD84" s="139">
        <v>0</v>
      </c>
      <c r="GE84" s="139">
        <v>0</v>
      </c>
      <c r="GF84" s="139">
        <v>0</v>
      </c>
      <c r="GG84" s="139">
        <v>0</v>
      </c>
      <c r="GH84" s="139">
        <v>125849</v>
      </c>
      <c r="GI84" s="139">
        <v>55912</v>
      </c>
      <c r="GJ84" s="139">
        <v>61174</v>
      </c>
      <c r="GK84" s="139">
        <v>102339</v>
      </c>
      <c r="GL84" s="139">
        <v>0</v>
      </c>
      <c r="GM84" s="139">
        <v>345274</v>
      </c>
      <c r="GN84" s="139">
        <v>441388</v>
      </c>
      <c r="GO84" s="139">
        <v>159673</v>
      </c>
      <c r="GP84" s="139">
        <v>111729</v>
      </c>
      <c r="GQ84" s="139">
        <v>662879</v>
      </c>
      <c r="GR84" s="139">
        <v>186454</v>
      </c>
      <c r="GS84" s="139">
        <v>1562123</v>
      </c>
      <c r="GT84" s="139">
        <v>367490</v>
      </c>
      <c r="GU84" s="139">
        <v>44399</v>
      </c>
      <c r="GV84" s="139">
        <v>43518</v>
      </c>
      <c r="GW84" s="139">
        <v>364186</v>
      </c>
      <c r="GX84" s="139">
        <v>440330</v>
      </c>
      <c r="GY84" s="139">
        <v>1259923</v>
      </c>
      <c r="GZ84" s="139">
        <v>0</v>
      </c>
      <c r="HA84" s="139">
        <v>0</v>
      </c>
      <c r="HB84" s="139">
        <v>0</v>
      </c>
      <c r="HC84" s="139">
        <v>0</v>
      </c>
      <c r="HD84" s="139">
        <v>219926</v>
      </c>
      <c r="HE84" s="139">
        <v>219926</v>
      </c>
      <c r="HF84" s="139">
        <v>0</v>
      </c>
      <c r="HG84" s="139">
        <v>0</v>
      </c>
      <c r="HH84" s="139">
        <v>0</v>
      </c>
      <c r="HI84" s="139">
        <v>0</v>
      </c>
      <c r="HJ84" s="139">
        <v>392225</v>
      </c>
      <c r="HK84" s="139">
        <v>392225</v>
      </c>
      <c r="HL84" s="139">
        <v>19417</v>
      </c>
      <c r="HM84" s="139">
        <v>0</v>
      </c>
      <c r="HN84" s="139">
        <v>13760</v>
      </c>
      <c r="HO84" s="139">
        <v>114120</v>
      </c>
      <c r="HP84" s="139">
        <v>0</v>
      </c>
      <c r="HQ84" s="139">
        <v>147297</v>
      </c>
      <c r="HR84" s="139">
        <v>400000</v>
      </c>
      <c r="HS84" s="139">
        <v>0</v>
      </c>
      <c r="HT84" s="139">
        <v>0</v>
      </c>
      <c r="HU84" s="139">
        <v>28774</v>
      </c>
      <c r="HV84" s="139">
        <v>264163</v>
      </c>
      <c r="HW84" s="139">
        <v>692937</v>
      </c>
      <c r="HX84" s="139">
        <v>0</v>
      </c>
      <c r="HY84" s="139">
        <v>0</v>
      </c>
      <c r="HZ84" s="139">
        <v>0</v>
      </c>
      <c r="IA84" s="139">
        <v>0</v>
      </c>
      <c r="IB84" s="139">
        <v>54045</v>
      </c>
      <c r="IC84" s="139">
        <v>54045</v>
      </c>
      <c r="ID84" s="139">
        <v>445183</v>
      </c>
      <c r="IE84" s="139">
        <v>1028506</v>
      </c>
      <c r="IF84" s="139">
        <v>1027121</v>
      </c>
      <c r="IG84" s="139">
        <v>1720778</v>
      </c>
      <c r="IH84" s="139">
        <v>1696546</v>
      </c>
      <c r="II84" s="139">
        <v>5918134</v>
      </c>
      <c r="IJ84" s="139">
        <v>0</v>
      </c>
      <c r="IK84" s="139">
        <v>0</v>
      </c>
      <c r="IL84" s="139">
        <v>0</v>
      </c>
      <c r="IM84" s="139">
        <v>0</v>
      </c>
      <c r="IN84" s="139">
        <v>181343</v>
      </c>
      <c r="IO84" s="139">
        <v>181343</v>
      </c>
      <c r="IP84" s="139">
        <v>0</v>
      </c>
      <c r="IQ84" s="139">
        <v>0</v>
      </c>
      <c r="IR84" s="139">
        <v>0</v>
      </c>
      <c r="IS84" s="139">
        <v>0</v>
      </c>
      <c r="IT84" s="139">
        <v>33188</v>
      </c>
      <c r="IU84" s="139">
        <v>33188</v>
      </c>
      <c r="IV84" s="139">
        <v>161996</v>
      </c>
      <c r="IW84" s="139">
        <v>48690</v>
      </c>
      <c r="IX84" s="139">
        <v>14908</v>
      </c>
      <c r="IY84" s="139">
        <v>96556</v>
      </c>
      <c r="IZ84" s="139">
        <v>1535951</v>
      </c>
      <c r="JA84" s="139">
        <v>1858101</v>
      </c>
      <c r="JB84" s="139">
        <v>6303814</v>
      </c>
      <c r="JC84" s="139">
        <v>2494725</v>
      </c>
      <c r="JD84" s="139">
        <v>1982267</v>
      </c>
      <c r="JE84" s="139">
        <v>6684845</v>
      </c>
      <c r="JF84" s="139">
        <v>7163090</v>
      </c>
      <c r="JG84" s="139">
        <v>24628741</v>
      </c>
      <c r="JH84" s="139">
        <v>0</v>
      </c>
      <c r="JI84" s="139">
        <v>0</v>
      </c>
      <c r="JJ84" s="139">
        <v>0</v>
      </c>
      <c r="JK84" s="139">
        <v>0</v>
      </c>
      <c r="JL84" s="139">
        <v>0</v>
      </c>
      <c r="JM84" s="139">
        <v>0</v>
      </c>
      <c r="JN84" s="139">
        <v>6303814</v>
      </c>
      <c r="JO84" s="139">
        <v>2494725</v>
      </c>
      <c r="JP84" s="139">
        <v>1982267</v>
      </c>
      <c r="JQ84" s="139">
        <v>6684845</v>
      </c>
      <c r="JR84" s="139">
        <v>7163090</v>
      </c>
      <c r="JS84" s="139">
        <v>24628741</v>
      </c>
      <c r="JU84" s="70">
        <f t="shared" si="158"/>
        <v>463063</v>
      </c>
      <c r="JV84" s="70">
        <f t="shared" si="159"/>
        <v>0</v>
      </c>
      <c r="JW84" s="70">
        <f t="shared" si="160"/>
        <v>1014429</v>
      </c>
      <c r="JX84" s="70">
        <f t="shared" si="161"/>
        <v>0</v>
      </c>
      <c r="JY84" s="70">
        <f t="shared" si="162"/>
        <v>2453500</v>
      </c>
      <c r="JZ84" s="70">
        <f t="shared" si="163"/>
        <v>0</v>
      </c>
      <c r="KA84" s="70">
        <f t="shared" si="164"/>
        <v>2268841</v>
      </c>
      <c r="KB84" s="70">
        <f t="shared" si="165"/>
        <v>0</v>
      </c>
      <c r="KC84" s="70">
        <f t="shared" si="166"/>
        <v>0</v>
      </c>
      <c r="KD84" s="70">
        <f t="shared" si="167"/>
        <v>0</v>
      </c>
      <c r="KE84" s="70">
        <f t="shared" si="168"/>
        <v>0</v>
      </c>
      <c r="KF84" s="70">
        <f t="shared" si="169"/>
        <v>0</v>
      </c>
      <c r="KG84" s="70">
        <f t="shared" si="170"/>
        <v>10902409</v>
      </c>
      <c r="KH84" s="70">
        <f t="shared" si="171"/>
        <v>0</v>
      </c>
      <c r="KI84" s="70">
        <f t="shared" si="172"/>
        <v>5918134</v>
      </c>
      <c r="KJ84" s="70">
        <f t="shared" si="173"/>
        <v>0</v>
      </c>
      <c r="KK84" s="70">
        <f t="shared" si="174"/>
        <v>1241162</v>
      </c>
      <c r="KL84" s="70">
        <f t="shared" si="175"/>
        <v>0</v>
      </c>
      <c r="KM84" s="70">
        <f t="shared" si="176"/>
        <v>0</v>
      </c>
      <c r="KN84" s="70">
        <f t="shared" si="177"/>
        <v>0</v>
      </c>
      <c r="KO84" s="70">
        <f t="shared" si="178"/>
        <v>82718</v>
      </c>
      <c r="KP84" s="70">
        <f t="shared" si="179"/>
        <v>0</v>
      </c>
      <c r="KQ84" s="70">
        <f t="shared" si="180"/>
        <v>137029</v>
      </c>
      <c r="KR84" s="70">
        <f t="shared" si="181"/>
        <v>0</v>
      </c>
      <c r="KS84" s="70">
        <f t="shared" si="182"/>
        <v>147456</v>
      </c>
      <c r="KT84" s="70">
        <f t="shared" si="183"/>
        <v>0</v>
      </c>
      <c r="KU84" s="70">
        <f t="shared" si="184"/>
        <v>0</v>
      </c>
      <c r="KV84" s="70">
        <f t="shared" si="185"/>
        <v>0</v>
      </c>
      <c r="KW84" s="70">
        <f t="shared" si="186"/>
        <v>0</v>
      </c>
      <c r="KX84" s="70">
        <f t="shared" si="187"/>
        <v>0</v>
      </c>
      <c r="KY84" s="70">
        <f t="shared" si="188"/>
        <v>24628741</v>
      </c>
      <c r="KZ84" s="70">
        <f t="shared" si="189"/>
        <v>0</v>
      </c>
      <c r="LA84" s="70">
        <f t="shared" si="190"/>
        <v>5171661</v>
      </c>
      <c r="LB84" s="70">
        <f t="shared" si="191"/>
        <v>0</v>
      </c>
      <c r="LC84" s="70">
        <f t="shared" si="192"/>
        <v>653782</v>
      </c>
      <c r="LD84" s="70">
        <f t="shared" si="193"/>
        <v>0</v>
      </c>
      <c r="LE84" s="70">
        <f t="shared" si="194"/>
        <v>4142841</v>
      </c>
      <c r="LF84" s="70">
        <f t="shared" si="195"/>
        <v>0</v>
      </c>
      <c r="LG84" s="70">
        <f t="shared" si="234"/>
        <v>0</v>
      </c>
      <c r="LH84" s="70">
        <f t="shared" si="235"/>
        <v>0</v>
      </c>
      <c r="LI84" s="70">
        <f t="shared" si="196"/>
        <v>1995941</v>
      </c>
      <c r="LJ84" s="70">
        <f t="shared" si="197"/>
        <v>0</v>
      </c>
      <c r="LK84" s="70">
        <f t="shared" si="198"/>
        <v>0</v>
      </c>
      <c r="LL84" s="70">
        <f t="shared" si="199"/>
        <v>0</v>
      </c>
      <c r="LM84" s="70">
        <f t="shared" si="200"/>
        <v>0</v>
      </c>
      <c r="LN84" s="70">
        <f t="shared" si="201"/>
        <v>0</v>
      </c>
      <c r="LO84" s="70">
        <f t="shared" si="202"/>
        <v>345274</v>
      </c>
      <c r="LP84" s="70">
        <f t="shared" si="203"/>
        <v>0</v>
      </c>
      <c r="LQ84" s="70">
        <f t="shared" si="204"/>
        <v>1562123</v>
      </c>
      <c r="LR84" s="70">
        <f t="shared" si="205"/>
        <v>0</v>
      </c>
      <c r="LS84" s="70">
        <f t="shared" si="206"/>
        <v>1259923</v>
      </c>
      <c r="LT84" s="70">
        <f t="shared" si="207"/>
        <v>0</v>
      </c>
      <c r="LU84" s="70">
        <f t="shared" si="208"/>
        <v>219926</v>
      </c>
      <c r="LV84" s="70">
        <f t="shared" si="209"/>
        <v>0</v>
      </c>
      <c r="LW84" s="70">
        <f t="shared" si="210"/>
        <v>392225</v>
      </c>
      <c r="LX84" s="70">
        <f t="shared" si="211"/>
        <v>0</v>
      </c>
      <c r="LY84" s="70">
        <f t="shared" si="212"/>
        <v>147297</v>
      </c>
      <c r="LZ84" s="70">
        <f t="shared" si="213"/>
        <v>0</v>
      </c>
      <c r="MA84" s="70">
        <f t="shared" si="214"/>
        <v>692937</v>
      </c>
      <c r="MB84" s="70">
        <f t="shared" si="215"/>
        <v>0</v>
      </c>
      <c r="MC84" s="70">
        <f t="shared" si="216"/>
        <v>54045</v>
      </c>
      <c r="MD84" s="70">
        <f t="shared" si="217"/>
        <v>0</v>
      </c>
      <c r="ME84" s="70">
        <f t="shared" si="218"/>
        <v>5918134</v>
      </c>
      <c r="MF84" s="70">
        <f t="shared" si="219"/>
        <v>0</v>
      </c>
      <c r="MG84" s="70">
        <f t="shared" si="220"/>
        <v>181343</v>
      </c>
      <c r="MH84" s="70">
        <f t="shared" si="221"/>
        <v>0</v>
      </c>
      <c r="MI84" s="70">
        <f t="shared" si="222"/>
        <v>33188</v>
      </c>
      <c r="MJ84" s="70">
        <f t="shared" si="223"/>
        <v>0</v>
      </c>
      <c r="MK84" s="70">
        <f t="shared" si="224"/>
        <v>1858101</v>
      </c>
      <c r="ML84" s="70">
        <f t="shared" si="225"/>
        <v>0</v>
      </c>
      <c r="MM84" s="70">
        <f t="shared" si="226"/>
        <v>24628741</v>
      </c>
      <c r="MN84" s="70">
        <f t="shared" si="227"/>
        <v>0</v>
      </c>
      <c r="MO84" s="70">
        <f t="shared" si="228"/>
        <v>0</v>
      </c>
      <c r="MP84" s="70">
        <f t="shared" si="229"/>
        <v>0</v>
      </c>
      <c r="MQ84" s="70">
        <f t="shared" si="230"/>
        <v>24628741</v>
      </c>
      <c r="MR84" s="70">
        <f t="shared" si="231"/>
        <v>0</v>
      </c>
      <c r="MT84" s="70">
        <f t="shared" si="232"/>
        <v>0</v>
      </c>
      <c r="MV84" s="68">
        <f t="shared" si="233"/>
        <v>0</v>
      </c>
    </row>
    <row r="85" spans="1:361" x14ac:dyDescent="0.15">
      <c r="A85" s="182" t="s">
        <v>368</v>
      </c>
      <c r="B85" s="76" t="s">
        <v>427</v>
      </c>
      <c r="C85" s="90">
        <v>110662</v>
      </c>
      <c r="D85" s="90">
        <v>2014</v>
      </c>
      <c r="E85" s="90">
        <v>1</v>
      </c>
      <c r="F85" s="91">
        <v>4</v>
      </c>
      <c r="G85" s="92">
        <v>12514</v>
      </c>
      <c r="H85" s="92">
        <v>15557</v>
      </c>
      <c r="I85" s="93">
        <v>5742842000</v>
      </c>
      <c r="J85" s="93">
        <v>5361458000</v>
      </c>
      <c r="K85" s="93">
        <v>2900499</v>
      </c>
      <c r="L85" s="93">
        <v>2244729</v>
      </c>
      <c r="M85" s="93">
        <v>204886000</v>
      </c>
      <c r="N85" s="93">
        <v>381202000</v>
      </c>
      <c r="O85" s="93">
        <v>107049209</v>
      </c>
      <c r="P85" s="93">
        <v>111575977</v>
      </c>
      <c r="Q85" s="93">
        <v>3320121000</v>
      </c>
      <c r="R85" s="93">
        <v>3310456000</v>
      </c>
      <c r="S85" s="93">
        <v>3309450000</v>
      </c>
      <c r="T85" s="93">
        <v>3125807000</v>
      </c>
      <c r="U85" s="93">
        <v>26671</v>
      </c>
      <c r="V85" s="93">
        <v>26477</v>
      </c>
      <c r="W85" s="93">
        <v>49549</v>
      </c>
      <c r="X85" s="93">
        <v>49355</v>
      </c>
      <c r="Y85" s="93">
        <v>31003</v>
      </c>
      <c r="Z85" s="93">
        <v>30506</v>
      </c>
      <c r="AA85" s="93">
        <v>53881</v>
      </c>
      <c r="AB85" s="93">
        <v>53384</v>
      </c>
      <c r="AC85" s="114">
        <v>11</v>
      </c>
      <c r="AD85" s="114">
        <v>14</v>
      </c>
      <c r="AE85" s="114">
        <v>0</v>
      </c>
      <c r="AF85" s="115">
        <v>6383028</v>
      </c>
      <c r="AG85" s="115">
        <v>5637064</v>
      </c>
      <c r="AH85" s="115">
        <v>826517</v>
      </c>
      <c r="AI85" s="115">
        <v>428569</v>
      </c>
      <c r="AJ85" s="115">
        <v>906764</v>
      </c>
      <c r="AK85" s="116">
        <v>8.5</v>
      </c>
      <c r="AL85" s="115">
        <v>856388</v>
      </c>
      <c r="AM85" s="116">
        <v>9</v>
      </c>
      <c r="AN85" s="115">
        <v>242821</v>
      </c>
      <c r="AO85" s="116">
        <v>9.75</v>
      </c>
      <c r="AP85" s="115">
        <v>197292</v>
      </c>
      <c r="AQ85" s="116">
        <v>12</v>
      </c>
      <c r="AR85" s="115">
        <v>269121</v>
      </c>
      <c r="AS85" s="116">
        <v>23.5</v>
      </c>
      <c r="AT85" s="115">
        <v>243244</v>
      </c>
      <c r="AU85" s="116">
        <v>26</v>
      </c>
      <c r="AV85" s="115">
        <v>113989</v>
      </c>
      <c r="AW85" s="116">
        <v>20.75</v>
      </c>
      <c r="AX85" s="115">
        <v>98553</v>
      </c>
      <c r="AY85" s="116">
        <v>24</v>
      </c>
      <c r="AZ85" s="139">
        <v>10631721</v>
      </c>
      <c r="BA85" s="139">
        <v>6698100</v>
      </c>
      <c r="BB85" s="139">
        <v>112217</v>
      </c>
      <c r="BC85" s="139">
        <v>363953</v>
      </c>
      <c r="BD85" s="139">
        <v>1683</v>
      </c>
      <c r="BE85" s="139">
        <v>17807674</v>
      </c>
      <c r="BF85" s="139">
        <v>0</v>
      </c>
      <c r="BG85" s="139">
        <v>0</v>
      </c>
      <c r="BH85" s="139">
        <v>779938</v>
      </c>
      <c r="BI85" s="139">
        <v>1871334</v>
      </c>
      <c r="BJ85" s="139">
        <v>0</v>
      </c>
      <c r="BK85" s="139">
        <v>2651272</v>
      </c>
      <c r="BL85" s="139">
        <v>318600</v>
      </c>
      <c r="BM85" s="139">
        <v>180000</v>
      </c>
      <c r="BN85" s="139">
        <v>5000</v>
      </c>
      <c r="BO85" s="139">
        <v>18900</v>
      </c>
      <c r="BP85" s="139">
        <v>0</v>
      </c>
      <c r="BQ85" s="139">
        <v>522500</v>
      </c>
      <c r="BR85" s="139">
        <v>1137132</v>
      </c>
      <c r="BS85" s="139">
        <v>180216</v>
      </c>
      <c r="BT85" s="139">
        <v>393758</v>
      </c>
      <c r="BU85" s="139">
        <v>1937108</v>
      </c>
      <c r="BV85" s="139">
        <v>12580965</v>
      </c>
      <c r="BW85" s="139">
        <v>16229179</v>
      </c>
      <c r="BX85" s="139">
        <v>0</v>
      </c>
      <c r="BY85" s="139">
        <v>0</v>
      </c>
      <c r="BZ85" s="139">
        <v>0</v>
      </c>
      <c r="CA85" s="139">
        <v>0</v>
      </c>
      <c r="CB85" s="139">
        <v>0</v>
      </c>
      <c r="CC85" s="139">
        <v>0</v>
      </c>
      <c r="CD85" s="139">
        <v>0</v>
      </c>
      <c r="CE85" s="139">
        <v>0</v>
      </c>
      <c r="CF85" s="139">
        <v>0</v>
      </c>
      <c r="CG85" s="139">
        <v>0</v>
      </c>
      <c r="CH85" s="139">
        <v>0</v>
      </c>
      <c r="CI85" s="139">
        <v>0</v>
      </c>
      <c r="CJ85" s="139">
        <v>0</v>
      </c>
      <c r="CK85" s="139">
        <v>0</v>
      </c>
      <c r="CL85" s="139">
        <v>0</v>
      </c>
      <c r="CM85" s="139">
        <v>0</v>
      </c>
      <c r="CN85" s="139">
        <v>60000</v>
      </c>
      <c r="CO85" s="139">
        <v>60000</v>
      </c>
      <c r="CP85" s="139">
        <v>0</v>
      </c>
      <c r="CQ85" s="139">
        <v>0</v>
      </c>
      <c r="CR85" s="139">
        <v>0</v>
      </c>
      <c r="CS85" s="139">
        <v>0</v>
      </c>
      <c r="CT85" s="139">
        <v>0</v>
      </c>
      <c r="CU85" s="139">
        <v>0</v>
      </c>
      <c r="CV85" s="139">
        <v>3469362</v>
      </c>
      <c r="CW85" s="139">
        <v>1463841</v>
      </c>
      <c r="CX85" s="139">
        <v>0</v>
      </c>
      <c r="CY85" s="139">
        <v>179057</v>
      </c>
      <c r="CZ85" s="139">
        <v>2952079</v>
      </c>
      <c r="DA85" s="139">
        <v>8064339</v>
      </c>
      <c r="DB85" s="139">
        <v>13593415</v>
      </c>
      <c r="DC85" s="139">
        <v>2785410</v>
      </c>
      <c r="DD85" s="139">
        <v>0</v>
      </c>
      <c r="DE85" s="139">
        <v>0</v>
      </c>
      <c r="DF85" s="139">
        <v>1157638</v>
      </c>
      <c r="DG85" s="139">
        <v>17536463</v>
      </c>
      <c r="DH85" s="139">
        <v>372042</v>
      </c>
      <c r="DI85" s="139">
        <v>107097</v>
      </c>
      <c r="DJ85" s="139">
        <v>0</v>
      </c>
      <c r="DK85" s="139">
        <v>0</v>
      </c>
      <c r="DL85" s="139">
        <v>104011</v>
      </c>
      <c r="DM85" s="139">
        <v>583150</v>
      </c>
      <c r="DN85" s="139">
        <v>0</v>
      </c>
      <c r="DO85" s="139">
        <v>0</v>
      </c>
      <c r="DP85" s="139">
        <v>0</v>
      </c>
      <c r="DQ85" s="139">
        <v>0</v>
      </c>
      <c r="DR85" s="139">
        <v>11652329</v>
      </c>
      <c r="DS85" s="139">
        <v>11652329</v>
      </c>
      <c r="DT85" s="139">
        <v>89681</v>
      </c>
      <c r="DU85" s="139">
        <v>471674</v>
      </c>
      <c r="DV85" s="139">
        <v>60713</v>
      </c>
      <c r="DW85" s="139">
        <v>2295364</v>
      </c>
      <c r="DX85" s="139">
        <v>132752</v>
      </c>
      <c r="DY85" s="139">
        <v>3050184</v>
      </c>
      <c r="DZ85" s="139">
        <v>692804</v>
      </c>
      <c r="EA85" s="139">
        <v>239128</v>
      </c>
      <c r="EB85" s="139">
        <v>68195</v>
      </c>
      <c r="EC85" s="139">
        <v>557767</v>
      </c>
      <c r="ED85" s="139">
        <v>2390457</v>
      </c>
      <c r="EE85" s="139">
        <v>3948351</v>
      </c>
      <c r="EF85" s="139">
        <v>43529</v>
      </c>
      <c r="EG85" s="139">
        <v>42765</v>
      </c>
      <c r="EH85" s="139">
        <v>6680</v>
      </c>
      <c r="EI85" s="139">
        <v>230672</v>
      </c>
      <c r="EJ85" s="139">
        <v>3997693</v>
      </c>
      <c r="EK85" s="139">
        <v>4321339</v>
      </c>
      <c r="EL85" s="139">
        <v>30348286</v>
      </c>
      <c r="EM85" s="139">
        <v>12168231</v>
      </c>
      <c r="EN85" s="139">
        <v>1426501</v>
      </c>
      <c r="EO85" s="139">
        <v>7454155</v>
      </c>
      <c r="EP85" s="139">
        <v>35029607</v>
      </c>
      <c r="EQ85" s="139">
        <v>86426780</v>
      </c>
      <c r="ER85" s="139">
        <v>3710110</v>
      </c>
      <c r="ES85" s="139">
        <v>517832</v>
      </c>
      <c r="ET85" s="139">
        <v>605308</v>
      </c>
      <c r="EU85" s="139">
        <v>7186842</v>
      </c>
      <c r="EV85" s="139">
        <v>118271</v>
      </c>
      <c r="EW85" s="139">
        <v>12138363</v>
      </c>
      <c r="EX85" s="139">
        <v>1050000</v>
      </c>
      <c r="EY85" s="139">
        <v>665500</v>
      </c>
      <c r="EZ85" s="139">
        <v>14500</v>
      </c>
      <c r="FA85" s="139">
        <v>11000</v>
      </c>
      <c r="FB85" s="139">
        <v>0</v>
      </c>
      <c r="FC85" s="139">
        <v>1741000</v>
      </c>
      <c r="FD85" s="139">
        <v>7210234</v>
      </c>
      <c r="FE85" s="139">
        <v>3309411</v>
      </c>
      <c r="FF85" s="139">
        <v>1050209</v>
      </c>
      <c r="FG85" s="139">
        <v>7194746</v>
      </c>
      <c r="FH85" s="139">
        <v>0</v>
      </c>
      <c r="FI85" s="139">
        <v>18764600</v>
      </c>
      <c r="FJ85" s="139">
        <v>0</v>
      </c>
      <c r="FK85" s="139">
        <v>0</v>
      </c>
      <c r="FL85" s="139">
        <v>0</v>
      </c>
      <c r="FM85" s="139">
        <v>0</v>
      </c>
      <c r="FN85" s="139"/>
      <c r="FO85" s="139">
        <v>0</v>
      </c>
      <c r="FP85" s="139">
        <v>1110698</v>
      </c>
      <c r="FQ85" s="139">
        <v>369165</v>
      </c>
      <c r="FR85" s="139">
        <v>284125</v>
      </c>
      <c r="FS85" s="139">
        <v>285760</v>
      </c>
      <c r="FT85" s="139">
        <v>13940961</v>
      </c>
      <c r="FU85" s="139">
        <v>15990709</v>
      </c>
      <c r="FV85" s="139">
        <v>0</v>
      </c>
      <c r="FW85" s="139">
        <v>0</v>
      </c>
      <c r="FX85" s="139">
        <v>0</v>
      </c>
      <c r="FY85" s="139">
        <v>0</v>
      </c>
      <c r="FZ85" s="139">
        <v>0</v>
      </c>
      <c r="GA85" s="139">
        <v>0</v>
      </c>
      <c r="GB85" s="139">
        <v>157719</v>
      </c>
      <c r="GC85" s="139">
        <v>0</v>
      </c>
      <c r="GD85" s="139">
        <v>0</v>
      </c>
      <c r="GE85" s="139">
        <v>0</v>
      </c>
      <c r="GF85" s="139">
        <v>0</v>
      </c>
      <c r="GG85" s="139">
        <v>157719</v>
      </c>
      <c r="GH85" s="139">
        <v>501391</v>
      </c>
      <c r="GI85" s="139">
        <v>178186</v>
      </c>
      <c r="GJ85" s="139">
        <v>151073</v>
      </c>
      <c r="GK85" s="139">
        <v>424436</v>
      </c>
      <c r="GL85" s="139">
        <v>52007</v>
      </c>
      <c r="GM85" s="139">
        <v>1307093</v>
      </c>
      <c r="GN85" s="139">
        <v>2894611</v>
      </c>
      <c r="GO85" s="139">
        <v>833948</v>
      </c>
      <c r="GP85" s="139">
        <v>310776</v>
      </c>
      <c r="GQ85" s="139">
        <v>2949081</v>
      </c>
      <c r="GR85" s="139">
        <v>0</v>
      </c>
      <c r="GS85" s="139">
        <v>6988416</v>
      </c>
      <c r="GT85" s="139">
        <v>1016551</v>
      </c>
      <c r="GU85" s="139">
        <v>195767</v>
      </c>
      <c r="GV85" s="139">
        <v>117050</v>
      </c>
      <c r="GW85" s="139">
        <v>1246711</v>
      </c>
      <c r="GX85" s="139">
        <v>406531</v>
      </c>
      <c r="GY85" s="139">
        <v>2982610</v>
      </c>
      <c r="GZ85" s="139">
        <v>3260055</v>
      </c>
      <c r="HA85" s="139">
        <v>1378852</v>
      </c>
      <c r="HB85" s="139">
        <v>432980</v>
      </c>
      <c r="HC85" s="139">
        <v>980452</v>
      </c>
      <c r="HD85" s="139">
        <v>0</v>
      </c>
      <c r="HE85" s="139">
        <v>6052339</v>
      </c>
      <c r="HF85" s="139">
        <v>314120</v>
      </c>
      <c r="HG85" s="139">
        <v>95899</v>
      </c>
      <c r="HH85" s="139">
        <v>0</v>
      </c>
      <c r="HI85" s="139">
        <v>0</v>
      </c>
      <c r="HJ85" s="139">
        <v>1552575</v>
      </c>
      <c r="HK85" s="139">
        <v>1962594</v>
      </c>
      <c r="HL85" s="139">
        <v>89486</v>
      </c>
      <c r="HM85" s="139">
        <v>345523</v>
      </c>
      <c r="HN85" s="139">
        <v>42052</v>
      </c>
      <c r="HO85" s="139">
        <v>1120177</v>
      </c>
      <c r="HP85" s="139">
        <v>45260</v>
      </c>
      <c r="HQ85" s="139">
        <v>1642498</v>
      </c>
      <c r="HR85" s="139">
        <v>698082</v>
      </c>
      <c r="HS85" s="139">
        <v>837</v>
      </c>
      <c r="HT85" s="139">
        <v>420</v>
      </c>
      <c r="HU85" s="139">
        <v>158117</v>
      </c>
      <c r="HV85" s="139">
        <v>8225485</v>
      </c>
      <c r="HW85" s="139">
        <v>9082941</v>
      </c>
      <c r="HX85" s="139">
        <v>0</v>
      </c>
      <c r="HY85" s="139">
        <v>0</v>
      </c>
      <c r="HZ85" s="139">
        <v>0</v>
      </c>
      <c r="IA85" s="139">
        <v>0</v>
      </c>
      <c r="IB85" s="139">
        <v>0</v>
      </c>
      <c r="IC85" s="139">
        <v>0</v>
      </c>
      <c r="ID85" s="139">
        <v>0</v>
      </c>
      <c r="IE85" s="139">
        <v>0</v>
      </c>
      <c r="IF85" s="139">
        <v>0</v>
      </c>
      <c r="IG85" s="139">
        <v>0</v>
      </c>
      <c r="IH85" s="139">
        <v>0</v>
      </c>
      <c r="II85" s="139">
        <v>0</v>
      </c>
      <c r="IJ85" s="139">
        <v>0</v>
      </c>
      <c r="IK85" s="139">
        <v>0</v>
      </c>
      <c r="IL85" s="139">
        <v>0</v>
      </c>
      <c r="IM85" s="139">
        <v>0</v>
      </c>
      <c r="IN85" s="139">
        <v>404201</v>
      </c>
      <c r="IO85" s="139">
        <v>404201</v>
      </c>
      <c r="IP85" s="139">
        <v>19622</v>
      </c>
      <c r="IQ85" s="139">
        <v>11146</v>
      </c>
      <c r="IR85" s="139">
        <v>11618</v>
      </c>
      <c r="IS85" s="139">
        <v>40639</v>
      </c>
      <c r="IT85" s="139">
        <v>16341</v>
      </c>
      <c r="IU85" s="139">
        <v>99366</v>
      </c>
      <c r="IV85" s="139">
        <v>2059534</v>
      </c>
      <c r="IW85" s="139">
        <v>474915</v>
      </c>
      <c r="IX85" s="139">
        <v>338169</v>
      </c>
      <c r="IY85" s="139">
        <v>1767982</v>
      </c>
      <c r="IZ85" s="139">
        <v>2471731</v>
      </c>
      <c r="JA85" s="139">
        <v>7112331</v>
      </c>
      <c r="JB85" s="139">
        <v>24092213</v>
      </c>
      <c r="JC85" s="139">
        <v>8376981</v>
      </c>
      <c r="JD85" s="139">
        <v>3358280</v>
      </c>
      <c r="JE85" s="139">
        <v>23365943</v>
      </c>
      <c r="JF85" s="139">
        <v>27233363</v>
      </c>
      <c r="JG85" s="139">
        <v>86426780</v>
      </c>
      <c r="JH85" s="139">
        <v>0</v>
      </c>
      <c r="JI85" s="139">
        <v>0</v>
      </c>
      <c r="JJ85" s="139">
        <v>0</v>
      </c>
      <c r="JK85" s="139">
        <v>0</v>
      </c>
      <c r="JL85" s="139">
        <v>0</v>
      </c>
      <c r="JM85" s="139">
        <v>0</v>
      </c>
      <c r="JN85" s="139">
        <v>24092213</v>
      </c>
      <c r="JO85" s="139">
        <v>8376981</v>
      </c>
      <c r="JP85" s="139">
        <v>3358280</v>
      </c>
      <c r="JQ85" s="139">
        <v>23365943</v>
      </c>
      <c r="JR85" s="139">
        <v>27233363</v>
      </c>
      <c r="JS85" s="139">
        <v>86426780</v>
      </c>
      <c r="JU85" s="70">
        <f t="shared" si="158"/>
        <v>17807674</v>
      </c>
      <c r="JV85" s="70">
        <f t="shared" si="159"/>
        <v>0</v>
      </c>
      <c r="JW85" s="70">
        <f t="shared" si="160"/>
        <v>2651272</v>
      </c>
      <c r="JX85" s="70">
        <f t="shared" si="161"/>
        <v>0</v>
      </c>
      <c r="JY85" s="70">
        <f t="shared" si="162"/>
        <v>522500</v>
      </c>
      <c r="JZ85" s="70">
        <f t="shared" si="163"/>
        <v>0</v>
      </c>
      <c r="KA85" s="70">
        <f t="shared" si="164"/>
        <v>16229179</v>
      </c>
      <c r="KB85" s="70">
        <f t="shared" si="165"/>
        <v>0</v>
      </c>
      <c r="KC85" s="70">
        <f t="shared" si="166"/>
        <v>0</v>
      </c>
      <c r="KD85" s="70">
        <f t="shared" si="167"/>
        <v>0</v>
      </c>
      <c r="KE85" s="70">
        <f t="shared" si="168"/>
        <v>0</v>
      </c>
      <c r="KF85" s="70">
        <f t="shared" si="169"/>
        <v>0</v>
      </c>
      <c r="KG85" s="70">
        <f t="shared" si="170"/>
        <v>60000</v>
      </c>
      <c r="KH85" s="70">
        <f t="shared" si="171"/>
        <v>0</v>
      </c>
      <c r="KI85" s="70">
        <f t="shared" si="172"/>
        <v>0</v>
      </c>
      <c r="KJ85" s="70">
        <f t="shared" si="173"/>
        <v>0</v>
      </c>
      <c r="KK85" s="70">
        <f t="shared" si="174"/>
        <v>8064339</v>
      </c>
      <c r="KL85" s="70">
        <f t="shared" si="175"/>
        <v>0</v>
      </c>
      <c r="KM85" s="70">
        <f t="shared" si="176"/>
        <v>17536463</v>
      </c>
      <c r="KN85" s="70">
        <f t="shared" si="177"/>
        <v>0</v>
      </c>
      <c r="KO85" s="70">
        <f t="shared" si="178"/>
        <v>583150</v>
      </c>
      <c r="KP85" s="70">
        <f t="shared" si="179"/>
        <v>0</v>
      </c>
      <c r="KQ85" s="70">
        <f t="shared" si="180"/>
        <v>11652329</v>
      </c>
      <c r="KR85" s="70">
        <f t="shared" si="181"/>
        <v>0</v>
      </c>
      <c r="KS85" s="70">
        <f t="shared" si="182"/>
        <v>3050184</v>
      </c>
      <c r="KT85" s="70">
        <f t="shared" si="183"/>
        <v>0</v>
      </c>
      <c r="KU85" s="70">
        <f t="shared" si="184"/>
        <v>3948351</v>
      </c>
      <c r="KV85" s="70">
        <f t="shared" si="185"/>
        <v>0</v>
      </c>
      <c r="KW85" s="70">
        <f t="shared" si="186"/>
        <v>4321339</v>
      </c>
      <c r="KX85" s="70">
        <f t="shared" si="187"/>
        <v>0</v>
      </c>
      <c r="KY85" s="70">
        <f t="shared" si="188"/>
        <v>86426780</v>
      </c>
      <c r="KZ85" s="70">
        <f t="shared" si="189"/>
        <v>0</v>
      </c>
      <c r="LA85" s="70">
        <f t="shared" si="190"/>
        <v>12138363</v>
      </c>
      <c r="LB85" s="70">
        <f t="shared" si="191"/>
        <v>0</v>
      </c>
      <c r="LC85" s="70">
        <f t="shared" si="192"/>
        <v>1741000</v>
      </c>
      <c r="LD85" s="70">
        <f t="shared" si="193"/>
        <v>0</v>
      </c>
      <c r="LE85" s="70">
        <f t="shared" si="194"/>
        <v>18764600</v>
      </c>
      <c r="LF85" s="70">
        <f t="shared" si="195"/>
        <v>0</v>
      </c>
      <c r="LG85" s="70">
        <f t="shared" si="234"/>
        <v>0</v>
      </c>
      <c r="LH85" s="70">
        <f t="shared" si="235"/>
        <v>0</v>
      </c>
      <c r="LI85" s="70">
        <f t="shared" si="196"/>
        <v>15990709</v>
      </c>
      <c r="LJ85" s="70">
        <f t="shared" si="197"/>
        <v>0</v>
      </c>
      <c r="LK85" s="70">
        <f t="shared" si="198"/>
        <v>0</v>
      </c>
      <c r="LL85" s="70">
        <f t="shared" si="199"/>
        <v>0</v>
      </c>
      <c r="LM85" s="70">
        <f t="shared" si="200"/>
        <v>157719</v>
      </c>
      <c r="LN85" s="70">
        <f t="shared" si="201"/>
        <v>0</v>
      </c>
      <c r="LO85" s="70">
        <f t="shared" si="202"/>
        <v>1307093</v>
      </c>
      <c r="LP85" s="70">
        <f t="shared" si="203"/>
        <v>0</v>
      </c>
      <c r="LQ85" s="70">
        <f t="shared" si="204"/>
        <v>6988416</v>
      </c>
      <c r="LR85" s="70">
        <f t="shared" si="205"/>
        <v>0</v>
      </c>
      <c r="LS85" s="70">
        <f t="shared" si="206"/>
        <v>2982610</v>
      </c>
      <c r="LT85" s="70">
        <f t="shared" si="207"/>
        <v>0</v>
      </c>
      <c r="LU85" s="70">
        <f t="shared" si="208"/>
        <v>6052339</v>
      </c>
      <c r="LV85" s="70">
        <f t="shared" si="209"/>
        <v>0</v>
      </c>
      <c r="LW85" s="70">
        <f t="shared" si="210"/>
        <v>1962594</v>
      </c>
      <c r="LX85" s="70">
        <f t="shared" si="211"/>
        <v>0</v>
      </c>
      <c r="LY85" s="70">
        <f t="shared" si="212"/>
        <v>1642498</v>
      </c>
      <c r="LZ85" s="70">
        <f t="shared" si="213"/>
        <v>0</v>
      </c>
      <c r="MA85" s="70">
        <f t="shared" si="214"/>
        <v>9082941</v>
      </c>
      <c r="MB85" s="70">
        <f t="shared" si="215"/>
        <v>0</v>
      </c>
      <c r="MC85" s="70">
        <f t="shared" si="216"/>
        <v>0</v>
      </c>
      <c r="MD85" s="70">
        <f t="shared" si="217"/>
        <v>0</v>
      </c>
      <c r="ME85" s="70">
        <f t="shared" si="218"/>
        <v>0</v>
      </c>
      <c r="MF85" s="70">
        <f t="shared" si="219"/>
        <v>0</v>
      </c>
      <c r="MG85" s="70">
        <f t="shared" si="220"/>
        <v>404201</v>
      </c>
      <c r="MH85" s="70">
        <f t="shared" si="221"/>
        <v>0</v>
      </c>
      <c r="MI85" s="70">
        <f t="shared" si="222"/>
        <v>99366</v>
      </c>
      <c r="MJ85" s="70">
        <f t="shared" si="223"/>
        <v>0</v>
      </c>
      <c r="MK85" s="70">
        <f t="shared" si="224"/>
        <v>7112331</v>
      </c>
      <c r="ML85" s="70">
        <f t="shared" si="225"/>
        <v>0</v>
      </c>
      <c r="MM85" s="70">
        <f t="shared" si="226"/>
        <v>86426780</v>
      </c>
      <c r="MN85" s="70">
        <f t="shared" si="227"/>
        <v>0</v>
      </c>
      <c r="MO85" s="70">
        <f t="shared" si="228"/>
        <v>0</v>
      </c>
      <c r="MP85" s="70">
        <f t="shared" si="229"/>
        <v>0</v>
      </c>
      <c r="MQ85" s="70">
        <f t="shared" si="230"/>
        <v>86426780</v>
      </c>
      <c r="MR85" s="70">
        <f t="shared" si="231"/>
        <v>0</v>
      </c>
      <c r="MT85" s="70">
        <f t="shared" si="232"/>
        <v>0</v>
      </c>
      <c r="MV85" s="68">
        <f t="shared" si="233"/>
        <v>0</v>
      </c>
    </row>
    <row r="86" spans="1:361" x14ac:dyDescent="0.15">
      <c r="A86" s="182" t="s">
        <v>369</v>
      </c>
      <c r="B86" s="76" t="s">
        <v>427</v>
      </c>
      <c r="C86" s="90">
        <v>182281</v>
      </c>
      <c r="D86" s="90">
        <v>2014</v>
      </c>
      <c r="E86" s="90">
        <v>1</v>
      </c>
      <c r="F86" s="91">
        <v>10</v>
      </c>
      <c r="G86" s="92">
        <v>7245</v>
      </c>
      <c r="H86" s="92">
        <v>9263</v>
      </c>
      <c r="I86" s="93">
        <v>503479000</v>
      </c>
      <c r="J86" s="93">
        <v>481541000</v>
      </c>
      <c r="K86" s="93">
        <v>2102304</v>
      </c>
      <c r="L86" s="93">
        <v>2022393</v>
      </c>
      <c r="M86" s="93">
        <v>12550281</v>
      </c>
      <c r="N86" s="93">
        <v>11747000</v>
      </c>
      <c r="O86" s="93">
        <v>18711516</v>
      </c>
      <c r="P86" s="93">
        <v>20733909</v>
      </c>
      <c r="Q86" s="93">
        <v>218782735</v>
      </c>
      <c r="R86" s="93">
        <v>209094000</v>
      </c>
      <c r="S86" s="93">
        <v>331780000</v>
      </c>
      <c r="T86" s="93">
        <v>338620000</v>
      </c>
      <c r="U86" s="93">
        <v>18255</v>
      </c>
      <c r="V86" s="93">
        <v>17910</v>
      </c>
      <c r="W86" s="93">
        <v>32859</v>
      </c>
      <c r="X86" s="93">
        <v>31820</v>
      </c>
      <c r="Y86" s="93">
        <v>21614</v>
      </c>
      <c r="Z86" s="93">
        <v>23150</v>
      </c>
      <c r="AA86" s="93">
        <v>36946</v>
      </c>
      <c r="AB86" s="93">
        <v>38338</v>
      </c>
      <c r="AC86" s="114">
        <v>7</v>
      </c>
      <c r="AD86" s="114">
        <v>10</v>
      </c>
      <c r="AE86" s="114">
        <v>0</v>
      </c>
      <c r="AF86" s="115">
        <v>4222630</v>
      </c>
      <c r="AG86" s="115">
        <v>2988766</v>
      </c>
      <c r="AH86" s="115">
        <v>605271</v>
      </c>
      <c r="AI86" s="115">
        <v>238498</v>
      </c>
      <c r="AJ86" s="115">
        <v>354797</v>
      </c>
      <c r="AK86" s="116">
        <v>6.5</v>
      </c>
      <c r="AL86" s="115">
        <v>329454</v>
      </c>
      <c r="AM86" s="116">
        <v>7</v>
      </c>
      <c r="AN86" s="115">
        <v>111243</v>
      </c>
      <c r="AO86" s="116">
        <v>7.5</v>
      </c>
      <c r="AP86" s="115">
        <v>104291</v>
      </c>
      <c r="AQ86" s="116">
        <v>8</v>
      </c>
      <c r="AR86" s="115">
        <v>134691</v>
      </c>
      <c r="AS86" s="116">
        <v>19</v>
      </c>
      <c r="AT86" s="115">
        <v>121863</v>
      </c>
      <c r="AU86" s="116">
        <v>21</v>
      </c>
      <c r="AV86" s="115">
        <v>59551</v>
      </c>
      <c r="AW86" s="116">
        <v>13</v>
      </c>
      <c r="AX86" s="115">
        <v>51611</v>
      </c>
      <c r="AY86" s="116">
        <v>15</v>
      </c>
      <c r="AZ86" s="139">
        <v>1515785</v>
      </c>
      <c r="BA86" s="139">
        <v>3952040</v>
      </c>
      <c r="BB86" s="139">
        <v>20762</v>
      </c>
      <c r="BC86" s="139">
        <v>136043</v>
      </c>
      <c r="BD86" s="139">
        <v>2850</v>
      </c>
      <c r="BE86" s="139">
        <v>5627480</v>
      </c>
      <c r="BF86" s="139">
        <v>355300</v>
      </c>
      <c r="BG86" s="139">
        <v>0</v>
      </c>
      <c r="BH86" s="139">
        <v>0</v>
      </c>
      <c r="BI86" s="139">
        <v>0</v>
      </c>
      <c r="BJ86" s="139">
        <v>2271623</v>
      </c>
      <c r="BK86" s="139">
        <v>2626923</v>
      </c>
      <c r="BL86" s="139">
        <v>250000</v>
      </c>
      <c r="BM86" s="139">
        <v>0</v>
      </c>
      <c r="BN86" s="139">
        <v>20000</v>
      </c>
      <c r="BO86" s="139">
        <v>12865</v>
      </c>
      <c r="BP86" s="139">
        <v>0</v>
      </c>
      <c r="BQ86" s="139">
        <v>282865</v>
      </c>
      <c r="BR86" s="139">
        <v>351023</v>
      </c>
      <c r="BS86" s="139">
        <v>103625</v>
      </c>
      <c r="BT86" s="139">
        <v>18921</v>
      </c>
      <c r="BU86" s="139">
        <v>642612</v>
      </c>
      <c r="BV86" s="139">
        <v>6824333</v>
      </c>
      <c r="BW86" s="139">
        <v>7940514</v>
      </c>
      <c r="BX86" s="139">
        <v>0</v>
      </c>
      <c r="BY86" s="139">
        <v>0</v>
      </c>
      <c r="BZ86" s="139">
        <v>0</v>
      </c>
      <c r="CA86" s="139">
        <v>66198</v>
      </c>
      <c r="CB86" s="139">
        <v>0</v>
      </c>
      <c r="CC86" s="139">
        <v>66198</v>
      </c>
      <c r="CD86" s="139">
        <v>0</v>
      </c>
      <c r="CE86" s="139">
        <v>0</v>
      </c>
      <c r="CF86" s="139">
        <v>0</v>
      </c>
      <c r="CG86" s="139">
        <v>0</v>
      </c>
      <c r="CH86" s="139">
        <v>7038125</v>
      </c>
      <c r="CI86" s="139">
        <v>7038125</v>
      </c>
      <c r="CJ86" s="139">
        <v>102800</v>
      </c>
      <c r="CK86" s="139">
        <v>0</v>
      </c>
      <c r="CL86" s="139">
        <v>300</v>
      </c>
      <c r="CM86" s="139">
        <v>8900</v>
      </c>
      <c r="CN86" s="139">
        <v>2180191</v>
      </c>
      <c r="CO86" s="139">
        <v>2292191</v>
      </c>
      <c r="CP86" s="139">
        <v>0</v>
      </c>
      <c r="CQ86" s="139">
        <v>0</v>
      </c>
      <c r="CR86" s="139">
        <v>0</v>
      </c>
      <c r="CS86" s="139">
        <v>0</v>
      </c>
      <c r="CT86" s="139">
        <v>7826035</v>
      </c>
      <c r="CU86" s="139">
        <v>7826035</v>
      </c>
      <c r="CV86" s="139">
        <v>504700</v>
      </c>
      <c r="CW86" s="139">
        <v>730094</v>
      </c>
      <c r="CX86" s="139">
        <v>3000</v>
      </c>
      <c r="CY86" s="139">
        <v>37706</v>
      </c>
      <c r="CZ86" s="139">
        <v>2375318</v>
      </c>
      <c r="DA86" s="139">
        <v>3650818</v>
      </c>
      <c r="DB86" s="139">
        <v>0</v>
      </c>
      <c r="DC86" s="139">
        <v>0</v>
      </c>
      <c r="DD86" s="139">
        <v>0</v>
      </c>
      <c r="DE86" s="139">
        <v>0</v>
      </c>
      <c r="DF86" s="139">
        <v>0</v>
      </c>
      <c r="DG86" s="139">
        <v>0</v>
      </c>
      <c r="DH86" s="139">
        <v>877731</v>
      </c>
      <c r="DI86" s="139">
        <v>1349087</v>
      </c>
      <c r="DJ86" s="139">
        <v>20367</v>
      </c>
      <c r="DK86" s="139">
        <v>100411</v>
      </c>
      <c r="DL86" s="139">
        <v>0</v>
      </c>
      <c r="DM86" s="139">
        <v>2347596</v>
      </c>
      <c r="DN86" s="139">
        <v>866935</v>
      </c>
      <c r="DO86" s="139">
        <v>1936931</v>
      </c>
      <c r="DP86" s="139">
        <v>0</v>
      </c>
      <c r="DQ86" s="139">
        <v>0</v>
      </c>
      <c r="DR86" s="139">
        <v>285744</v>
      </c>
      <c r="DS86" s="139">
        <v>3089610</v>
      </c>
      <c r="DT86" s="139">
        <v>0</v>
      </c>
      <c r="DU86" s="139">
        <v>0</v>
      </c>
      <c r="DV86" s="139">
        <v>0</v>
      </c>
      <c r="DW86" s="139">
        <v>0</v>
      </c>
      <c r="DX86" s="139">
        <v>0</v>
      </c>
      <c r="DY86" s="139">
        <v>0</v>
      </c>
      <c r="DZ86" s="139">
        <v>0</v>
      </c>
      <c r="EA86" s="139">
        <v>0</v>
      </c>
      <c r="EB86" s="139">
        <v>0</v>
      </c>
      <c r="EC86" s="139">
        <v>10934</v>
      </c>
      <c r="ED86" s="139">
        <v>192289</v>
      </c>
      <c r="EE86" s="139">
        <v>203223</v>
      </c>
      <c r="EF86" s="139">
        <v>0</v>
      </c>
      <c r="EG86" s="139">
        <v>6430</v>
      </c>
      <c r="EH86" s="139">
        <v>170</v>
      </c>
      <c r="EI86" s="139">
        <v>101850</v>
      </c>
      <c r="EJ86" s="139">
        <v>957532</v>
      </c>
      <c r="EK86" s="139">
        <v>1065982</v>
      </c>
      <c r="EL86" s="139">
        <v>4824274</v>
      </c>
      <c r="EM86" s="139">
        <v>8078207</v>
      </c>
      <c r="EN86" s="139">
        <v>83520</v>
      </c>
      <c r="EO86" s="139">
        <v>1117519</v>
      </c>
      <c r="EP86" s="139">
        <v>29954040</v>
      </c>
      <c r="EQ86" s="139">
        <v>44057560</v>
      </c>
      <c r="ER86" s="139">
        <v>2631752</v>
      </c>
      <c r="ES86" s="139">
        <v>363714</v>
      </c>
      <c r="ET86" s="139">
        <v>377787</v>
      </c>
      <c r="EU86" s="139">
        <v>3838143</v>
      </c>
      <c r="EV86" s="139">
        <v>23400</v>
      </c>
      <c r="EW86" s="139">
        <v>7234796</v>
      </c>
      <c r="EX86" s="139">
        <v>725000</v>
      </c>
      <c r="EY86" s="139">
        <v>491330</v>
      </c>
      <c r="EZ86" s="139">
        <v>15705</v>
      </c>
      <c r="FA86" s="139">
        <v>20912</v>
      </c>
      <c r="FB86" s="139">
        <v>0</v>
      </c>
      <c r="FC86" s="139">
        <v>1252947</v>
      </c>
      <c r="FD86" s="139">
        <v>2383904</v>
      </c>
      <c r="FE86" s="139">
        <v>1445120</v>
      </c>
      <c r="FF86" s="139">
        <v>462174</v>
      </c>
      <c r="FG86" s="139">
        <v>2182590</v>
      </c>
      <c r="FH86" s="139">
        <v>0</v>
      </c>
      <c r="FI86" s="139">
        <v>6473788</v>
      </c>
      <c r="FJ86" s="139">
        <v>0</v>
      </c>
      <c r="FK86" s="139">
        <v>0</v>
      </c>
      <c r="FL86" s="139">
        <v>0</v>
      </c>
      <c r="FM86" s="139">
        <v>66198</v>
      </c>
      <c r="FN86" s="139">
        <v>0</v>
      </c>
      <c r="FO86" s="139">
        <v>66198</v>
      </c>
      <c r="FP86" s="139">
        <v>270968</v>
      </c>
      <c r="FQ86" s="139">
        <v>356656</v>
      </c>
      <c r="FR86" s="139">
        <v>115860</v>
      </c>
      <c r="FS86" s="139">
        <v>128854</v>
      </c>
      <c r="FT86" s="139">
        <v>4888658</v>
      </c>
      <c r="FU86" s="139">
        <v>5760996</v>
      </c>
      <c r="FV86" s="139">
        <v>0</v>
      </c>
      <c r="FW86" s="139">
        <v>0</v>
      </c>
      <c r="FX86" s="139">
        <v>0</v>
      </c>
      <c r="FY86" s="139">
        <v>0</v>
      </c>
      <c r="FZ86" s="139">
        <v>0</v>
      </c>
      <c r="GA86" s="139">
        <v>0</v>
      </c>
      <c r="GB86" s="139">
        <v>0</v>
      </c>
      <c r="GC86" s="139">
        <v>0</v>
      </c>
      <c r="GD86" s="139">
        <v>0</v>
      </c>
      <c r="GE86" s="139">
        <v>0</v>
      </c>
      <c r="GF86" s="139">
        <v>0</v>
      </c>
      <c r="GG86" s="139">
        <v>0</v>
      </c>
      <c r="GH86" s="139">
        <v>288590</v>
      </c>
      <c r="GI86" s="139">
        <v>194702</v>
      </c>
      <c r="GJ86" s="139">
        <v>87404</v>
      </c>
      <c r="GK86" s="139">
        <v>273073</v>
      </c>
      <c r="GL86" s="139">
        <v>0</v>
      </c>
      <c r="GM86" s="139">
        <v>843769</v>
      </c>
      <c r="GN86" s="139">
        <v>837028</v>
      </c>
      <c r="GO86" s="139">
        <v>180816</v>
      </c>
      <c r="GP86" s="139">
        <v>157119</v>
      </c>
      <c r="GQ86" s="139">
        <v>1163649</v>
      </c>
      <c r="GR86" s="139">
        <v>0</v>
      </c>
      <c r="GS86" s="139">
        <v>2338612</v>
      </c>
      <c r="GT86" s="139">
        <v>329657</v>
      </c>
      <c r="GU86" s="139">
        <v>133000</v>
      </c>
      <c r="GV86" s="139">
        <v>46513</v>
      </c>
      <c r="GW86" s="139">
        <v>611189</v>
      </c>
      <c r="GX86" s="139">
        <v>257582</v>
      </c>
      <c r="GY86" s="139">
        <v>1377941</v>
      </c>
      <c r="GZ86" s="139">
        <v>380199</v>
      </c>
      <c r="HA86" s="139">
        <v>236757</v>
      </c>
      <c r="HB86" s="139">
        <v>176934</v>
      </c>
      <c r="HC86" s="139">
        <v>248283</v>
      </c>
      <c r="HD86" s="139">
        <v>368487</v>
      </c>
      <c r="HE86" s="139">
        <v>1410660</v>
      </c>
      <c r="HF86" s="139">
        <v>7453</v>
      </c>
      <c r="HG86" s="139">
        <v>266</v>
      </c>
      <c r="HH86" s="139">
        <v>782</v>
      </c>
      <c r="HI86" s="139">
        <v>11033</v>
      </c>
      <c r="HJ86" s="139">
        <v>954755</v>
      </c>
      <c r="HK86" s="139">
        <v>974289</v>
      </c>
      <c r="HL86" s="139">
        <v>0</v>
      </c>
      <c r="HM86" s="139">
        <v>0</v>
      </c>
      <c r="HN86" s="139">
        <v>0</v>
      </c>
      <c r="HO86" s="139">
        <v>0</v>
      </c>
      <c r="HP86" s="139">
        <v>0</v>
      </c>
      <c r="HQ86" s="139">
        <v>0</v>
      </c>
      <c r="HR86" s="139">
        <v>11527</v>
      </c>
      <c r="HS86" s="139">
        <v>546</v>
      </c>
      <c r="HT86" s="139">
        <v>1625</v>
      </c>
      <c r="HU86" s="139">
        <v>82841</v>
      </c>
      <c r="HV86" s="139">
        <v>3908291</v>
      </c>
      <c r="HW86" s="139">
        <v>4004830</v>
      </c>
      <c r="HX86" s="139">
        <v>0</v>
      </c>
      <c r="HY86" s="139">
        <v>0</v>
      </c>
      <c r="HZ86" s="139">
        <v>0</v>
      </c>
      <c r="IA86" s="139">
        <v>0</v>
      </c>
      <c r="IB86" s="139">
        <v>233713</v>
      </c>
      <c r="IC86" s="139">
        <v>233713</v>
      </c>
      <c r="ID86" s="139">
        <v>0</v>
      </c>
      <c r="IE86" s="139">
        <v>0</v>
      </c>
      <c r="IF86" s="139">
        <v>0</v>
      </c>
      <c r="IG86" s="139">
        <v>0</v>
      </c>
      <c r="IH86" s="139">
        <v>7826035</v>
      </c>
      <c r="II86" s="139">
        <v>7826035</v>
      </c>
      <c r="IJ86" s="139">
        <v>12153</v>
      </c>
      <c r="IK86" s="139">
        <v>0</v>
      </c>
      <c r="IL86" s="139">
        <v>0</v>
      </c>
      <c r="IM86" s="139">
        <v>0</v>
      </c>
      <c r="IN86" s="139">
        <v>594314</v>
      </c>
      <c r="IO86" s="139">
        <v>606467</v>
      </c>
      <c r="IP86" s="139">
        <v>0</v>
      </c>
      <c r="IQ86" s="139">
        <v>1025</v>
      </c>
      <c r="IR86" s="139">
        <v>640</v>
      </c>
      <c r="IS86" s="139">
        <v>13385</v>
      </c>
      <c r="IT86" s="139">
        <v>388532</v>
      </c>
      <c r="IU86" s="139">
        <v>403582</v>
      </c>
      <c r="IV86" s="139">
        <v>1154314</v>
      </c>
      <c r="IW86" s="139">
        <v>1299420</v>
      </c>
      <c r="IX86" s="139">
        <v>61822</v>
      </c>
      <c r="IY86" s="139">
        <v>158813</v>
      </c>
      <c r="IZ86" s="139">
        <v>984350</v>
      </c>
      <c r="JA86" s="139">
        <v>3658719</v>
      </c>
      <c r="JB86" s="139">
        <v>9032545</v>
      </c>
      <c r="JC86" s="139">
        <v>4703352</v>
      </c>
      <c r="JD86" s="139">
        <v>1504365</v>
      </c>
      <c r="JE86" s="139">
        <v>8798963</v>
      </c>
      <c r="JF86" s="139">
        <v>20428117</v>
      </c>
      <c r="JG86" s="139">
        <v>44467342</v>
      </c>
      <c r="JH86" s="139">
        <v>0</v>
      </c>
      <c r="JI86" s="139">
        <v>0</v>
      </c>
      <c r="JJ86" s="139">
        <v>0</v>
      </c>
      <c r="JK86" s="139">
        <v>0</v>
      </c>
      <c r="JL86" s="139">
        <v>0</v>
      </c>
      <c r="JM86" s="139">
        <v>0</v>
      </c>
      <c r="JN86" s="139">
        <v>9032545</v>
      </c>
      <c r="JO86" s="139">
        <v>4703352</v>
      </c>
      <c r="JP86" s="139">
        <v>1504365</v>
      </c>
      <c r="JQ86" s="139">
        <v>8798963</v>
      </c>
      <c r="JR86" s="139">
        <v>20428117</v>
      </c>
      <c r="JS86" s="139">
        <v>44467342</v>
      </c>
      <c r="JU86" s="70">
        <f t="shared" si="158"/>
        <v>5627480</v>
      </c>
      <c r="JV86" s="70">
        <f t="shared" si="159"/>
        <v>0</v>
      </c>
      <c r="JW86" s="70">
        <f t="shared" si="160"/>
        <v>2626923</v>
      </c>
      <c r="JX86" s="70">
        <f t="shared" si="161"/>
        <v>0</v>
      </c>
      <c r="JY86" s="70">
        <f t="shared" si="162"/>
        <v>282865</v>
      </c>
      <c r="JZ86" s="70">
        <f t="shared" si="163"/>
        <v>0</v>
      </c>
      <c r="KA86" s="70">
        <f t="shared" si="164"/>
        <v>7940514</v>
      </c>
      <c r="KB86" s="70">
        <f t="shared" si="165"/>
        <v>0</v>
      </c>
      <c r="KC86" s="70">
        <f t="shared" si="166"/>
        <v>66198</v>
      </c>
      <c r="KD86" s="70">
        <f t="shared" si="167"/>
        <v>0</v>
      </c>
      <c r="KE86" s="70">
        <f t="shared" si="168"/>
        <v>7038125</v>
      </c>
      <c r="KF86" s="70">
        <f t="shared" si="169"/>
        <v>0</v>
      </c>
      <c r="KG86" s="70">
        <f t="shared" si="170"/>
        <v>2292191</v>
      </c>
      <c r="KH86" s="70">
        <f t="shared" si="171"/>
        <v>0</v>
      </c>
      <c r="KI86" s="70">
        <f t="shared" si="172"/>
        <v>7826035</v>
      </c>
      <c r="KJ86" s="70">
        <f t="shared" si="173"/>
        <v>0</v>
      </c>
      <c r="KK86" s="70">
        <f t="shared" si="174"/>
        <v>3650818</v>
      </c>
      <c r="KL86" s="70">
        <f t="shared" si="175"/>
        <v>0</v>
      </c>
      <c r="KM86" s="70">
        <f t="shared" si="176"/>
        <v>0</v>
      </c>
      <c r="KN86" s="70">
        <f t="shared" si="177"/>
        <v>0</v>
      </c>
      <c r="KO86" s="70">
        <f t="shared" si="178"/>
        <v>2347596</v>
      </c>
      <c r="KP86" s="70">
        <f t="shared" si="179"/>
        <v>0</v>
      </c>
      <c r="KQ86" s="70">
        <f t="shared" si="180"/>
        <v>3089610</v>
      </c>
      <c r="KR86" s="70">
        <f t="shared" si="181"/>
        <v>0</v>
      </c>
      <c r="KS86" s="70">
        <f t="shared" si="182"/>
        <v>0</v>
      </c>
      <c r="KT86" s="70">
        <f t="shared" si="183"/>
        <v>0</v>
      </c>
      <c r="KU86" s="70">
        <f t="shared" si="184"/>
        <v>203223</v>
      </c>
      <c r="KV86" s="70">
        <f t="shared" si="185"/>
        <v>0</v>
      </c>
      <c r="KW86" s="70">
        <f t="shared" si="186"/>
        <v>1065982</v>
      </c>
      <c r="KX86" s="70">
        <f t="shared" si="187"/>
        <v>0</v>
      </c>
      <c r="KY86" s="70">
        <f t="shared" si="188"/>
        <v>44057560</v>
      </c>
      <c r="KZ86" s="70">
        <f t="shared" si="189"/>
        <v>0</v>
      </c>
      <c r="LA86" s="70">
        <f t="shared" si="190"/>
        <v>7234796</v>
      </c>
      <c r="LB86" s="70">
        <f t="shared" si="191"/>
        <v>0</v>
      </c>
      <c r="LC86" s="70">
        <f t="shared" si="192"/>
        <v>1252947</v>
      </c>
      <c r="LD86" s="70">
        <f t="shared" si="193"/>
        <v>0</v>
      </c>
      <c r="LE86" s="70">
        <f t="shared" si="194"/>
        <v>6473788</v>
      </c>
      <c r="LF86" s="70">
        <f t="shared" si="195"/>
        <v>0</v>
      </c>
      <c r="LG86" s="70">
        <f t="shared" si="234"/>
        <v>66198</v>
      </c>
      <c r="LH86" s="70">
        <f t="shared" si="235"/>
        <v>0</v>
      </c>
      <c r="LI86" s="70">
        <f t="shared" si="196"/>
        <v>5760996</v>
      </c>
      <c r="LJ86" s="70">
        <f t="shared" si="197"/>
        <v>0</v>
      </c>
      <c r="LK86" s="70">
        <f t="shared" si="198"/>
        <v>0</v>
      </c>
      <c r="LL86" s="70">
        <f t="shared" si="199"/>
        <v>0</v>
      </c>
      <c r="LM86" s="70">
        <f t="shared" si="200"/>
        <v>0</v>
      </c>
      <c r="LN86" s="70">
        <f t="shared" si="201"/>
        <v>0</v>
      </c>
      <c r="LO86" s="70">
        <f t="shared" si="202"/>
        <v>843769</v>
      </c>
      <c r="LP86" s="70">
        <f t="shared" si="203"/>
        <v>0</v>
      </c>
      <c r="LQ86" s="70">
        <f t="shared" si="204"/>
        <v>2338612</v>
      </c>
      <c r="LR86" s="70">
        <f t="shared" si="205"/>
        <v>0</v>
      </c>
      <c r="LS86" s="70">
        <f t="shared" si="206"/>
        <v>1377941</v>
      </c>
      <c r="LT86" s="70">
        <f t="shared" si="207"/>
        <v>0</v>
      </c>
      <c r="LU86" s="70">
        <f t="shared" si="208"/>
        <v>1410660</v>
      </c>
      <c r="LV86" s="70">
        <f t="shared" si="209"/>
        <v>0</v>
      </c>
      <c r="LW86" s="70">
        <f t="shared" si="210"/>
        <v>974289</v>
      </c>
      <c r="LX86" s="70">
        <f t="shared" si="211"/>
        <v>0</v>
      </c>
      <c r="LY86" s="70">
        <f t="shared" si="212"/>
        <v>0</v>
      </c>
      <c r="LZ86" s="70">
        <f t="shared" si="213"/>
        <v>0</v>
      </c>
      <c r="MA86" s="70">
        <f t="shared" si="214"/>
        <v>4004830</v>
      </c>
      <c r="MB86" s="70">
        <f t="shared" si="215"/>
        <v>0</v>
      </c>
      <c r="MC86" s="70">
        <f t="shared" si="216"/>
        <v>233713</v>
      </c>
      <c r="MD86" s="70">
        <f t="shared" si="217"/>
        <v>0</v>
      </c>
      <c r="ME86" s="70">
        <f t="shared" si="218"/>
        <v>7826035</v>
      </c>
      <c r="MF86" s="70">
        <f t="shared" si="219"/>
        <v>0</v>
      </c>
      <c r="MG86" s="70">
        <f t="shared" si="220"/>
        <v>606467</v>
      </c>
      <c r="MH86" s="70">
        <f t="shared" si="221"/>
        <v>0</v>
      </c>
      <c r="MI86" s="70">
        <f t="shared" si="222"/>
        <v>403582</v>
      </c>
      <c r="MJ86" s="70">
        <f t="shared" si="223"/>
        <v>0</v>
      </c>
      <c r="MK86" s="70">
        <f t="shared" si="224"/>
        <v>3658719</v>
      </c>
      <c r="ML86" s="70">
        <f t="shared" si="225"/>
        <v>0</v>
      </c>
      <c r="MM86" s="70">
        <f t="shared" si="226"/>
        <v>44467342</v>
      </c>
      <c r="MN86" s="70">
        <f t="shared" si="227"/>
        <v>0</v>
      </c>
      <c r="MO86" s="70">
        <f t="shared" si="228"/>
        <v>0</v>
      </c>
      <c r="MP86" s="70">
        <f t="shared" si="229"/>
        <v>0</v>
      </c>
      <c r="MQ86" s="70">
        <f t="shared" si="230"/>
        <v>44467342</v>
      </c>
      <c r="MR86" s="70">
        <f t="shared" si="231"/>
        <v>0</v>
      </c>
      <c r="MT86" s="70">
        <f t="shared" si="232"/>
        <v>0</v>
      </c>
      <c r="MV86" s="68">
        <f t="shared" si="233"/>
        <v>0</v>
      </c>
      <c r="MW86" s="67"/>
    </row>
    <row r="87" spans="1:361" x14ac:dyDescent="0.15">
      <c r="A87" s="182" t="s">
        <v>300</v>
      </c>
      <c r="B87" s="76" t="s">
        <v>428</v>
      </c>
      <c r="C87" s="110">
        <v>230764</v>
      </c>
      <c r="D87" s="90">
        <v>2014</v>
      </c>
      <c r="E87" s="90">
        <v>1</v>
      </c>
      <c r="F87" s="91">
        <v>4</v>
      </c>
      <c r="G87" s="92">
        <v>13221</v>
      </c>
      <c r="H87" s="92">
        <v>10686</v>
      </c>
      <c r="I87" s="93">
        <v>3386191000</v>
      </c>
      <c r="J87" s="93">
        <v>3201911000</v>
      </c>
      <c r="K87" s="93">
        <v>2049525</v>
      </c>
      <c r="L87" s="93">
        <v>1988488</v>
      </c>
      <c r="M87" s="93">
        <v>177254623</v>
      </c>
      <c r="N87" s="93">
        <v>47932077</v>
      </c>
      <c r="O87" s="93">
        <v>50212538</v>
      </c>
      <c r="P87" s="93">
        <v>25195000</v>
      </c>
      <c r="Q87" s="93">
        <v>891246155</v>
      </c>
      <c r="R87" s="93">
        <v>759190787</v>
      </c>
      <c r="S87" s="93">
        <v>1535438000</v>
      </c>
      <c r="T87" s="93">
        <v>1510100000</v>
      </c>
      <c r="U87" s="93">
        <v>18504</v>
      </c>
      <c r="V87" s="93">
        <v>16672</v>
      </c>
      <c r="W87" s="93">
        <v>33988</v>
      </c>
      <c r="X87" s="93">
        <v>31418</v>
      </c>
      <c r="Y87" s="93">
        <v>23554</v>
      </c>
      <c r="Z87" s="93">
        <v>22966</v>
      </c>
      <c r="AA87" s="93">
        <v>38862</v>
      </c>
      <c r="AB87" s="93">
        <v>37578</v>
      </c>
      <c r="AC87" s="114">
        <v>7</v>
      </c>
      <c r="AD87" s="114">
        <v>11</v>
      </c>
      <c r="AE87" s="114">
        <v>0</v>
      </c>
      <c r="AF87" s="115">
        <v>4221730</v>
      </c>
      <c r="AG87" s="115">
        <v>3321826</v>
      </c>
      <c r="AH87" s="115">
        <v>698106</v>
      </c>
      <c r="AI87" s="115">
        <v>365446</v>
      </c>
      <c r="AJ87" s="115">
        <v>691379</v>
      </c>
      <c r="AK87" s="116">
        <v>6</v>
      </c>
      <c r="AL87" s="115">
        <v>592611</v>
      </c>
      <c r="AM87" s="116">
        <v>7</v>
      </c>
      <c r="AN87" s="115">
        <v>168896</v>
      </c>
      <c r="AO87" s="116">
        <v>8</v>
      </c>
      <c r="AP87" s="115">
        <v>150130</v>
      </c>
      <c r="AQ87" s="116">
        <v>9</v>
      </c>
      <c r="AR87" s="115">
        <v>211924</v>
      </c>
      <c r="AS87" s="116">
        <v>19.25</v>
      </c>
      <c r="AT87" s="115">
        <v>169980</v>
      </c>
      <c r="AU87" s="116">
        <v>24</v>
      </c>
      <c r="AV87" s="115">
        <v>97727</v>
      </c>
      <c r="AW87" s="116">
        <v>17.75</v>
      </c>
      <c r="AX87" s="115">
        <v>78848</v>
      </c>
      <c r="AY87" s="116">
        <v>22</v>
      </c>
      <c r="AZ87" s="139">
        <v>11159146</v>
      </c>
      <c r="BA87" s="139">
        <v>2020953</v>
      </c>
      <c r="BB87" s="139">
        <v>18272</v>
      </c>
      <c r="BC87" s="139">
        <v>479833</v>
      </c>
      <c r="BD87" s="139">
        <v>820</v>
      </c>
      <c r="BE87" s="139">
        <v>13679024</v>
      </c>
      <c r="BF87" s="139">
        <v>0</v>
      </c>
      <c r="BG87" s="139">
        <v>0</v>
      </c>
      <c r="BH87" s="139">
        <v>0</v>
      </c>
      <c r="BI87" s="139">
        <v>0</v>
      </c>
      <c r="BJ87" s="139">
        <v>6083151</v>
      </c>
      <c r="BK87" s="139">
        <v>6083151</v>
      </c>
      <c r="BL87" s="139">
        <v>250000</v>
      </c>
      <c r="BM87" s="139">
        <v>0</v>
      </c>
      <c r="BN87" s="139">
        <v>0</v>
      </c>
      <c r="BO87" s="139">
        <v>31834</v>
      </c>
      <c r="BP87" s="139">
        <v>0</v>
      </c>
      <c r="BQ87" s="139">
        <v>281834</v>
      </c>
      <c r="BR87" s="139">
        <v>8318238</v>
      </c>
      <c r="BS87" s="139">
        <v>1228615</v>
      </c>
      <c r="BT87" s="139">
        <v>29393</v>
      </c>
      <c r="BU87" s="139">
        <v>377712</v>
      </c>
      <c r="BV87" s="139">
        <v>13880</v>
      </c>
      <c r="BW87" s="139">
        <v>9967838</v>
      </c>
      <c r="BX87" s="139">
        <v>0</v>
      </c>
      <c r="BY87" s="139">
        <v>0</v>
      </c>
      <c r="BZ87" s="139">
        <v>0</v>
      </c>
      <c r="CA87" s="139">
        <v>0</v>
      </c>
      <c r="CB87" s="139">
        <v>0</v>
      </c>
      <c r="CC87" s="139">
        <v>0</v>
      </c>
      <c r="CD87" s="139">
        <v>0</v>
      </c>
      <c r="CE87" s="139">
        <v>0</v>
      </c>
      <c r="CF87" s="139">
        <v>0</v>
      </c>
      <c r="CG87" s="139">
        <v>0</v>
      </c>
      <c r="CH87" s="139">
        <v>0</v>
      </c>
      <c r="CI87" s="139">
        <v>0</v>
      </c>
      <c r="CJ87" s="139">
        <v>1613316</v>
      </c>
      <c r="CK87" s="139">
        <v>104317</v>
      </c>
      <c r="CL87" s="139">
        <v>115675</v>
      </c>
      <c r="CM87" s="139">
        <v>976603</v>
      </c>
      <c r="CN87" s="139">
        <v>969044</v>
      </c>
      <c r="CO87" s="139">
        <v>3778955</v>
      </c>
      <c r="CP87" s="139">
        <v>0</v>
      </c>
      <c r="CQ87" s="139">
        <v>0</v>
      </c>
      <c r="CR87" s="139">
        <v>0</v>
      </c>
      <c r="CS87" s="139">
        <v>0</v>
      </c>
      <c r="CT87" s="139">
        <v>0</v>
      </c>
      <c r="CU87" s="139">
        <v>0</v>
      </c>
      <c r="CV87" s="139">
        <v>12667379</v>
      </c>
      <c r="CW87" s="139">
        <v>2897244</v>
      </c>
      <c r="CX87" s="139">
        <v>0</v>
      </c>
      <c r="CY87" s="139">
        <v>0</v>
      </c>
      <c r="CZ87" s="139">
        <v>922861</v>
      </c>
      <c r="DA87" s="139">
        <v>16487484</v>
      </c>
      <c r="DB87" s="139">
        <v>0</v>
      </c>
      <c r="DC87" s="139">
        <v>0</v>
      </c>
      <c r="DD87" s="139">
        <v>0</v>
      </c>
      <c r="DE87" s="139">
        <v>0</v>
      </c>
      <c r="DF87" s="139">
        <v>35706</v>
      </c>
      <c r="DG87" s="139">
        <v>35706</v>
      </c>
      <c r="DH87" s="139">
        <v>272650</v>
      </c>
      <c r="DI87" s="139">
        <v>0</v>
      </c>
      <c r="DJ87" s="139">
        <v>0</v>
      </c>
      <c r="DK87" s="139">
        <v>0</v>
      </c>
      <c r="DL87" s="139">
        <v>1219941</v>
      </c>
      <c r="DM87" s="139">
        <v>1492591</v>
      </c>
      <c r="DN87" s="139">
        <v>2918487</v>
      </c>
      <c r="DO87" s="139">
        <v>470615</v>
      </c>
      <c r="DP87" s="139">
        <v>0</v>
      </c>
      <c r="DQ87" s="139">
        <v>2500</v>
      </c>
      <c r="DR87" s="139">
        <v>0</v>
      </c>
      <c r="DS87" s="139">
        <v>3391602</v>
      </c>
      <c r="DT87" s="139">
        <v>191940</v>
      </c>
      <c r="DU87" s="139">
        <v>57088</v>
      </c>
      <c r="DV87" s="139">
        <v>106800</v>
      </c>
      <c r="DW87" s="139">
        <v>435494</v>
      </c>
      <c r="DX87" s="139">
        <v>0</v>
      </c>
      <c r="DY87" s="139">
        <v>791322</v>
      </c>
      <c r="DZ87" s="139">
        <v>0</v>
      </c>
      <c r="EA87" s="139">
        <v>0</v>
      </c>
      <c r="EB87" s="139">
        <v>0</v>
      </c>
      <c r="EC87" s="139">
        <v>0</v>
      </c>
      <c r="ED87" s="139">
        <v>-21408</v>
      </c>
      <c r="EE87" s="139">
        <v>-21408</v>
      </c>
      <c r="EF87" s="139">
        <v>1009</v>
      </c>
      <c r="EG87" s="139">
        <v>0</v>
      </c>
      <c r="EH87" s="139">
        <v>1933</v>
      </c>
      <c r="EI87" s="139">
        <v>52208</v>
      </c>
      <c r="EJ87" s="139">
        <v>447061</v>
      </c>
      <c r="EK87" s="139">
        <v>502211</v>
      </c>
      <c r="EL87" s="139">
        <v>37392165</v>
      </c>
      <c r="EM87" s="139">
        <v>6778832</v>
      </c>
      <c r="EN87" s="139">
        <v>272073</v>
      </c>
      <c r="EO87" s="139">
        <v>2356184</v>
      </c>
      <c r="EP87" s="140">
        <v>9671056</v>
      </c>
      <c r="EQ87" s="139">
        <v>56470310</v>
      </c>
      <c r="ER87" s="139">
        <v>2588235</v>
      </c>
      <c r="ES87" s="139">
        <v>457124</v>
      </c>
      <c r="ET87" s="139">
        <v>501378</v>
      </c>
      <c r="EU87" s="139">
        <v>3996819</v>
      </c>
      <c r="EV87" s="139">
        <v>549901</v>
      </c>
      <c r="EW87" s="139">
        <v>8093457</v>
      </c>
      <c r="EX87" s="139">
        <v>400000</v>
      </c>
      <c r="EY87" s="139">
        <v>419000</v>
      </c>
      <c r="EZ87" s="139">
        <v>65000</v>
      </c>
      <c r="FA87" s="139">
        <v>27016</v>
      </c>
      <c r="FB87" s="139">
        <v>0</v>
      </c>
      <c r="FC87" s="139">
        <v>911016</v>
      </c>
      <c r="FD87" s="139">
        <v>5638864</v>
      </c>
      <c r="FE87" s="139">
        <v>1612065</v>
      </c>
      <c r="FF87" s="139">
        <v>659668</v>
      </c>
      <c r="FG87" s="139">
        <v>3403038</v>
      </c>
      <c r="FH87" s="139">
        <v>0</v>
      </c>
      <c r="FI87" s="139">
        <v>11313635</v>
      </c>
      <c r="FJ87" s="139">
        <v>0</v>
      </c>
      <c r="FK87" s="139">
        <v>0</v>
      </c>
      <c r="FL87" s="139">
        <v>0</v>
      </c>
      <c r="FM87" s="139">
        <v>0</v>
      </c>
      <c r="FN87" s="139">
        <v>0</v>
      </c>
      <c r="FO87" s="139">
        <v>0</v>
      </c>
      <c r="FP87" s="139">
        <v>824357</v>
      </c>
      <c r="FQ87" s="139">
        <v>290516</v>
      </c>
      <c r="FR87" s="139">
        <v>156635</v>
      </c>
      <c r="FS87" s="139">
        <v>158660</v>
      </c>
      <c r="FT87" s="139">
        <v>8890584</v>
      </c>
      <c r="FU87" s="139">
        <v>10320752</v>
      </c>
      <c r="FV87" s="139">
        <v>0</v>
      </c>
      <c r="FW87" s="139">
        <v>0</v>
      </c>
      <c r="FX87" s="139">
        <v>0</v>
      </c>
      <c r="FY87" s="139">
        <v>0</v>
      </c>
      <c r="FZ87" s="139">
        <v>0</v>
      </c>
      <c r="GA87" s="139">
        <v>0</v>
      </c>
      <c r="GB87" s="139">
        <v>0</v>
      </c>
      <c r="GC87" s="139">
        <v>83419</v>
      </c>
      <c r="GD87" s="139">
        <v>0</v>
      </c>
      <c r="GE87" s="139">
        <v>0</v>
      </c>
      <c r="GF87" s="139">
        <v>0</v>
      </c>
      <c r="GG87" s="139">
        <v>83419</v>
      </c>
      <c r="GH87" s="139">
        <v>434009</v>
      </c>
      <c r="GI87" s="139">
        <v>154700</v>
      </c>
      <c r="GJ87" s="139">
        <v>135100</v>
      </c>
      <c r="GK87" s="139">
        <v>339743</v>
      </c>
      <c r="GL87" s="139">
        <v>0</v>
      </c>
      <c r="GM87" s="139">
        <v>1063552</v>
      </c>
      <c r="GN87" s="139">
        <v>1210752</v>
      </c>
      <c r="GO87" s="139">
        <v>355000</v>
      </c>
      <c r="GP87" s="139">
        <v>320339</v>
      </c>
      <c r="GQ87" s="139">
        <v>1953221</v>
      </c>
      <c r="GR87" s="139">
        <v>55321</v>
      </c>
      <c r="GS87" s="139">
        <v>3894633</v>
      </c>
      <c r="GT87" s="139">
        <v>549862</v>
      </c>
      <c r="GU87" s="139">
        <v>56684</v>
      </c>
      <c r="GV87" s="139">
        <v>4964</v>
      </c>
      <c r="GW87" s="139">
        <v>717490</v>
      </c>
      <c r="GX87" s="139">
        <v>807667</v>
      </c>
      <c r="GY87" s="139">
        <v>2136667</v>
      </c>
      <c r="GZ87" s="139">
        <v>890083</v>
      </c>
      <c r="HA87" s="139">
        <v>372087</v>
      </c>
      <c r="HB87" s="139">
        <v>139003</v>
      </c>
      <c r="HC87" s="139">
        <v>341864</v>
      </c>
      <c r="HD87" s="139">
        <v>153051</v>
      </c>
      <c r="HE87" s="139">
        <v>1896088</v>
      </c>
      <c r="HF87" s="139">
        <v>490173</v>
      </c>
      <c r="HG87" s="139">
        <v>178632</v>
      </c>
      <c r="HH87" s="139">
        <v>11981</v>
      </c>
      <c r="HI87" s="139">
        <v>164904</v>
      </c>
      <c r="HJ87" s="139">
        <v>924813</v>
      </c>
      <c r="HK87" s="139">
        <v>1770503</v>
      </c>
      <c r="HL87" s="139">
        <v>53380</v>
      </c>
      <c r="HM87" s="139">
        <v>34382</v>
      </c>
      <c r="HN87" s="139">
        <v>55709</v>
      </c>
      <c r="HO87" s="139">
        <v>143140</v>
      </c>
      <c r="HP87" s="139">
        <v>0</v>
      </c>
      <c r="HQ87" s="139">
        <v>286611</v>
      </c>
      <c r="HR87" s="139">
        <v>1580550</v>
      </c>
      <c r="HS87" s="139">
        <v>39833</v>
      </c>
      <c r="HT87" s="139">
        <v>16000</v>
      </c>
      <c r="HU87" s="139">
        <v>70181</v>
      </c>
      <c r="HV87" s="139">
        <v>454313</v>
      </c>
      <c r="HW87" s="139">
        <v>2160877</v>
      </c>
      <c r="HX87" s="139">
        <v>0</v>
      </c>
      <c r="HY87" s="139">
        <v>0</v>
      </c>
      <c r="HZ87" s="139">
        <v>0</v>
      </c>
      <c r="IA87" s="139">
        <v>0</v>
      </c>
      <c r="IB87" s="139">
        <v>315931</v>
      </c>
      <c r="IC87" s="139">
        <v>315931</v>
      </c>
      <c r="ID87" s="139">
        <v>0</v>
      </c>
      <c r="IE87" s="139">
        <v>0</v>
      </c>
      <c r="IF87" s="139">
        <v>0</v>
      </c>
      <c r="IG87" s="139">
        <v>0</v>
      </c>
      <c r="IH87" s="139">
        <v>0</v>
      </c>
      <c r="II87" s="139">
        <v>0</v>
      </c>
      <c r="IJ87" s="139">
        <v>421094</v>
      </c>
      <c r="IK87" s="139">
        <v>23652</v>
      </c>
      <c r="IL87" s="139">
        <v>74705</v>
      </c>
      <c r="IM87" s="139">
        <v>474243</v>
      </c>
      <c r="IN87" s="139">
        <v>0</v>
      </c>
      <c r="IO87" s="139">
        <v>993694</v>
      </c>
      <c r="IP87" s="139">
        <v>2380</v>
      </c>
      <c r="IQ87" s="139">
        <v>3970</v>
      </c>
      <c r="IR87" s="139">
        <v>630</v>
      </c>
      <c r="IS87" s="139">
        <v>14714</v>
      </c>
      <c r="IT87" s="139">
        <v>64287</v>
      </c>
      <c r="IU87" s="139">
        <v>85981</v>
      </c>
      <c r="IV87" s="139">
        <v>978332</v>
      </c>
      <c r="IW87" s="139">
        <v>312111</v>
      </c>
      <c r="IX87" s="139">
        <v>120954</v>
      </c>
      <c r="IY87" s="139">
        <v>346638</v>
      </c>
      <c r="IZ87" s="139">
        <v>3446755</v>
      </c>
      <c r="JA87" s="139">
        <v>5204790</v>
      </c>
      <c r="JB87" s="139">
        <v>978332</v>
      </c>
      <c r="JC87" s="139">
        <v>312111</v>
      </c>
      <c r="JD87" s="139">
        <v>120954</v>
      </c>
      <c r="JE87" s="139">
        <v>346638</v>
      </c>
      <c r="JF87" s="139">
        <v>3446755</v>
      </c>
      <c r="JG87" s="139">
        <v>5204790</v>
      </c>
      <c r="JH87" s="139">
        <v>0</v>
      </c>
      <c r="JI87" s="139">
        <v>-175000</v>
      </c>
      <c r="JJ87" s="139">
        <v>0</v>
      </c>
      <c r="JK87" s="139">
        <v>-19848</v>
      </c>
      <c r="JL87" s="139">
        <v>4715147</v>
      </c>
      <c r="JM87" s="139">
        <v>4520299</v>
      </c>
      <c r="JN87" s="139">
        <v>16062071</v>
      </c>
      <c r="JO87" s="139">
        <v>4218175</v>
      </c>
      <c r="JP87" s="139">
        <v>2262066</v>
      </c>
      <c r="JQ87" s="139">
        <v>12131823</v>
      </c>
      <c r="JR87" s="139">
        <v>20377770</v>
      </c>
      <c r="JS87" s="139">
        <v>55051905</v>
      </c>
      <c r="JU87" s="70">
        <f t="shared" si="158"/>
        <v>13679024</v>
      </c>
      <c r="JV87" s="70">
        <f t="shared" si="159"/>
        <v>0</v>
      </c>
      <c r="JW87" s="70">
        <f t="shared" si="160"/>
        <v>6083151</v>
      </c>
      <c r="JX87" s="70">
        <f t="shared" si="161"/>
        <v>0</v>
      </c>
      <c r="JY87" s="70">
        <f t="shared" si="162"/>
        <v>281834</v>
      </c>
      <c r="JZ87" s="70">
        <f t="shared" si="163"/>
        <v>0</v>
      </c>
      <c r="KA87" s="70">
        <f t="shared" si="164"/>
        <v>9967838</v>
      </c>
      <c r="KB87" s="70">
        <f t="shared" si="165"/>
        <v>0</v>
      </c>
      <c r="KC87" s="70">
        <f t="shared" si="166"/>
        <v>0</v>
      </c>
      <c r="KD87" s="70">
        <f t="shared" si="167"/>
        <v>0</v>
      </c>
      <c r="KE87" s="70">
        <f t="shared" si="168"/>
        <v>0</v>
      </c>
      <c r="KF87" s="70">
        <f t="shared" si="169"/>
        <v>0</v>
      </c>
      <c r="KG87" s="70">
        <f t="shared" si="170"/>
        <v>3778955</v>
      </c>
      <c r="KH87" s="70">
        <f t="shared" si="171"/>
        <v>0</v>
      </c>
      <c r="KI87" s="70">
        <f t="shared" si="172"/>
        <v>0</v>
      </c>
      <c r="KJ87" s="70">
        <f t="shared" si="173"/>
        <v>0</v>
      </c>
      <c r="KK87" s="70">
        <f t="shared" si="174"/>
        <v>16487484</v>
      </c>
      <c r="KL87" s="70">
        <f t="shared" si="175"/>
        <v>0</v>
      </c>
      <c r="KM87" s="70">
        <f t="shared" si="176"/>
        <v>35706</v>
      </c>
      <c r="KN87" s="70">
        <f t="shared" si="177"/>
        <v>0</v>
      </c>
      <c r="KO87" s="70">
        <f t="shared" si="178"/>
        <v>1492591</v>
      </c>
      <c r="KP87" s="70">
        <f t="shared" si="179"/>
        <v>0</v>
      </c>
      <c r="KQ87" s="70">
        <f t="shared" si="180"/>
        <v>3391602</v>
      </c>
      <c r="KR87" s="70">
        <f t="shared" si="181"/>
        <v>0</v>
      </c>
      <c r="KS87" s="70">
        <f t="shared" si="182"/>
        <v>791322</v>
      </c>
      <c r="KT87" s="70">
        <f t="shared" si="183"/>
        <v>0</v>
      </c>
      <c r="KU87" s="70">
        <f t="shared" si="184"/>
        <v>-21408</v>
      </c>
      <c r="KV87" s="70">
        <f t="shared" si="185"/>
        <v>0</v>
      </c>
      <c r="KW87" s="70">
        <f t="shared" si="186"/>
        <v>502211</v>
      </c>
      <c r="KX87" s="70">
        <f t="shared" si="187"/>
        <v>0</v>
      </c>
      <c r="KY87" s="70">
        <f t="shared" si="188"/>
        <v>56470310</v>
      </c>
      <c r="KZ87" s="70">
        <f t="shared" si="189"/>
        <v>0</v>
      </c>
      <c r="LA87" s="70">
        <f t="shared" si="190"/>
        <v>8093457</v>
      </c>
      <c r="LB87" s="70">
        <f t="shared" si="191"/>
        <v>0</v>
      </c>
      <c r="LC87" s="70">
        <f t="shared" si="192"/>
        <v>911016</v>
      </c>
      <c r="LD87" s="70">
        <f t="shared" si="193"/>
        <v>0</v>
      </c>
      <c r="LE87" s="70">
        <f t="shared" si="194"/>
        <v>11313635</v>
      </c>
      <c r="LF87" s="70">
        <f t="shared" si="195"/>
        <v>0</v>
      </c>
      <c r="LG87" s="70">
        <f t="shared" si="234"/>
        <v>0</v>
      </c>
      <c r="LH87" s="70">
        <f t="shared" si="235"/>
        <v>0</v>
      </c>
      <c r="LI87" s="70">
        <f t="shared" si="196"/>
        <v>10320752</v>
      </c>
      <c r="LJ87" s="70">
        <f t="shared" si="197"/>
        <v>0</v>
      </c>
      <c r="LK87" s="70">
        <f t="shared" si="198"/>
        <v>0</v>
      </c>
      <c r="LL87" s="70">
        <f t="shared" si="199"/>
        <v>0</v>
      </c>
      <c r="LM87" s="70">
        <f t="shared" si="200"/>
        <v>83419</v>
      </c>
      <c r="LN87" s="70">
        <f t="shared" si="201"/>
        <v>0</v>
      </c>
      <c r="LO87" s="70">
        <f t="shared" si="202"/>
        <v>1063552</v>
      </c>
      <c r="LP87" s="70">
        <f t="shared" si="203"/>
        <v>0</v>
      </c>
      <c r="LQ87" s="70">
        <f t="shared" si="204"/>
        <v>3894633</v>
      </c>
      <c r="LR87" s="70">
        <f t="shared" si="205"/>
        <v>0</v>
      </c>
      <c r="LS87" s="70">
        <f t="shared" si="206"/>
        <v>2136667</v>
      </c>
      <c r="LT87" s="70">
        <f t="shared" si="207"/>
        <v>0</v>
      </c>
      <c r="LU87" s="70">
        <f t="shared" si="208"/>
        <v>1896088</v>
      </c>
      <c r="LV87" s="70">
        <f t="shared" si="209"/>
        <v>0</v>
      </c>
      <c r="LW87" s="70">
        <f t="shared" si="210"/>
        <v>1770503</v>
      </c>
      <c r="LX87" s="70">
        <f t="shared" si="211"/>
        <v>0</v>
      </c>
      <c r="LY87" s="70">
        <f t="shared" si="212"/>
        <v>286611</v>
      </c>
      <c r="LZ87" s="70">
        <f t="shared" si="213"/>
        <v>0</v>
      </c>
      <c r="MA87" s="70">
        <f t="shared" si="214"/>
        <v>2160877</v>
      </c>
      <c r="MB87" s="70">
        <f t="shared" si="215"/>
        <v>0</v>
      </c>
      <c r="MC87" s="70">
        <f t="shared" si="216"/>
        <v>315931</v>
      </c>
      <c r="MD87" s="70">
        <f t="shared" si="217"/>
        <v>0</v>
      </c>
      <c r="ME87" s="70">
        <f t="shared" si="218"/>
        <v>0</v>
      </c>
      <c r="MF87" s="70">
        <f t="shared" si="219"/>
        <v>0</v>
      </c>
      <c r="MG87" s="70">
        <f t="shared" si="220"/>
        <v>993694</v>
      </c>
      <c r="MH87" s="70">
        <f t="shared" si="221"/>
        <v>0</v>
      </c>
      <c r="MI87" s="70">
        <f t="shared" si="222"/>
        <v>85981</v>
      </c>
      <c r="MJ87" s="70">
        <f t="shared" si="223"/>
        <v>0</v>
      </c>
      <c r="MK87" s="70">
        <f t="shared" si="224"/>
        <v>5204790</v>
      </c>
      <c r="ML87" s="70">
        <f t="shared" si="225"/>
        <v>0</v>
      </c>
      <c r="MM87" s="70">
        <f t="shared" si="226"/>
        <v>5204790</v>
      </c>
      <c r="MN87" s="70">
        <f t="shared" si="227"/>
        <v>0</v>
      </c>
      <c r="MO87" s="70">
        <f t="shared" si="228"/>
        <v>4520299</v>
      </c>
      <c r="MP87" s="70">
        <f t="shared" si="229"/>
        <v>0</v>
      </c>
      <c r="MQ87" s="70">
        <f t="shared" si="230"/>
        <v>55051905</v>
      </c>
      <c r="MR87" s="70">
        <f t="shared" si="231"/>
        <v>0</v>
      </c>
      <c r="MT87" s="70">
        <f t="shared" si="232"/>
        <v>0</v>
      </c>
      <c r="MV87" s="68">
        <f t="shared" si="233"/>
        <v>0</v>
      </c>
      <c r="MW87" s="67"/>
    </row>
    <row r="88" spans="1:361" x14ac:dyDescent="0.15">
      <c r="A88" s="182" t="s">
        <v>301</v>
      </c>
      <c r="B88" s="76" t="s">
        <v>428</v>
      </c>
      <c r="C88" s="90">
        <v>230728</v>
      </c>
      <c r="D88" s="90">
        <v>2014</v>
      </c>
      <c r="E88" s="90">
        <v>1</v>
      </c>
      <c r="F88" s="91">
        <v>10</v>
      </c>
      <c r="G88" s="92">
        <v>7378</v>
      </c>
      <c r="H88" s="92">
        <v>7774</v>
      </c>
      <c r="I88" s="93">
        <v>592481551</v>
      </c>
      <c r="J88" s="93">
        <v>575651653</v>
      </c>
      <c r="K88" s="93">
        <v>1134270</v>
      </c>
      <c r="L88" s="93">
        <v>796044</v>
      </c>
      <c r="M88" s="93">
        <v>11707085</v>
      </c>
      <c r="N88" s="93">
        <v>9965620</v>
      </c>
      <c r="O88" s="93">
        <v>16977000</v>
      </c>
      <c r="P88" s="93">
        <v>8845000</v>
      </c>
      <c r="Q88" s="93">
        <v>132391279</v>
      </c>
      <c r="R88" s="93">
        <v>93040476</v>
      </c>
      <c r="S88" s="93">
        <v>550163689</v>
      </c>
      <c r="T88" s="93">
        <v>533279748</v>
      </c>
      <c r="U88" s="93">
        <v>13614</v>
      </c>
      <c r="V88" s="93">
        <v>13251</v>
      </c>
      <c r="W88" s="93">
        <v>25318</v>
      </c>
      <c r="X88" s="93">
        <v>24398</v>
      </c>
      <c r="Y88" s="93">
        <v>17720</v>
      </c>
      <c r="Z88" s="93">
        <v>17430</v>
      </c>
      <c r="AA88" s="93">
        <v>29240</v>
      </c>
      <c r="AB88" s="93">
        <v>27690</v>
      </c>
      <c r="AC88" s="114">
        <v>7</v>
      </c>
      <c r="AD88" s="114">
        <v>9</v>
      </c>
      <c r="AE88" s="114">
        <v>0</v>
      </c>
      <c r="AF88" s="115">
        <v>2479896</v>
      </c>
      <c r="AG88" s="115">
        <v>1707038</v>
      </c>
      <c r="AH88" s="115">
        <v>344843</v>
      </c>
      <c r="AI88" s="115">
        <v>202889</v>
      </c>
      <c r="AJ88" s="115">
        <v>314825</v>
      </c>
      <c r="AK88" s="116">
        <v>4.25</v>
      </c>
      <c r="AL88" s="115">
        <v>267601</v>
      </c>
      <c r="AM88" s="116">
        <v>5</v>
      </c>
      <c r="AN88" s="115">
        <v>115004</v>
      </c>
      <c r="AO88" s="116">
        <v>6.5</v>
      </c>
      <c r="AP88" s="115">
        <v>106790</v>
      </c>
      <c r="AQ88" s="116">
        <v>7</v>
      </c>
      <c r="AR88" s="115">
        <v>643545</v>
      </c>
      <c r="AS88" s="116">
        <v>3.5</v>
      </c>
      <c r="AT88" s="115">
        <v>187701</v>
      </c>
      <c r="AU88" s="116">
        <v>12</v>
      </c>
      <c r="AV88" s="115">
        <v>71902</v>
      </c>
      <c r="AW88" s="116">
        <v>11.5</v>
      </c>
      <c r="AX88" s="115">
        <v>41344</v>
      </c>
      <c r="AY88" s="116">
        <v>20</v>
      </c>
      <c r="AZ88" s="139">
        <v>1468098</v>
      </c>
      <c r="BA88" s="139">
        <v>807984</v>
      </c>
      <c r="BB88" s="139">
        <v>0</v>
      </c>
      <c r="BC88" s="139">
        <v>0</v>
      </c>
      <c r="BD88" s="139">
        <v>162121</v>
      </c>
      <c r="BE88" s="139">
        <v>2438203</v>
      </c>
      <c r="BF88" s="139">
        <v>0</v>
      </c>
      <c r="BG88" s="139">
        <v>0</v>
      </c>
      <c r="BH88" s="139">
        <v>0</v>
      </c>
      <c r="BI88" s="139">
        <v>0</v>
      </c>
      <c r="BJ88" s="139">
        <v>4027277</v>
      </c>
      <c r="BK88" s="139">
        <v>4027277</v>
      </c>
      <c r="BL88" s="139">
        <v>850000</v>
      </c>
      <c r="BM88" s="139">
        <v>0</v>
      </c>
      <c r="BN88" s="139">
        <v>20000</v>
      </c>
      <c r="BO88" s="139">
        <v>4500</v>
      </c>
      <c r="BP88" s="139">
        <v>0</v>
      </c>
      <c r="BQ88" s="139">
        <v>874500</v>
      </c>
      <c r="BR88" s="139">
        <v>1145313</v>
      </c>
      <c r="BS88" s="139">
        <v>35335</v>
      </c>
      <c r="BT88" s="139">
        <v>10647</v>
      </c>
      <c r="BU88" s="139">
        <v>65041</v>
      </c>
      <c r="BV88" s="139">
        <v>1833220</v>
      </c>
      <c r="BW88" s="139">
        <v>3089556</v>
      </c>
      <c r="BX88" s="139">
        <v>374391</v>
      </c>
      <c r="BY88" s="139">
        <v>120000</v>
      </c>
      <c r="BZ88" s="139">
        <v>0</v>
      </c>
      <c r="CA88" s="139">
        <v>0</v>
      </c>
      <c r="CB88" s="139">
        <v>0</v>
      </c>
      <c r="CC88" s="139">
        <v>494391</v>
      </c>
      <c r="CD88" s="139">
        <v>0</v>
      </c>
      <c r="CE88" s="139">
        <v>0</v>
      </c>
      <c r="CF88" s="139">
        <v>0</v>
      </c>
      <c r="CG88" s="139">
        <v>0</v>
      </c>
      <c r="CH88" s="139">
        <v>181525</v>
      </c>
      <c r="CI88" s="139">
        <v>181525</v>
      </c>
      <c r="CJ88" s="139">
        <v>604672</v>
      </c>
      <c r="CK88" s="139">
        <v>1308716</v>
      </c>
      <c r="CL88" s="139">
        <v>688098</v>
      </c>
      <c r="CM88" s="139">
        <v>1723753</v>
      </c>
      <c r="CN88" s="139">
        <v>3884660</v>
      </c>
      <c r="CO88" s="139">
        <v>8209899</v>
      </c>
      <c r="CP88" s="139">
        <v>296606</v>
      </c>
      <c r="CQ88" s="139">
        <v>116873</v>
      </c>
      <c r="CR88" s="139">
        <v>0</v>
      </c>
      <c r="CS88" s="139">
        <v>0</v>
      </c>
      <c r="CT88" s="139">
        <v>1347365</v>
      </c>
      <c r="CU88" s="139">
        <v>1760844</v>
      </c>
      <c r="CV88" s="139">
        <v>503961</v>
      </c>
      <c r="CW88" s="139">
        <v>0</v>
      </c>
      <c r="CX88" s="139">
        <v>0</v>
      </c>
      <c r="CY88" s="139">
        <v>0</v>
      </c>
      <c r="CZ88" s="139">
        <v>2656293</v>
      </c>
      <c r="DA88" s="139">
        <v>3160254</v>
      </c>
      <c r="DB88" s="139">
        <v>0</v>
      </c>
      <c r="DC88" s="139">
        <v>0</v>
      </c>
      <c r="DD88" s="139">
        <v>0</v>
      </c>
      <c r="DE88" s="139">
        <v>0</v>
      </c>
      <c r="DF88" s="139">
        <v>0</v>
      </c>
      <c r="DG88" s="139">
        <v>0</v>
      </c>
      <c r="DH88" s="139">
        <v>0</v>
      </c>
      <c r="DI88" s="139">
        <v>0</v>
      </c>
      <c r="DJ88" s="139">
        <v>0</v>
      </c>
      <c r="DK88" s="139">
        <v>0</v>
      </c>
      <c r="DL88" s="139">
        <v>82546</v>
      </c>
      <c r="DM88" s="139">
        <v>82546</v>
      </c>
      <c r="DN88" s="139">
        <v>5000</v>
      </c>
      <c r="DO88" s="139">
        <v>5826</v>
      </c>
      <c r="DP88" s="139">
        <v>5076</v>
      </c>
      <c r="DQ88" s="139">
        <v>0</v>
      </c>
      <c r="DR88" s="139">
        <v>496323</v>
      </c>
      <c r="DS88" s="139">
        <v>512225</v>
      </c>
      <c r="DT88" s="139">
        <v>0</v>
      </c>
      <c r="DU88" s="139">
        <v>0</v>
      </c>
      <c r="DV88" s="139">
        <v>0</v>
      </c>
      <c r="DW88" s="139">
        <v>0</v>
      </c>
      <c r="DX88" s="139">
        <v>0</v>
      </c>
      <c r="DY88" s="139">
        <v>0</v>
      </c>
      <c r="DZ88" s="139">
        <v>61583</v>
      </c>
      <c r="EA88" s="139">
        <v>13447</v>
      </c>
      <c r="EB88" s="139">
        <v>4927</v>
      </c>
      <c r="EC88" s="139">
        <v>79287</v>
      </c>
      <c r="ED88" s="139">
        <v>15608</v>
      </c>
      <c r="EE88" s="139">
        <v>174852</v>
      </c>
      <c r="EF88" s="139">
        <v>2770</v>
      </c>
      <c r="EG88" s="139">
        <v>503</v>
      </c>
      <c r="EH88" s="139">
        <v>247</v>
      </c>
      <c r="EI88" s="139">
        <v>21537</v>
      </c>
      <c r="EJ88" s="139">
        <v>121790</v>
      </c>
      <c r="EK88" s="139">
        <v>146847</v>
      </c>
      <c r="EL88" s="139">
        <v>5312394</v>
      </c>
      <c r="EM88" s="139">
        <v>2408684</v>
      </c>
      <c r="EN88" s="139">
        <v>728995</v>
      </c>
      <c r="EO88" s="139">
        <v>1894118</v>
      </c>
      <c r="EP88" s="139">
        <v>14808728</v>
      </c>
      <c r="EQ88" s="139">
        <v>25152919</v>
      </c>
      <c r="ER88" s="139">
        <v>1754512</v>
      </c>
      <c r="ES88" s="139">
        <v>281676</v>
      </c>
      <c r="ET88" s="139">
        <v>351690</v>
      </c>
      <c r="EU88" s="139">
        <v>1799056</v>
      </c>
      <c r="EV88" s="139">
        <v>236721</v>
      </c>
      <c r="EW88" s="139">
        <v>4423655</v>
      </c>
      <c r="EX88" s="139">
        <v>250000</v>
      </c>
      <c r="EY88" s="139">
        <v>245000</v>
      </c>
      <c r="EZ88" s="139">
        <v>10000</v>
      </c>
      <c r="FA88" s="139">
        <v>2950</v>
      </c>
      <c r="FB88" s="139">
        <v>0</v>
      </c>
      <c r="FC88" s="139">
        <v>507950</v>
      </c>
      <c r="FD88" s="139">
        <v>2036763</v>
      </c>
      <c r="FE88" s="139">
        <v>1265630</v>
      </c>
      <c r="FF88" s="139">
        <v>489588</v>
      </c>
      <c r="FG88" s="139">
        <v>1372831</v>
      </c>
      <c r="FH88" s="139">
        <v>152317</v>
      </c>
      <c r="FI88" s="139">
        <v>5317129</v>
      </c>
      <c r="FJ88" s="139">
        <v>374391</v>
      </c>
      <c r="FK88" s="139">
        <v>120000</v>
      </c>
      <c r="FL88" s="139">
        <v>0</v>
      </c>
      <c r="FM88" s="139">
        <v>0</v>
      </c>
      <c r="FN88" s="139">
        <v>0</v>
      </c>
      <c r="FO88" s="139">
        <v>494391</v>
      </c>
      <c r="FP88" s="139">
        <v>41417</v>
      </c>
      <c r="FQ88" s="139">
        <v>0</v>
      </c>
      <c r="FR88" s="139">
        <v>0</v>
      </c>
      <c r="FS88" s="139">
        <v>33251</v>
      </c>
      <c r="FT88" s="139">
        <v>3118170</v>
      </c>
      <c r="FU88" s="139">
        <v>3192838</v>
      </c>
      <c r="FV88" s="139">
        <v>0</v>
      </c>
      <c r="FW88" s="139">
        <v>0</v>
      </c>
      <c r="FX88" s="139">
        <v>0</v>
      </c>
      <c r="FY88" s="139">
        <v>0</v>
      </c>
      <c r="FZ88" s="139">
        <v>0</v>
      </c>
      <c r="GA88" s="139">
        <v>0</v>
      </c>
      <c r="GB88" s="139">
        <v>0</v>
      </c>
      <c r="GC88" s="139">
        <v>0</v>
      </c>
      <c r="GD88" s="139">
        <v>0</v>
      </c>
      <c r="GE88" s="139">
        <v>0</v>
      </c>
      <c r="GF88" s="139">
        <v>0</v>
      </c>
      <c r="GG88" s="139">
        <v>0</v>
      </c>
      <c r="GH88" s="139">
        <v>183235</v>
      </c>
      <c r="GI88" s="139">
        <v>145308</v>
      </c>
      <c r="GJ88" s="139">
        <v>81748</v>
      </c>
      <c r="GK88" s="139">
        <v>137441</v>
      </c>
      <c r="GL88" s="139">
        <v>1188</v>
      </c>
      <c r="GM88" s="139">
        <v>548920</v>
      </c>
      <c r="GN88" s="139">
        <v>1222228</v>
      </c>
      <c r="GO88" s="139">
        <v>236247</v>
      </c>
      <c r="GP88" s="139">
        <v>207125</v>
      </c>
      <c r="GQ88" s="139">
        <v>1466556</v>
      </c>
      <c r="GR88" s="139">
        <v>2135</v>
      </c>
      <c r="GS88" s="139">
        <v>3134291</v>
      </c>
      <c r="GT88" s="139">
        <v>636497</v>
      </c>
      <c r="GU88" s="139">
        <v>72212</v>
      </c>
      <c r="GV88" s="139">
        <v>36517</v>
      </c>
      <c r="GW88" s="139">
        <v>420603</v>
      </c>
      <c r="GX88" s="139">
        <v>365995</v>
      </c>
      <c r="GY88" s="139">
        <v>1531824</v>
      </c>
      <c r="GZ88" s="139">
        <v>233885</v>
      </c>
      <c r="HA88" s="139">
        <v>175328</v>
      </c>
      <c r="HB88" s="139">
        <v>76900</v>
      </c>
      <c r="HC88" s="139">
        <v>70580</v>
      </c>
      <c r="HD88" s="139">
        <v>0</v>
      </c>
      <c r="HE88" s="139">
        <v>556693</v>
      </c>
      <c r="HF88" s="139">
        <v>922</v>
      </c>
      <c r="HG88" s="139">
        <v>63</v>
      </c>
      <c r="HH88" s="139">
        <v>0</v>
      </c>
      <c r="HI88" s="139">
        <v>3331</v>
      </c>
      <c r="HJ88" s="139">
        <v>259054</v>
      </c>
      <c r="HK88" s="139">
        <v>263370</v>
      </c>
      <c r="HL88" s="139">
        <v>0</v>
      </c>
      <c r="HM88" s="139">
        <v>0</v>
      </c>
      <c r="HN88" s="139">
        <v>0</v>
      </c>
      <c r="HO88" s="139">
        <v>0</v>
      </c>
      <c r="HP88" s="139">
        <v>0</v>
      </c>
      <c r="HQ88" s="139">
        <v>0</v>
      </c>
      <c r="HR88" s="139">
        <v>400116</v>
      </c>
      <c r="HS88" s="139">
        <v>102090</v>
      </c>
      <c r="HT88" s="139">
        <v>2418</v>
      </c>
      <c r="HU88" s="139">
        <v>42060</v>
      </c>
      <c r="HV88" s="139">
        <v>854313</v>
      </c>
      <c r="HW88" s="139">
        <v>1400997</v>
      </c>
      <c r="HX88" s="139">
        <v>0</v>
      </c>
      <c r="HY88" s="139">
        <v>0</v>
      </c>
      <c r="HZ88" s="139">
        <v>0</v>
      </c>
      <c r="IA88" s="139">
        <v>0</v>
      </c>
      <c r="IB88" s="139">
        <v>36097</v>
      </c>
      <c r="IC88" s="139">
        <v>36097</v>
      </c>
      <c r="ID88" s="139">
        <v>296606</v>
      </c>
      <c r="IE88" s="139">
        <v>116873</v>
      </c>
      <c r="IF88" s="139">
        <v>0</v>
      </c>
      <c r="IG88" s="139">
        <v>0</v>
      </c>
      <c r="IH88" s="139">
        <v>1347365</v>
      </c>
      <c r="II88" s="139">
        <v>1760844</v>
      </c>
      <c r="IJ88" s="139">
        <v>202</v>
      </c>
      <c r="IK88" s="139">
        <v>-114</v>
      </c>
      <c r="IL88" s="139">
        <v>160</v>
      </c>
      <c r="IM88" s="139">
        <v>631</v>
      </c>
      <c r="IN88" s="139">
        <v>397922</v>
      </c>
      <c r="IO88" s="139">
        <v>398801</v>
      </c>
      <c r="IP88" s="139">
        <v>680</v>
      </c>
      <c r="IQ88" s="139">
        <v>20</v>
      </c>
      <c r="IR88" s="139">
        <v>593</v>
      </c>
      <c r="IS88" s="139">
        <v>8568</v>
      </c>
      <c r="IT88" s="139">
        <v>390797</v>
      </c>
      <c r="IU88" s="139">
        <v>400658</v>
      </c>
      <c r="IV88" s="139">
        <v>206512</v>
      </c>
      <c r="IW88" s="139">
        <v>46287</v>
      </c>
      <c r="IX88" s="139">
        <v>30150</v>
      </c>
      <c r="IY88" s="139">
        <v>52627</v>
      </c>
      <c r="IZ88" s="139">
        <v>1403291</v>
      </c>
      <c r="JA88" s="139">
        <v>1738867</v>
      </c>
      <c r="JB88" s="139">
        <v>7637966</v>
      </c>
      <c r="JC88" s="139">
        <v>2806620</v>
      </c>
      <c r="JD88" s="139">
        <v>1286889</v>
      </c>
      <c r="JE88" s="139">
        <v>5410485</v>
      </c>
      <c r="JF88" s="139">
        <v>8565365</v>
      </c>
      <c r="JG88" s="139">
        <v>25707325</v>
      </c>
      <c r="JH88" s="139">
        <v>0</v>
      </c>
      <c r="JI88" s="139">
        <v>0</v>
      </c>
      <c r="JJ88" s="139">
        <v>0</v>
      </c>
      <c r="JK88" s="139">
        <v>0</v>
      </c>
      <c r="JL88" s="139">
        <v>0</v>
      </c>
      <c r="JM88" s="139">
        <v>0</v>
      </c>
      <c r="JN88" s="139">
        <v>7637966</v>
      </c>
      <c r="JO88" s="139">
        <v>2806620</v>
      </c>
      <c r="JP88" s="139">
        <v>1286889</v>
      </c>
      <c r="JQ88" s="139">
        <v>5410485</v>
      </c>
      <c r="JR88" s="139">
        <v>8565365</v>
      </c>
      <c r="JS88" s="139">
        <v>25707325</v>
      </c>
      <c r="JU88" s="70">
        <f t="shared" si="158"/>
        <v>2438203</v>
      </c>
      <c r="JV88" s="70">
        <f t="shared" si="159"/>
        <v>0</v>
      </c>
      <c r="JW88" s="70">
        <f t="shared" si="160"/>
        <v>4027277</v>
      </c>
      <c r="JX88" s="70">
        <f t="shared" si="161"/>
        <v>0</v>
      </c>
      <c r="JY88" s="70">
        <f t="shared" si="162"/>
        <v>874500</v>
      </c>
      <c r="JZ88" s="70">
        <f t="shared" si="163"/>
        <v>0</v>
      </c>
      <c r="KA88" s="70">
        <f t="shared" si="164"/>
        <v>3089556</v>
      </c>
      <c r="KB88" s="70">
        <f t="shared" si="165"/>
        <v>0</v>
      </c>
      <c r="KC88" s="70">
        <f t="shared" si="166"/>
        <v>494391</v>
      </c>
      <c r="KD88" s="70">
        <f t="shared" si="167"/>
        <v>0</v>
      </c>
      <c r="KE88" s="70">
        <f t="shared" si="168"/>
        <v>181525</v>
      </c>
      <c r="KF88" s="70">
        <f t="shared" si="169"/>
        <v>0</v>
      </c>
      <c r="KG88" s="70">
        <f t="shared" si="170"/>
        <v>8209899</v>
      </c>
      <c r="KH88" s="70">
        <f t="shared" si="171"/>
        <v>0</v>
      </c>
      <c r="KI88" s="70">
        <f t="shared" si="172"/>
        <v>1760844</v>
      </c>
      <c r="KJ88" s="70">
        <f t="shared" si="173"/>
        <v>0</v>
      </c>
      <c r="KK88" s="70">
        <f t="shared" si="174"/>
        <v>3160254</v>
      </c>
      <c r="KL88" s="70">
        <f t="shared" si="175"/>
        <v>0</v>
      </c>
      <c r="KM88" s="70">
        <f t="shared" si="176"/>
        <v>0</v>
      </c>
      <c r="KN88" s="70">
        <f t="shared" si="177"/>
        <v>0</v>
      </c>
      <c r="KO88" s="70">
        <f t="shared" si="178"/>
        <v>82546</v>
      </c>
      <c r="KP88" s="70">
        <f t="shared" si="179"/>
        <v>0</v>
      </c>
      <c r="KQ88" s="70">
        <f t="shared" si="180"/>
        <v>512225</v>
      </c>
      <c r="KR88" s="70">
        <f t="shared" si="181"/>
        <v>0</v>
      </c>
      <c r="KS88" s="70">
        <f t="shared" si="182"/>
        <v>0</v>
      </c>
      <c r="KT88" s="70">
        <f t="shared" si="183"/>
        <v>0</v>
      </c>
      <c r="KU88" s="70">
        <f t="shared" si="184"/>
        <v>174852</v>
      </c>
      <c r="KV88" s="70">
        <f t="shared" si="185"/>
        <v>0</v>
      </c>
      <c r="KW88" s="70">
        <f t="shared" si="186"/>
        <v>146847</v>
      </c>
      <c r="KX88" s="70">
        <f t="shared" si="187"/>
        <v>0</v>
      </c>
      <c r="KY88" s="70">
        <f t="shared" si="188"/>
        <v>25152919</v>
      </c>
      <c r="KZ88" s="70">
        <f t="shared" si="189"/>
        <v>0</v>
      </c>
      <c r="LA88" s="70">
        <f t="shared" si="190"/>
        <v>4423655</v>
      </c>
      <c r="LB88" s="70">
        <f t="shared" si="191"/>
        <v>0</v>
      </c>
      <c r="LC88" s="70">
        <f t="shared" si="192"/>
        <v>507950</v>
      </c>
      <c r="LD88" s="70">
        <f t="shared" si="193"/>
        <v>0</v>
      </c>
      <c r="LE88" s="70">
        <f t="shared" si="194"/>
        <v>5317129</v>
      </c>
      <c r="LF88" s="70">
        <f t="shared" si="195"/>
        <v>0</v>
      </c>
      <c r="LG88" s="70">
        <f t="shared" si="234"/>
        <v>494391</v>
      </c>
      <c r="LH88" s="70">
        <f t="shared" si="235"/>
        <v>0</v>
      </c>
      <c r="LI88" s="70">
        <f t="shared" si="196"/>
        <v>3192838</v>
      </c>
      <c r="LJ88" s="70">
        <f t="shared" si="197"/>
        <v>0</v>
      </c>
      <c r="LK88" s="70">
        <f t="shared" si="198"/>
        <v>0</v>
      </c>
      <c r="LL88" s="70">
        <f t="shared" si="199"/>
        <v>0</v>
      </c>
      <c r="LM88" s="70">
        <f t="shared" si="200"/>
        <v>0</v>
      </c>
      <c r="LN88" s="70">
        <f t="shared" si="201"/>
        <v>0</v>
      </c>
      <c r="LO88" s="70">
        <f t="shared" si="202"/>
        <v>548920</v>
      </c>
      <c r="LP88" s="70">
        <f t="shared" si="203"/>
        <v>0</v>
      </c>
      <c r="LQ88" s="70">
        <f t="shared" si="204"/>
        <v>3134291</v>
      </c>
      <c r="LR88" s="70">
        <f t="shared" si="205"/>
        <v>0</v>
      </c>
      <c r="LS88" s="70">
        <f t="shared" si="206"/>
        <v>1531824</v>
      </c>
      <c r="LT88" s="70">
        <f t="shared" si="207"/>
        <v>0</v>
      </c>
      <c r="LU88" s="70">
        <f t="shared" si="208"/>
        <v>556693</v>
      </c>
      <c r="LV88" s="70">
        <f t="shared" si="209"/>
        <v>0</v>
      </c>
      <c r="LW88" s="70">
        <f t="shared" si="210"/>
        <v>263370</v>
      </c>
      <c r="LX88" s="70">
        <f t="shared" si="211"/>
        <v>0</v>
      </c>
      <c r="LY88" s="70">
        <f t="shared" si="212"/>
        <v>0</v>
      </c>
      <c r="LZ88" s="70">
        <f t="shared" si="213"/>
        <v>0</v>
      </c>
      <c r="MA88" s="70">
        <f t="shared" si="214"/>
        <v>1400997</v>
      </c>
      <c r="MB88" s="70">
        <f t="shared" si="215"/>
        <v>0</v>
      </c>
      <c r="MC88" s="70">
        <f t="shared" si="216"/>
        <v>36097</v>
      </c>
      <c r="MD88" s="70">
        <f t="shared" si="217"/>
        <v>0</v>
      </c>
      <c r="ME88" s="70">
        <f t="shared" si="218"/>
        <v>1760844</v>
      </c>
      <c r="MF88" s="70">
        <f t="shared" si="219"/>
        <v>0</v>
      </c>
      <c r="MG88" s="70">
        <f t="shared" si="220"/>
        <v>398801</v>
      </c>
      <c r="MH88" s="70">
        <f t="shared" si="221"/>
        <v>0</v>
      </c>
      <c r="MI88" s="70">
        <f t="shared" si="222"/>
        <v>400658</v>
      </c>
      <c r="MJ88" s="70">
        <f t="shared" si="223"/>
        <v>0</v>
      </c>
      <c r="MK88" s="70">
        <f t="shared" si="224"/>
        <v>1738867</v>
      </c>
      <c r="ML88" s="70">
        <f t="shared" si="225"/>
        <v>0</v>
      </c>
      <c r="MM88" s="70">
        <f t="shared" si="226"/>
        <v>25707325</v>
      </c>
      <c r="MN88" s="70">
        <f t="shared" si="227"/>
        <v>0</v>
      </c>
      <c r="MO88" s="70">
        <f t="shared" si="228"/>
        <v>0</v>
      </c>
      <c r="MP88" s="70">
        <f t="shared" si="229"/>
        <v>0</v>
      </c>
      <c r="MQ88" s="70">
        <f t="shared" si="230"/>
        <v>25707325</v>
      </c>
      <c r="MR88" s="70">
        <f t="shared" si="231"/>
        <v>0</v>
      </c>
      <c r="MT88" s="70">
        <f t="shared" si="232"/>
        <v>0</v>
      </c>
      <c r="MV88" s="68">
        <f t="shared" si="233"/>
        <v>0</v>
      </c>
    </row>
    <row r="89" spans="1:361" x14ac:dyDescent="0.15">
      <c r="A89" s="182" t="s">
        <v>302</v>
      </c>
      <c r="B89" s="76" t="s">
        <v>428</v>
      </c>
      <c r="C89" s="90">
        <v>228796</v>
      </c>
      <c r="D89" s="90">
        <v>2014</v>
      </c>
      <c r="E89" s="90">
        <v>1</v>
      </c>
      <c r="F89" s="91">
        <v>8</v>
      </c>
      <c r="G89" s="92">
        <v>6161</v>
      </c>
      <c r="H89" s="92">
        <v>6781</v>
      </c>
      <c r="I89" s="93">
        <v>384789986</v>
      </c>
      <c r="J89" s="93">
        <v>380688163</v>
      </c>
      <c r="K89" s="93">
        <v>1444146</v>
      </c>
      <c r="L89" s="93">
        <v>1444554</v>
      </c>
      <c r="M89" s="93">
        <v>21419043</v>
      </c>
      <c r="N89" s="93">
        <v>18956649</v>
      </c>
      <c r="O89" s="93">
        <v>15237000</v>
      </c>
      <c r="P89" s="93">
        <v>15108000</v>
      </c>
      <c r="Q89" s="93">
        <v>222083000</v>
      </c>
      <c r="R89" s="93">
        <v>226535000</v>
      </c>
      <c r="S89" s="93">
        <v>290324816</v>
      </c>
      <c r="T89" s="93">
        <v>289352881</v>
      </c>
      <c r="U89" s="93">
        <v>16897</v>
      </c>
      <c r="V89" s="93">
        <v>16742</v>
      </c>
      <c r="W89" s="93">
        <v>27517</v>
      </c>
      <c r="X89" s="93">
        <v>27272</v>
      </c>
      <c r="Y89" s="93">
        <v>20775</v>
      </c>
      <c r="Z89" s="93">
        <v>20564</v>
      </c>
      <c r="AA89" s="93">
        <v>31395</v>
      </c>
      <c r="AB89" s="93">
        <v>31094</v>
      </c>
      <c r="AC89" s="114">
        <v>6</v>
      </c>
      <c r="AD89" s="114">
        <v>10</v>
      </c>
      <c r="AE89" s="114">
        <v>0</v>
      </c>
      <c r="AF89" s="115">
        <v>2664518</v>
      </c>
      <c r="AG89" s="115">
        <v>2512146</v>
      </c>
      <c r="AH89" s="115">
        <v>392668</v>
      </c>
      <c r="AI89" s="115">
        <v>176285</v>
      </c>
      <c r="AJ89" s="115">
        <v>412897</v>
      </c>
      <c r="AK89" s="116">
        <v>3.75</v>
      </c>
      <c r="AL89" s="115">
        <v>309672</v>
      </c>
      <c r="AM89" s="116">
        <v>5</v>
      </c>
      <c r="AN89" s="115">
        <v>126825</v>
      </c>
      <c r="AO89" s="116">
        <v>7.75</v>
      </c>
      <c r="AP89" s="115">
        <v>109211</v>
      </c>
      <c r="AQ89" s="116">
        <v>9</v>
      </c>
      <c r="AR89" s="115">
        <v>151733</v>
      </c>
      <c r="AS89" s="116">
        <v>13.75</v>
      </c>
      <c r="AT89" s="115">
        <v>130396</v>
      </c>
      <c r="AU89" s="116">
        <v>16</v>
      </c>
      <c r="AV89" s="115">
        <v>67018</v>
      </c>
      <c r="AW89" s="116">
        <v>9.75</v>
      </c>
      <c r="AX89" s="115">
        <v>54452</v>
      </c>
      <c r="AY89" s="116">
        <v>12</v>
      </c>
      <c r="AZ89" s="139">
        <v>929354</v>
      </c>
      <c r="BA89" s="139">
        <v>1356855</v>
      </c>
      <c r="BB89" s="139">
        <v>22843</v>
      </c>
      <c r="BC89" s="139">
        <v>17407</v>
      </c>
      <c r="BD89" s="139">
        <v>0</v>
      </c>
      <c r="BE89" s="139">
        <v>2326459</v>
      </c>
      <c r="BF89" s="139">
        <v>2221939</v>
      </c>
      <c r="BG89" s="139">
        <v>339173</v>
      </c>
      <c r="BH89" s="139">
        <v>391888</v>
      </c>
      <c r="BI89" s="139">
        <v>2371560</v>
      </c>
      <c r="BJ89" s="139">
        <v>104463</v>
      </c>
      <c r="BK89" s="139">
        <v>5429023</v>
      </c>
      <c r="BL89" s="139">
        <v>1050000</v>
      </c>
      <c r="BM89" s="139">
        <v>200000</v>
      </c>
      <c r="BN89" s="139">
        <v>20000</v>
      </c>
      <c r="BO89" s="139">
        <v>500</v>
      </c>
      <c r="BP89" s="139">
        <v>0</v>
      </c>
      <c r="BQ89" s="139">
        <v>1270500</v>
      </c>
      <c r="BR89" s="139">
        <v>1202834</v>
      </c>
      <c r="BS89" s="139">
        <v>336537</v>
      </c>
      <c r="BT89" s="139">
        <v>170751</v>
      </c>
      <c r="BU89" s="139">
        <v>1320589</v>
      </c>
      <c r="BV89" s="139">
        <v>352114</v>
      </c>
      <c r="BW89" s="139">
        <v>3382825</v>
      </c>
      <c r="BX89" s="139">
        <v>68969</v>
      </c>
      <c r="BY89" s="139">
        <v>43104</v>
      </c>
      <c r="BZ89" s="139">
        <v>10668</v>
      </c>
      <c r="CA89" s="139">
        <v>30414</v>
      </c>
      <c r="CB89" s="139">
        <v>30118</v>
      </c>
      <c r="CC89" s="139">
        <v>183273</v>
      </c>
      <c r="CD89" s="139">
        <v>0</v>
      </c>
      <c r="CE89" s="139">
        <v>0</v>
      </c>
      <c r="CF89" s="139">
        <v>0</v>
      </c>
      <c r="CG89" s="139">
        <v>0</v>
      </c>
      <c r="CH89" s="139">
        <v>0</v>
      </c>
      <c r="CI89" s="139">
        <v>0</v>
      </c>
      <c r="CJ89" s="139">
        <v>2258746</v>
      </c>
      <c r="CK89" s="139">
        <v>413952</v>
      </c>
      <c r="CL89" s="139">
        <v>445976</v>
      </c>
      <c r="CM89" s="139">
        <v>2964658</v>
      </c>
      <c r="CN89" s="139">
        <v>411401</v>
      </c>
      <c r="CO89" s="139">
        <v>6494733</v>
      </c>
      <c r="CP89" s="139">
        <v>1290660</v>
      </c>
      <c r="CQ89" s="139">
        <v>197395</v>
      </c>
      <c r="CR89" s="139">
        <v>227764</v>
      </c>
      <c r="CS89" s="139">
        <v>1377213</v>
      </c>
      <c r="CT89" s="139">
        <v>0</v>
      </c>
      <c r="CU89" s="139">
        <v>3093032</v>
      </c>
      <c r="CV89" s="139">
        <v>1100292</v>
      </c>
      <c r="CW89" s="139">
        <v>239716</v>
      </c>
      <c r="CX89" s="139">
        <v>556984</v>
      </c>
      <c r="CY89" s="139">
        <v>1168715</v>
      </c>
      <c r="CZ89" s="139">
        <v>0</v>
      </c>
      <c r="DA89" s="139">
        <v>3065707</v>
      </c>
      <c r="DB89" s="139">
        <v>227943</v>
      </c>
      <c r="DC89" s="139">
        <v>148986</v>
      </c>
      <c r="DD89" s="139">
        <v>0</v>
      </c>
      <c r="DE89" s="139">
        <v>0</v>
      </c>
      <c r="DF89" s="139">
        <v>0</v>
      </c>
      <c r="DG89" s="139">
        <v>376929</v>
      </c>
      <c r="DH89" s="139">
        <v>296738</v>
      </c>
      <c r="DI89" s="139">
        <v>45298</v>
      </c>
      <c r="DJ89" s="139">
        <v>52336</v>
      </c>
      <c r="DK89" s="139">
        <v>316719</v>
      </c>
      <c r="DL89" s="139">
        <v>0</v>
      </c>
      <c r="DM89" s="139">
        <v>711091</v>
      </c>
      <c r="DN89" s="139">
        <v>885011</v>
      </c>
      <c r="DO89" s="139">
        <v>536498</v>
      </c>
      <c r="DP89" s="139">
        <v>25365</v>
      </c>
      <c r="DQ89" s="139">
        <v>49425</v>
      </c>
      <c r="DR89" s="139">
        <v>20000</v>
      </c>
      <c r="DS89" s="139">
        <v>1516299</v>
      </c>
      <c r="DT89" s="139">
        <v>10977</v>
      </c>
      <c r="DU89" s="139">
        <v>35840</v>
      </c>
      <c r="DV89" s="139">
        <v>0</v>
      </c>
      <c r="DW89" s="139">
        <v>71906</v>
      </c>
      <c r="DX89" s="139">
        <v>26825</v>
      </c>
      <c r="DY89" s="139">
        <v>145548</v>
      </c>
      <c r="DZ89" s="139">
        <v>48321</v>
      </c>
      <c r="EA89" s="139">
        <v>23830</v>
      </c>
      <c r="EB89" s="139">
        <v>6428</v>
      </c>
      <c r="EC89" s="139">
        <v>44711</v>
      </c>
      <c r="ED89" s="139">
        <v>0</v>
      </c>
      <c r="EE89" s="139">
        <v>123290</v>
      </c>
      <c r="EF89" s="139">
        <v>168328</v>
      </c>
      <c r="EG89" s="139">
        <v>37423</v>
      </c>
      <c r="EH89" s="139">
        <v>36700</v>
      </c>
      <c r="EI89" s="139">
        <v>220484</v>
      </c>
      <c r="EJ89" s="139">
        <v>64017</v>
      </c>
      <c r="EK89" s="139">
        <v>526952</v>
      </c>
      <c r="EL89" s="139">
        <v>11760112</v>
      </c>
      <c r="EM89" s="139">
        <v>3954607</v>
      </c>
      <c r="EN89" s="139">
        <v>1967703</v>
      </c>
      <c r="EO89" s="139">
        <v>9954301</v>
      </c>
      <c r="EP89" s="139">
        <v>1008938</v>
      </c>
      <c r="EQ89" s="139">
        <v>28645661</v>
      </c>
      <c r="ER89" s="139">
        <v>1814132</v>
      </c>
      <c r="ES89" s="139">
        <v>340114</v>
      </c>
      <c r="ET89" s="139">
        <v>428134</v>
      </c>
      <c r="EU89" s="139">
        <v>2594284</v>
      </c>
      <c r="EV89" s="139">
        <v>1208674</v>
      </c>
      <c r="EW89" s="139">
        <v>6385338</v>
      </c>
      <c r="EX89" s="139">
        <v>0</v>
      </c>
      <c r="EY89" s="139">
        <v>414000</v>
      </c>
      <c r="EZ89" s="139">
        <v>104500</v>
      </c>
      <c r="FA89" s="139">
        <v>20000</v>
      </c>
      <c r="FB89" s="139">
        <v>0</v>
      </c>
      <c r="FC89" s="139">
        <v>538500</v>
      </c>
      <c r="FD89" s="139">
        <v>2094045</v>
      </c>
      <c r="FE89" s="139">
        <v>1219043</v>
      </c>
      <c r="FF89" s="139">
        <v>525369</v>
      </c>
      <c r="FG89" s="139">
        <v>1432558</v>
      </c>
      <c r="FH89" s="139">
        <v>0</v>
      </c>
      <c r="FI89" s="139">
        <v>5271015</v>
      </c>
      <c r="FJ89" s="139">
        <v>64801</v>
      </c>
      <c r="FK89" s="139">
        <v>43104</v>
      </c>
      <c r="FL89" s="139">
        <v>10668</v>
      </c>
      <c r="FM89" s="139">
        <v>30414</v>
      </c>
      <c r="FN89" s="139">
        <v>0</v>
      </c>
      <c r="FO89" s="139">
        <v>148987</v>
      </c>
      <c r="FP89" s="139">
        <v>405682</v>
      </c>
      <c r="FQ89" s="139">
        <v>175534</v>
      </c>
      <c r="FR89" s="139">
        <v>65952</v>
      </c>
      <c r="FS89" s="139">
        <v>105918</v>
      </c>
      <c r="FT89" s="139">
        <v>2472099</v>
      </c>
      <c r="FU89" s="139">
        <v>3225185</v>
      </c>
      <c r="FV89" s="139">
        <v>4168</v>
      </c>
      <c r="FW89" s="139">
        <v>0</v>
      </c>
      <c r="FX89" s="139">
        <v>0</v>
      </c>
      <c r="FY89" s="139">
        <f>4168+0-FV89-FW89-FX89</f>
        <v>0</v>
      </c>
      <c r="FZ89" s="139">
        <v>30118</v>
      </c>
      <c r="GA89" s="139">
        <v>34286</v>
      </c>
      <c r="GB89" s="139">
        <v>0</v>
      </c>
      <c r="GC89" s="139">
        <v>0</v>
      </c>
      <c r="GD89" s="139">
        <v>0</v>
      </c>
      <c r="GE89" s="139">
        <v>0</v>
      </c>
      <c r="GF89" s="139">
        <v>0</v>
      </c>
      <c r="GG89" s="139">
        <v>0</v>
      </c>
      <c r="GH89" s="139">
        <v>229107</v>
      </c>
      <c r="GI89" s="139">
        <v>147993</v>
      </c>
      <c r="GJ89" s="139">
        <v>65033</v>
      </c>
      <c r="GK89" s="139">
        <f>392668+176285-GH89-GI89-GJ89</f>
        <v>126820</v>
      </c>
      <c r="GL89" s="139">
        <v>0</v>
      </c>
      <c r="GM89" s="139">
        <v>568953</v>
      </c>
      <c r="GN89" s="139">
        <v>1165395</v>
      </c>
      <c r="GO89" s="139">
        <v>347200</v>
      </c>
      <c r="GP89" s="139">
        <v>277673</v>
      </c>
      <c r="GQ89" s="139">
        <f>1759791+1155355-GN89-GO89-GP89</f>
        <v>1124878</v>
      </c>
      <c r="GR89" s="139">
        <v>0</v>
      </c>
      <c r="GS89" s="139">
        <v>2915146</v>
      </c>
      <c r="GT89" s="139">
        <v>185162</v>
      </c>
      <c r="GU89" s="139">
        <v>56463</v>
      </c>
      <c r="GV89" s="139">
        <v>34043</v>
      </c>
      <c r="GW89" s="139">
        <f>277203+219615-GT89-GU89-GV89</f>
        <v>221150</v>
      </c>
      <c r="GX89" s="139">
        <v>0</v>
      </c>
      <c r="GY89" s="139">
        <v>496818</v>
      </c>
      <c r="GZ89" s="139">
        <v>615683</v>
      </c>
      <c r="HA89" s="139">
        <v>391597</v>
      </c>
      <c r="HB89" s="139">
        <v>401282</v>
      </c>
      <c r="HC89" s="139">
        <f>1036424+574230-GZ89-HA89-HB89</f>
        <v>202092</v>
      </c>
      <c r="HD89" s="139">
        <v>0</v>
      </c>
      <c r="HE89" s="139">
        <v>1610654</v>
      </c>
      <c r="HF89" s="139">
        <v>243530</v>
      </c>
      <c r="HG89" s="139">
        <v>56242</v>
      </c>
      <c r="HH89" s="139">
        <v>38410</v>
      </c>
      <c r="HI89" s="139">
        <f>343609+237700-HF89-HG89-HH89</f>
        <v>243127</v>
      </c>
      <c r="HJ89" s="139">
        <v>398482</v>
      </c>
      <c r="HK89" s="139">
        <v>979791</v>
      </c>
      <c r="HL89" s="139">
        <v>33050</v>
      </c>
      <c r="HM89" s="139">
        <v>26534</v>
      </c>
      <c r="HN89" s="139">
        <v>0</v>
      </c>
      <c r="HO89" s="139">
        <f>60417+46464-HL89-HM89-HN89</f>
        <v>47297</v>
      </c>
      <c r="HP89" s="139">
        <v>11464</v>
      </c>
      <c r="HQ89" s="139">
        <v>118345</v>
      </c>
      <c r="HR89" s="149">
        <v>150242</v>
      </c>
      <c r="HS89" s="139">
        <v>29851</v>
      </c>
      <c r="HT89" s="139">
        <v>32446</v>
      </c>
      <c r="HU89" s="139">
        <f>210457+213513-HR89-HS89-HT89</f>
        <v>211431</v>
      </c>
      <c r="HV89" s="139">
        <v>0</v>
      </c>
      <c r="HW89" s="139">
        <v>423970</v>
      </c>
      <c r="HX89" s="139">
        <v>24403</v>
      </c>
      <c r="HY89" s="139">
        <v>3732</v>
      </c>
      <c r="HZ89" s="139">
        <v>4307</v>
      </c>
      <c r="IA89" s="139">
        <f>33044+25438-HX89-HY89-HZ89</f>
        <v>26040</v>
      </c>
      <c r="IB89" s="139">
        <v>39746</v>
      </c>
      <c r="IC89" s="139">
        <v>98228</v>
      </c>
      <c r="ID89" s="139">
        <v>1290660</v>
      </c>
      <c r="IE89" s="139">
        <v>197395</v>
      </c>
      <c r="IF89" s="139">
        <v>227764</v>
      </c>
      <c r="IG89" s="139">
        <f>1747706+1345326-ID89-IE89-IF89</f>
        <v>1377213</v>
      </c>
      <c r="IH89" s="139">
        <v>0</v>
      </c>
      <c r="II89" s="139">
        <v>3093032</v>
      </c>
      <c r="IJ89" s="139">
        <v>359914</v>
      </c>
      <c r="IK89" s="139">
        <v>55002</v>
      </c>
      <c r="IL89" s="139">
        <v>63499</v>
      </c>
      <c r="IM89" s="139">
        <f>487340+375167-IJ89-IK89-IL89</f>
        <v>384092</v>
      </c>
      <c r="IN89" s="139">
        <v>5000</v>
      </c>
      <c r="IO89" s="139">
        <v>867507</v>
      </c>
      <c r="IP89" s="139">
        <v>118865</v>
      </c>
      <c r="IQ89" s="139">
        <v>18151</v>
      </c>
      <c r="IR89" s="139">
        <v>20730</v>
      </c>
      <c r="IS89" s="139">
        <f>161428+125213-IP89-IQ89-IR89</f>
        <v>128895</v>
      </c>
      <c r="IT89" s="139">
        <v>480</v>
      </c>
      <c r="IU89" s="139">
        <v>287121</v>
      </c>
      <c r="IV89" s="139">
        <v>316960</v>
      </c>
      <c r="IW89" s="139">
        <v>151602</v>
      </c>
      <c r="IX89" s="139">
        <v>68182</v>
      </c>
      <c r="IY89" s="139">
        <f>641192+234433-IV89-IW89-IX89</f>
        <v>338881</v>
      </c>
      <c r="IZ89" s="139">
        <v>583386</v>
      </c>
      <c r="JA89" s="139">
        <v>1459011</v>
      </c>
      <c r="JB89" s="139">
        <v>9115799</v>
      </c>
      <c r="JC89" s="139">
        <v>3673497</v>
      </c>
      <c r="JD89" s="139">
        <v>2367992</v>
      </c>
      <c r="JE89" s="139">
        <f>14579647+9192791-JB89-JC89-JD89</f>
        <v>8615150</v>
      </c>
      <c r="JF89" s="139">
        <v>4749449</v>
      </c>
      <c r="JG89" s="139">
        <v>28521887</v>
      </c>
      <c r="JH89" s="139">
        <v>0</v>
      </c>
      <c r="JI89" s="139">
        <v>0</v>
      </c>
      <c r="JJ89" s="139">
        <v>0</v>
      </c>
      <c r="JK89" s="139">
        <v>0</v>
      </c>
      <c r="JL89" s="139">
        <v>0</v>
      </c>
      <c r="JM89" s="139">
        <v>0</v>
      </c>
      <c r="JN89" s="139">
        <v>9115799</v>
      </c>
      <c r="JO89" s="139">
        <v>3673497</v>
      </c>
      <c r="JP89" s="139">
        <v>2367992</v>
      </c>
      <c r="JQ89" s="139">
        <f>14579647+9192791-JN89-JO89-JP89</f>
        <v>8615150</v>
      </c>
      <c r="JR89" s="139">
        <v>4749449</v>
      </c>
      <c r="JS89" s="139">
        <v>28521887</v>
      </c>
      <c r="JU89" s="70">
        <f t="shared" si="158"/>
        <v>2326459</v>
      </c>
      <c r="JV89" s="70">
        <f t="shared" si="159"/>
        <v>0</v>
      </c>
      <c r="JW89" s="70">
        <f t="shared" si="160"/>
        <v>5429023</v>
      </c>
      <c r="JX89" s="70">
        <f t="shared" si="161"/>
        <v>0</v>
      </c>
      <c r="JY89" s="70">
        <f t="shared" si="162"/>
        <v>1270500</v>
      </c>
      <c r="JZ89" s="70">
        <f t="shared" si="163"/>
        <v>0</v>
      </c>
      <c r="KA89" s="70">
        <f t="shared" si="164"/>
        <v>3382825</v>
      </c>
      <c r="KB89" s="70">
        <f t="shared" si="165"/>
        <v>0</v>
      </c>
      <c r="KC89" s="70">
        <f t="shared" si="166"/>
        <v>183273</v>
      </c>
      <c r="KD89" s="70">
        <f t="shared" si="167"/>
        <v>0</v>
      </c>
      <c r="KE89" s="70">
        <f t="shared" si="168"/>
        <v>0</v>
      </c>
      <c r="KF89" s="70">
        <f t="shared" si="169"/>
        <v>0</v>
      </c>
      <c r="KG89" s="70">
        <f t="shared" si="170"/>
        <v>6494733</v>
      </c>
      <c r="KH89" s="70">
        <f t="shared" si="171"/>
        <v>0</v>
      </c>
      <c r="KI89" s="70">
        <f t="shared" si="172"/>
        <v>3093032</v>
      </c>
      <c r="KJ89" s="70">
        <f t="shared" si="173"/>
        <v>0</v>
      </c>
      <c r="KK89" s="70">
        <f t="shared" si="174"/>
        <v>3065707</v>
      </c>
      <c r="KL89" s="70">
        <f t="shared" si="175"/>
        <v>0</v>
      </c>
      <c r="KM89" s="70">
        <f t="shared" si="176"/>
        <v>376929</v>
      </c>
      <c r="KN89" s="70">
        <f t="shared" si="177"/>
        <v>0</v>
      </c>
      <c r="KO89" s="70">
        <f t="shared" si="178"/>
        <v>711091</v>
      </c>
      <c r="KP89" s="70">
        <f t="shared" si="179"/>
        <v>0</v>
      </c>
      <c r="KQ89" s="70">
        <f t="shared" si="180"/>
        <v>1516299</v>
      </c>
      <c r="KR89" s="70">
        <f t="shared" si="181"/>
        <v>0</v>
      </c>
      <c r="KS89" s="70">
        <f t="shared" si="182"/>
        <v>145548</v>
      </c>
      <c r="KT89" s="70">
        <f t="shared" si="183"/>
        <v>0</v>
      </c>
      <c r="KU89" s="70">
        <f t="shared" si="184"/>
        <v>123290</v>
      </c>
      <c r="KV89" s="70">
        <f t="shared" si="185"/>
        <v>0</v>
      </c>
      <c r="KW89" s="70">
        <f t="shared" si="186"/>
        <v>526952</v>
      </c>
      <c r="KX89" s="70">
        <f t="shared" si="187"/>
        <v>0</v>
      </c>
      <c r="KY89" s="70">
        <f t="shared" si="188"/>
        <v>28645661</v>
      </c>
      <c r="KZ89" s="70">
        <f t="shared" si="189"/>
        <v>0</v>
      </c>
      <c r="LA89" s="70">
        <f t="shared" si="190"/>
        <v>6385338</v>
      </c>
      <c r="LB89" s="70">
        <f t="shared" si="191"/>
        <v>0</v>
      </c>
      <c r="LC89" s="70">
        <f t="shared" si="192"/>
        <v>538500</v>
      </c>
      <c r="LD89" s="70">
        <f t="shared" si="193"/>
        <v>0</v>
      </c>
      <c r="LE89" s="70">
        <f t="shared" si="194"/>
        <v>5271015</v>
      </c>
      <c r="LF89" s="70">
        <f t="shared" si="195"/>
        <v>0</v>
      </c>
      <c r="LG89" s="70">
        <f t="shared" si="234"/>
        <v>148987</v>
      </c>
      <c r="LH89" s="70">
        <f t="shared" si="235"/>
        <v>0</v>
      </c>
      <c r="LI89" s="70">
        <f t="shared" si="196"/>
        <v>3225185</v>
      </c>
      <c r="LJ89" s="70">
        <f t="shared" si="197"/>
        <v>0</v>
      </c>
      <c r="LK89" s="70">
        <f t="shared" si="198"/>
        <v>34286</v>
      </c>
      <c r="LL89" s="70">
        <f t="shared" si="199"/>
        <v>0</v>
      </c>
      <c r="LM89" s="70">
        <f t="shared" si="200"/>
        <v>0</v>
      </c>
      <c r="LN89" s="70">
        <f t="shared" si="201"/>
        <v>0</v>
      </c>
      <c r="LO89" s="70">
        <f t="shared" si="202"/>
        <v>568953</v>
      </c>
      <c r="LP89" s="70">
        <f t="shared" si="203"/>
        <v>0</v>
      </c>
      <c r="LQ89" s="70">
        <f t="shared" si="204"/>
        <v>2915146</v>
      </c>
      <c r="LR89" s="70">
        <f t="shared" si="205"/>
        <v>0</v>
      </c>
      <c r="LS89" s="70">
        <f t="shared" si="206"/>
        <v>496818</v>
      </c>
      <c r="LT89" s="70">
        <f t="shared" si="207"/>
        <v>0</v>
      </c>
      <c r="LU89" s="70">
        <f t="shared" si="208"/>
        <v>1610654</v>
      </c>
      <c r="LV89" s="70">
        <f t="shared" si="209"/>
        <v>0</v>
      </c>
      <c r="LW89" s="70">
        <f t="shared" si="210"/>
        <v>979791</v>
      </c>
      <c r="LX89" s="70">
        <f t="shared" si="211"/>
        <v>0</v>
      </c>
      <c r="LY89" s="70">
        <f t="shared" si="212"/>
        <v>118345</v>
      </c>
      <c r="LZ89" s="70">
        <f t="shared" si="213"/>
        <v>0</v>
      </c>
      <c r="MA89" s="70">
        <f t="shared" si="214"/>
        <v>423970</v>
      </c>
      <c r="MB89" s="70">
        <f t="shared" si="215"/>
        <v>0</v>
      </c>
      <c r="MC89" s="70">
        <f t="shared" si="216"/>
        <v>98228</v>
      </c>
      <c r="MD89" s="70">
        <f t="shared" si="217"/>
        <v>0</v>
      </c>
      <c r="ME89" s="70">
        <f t="shared" si="218"/>
        <v>3093032</v>
      </c>
      <c r="MF89" s="70">
        <f t="shared" si="219"/>
        <v>0</v>
      </c>
      <c r="MG89" s="70">
        <f t="shared" si="220"/>
        <v>867507</v>
      </c>
      <c r="MH89" s="70">
        <f t="shared" si="221"/>
        <v>0</v>
      </c>
      <c r="MI89" s="70">
        <f t="shared" si="222"/>
        <v>287121</v>
      </c>
      <c r="MJ89" s="70">
        <f t="shared" si="223"/>
        <v>0</v>
      </c>
      <c r="MK89" s="70">
        <f t="shared" si="224"/>
        <v>1459011</v>
      </c>
      <c r="ML89" s="70">
        <f t="shared" si="225"/>
        <v>0</v>
      </c>
      <c r="MM89" s="70">
        <f t="shared" si="226"/>
        <v>28521887</v>
      </c>
      <c r="MN89" s="70">
        <f t="shared" si="227"/>
        <v>0</v>
      </c>
      <c r="MO89" s="70">
        <f t="shared" si="228"/>
        <v>0</v>
      </c>
      <c r="MP89" s="70">
        <f t="shared" si="229"/>
        <v>0</v>
      </c>
      <c r="MQ89" s="70">
        <f t="shared" si="230"/>
        <v>28521887</v>
      </c>
      <c r="MR89" s="70">
        <f t="shared" si="231"/>
        <v>0</v>
      </c>
      <c r="MT89" s="70">
        <f t="shared" si="232"/>
        <v>0</v>
      </c>
      <c r="MV89" s="68">
        <f t="shared" si="233"/>
        <v>0</v>
      </c>
    </row>
    <row r="90" spans="1:361" x14ac:dyDescent="0.15">
      <c r="A90" s="182" t="s">
        <v>303</v>
      </c>
      <c r="B90" s="76" t="s">
        <v>428</v>
      </c>
      <c r="C90" s="110">
        <v>234076</v>
      </c>
      <c r="D90" s="90">
        <v>2014</v>
      </c>
      <c r="E90" s="90">
        <v>1</v>
      </c>
      <c r="F90" s="91">
        <v>1</v>
      </c>
      <c r="G90" s="92">
        <v>6704</v>
      </c>
      <c r="H90" s="92">
        <v>8194</v>
      </c>
      <c r="I90" s="93">
        <v>2521303401</v>
      </c>
      <c r="J90" s="93">
        <v>2433251185</v>
      </c>
      <c r="K90" s="93">
        <v>9542384</v>
      </c>
      <c r="L90" s="93">
        <v>9542384</v>
      </c>
      <c r="M90" s="93">
        <v>60394922</v>
      </c>
      <c r="N90" s="93">
        <v>55883810</v>
      </c>
      <c r="O90" s="93">
        <v>83807229</v>
      </c>
      <c r="P90" s="93">
        <v>91096703</v>
      </c>
      <c r="Q90" s="93">
        <v>1397408920</v>
      </c>
      <c r="R90" s="93">
        <v>1283449019</v>
      </c>
      <c r="S90" s="93">
        <v>996143273</v>
      </c>
      <c r="T90" s="93">
        <v>999952188</v>
      </c>
      <c r="U90" s="93">
        <v>24311</v>
      </c>
      <c r="V90" s="93">
        <v>22336</v>
      </c>
      <c r="W90" s="93">
        <v>51697</v>
      </c>
      <c r="X90" s="93">
        <v>48348</v>
      </c>
      <c r="Y90" s="93">
        <v>28823</v>
      </c>
      <c r="Z90" s="93">
        <v>25464</v>
      </c>
      <c r="AA90" s="93">
        <v>56729</v>
      </c>
      <c r="AB90" s="93">
        <v>51696</v>
      </c>
      <c r="AC90" s="114">
        <v>12</v>
      </c>
      <c r="AD90" s="114">
        <v>13</v>
      </c>
      <c r="AE90" s="114">
        <v>0</v>
      </c>
      <c r="AF90" s="115">
        <v>7651004</v>
      </c>
      <c r="AG90" s="115">
        <v>6666877</v>
      </c>
      <c r="AH90" s="115">
        <v>821258</v>
      </c>
      <c r="AI90" s="115">
        <v>394628</v>
      </c>
      <c r="AJ90" s="115">
        <v>842751</v>
      </c>
      <c r="AK90" s="116">
        <v>9</v>
      </c>
      <c r="AL90" s="115">
        <v>758476</v>
      </c>
      <c r="AM90" s="116">
        <v>10</v>
      </c>
      <c r="AN90" s="115">
        <v>255527</v>
      </c>
      <c r="AO90" s="116">
        <v>10</v>
      </c>
      <c r="AP90" s="115">
        <v>232297</v>
      </c>
      <c r="AQ90" s="116">
        <v>11</v>
      </c>
      <c r="AR90" s="115">
        <v>210636</v>
      </c>
      <c r="AS90" s="116">
        <v>28.5</v>
      </c>
      <c r="AT90" s="115">
        <v>171518</v>
      </c>
      <c r="AU90" s="116">
        <v>35</v>
      </c>
      <c r="AV90" s="115">
        <v>82827</v>
      </c>
      <c r="AW90" s="116">
        <v>23.5</v>
      </c>
      <c r="AX90" s="115">
        <v>64881</v>
      </c>
      <c r="AY90" s="116">
        <v>30</v>
      </c>
      <c r="AZ90" s="139">
        <v>11558466</v>
      </c>
      <c r="BA90" s="139">
        <v>3135866</v>
      </c>
      <c r="BB90" s="139">
        <v>12216</v>
      </c>
      <c r="BC90" s="139">
        <v>1177114</v>
      </c>
      <c r="BD90" s="139">
        <v>-10750</v>
      </c>
      <c r="BE90" s="139">
        <v>15872912</v>
      </c>
      <c r="BF90" s="139">
        <v>0</v>
      </c>
      <c r="BG90" s="139">
        <v>0</v>
      </c>
      <c r="BH90" s="139">
        <v>0</v>
      </c>
      <c r="BI90" s="139">
        <v>0</v>
      </c>
      <c r="BJ90" s="139">
        <v>13235814</v>
      </c>
      <c r="BK90" s="139">
        <v>13235814</v>
      </c>
      <c r="BL90" s="139">
        <v>0</v>
      </c>
      <c r="BM90" s="139">
        <v>0</v>
      </c>
      <c r="BN90" s="139">
        <v>0</v>
      </c>
      <c r="BO90" s="139">
        <v>9500</v>
      </c>
      <c r="BP90" s="139">
        <v>0</v>
      </c>
      <c r="BQ90" s="139">
        <v>9500</v>
      </c>
      <c r="BR90" s="139">
        <v>5939724</v>
      </c>
      <c r="BS90" s="139">
        <v>1412629</v>
      </c>
      <c r="BT90" s="139">
        <v>637969</v>
      </c>
      <c r="BU90" s="139">
        <v>13032247</v>
      </c>
      <c r="BV90" s="139">
        <v>4103155</v>
      </c>
      <c r="BW90" s="139">
        <v>25125724</v>
      </c>
      <c r="BX90" s="139">
        <v>0</v>
      </c>
      <c r="BY90" s="139">
        <v>0</v>
      </c>
      <c r="BZ90" s="139">
        <v>0</v>
      </c>
      <c r="CA90" s="139">
        <v>0</v>
      </c>
      <c r="CB90" s="139">
        <v>0</v>
      </c>
      <c r="CC90" s="139">
        <v>0</v>
      </c>
      <c r="CD90" s="139">
        <v>0</v>
      </c>
      <c r="CE90" s="139">
        <v>0</v>
      </c>
      <c r="CF90" s="139">
        <v>0</v>
      </c>
      <c r="CG90" s="139">
        <v>0</v>
      </c>
      <c r="CH90" s="139">
        <v>0</v>
      </c>
      <c r="CI90" s="139">
        <v>0</v>
      </c>
      <c r="CJ90" s="139">
        <v>0</v>
      </c>
      <c r="CK90" s="139">
        <v>0</v>
      </c>
      <c r="CL90" s="139">
        <v>0</v>
      </c>
      <c r="CM90" s="139">
        <v>0</v>
      </c>
      <c r="CN90" s="139">
        <v>0</v>
      </c>
      <c r="CO90" s="139">
        <v>0</v>
      </c>
      <c r="CP90" s="139">
        <v>0</v>
      </c>
      <c r="CQ90" s="139">
        <v>0</v>
      </c>
      <c r="CR90" s="139">
        <v>0</v>
      </c>
      <c r="CS90" s="139">
        <v>0</v>
      </c>
      <c r="CT90" s="139">
        <v>0</v>
      </c>
      <c r="CU90" s="139">
        <v>0</v>
      </c>
      <c r="CV90" s="139">
        <v>9941161</v>
      </c>
      <c r="CW90" s="139">
        <v>3491038</v>
      </c>
      <c r="CX90" s="139">
        <v>153747</v>
      </c>
      <c r="CY90" s="139">
        <v>1010340</v>
      </c>
      <c r="CZ90" s="139">
        <v>4329653</v>
      </c>
      <c r="DA90" s="139">
        <v>18925939</v>
      </c>
      <c r="DB90" s="139">
        <v>0</v>
      </c>
      <c r="DC90" s="139">
        <v>0</v>
      </c>
      <c r="DD90" s="139">
        <v>0</v>
      </c>
      <c r="DE90" s="139">
        <v>0</v>
      </c>
      <c r="DF90" s="139">
        <v>0</v>
      </c>
      <c r="DG90" s="139">
        <v>0</v>
      </c>
      <c r="DH90" s="139">
        <v>755328</v>
      </c>
      <c r="DI90" s="139">
        <v>4467</v>
      </c>
      <c r="DJ90" s="139">
        <v>18743</v>
      </c>
      <c r="DK90" s="139">
        <v>67864</v>
      </c>
      <c r="DL90" s="139">
        <v>80214</v>
      </c>
      <c r="DM90" s="139">
        <v>926616</v>
      </c>
      <c r="DN90" s="139">
        <v>0</v>
      </c>
      <c r="DO90" s="139">
        <v>5000</v>
      </c>
      <c r="DP90" s="139">
        <v>0</v>
      </c>
      <c r="DQ90" s="139">
        <v>429000</v>
      </c>
      <c r="DR90" s="139">
        <v>4299274</v>
      </c>
      <c r="DS90" s="139">
        <v>4733274</v>
      </c>
      <c r="DT90" s="139">
        <v>16905</v>
      </c>
      <c r="DU90" s="139">
        <v>5722</v>
      </c>
      <c r="DV90" s="139">
        <v>6568</v>
      </c>
      <c r="DW90" s="139">
        <v>111674</v>
      </c>
      <c r="DX90" s="139">
        <v>0</v>
      </c>
      <c r="DY90" s="139">
        <v>140869</v>
      </c>
      <c r="DZ90" s="139">
        <v>0</v>
      </c>
      <c r="EA90" s="139">
        <v>0</v>
      </c>
      <c r="EB90" s="139">
        <v>0</v>
      </c>
      <c r="EC90" s="139">
        <v>0</v>
      </c>
      <c r="ED90" s="139">
        <v>4062869</v>
      </c>
      <c r="EE90" s="139">
        <v>4062869</v>
      </c>
      <c r="EF90" s="139">
        <v>9235</v>
      </c>
      <c r="EG90" s="139">
        <v>1594</v>
      </c>
      <c r="EH90" s="139">
        <v>0</v>
      </c>
      <c r="EI90" s="139">
        <v>21957</v>
      </c>
      <c r="EJ90" s="139">
        <v>631668</v>
      </c>
      <c r="EK90" s="139">
        <v>664454</v>
      </c>
      <c r="EL90" s="139">
        <v>28220819</v>
      </c>
      <c r="EM90" s="139">
        <v>8056316</v>
      </c>
      <c r="EN90" s="139">
        <v>829243</v>
      </c>
      <c r="EO90" s="139">
        <v>15859696</v>
      </c>
      <c r="EP90" s="139">
        <v>30731897</v>
      </c>
      <c r="EQ90" s="139">
        <v>83697971</v>
      </c>
      <c r="ER90" s="139">
        <v>3709580</v>
      </c>
      <c r="ES90" s="139">
        <v>618402</v>
      </c>
      <c r="ET90" s="139">
        <v>669205</v>
      </c>
      <c r="EU90" s="139">
        <v>9320694</v>
      </c>
      <c r="EV90" s="139">
        <v>0</v>
      </c>
      <c r="EW90" s="139">
        <v>14317881</v>
      </c>
      <c r="EX90" s="139">
        <v>1675000</v>
      </c>
      <c r="EY90" s="139">
        <v>390000</v>
      </c>
      <c r="EZ90" s="139">
        <v>79000</v>
      </c>
      <c r="FA90" s="139">
        <v>46250</v>
      </c>
      <c r="FB90" s="139">
        <v>0</v>
      </c>
      <c r="FC90" s="139">
        <v>2190250</v>
      </c>
      <c r="FD90" s="139">
        <v>6027781</v>
      </c>
      <c r="FE90" s="139">
        <v>3805693</v>
      </c>
      <c r="FF90" s="139">
        <v>1467830</v>
      </c>
      <c r="FG90" s="139">
        <v>6788265</v>
      </c>
      <c r="FH90" s="139">
        <v>0</v>
      </c>
      <c r="FI90" s="139">
        <v>18089569</v>
      </c>
      <c r="FJ90" s="139">
        <v>0</v>
      </c>
      <c r="FK90" s="139">
        <v>0</v>
      </c>
      <c r="FL90" s="139">
        <v>0</v>
      </c>
      <c r="FM90" s="139">
        <v>0</v>
      </c>
      <c r="FN90" s="139">
        <v>0</v>
      </c>
      <c r="FO90" s="139">
        <v>0</v>
      </c>
      <c r="FP90" s="139">
        <v>1200916</v>
      </c>
      <c r="FQ90" s="139">
        <v>670723</v>
      </c>
      <c r="FR90" s="139">
        <v>337686</v>
      </c>
      <c r="FS90" s="139">
        <v>291365</v>
      </c>
      <c r="FT90" s="139">
        <v>11886220</v>
      </c>
      <c r="FU90" s="139">
        <v>14386910</v>
      </c>
      <c r="FV90" s="139">
        <v>0</v>
      </c>
      <c r="FW90" s="139">
        <v>0</v>
      </c>
      <c r="FX90" s="139">
        <v>0</v>
      </c>
      <c r="FY90" s="139">
        <v>0</v>
      </c>
      <c r="FZ90" s="139">
        <v>0</v>
      </c>
      <c r="GA90" s="139">
        <v>0</v>
      </c>
      <c r="GB90" s="139">
        <v>235662</v>
      </c>
      <c r="GC90" s="139">
        <v>0</v>
      </c>
      <c r="GD90" s="139">
        <v>0</v>
      </c>
      <c r="GE90" s="139">
        <v>273019</v>
      </c>
      <c r="GF90" s="139">
        <v>0</v>
      </c>
      <c r="GG90" s="139">
        <v>508681</v>
      </c>
      <c r="GH90" s="139">
        <v>355480</v>
      </c>
      <c r="GI90" s="139">
        <v>212220</v>
      </c>
      <c r="GJ90" s="139">
        <v>116230</v>
      </c>
      <c r="GK90" s="139">
        <v>531956</v>
      </c>
      <c r="GL90" s="139">
        <v>0</v>
      </c>
      <c r="GM90" s="139">
        <v>1215886</v>
      </c>
      <c r="GN90" s="139">
        <v>883978</v>
      </c>
      <c r="GO90" s="139">
        <v>910706</v>
      </c>
      <c r="GP90" s="139">
        <v>630986</v>
      </c>
      <c r="GQ90" s="139">
        <v>2855633</v>
      </c>
      <c r="GR90" s="139">
        <v>350028</v>
      </c>
      <c r="GS90" s="139">
        <v>5631331</v>
      </c>
      <c r="GT90" s="139">
        <v>554084</v>
      </c>
      <c r="GU90" s="139">
        <v>15890</v>
      </c>
      <c r="GV90" s="139">
        <v>5788</v>
      </c>
      <c r="GW90" s="139">
        <v>414081</v>
      </c>
      <c r="GX90" s="139">
        <v>147910</v>
      </c>
      <c r="GY90" s="139">
        <v>1137753</v>
      </c>
      <c r="GZ90" s="139">
        <v>1803131</v>
      </c>
      <c r="HA90" s="139">
        <v>795949</v>
      </c>
      <c r="HB90" s="139">
        <v>390518</v>
      </c>
      <c r="HC90" s="139">
        <v>1143002</v>
      </c>
      <c r="HD90" s="139">
        <v>193449</v>
      </c>
      <c r="HE90" s="139">
        <v>4326049</v>
      </c>
      <c r="HF90" s="139">
        <v>286039</v>
      </c>
      <c r="HG90" s="139">
        <v>40814</v>
      </c>
      <c r="HH90" s="139">
        <v>43435</v>
      </c>
      <c r="HI90" s="139">
        <v>63041</v>
      </c>
      <c r="HJ90" s="139">
        <v>223861</v>
      </c>
      <c r="HK90" s="139">
        <v>657190</v>
      </c>
      <c r="HL90" s="139">
        <v>0</v>
      </c>
      <c r="HM90" s="139">
        <v>0</v>
      </c>
      <c r="HN90" s="139">
        <v>0</v>
      </c>
      <c r="HO90" s="139">
        <v>0</v>
      </c>
      <c r="HP90" s="139">
        <v>0</v>
      </c>
      <c r="HQ90" s="139">
        <v>0</v>
      </c>
      <c r="HR90" s="139">
        <v>4636799</v>
      </c>
      <c r="HS90" s="139">
        <v>367</v>
      </c>
      <c r="HT90" s="139">
        <v>929</v>
      </c>
      <c r="HU90" s="139">
        <v>683428</v>
      </c>
      <c r="HV90" s="139">
        <v>9907312</v>
      </c>
      <c r="HW90" s="139">
        <v>15228835</v>
      </c>
      <c r="HX90" s="139">
        <v>0</v>
      </c>
      <c r="HY90" s="139">
        <v>0</v>
      </c>
      <c r="HZ90" s="139">
        <v>0</v>
      </c>
      <c r="IA90" s="139">
        <v>0</v>
      </c>
      <c r="IB90" s="139">
        <v>141741</v>
      </c>
      <c r="IC90" s="139">
        <v>141741</v>
      </c>
      <c r="ID90" s="139">
        <v>0</v>
      </c>
      <c r="IE90" s="139">
        <v>0</v>
      </c>
      <c r="IF90" s="139">
        <v>0</v>
      </c>
      <c r="IG90" s="139">
        <v>0</v>
      </c>
      <c r="IH90" s="139">
        <v>0</v>
      </c>
      <c r="II90" s="139">
        <v>0</v>
      </c>
      <c r="IJ90" s="139">
        <v>101828</v>
      </c>
      <c r="IK90" s="139">
        <v>10942</v>
      </c>
      <c r="IL90" s="139">
        <v>2312</v>
      </c>
      <c r="IM90" s="139">
        <v>158304</v>
      </c>
      <c r="IN90" s="139">
        <v>916724</v>
      </c>
      <c r="IO90" s="139">
        <v>1190110</v>
      </c>
      <c r="IP90" s="139">
        <v>4573</v>
      </c>
      <c r="IQ90" s="139">
        <v>2300</v>
      </c>
      <c r="IR90" s="139">
        <v>1685</v>
      </c>
      <c r="IS90" s="139">
        <v>17015</v>
      </c>
      <c r="IT90" s="139">
        <v>47175</v>
      </c>
      <c r="IU90" s="139">
        <v>72748</v>
      </c>
      <c r="IV90" s="139">
        <v>984984</v>
      </c>
      <c r="IW90" s="139">
        <v>150341</v>
      </c>
      <c r="IX90" s="139">
        <v>122421</v>
      </c>
      <c r="IY90" s="139">
        <v>889281</v>
      </c>
      <c r="IZ90" s="139">
        <v>6184144</v>
      </c>
      <c r="JA90" s="139">
        <v>8331171</v>
      </c>
      <c r="JB90" s="139">
        <v>22459835</v>
      </c>
      <c r="JC90" s="139">
        <v>7624347</v>
      </c>
      <c r="JD90" s="139">
        <v>3868025</v>
      </c>
      <c r="JE90" s="139">
        <v>23475334</v>
      </c>
      <c r="JF90" s="139">
        <v>29998564</v>
      </c>
      <c r="JG90" s="139">
        <v>87426105</v>
      </c>
      <c r="JH90" s="139">
        <v>0</v>
      </c>
      <c r="JI90" s="139">
        <v>0</v>
      </c>
      <c r="JJ90" s="139">
        <v>0</v>
      </c>
      <c r="JK90" s="139">
        <v>0</v>
      </c>
      <c r="JL90" s="139">
        <v>0</v>
      </c>
      <c r="JM90" s="139">
        <v>0</v>
      </c>
      <c r="JN90" s="139">
        <v>22459835</v>
      </c>
      <c r="JO90" s="139">
        <v>7624347</v>
      </c>
      <c r="JP90" s="139">
        <v>3868025</v>
      </c>
      <c r="JQ90" s="139">
        <v>23475334</v>
      </c>
      <c r="JR90" s="139">
        <v>29998564</v>
      </c>
      <c r="JS90" s="139">
        <v>87426105</v>
      </c>
      <c r="JU90" s="70">
        <f t="shared" si="158"/>
        <v>15872912</v>
      </c>
      <c r="JV90" s="70">
        <f t="shared" si="159"/>
        <v>0</v>
      </c>
      <c r="JW90" s="70">
        <f t="shared" si="160"/>
        <v>13235814</v>
      </c>
      <c r="JX90" s="70">
        <f t="shared" si="161"/>
        <v>0</v>
      </c>
      <c r="JY90" s="70">
        <f t="shared" si="162"/>
        <v>9500</v>
      </c>
      <c r="JZ90" s="70">
        <f t="shared" si="163"/>
        <v>0</v>
      </c>
      <c r="KA90" s="70">
        <f t="shared" si="164"/>
        <v>25125724</v>
      </c>
      <c r="KB90" s="70">
        <f t="shared" si="165"/>
        <v>0</v>
      </c>
      <c r="KC90" s="70">
        <f t="shared" si="166"/>
        <v>0</v>
      </c>
      <c r="KD90" s="70">
        <f t="shared" si="167"/>
        <v>0</v>
      </c>
      <c r="KE90" s="70">
        <f t="shared" si="168"/>
        <v>0</v>
      </c>
      <c r="KF90" s="70">
        <f t="shared" si="169"/>
        <v>0</v>
      </c>
      <c r="KG90" s="70">
        <f t="shared" si="170"/>
        <v>0</v>
      </c>
      <c r="KH90" s="70">
        <f t="shared" si="171"/>
        <v>0</v>
      </c>
      <c r="KI90" s="70">
        <f t="shared" si="172"/>
        <v>0</v>
      </c>
      <c r="KJ90" s="70">
        <f t="shared" si="173"/>
        <v>0</v>
      </c>
      <c r="KK90" s="70">
        <f t="shared" si="174"/>
        <v>18925939</v>
      </c>
      <c r="KL90" s="70">
        <f t="shared" si="175"/>
        <v>0</v>
      </c>
      <c r="KM90" s="70">
        <f t="shared" si="176"/>
        <v>0</v>
      </c>
      <c r="KN90" s="70">
        <f t="shared" si="177"/>
        <v>0</v>
      </c>
      <c r="KO90" s="70">
        <f t="shared" si="178"/>
        <v>926616</v>
      </c>
      <c r="KP90" s="70">
        <f t="shared" si="179"/>
        <v>0</v>
      </c>
      <c r="KQ90" s="70">
        <f t="shared" si="180"/>
        <v>4733274</v>
      </c>
      <c r="KR90" s="70">
        <f t="shared" si="181"/>
        <v>0</v>
      </c>
      <c r="KS90" s="70">
        <f t="shared" si="182"/>
        <v>140869</v>
      </c>
      <c r="KT90" s="70">
        <f t="shared" si="183"/>
        <v>0</v>
      </c>
      <c r="KU90" s="70">
        <f t="shared" si="184"/>
        <v>4062869</v>
      </c>
      <c r="KV90" s="70">
        <f t="shared" si="185"/>
        <v>0</v>
      </c>
      <c r="KW90" s="70">
        <f t="shared" si="186"/>
        <v>664454</v>
      </c>
      <c r="KX90" s="70">
        <f t="shared" si="187"/>
        <v>0</v>
      </c>
      <c r="KY90" s="70">
        <f t="shared" si="188"/>
        <v>83697971</v>
      </c>
      <c r="KZ90" s="70">
        <f t="shared" si="189"/>
        <v>0</v>
      </c>
      <c r="LA90" s="70">
        <f t="shared" si="190"/>
        <v>14317881</v>
      </c>
      <c r="LB90" s="70">
        <f t="shared" si="191"/>
        <v>0</v>
      </c>
      <c r="LC90" s="70">
        <f t="shared" si="192"/>
        <v>2190250</v>
      </c>
      <c r="LD90" s="70">
        <f t="shared" si="193"/>
        <v>0</v>
      </c>
      <c r="LE90" s="70">
        <f t="shared" si="194"/>
        <v>18089569</v>
      </c>
      <c r="LF90" s="70">
        <f t="shared" si="195"/>
        <v>0</v>
      </c>
      <c r="LG90" s="70">
        <f t="shared" si="234"/>
        <v>0</v>
      </c>
      <c r="LH90" s="70">
        <f t="shared" si="235"/>
        <v>0</v>
      </c>
      <c r="LI90" s="70">
        <f t="shared" si="196"/>
        <v>14386910</v>
      </c>
      <c r="LJ90" s="70">
        <f t="shared" si="197"/>
        <v>0</v>
      </c>
      <c r="LK90" s="70">
        <f t="shared" si="198"/>
        <v>0</v>
      </c>
      <c r="LL90" s="70">
        <f t="shared" si="199"/>
        <v>0</v>
      </c>
      <c r="LM90" s="70">
        <f t="shared" si="200"/>
        <v>508681</v>
      </c>
      <c r="LN90" s="70">
        <f t="shared" si="201"/>
        <v>0</v>
      </c>
      <c r="LO90" s="70">
        <f t="shared" si="202"/>
        <v>1215886</v>
      </c>
      <c r="LP90" s="70">
        <f t="shared" si="203"/>
        <v>0</v>
      </c>
      <c r="LQ90" s="70">
        <f t="shared" si="204"/>
        <v>5631331</v>
      </c>
      <c r="LR90" s="70">
        <f t="shared" si="205"/>
        <v>0</v>
      </c>
      <c r="LS90" s="70">
        <f t="shared" si="206"/>
        <v>1137753</v>
      </c>
      <c r="LT90" s="70">
        <f t="shared" si="207"/>
        <v>0</v>
      </c>
      <c r="LU90" s="70">
        <f t="shared" si="208"/>
        <v>4326049</v>
      </c>
      <c r="LV90" s="70">
        <f t="shared" si="209"/>
        <v>0</v>
      </c>
      <c r="LW90" s="70">
        <f t="shared" si="210"/>
        <v>657190</v>
      </c>
      <c r="LX90" s="70">
        <f t="shared" si="211"/>
        <v>0</v>
      </c>
      <c r="LY90" s="70">
        <f t="shared" si="212"/>
        <v>0</v>
      </c>
      <c r="LZ90" s="70">
        <f t="shared" si="213"/>
        <v>0</v>
      </c>
      <c r="MA90" s="70">
        <f t="shared" si="214"/>
        <v>15228835</v>
      </c>
      <c r="MB90" s="70">
        <f t="shared" si="215"/>
        <v>0</v>
      </c>
      <c r="MC90" s="70">
        <f t="shared" si="216"/>
        <v>141741</v>
      </c>
      <c r="MD90" s="70">
        <f t="shared" si="217"/>
        <v>0</v>
      </c>
      <c r="ME90" s="70">
        <f t="shared" si="218"/>
        <v>0</v>
      </c>
      <c r="MF90" s="70">
        <f t="shared" si="219"/>
        <v>0</v>
      </c>
      <c r="MG90" s="70">
        <f t="shared" si="220"/>
        <v>1190110</v>
      </c>
      <c r="MH90" s="70">
        <f t="shared" si="221"/>
        <v>0</v>
      </c>
      <c r="MI90" s="70">
        <f t="shared" si="222"/>
        <v>72748</v>
      </c>
      <c r="MJ90" s="70">
        <f t="shared" si="223"/>
        <v>0</v>
      </c>
      <c r="MK90" s="70">
        <f t="shared" si="224"/>
        <v>8331171</v>
      </c>
      <c r="ML90" s="70">
        <f t="shared" si="225"/>
        <v>0</v>
      </c>
      <c r="MM90" s="70">
        <f t="shared" si="226"/>
        <v>87426105</v>
      </c>
      <c r="MN90" s="70">
        <f t="shared" si="227"/>
        <v>0</v>
      </c>
      <c r="MO90" s="70">
        <f t="shared" si="228"/>
        <v>0</v>
      </c>
      <c r="MP90" s="70">
        <f t="shared" si="229"/>
        <v>0</v>
      </c>
      <c r="MQ90" s="70">
        <f t="shared" si="230"/>
        <v>87426105</v>
      </c>
      <c r="MR90" s="70">
        <f t="shared" si="231"/>
        <v>0</v>
      </c>
      <c r="MT90" s="70">
        <f t="shared" si="232"/>
        <v>0</v>
      </c>
      <c r="MV90" s="68">
        <f t="shared" si="233"/>
        <v>0</v>
      </c>
    </row>
    <row r="91" spans="1:361" x14ac:dyDescent="0.15">
      <c r="A91" s="182" t="s">
        <v>305</v>
      </c>
      <c r="B91" s="76" t="s">
        <v>428</v>
      </c>
      <c r="C91" s="90">
        <v>233921</v>
      </c>
      <c r="D91" s="90">
        <v>2014</v>
      </c>
      <c r="E91" s="90">
        <v>1</v>
      </c>
      <c r="F91" s="91">
        <v>1</v>
      </c>
      <c r="G91" s="92">
        <v>14069</v>
      </c>
      <c r="H91" s="92">
        <v>9909</v>
      </c>
      <c r="I91" s="93">
        <v>1229150000</v>
      </c>
      <c r="J91" s="93">
        <v>1155521000</v>
      </c>
      <c r="K91" s="93">
        <v>5443000</v>
      </c>
      <c r="L91" s="93">
        <v>5445000</v>
      </c>
      <c r="M91" s="93">
        <v>44726000</v>
      </c>
      <c r="N91" s="93">
        <v>41330000</v>
      </c>
      <c r="O91" s="93">
        <v>52800000</v>
      </c>
      <c r="P91" s="93">
        <v>55805000</v>
      </c>
      <c r="Q91" s="93">
        <v>434566000</v>
      </c>
      <c r="R91" s="93">
        <v>461919000</v>
      </c>
      <c r="S91" s="93">
        <v>874410000</v>
      </c>
      <c r="T91" s="93">
        <v>828523000</v>
      </c>
      <c r="U91" s="93">
        <v>20861</v>
      </c>
      <c r="V91" s="93">
        <v>20407</v>
      </c>
      <c r="W91" s="93">
        <v>36617</v>
      </c>
      <c r="X91" s="93">
        <v>35399</v>
      </c>
      <c r="Y91" s="93">
        <v>23670</v>
      </c>
      <c r="Z91" s="93">
        <v>23020</v>
      </c>
      <c r="AA91" s="93">
        <v>39520</v>
      </c>
      <c r="AB91" s="93">
        <v>38120</v>
      </c>
      <c r="AC91" s="114">
        <v>11</v>
      </c>
      <c r="AD91" s="114">
        <v>11</v>
      </c>
      <c r="AE91" s="114">
        <v>0</v>
      </c>
      <c r="AF91" s="115">
        <v>6075954</v>
      </c>
      <c r="AG91" s="115">
        <v>4044505</v>
      </c>
      <c r="AH91" s="115">
        <v>845536</v>
      </c>
      <c r="AI91" s="115">
        <v>845536</v>
      </c>
      <c r="AJ91" s="115">
        <v>591958</v>
      </c>
      <c r="AK91" s="116">
        <v>7.75</v>
      </c>
      <c r="AL91" s="115">
        <v>509742</v>
      </c>
      <c r="AM91" s="116">
        <v>9</v>
      </c>
      <c r="AN91" s="115">
        <v>179337</v>
      </c>
      <c r="AO91" s="116">
        <v>8</v>
      </c>
      <c r="AP91" s="115">
        <v>159411</v>
      </c>
      <c r="AQ91" s="116">
        <v>9</v>
      </c>
      <c r="AR91" s="115">
        <v>219026</v>
      </c>
      <c r="AS91" s="116">
        <v>24</v>
      </c>
      <c r="AT91" s="115">
        <v>187737</v>
      </c>
      <c r="AU91" s="116">
        <v>28</v>
      </c>
      <c r="AV91" s="115">
        <v>76575</v>
      </c>
      <c r="AW91" s="116">
        <v>17</v>
      </c>
      <c r="AX91" s="115">
        <v>61989</v>
      </c>
      <c r="AY91" s="116">
        <v>21</v>
      </c>
      <c r="AZ91" s="139">
        <v>12862447</v>
      </c>
      <c r="BA91" s="139">
        <v>2033669</v>
      </c>
      <c r="BB91" s="139">
        <v>109667</v>
      </c>
      <c r="BC91" s="139">
        <v>0</v>
      </c>
      <c r="BD91" s="139">
        <v>0</v>
      </c>
      <c r="BE91" s="139">
        <v>15005783</v>
      </c>
      <c r="BF91" s="139">
        <v>0</v>
      </c>
      <c r="BG91" s="139">
        <v>0</v>
      </c>
      <c r="BH91" s="139">
        <v>0</v>
      </c>
      <c r="BI91" s="139">
        <v>0</v>
      </c>
      <c r="BJ91" s="139">
        <v>7803719</v>
      </c>
      <c r="BK91" s="139">
        <v>7803719</v>
      </c>
      <c r="BL91" s="139">
        <v>2717534</v>
      </c>
      <c r="BM91" s="139">
        <v>140000</v>
      </c>
      <c r="BN91" s="139">
        <v>0</v>
      </c>
      <c r="BO91" s="139">
        <v>11500</v>
      </c>
      <c r="BP91" s="139">
        <v>0</v>
      </c>
      <c r="BQ91" s="139">
        <v>2869034</v>
      </c>
      <c r="BR91" s="139">
        <v>7699375</v>
      </c>
      <c r="BS91" s="139">
        <v>771623</v>
      </c>
      <c r="BT91" s="139">
        <v>732942</v>
      </c>
      <c r="BU91" s="139">
        <v>5187108</v>
      </c>
      <c r="BV91" s="139">
        <v>1942773</v>
      </c>
      <c r="BW91" s="139">
        <v>16333821</v>
      </c>
      <c r="BX91" s="139">
        <v>185000</v>
      </c>
      <c r="BY91" s="139">
        <v>0</v>
      </c>
      <c r="BZ91" s="139">
        <v>0</v>
      </c>
      <c r="CA91" s="139">
        <v>0</v>
      </c>
      <c r="CB91" s="139">
        <v>0</v>
      </c>
      <c r="CC91" s="139">
        <v>185000</v>
      </c>
      <c r="CD91" s="139">
        <v>0</v>
      </c>
      <c r="CE91" s="139">
        <v>0</v>
      </c>
      <c r="CF91" s="139">
        <v>0</v>
      </c>
      <c r="CG91" s="139">
        <v>0</v>
      </c>
      <c r="CH91" s="139">
        <v>0</v>
      </c>
      <c r="CI91" s="139">
        <v>0</v>
      </c>
      <c r="CJ91" s="139">
        <v>0</v>
      </c>
      <c r="CK91" s="139">
        <v>0</v>
      </c>
      <c r="CL91" s="139">
        <v>0</v>
      </c>
      <c r="CM91" s="139">
        <v>0</v>
      </c>
      <c r="CN91" s="139">
        <v>307109</v>
      </c>
      <c r="CO91" s="139">
        <v>307109</v>
      </c>
      <c r="CP91" s="139">
        <v>0</v>
      </c>
      <c r="CQ91" s="139">
        <v>0</v>
      </c>
      <c r="CR91" s="139">
        <v>0</v>
      </c>
      <c r="CS91" s="139">
        <v>0</v>
      </c>
      <c r="CT91" s="139">
        <v>0</v>
      </c>
      <c r="CU91" s="139">
        <v>0</v>
      </c>
      <c r="CV91" s="139">
        <v>13369555</v>
      </c>
      <c r="CW91" s="139">
        <v>3896047</v>
      </c>
      <c r="CX91" s="139">
        <v>22546</v>
      </c>
      <c r="CY91" s="139">
        <v>199060</v>
      </c>
      <c r="CZ91" s="139">
        <v>1733312</v>
      </c>
      <c r="DA91" s="139">
        <v>19220520</v>
      </c>
      <c r="DB91" s="139">
        <v>3787507</v>
      </c>
      <c r="DC91" s="139">
        <v>1010001</v>
      </c>
      <c r="DD91" s="139">
        <v>252500</v>
      </c>
      <c r="DE91" s="139">
        <v>0</v>
      </c>
      <c r="DF91" s="139">
        <v>0</v>
      </c>
      <c r="DG91" s="139">
        <v>5050008</v>
      </c>
      <c r="DH91" s="139">
        <v>1259439</v>
      </c>
      <c r="DI91" s="139">
        <v>55024</v>
      </c>
      <c r="DJ91" s="139">
        <v>12520</v>
      </c>
      <c r="DK91" s="139">
        <v>38067</v>
      </c>
      <c r="DL91" s="139">
        <v>313573</v>
      </c>
      <c r="DM91" s="139">
        <v>1678623</v>
      </c>
      <c r="DN91" s="139">
        <v>969921</v>
      </c>
      <c r="DO91" s="139">
        <v>125861</v>
      </c>
      <c r="DP91" s="139">
        <v>58646</v>
      </c>
      <c r="DQ91" s="139">
        <v>230500</v>
      </c>
      <c r="DR91" s="139">
        <v>452950</v>
      </c>
      <c r="DS91" s="139">
        <v>1837878</v>
      </c>
      <c r="DT91" s="139">
        <v>0</v>
      </c>
      <c r="DU91" s="139">
        <v>0</v>
      </c>
      <c r="DV91" s="139">
        <v>0</v>
      </c>
      <c r="DW91" s="139">
        <v>0</v>
      </c>
      <c r="DX91" s="139">
        <v>0</v>
      </c>
      <c r="DY91" s="139">
        <v>0</v>
      </c>
      <c r="DZ91" s="139">
        <v>700797</v>
      </c>
      <c r="EA91" s="139">
        <v>95226</v>
      </c>
      <c r="EB91" s="139">
        <v>141720</v>
      </c>
      <c r="EC91" s="139">
        <v>1451685</v>
      </c>
      <c r="ED91" s="139">
        <v>55790</v>
      </c>
      <c r="EE91" s="139">
        <v>2445218</v>
      </c>
      <c r="EF91" s="139">
        <v>4910</v>
      </c>
      <c r="EG91" s="139">
        <v>0</v>
      </c>
      <c r="EH91" s="139">
        <v>0</v>
      </c>
      <c r="EI91" s="139">
        <v>218160</v>
      </c>
      <c r="EJ91" s="139">
        <v>105403</v>
      </c>
      <c r="EK91" s="139">
        <v>328473</v>
      </c>
      <c r="EL91" s="139">
        <v>43556485</v>
      </c>
      <c r="EM91" s="139">
        <v>8127451</v>
      </c>
      <c r="EN91" s="139">
        <v>1330541</v>
      </c>
      <c r="EO91" s="139">
        <v>7336080</v>
      </c>
      <c r="EP91" s="139">
        <v>12714629</v>
      </c>
      <c r="EQ91" s="139">
        <v>73065186</v>
      </c>
      <c r="ER91" s="139">
        <v>3114561</v>
      </c>
      <c r="ES91" s="139">
        <v>540988</v>
      </c>
      <c r="ET91" s="139">
        <v>554814</v>
      </c>
      <c r="EU91" s="139">
        <v>5910096</v>
      </c>
      <c r="EV91" s="139">
        <v>994577</v>
      </c>
      <c r="EW91" s="139">
        <v>11115036</v>
      </c>
      <c r="EX91" s="139">
        <v>635938</v>
      </c>
      <c r="EY91" s="139">
        <v>490000</v>
      </c>
      <c r="EZ91" s="139">
        <v>81601</v>
      </c>
      <c r="FA91" s="139">
        <v>48123</v>
      </c>
      <c r="FB91" s="139">
        <v>0</v>
      </c>
      <c r="FC91" s="139">
        <v>1255662</v>
      </c>
      <c r="FD91" s="139">
        <v>5859623</v>
      </c>
      <c r="FE91" s="139">
        <v>2103649</v>
      </c>
      <c r="FF91" s="139">
        <v>899687</v>
      </c>
      <c r="FG91" s="139">
        <v>3717819</v>
      </c>
      <c r="FH91" s="139">
        <v>0</v>
      </c>
      <c r="FI91" s="139">
        <v>12580778</v>
      </c>
      <c r="FJ91" s="139">
        <v>185000</v>
      </c>
      <c r="FK91" s="139">
        <v>0</v>
      </c>
      <c r="FL91" s="139">
        <v>0</v>
      </c>
      <c r="FM91" s="139">
        <v>0</v>
      </c>
      <c r="FN91" s="139">
        <v>0</v>
      </c>
      <c r="FO91" s="139">
        <v>185000</v>
      </c>
      <c r="FP91" s="139">
        <v>1443051</v>
      </c>
      <c r="FQ91" s="139">
        <v>660201</v>
      </c>
      <c r="FR91" s="139">
        <v>168835</v>
      </c>
      <c r="FS91" s="139">
        <v>0</v>
      </c>
      <c r="FT91" s="139">
        <v>8727256</v>
      </c>
      <c r="FU91" s="139">
        <v>10999343</v>
      </c>
      <c r="FV91" s="139">
        <v>0</v>
      </c>
      <c r="FW91" s="139">
        <v>0</v>
      </c>
      <c r="FX91" s="139">
        <v>0</v>
      </c>
      <c r="FY91" s="139">
        <v>0</v>
      </c>
      <c r="FZ91" s="139">
        <v>0</v>
      </c>
      <c r="GA91" s="139">
        <v>0</v>
      </c>
      <c r="GB91" s="139">
        <v>67256</v>
      </c>
      <c r="GC91" s="139">
        <v>455569</v>
      </c>
      <c r="GD91" s="139">
        <v>7673</v>
      </c>
      <c r="GE91" s="139">
        <v>42138</v>
      </c>
      <c r="GF91" s="139">
        <v>284024</v>
      </c>
      <c r="GG91" s="139">
        <v>856660</v>
      </c>
      <c r="GH91" s="139">
        <v>369351</v>
      </c>
      <c r="GI91" s="139">
        <v>274673</v>
      </c>
      <c r="GJ91" s="139">
        <v>199900</v>
      </c>
      <c r="GK91" s="139">
        <v>409216</v>
      </c>
      <c r="GL91" s="139">
        <v>37715</v>
      </c>
      <c r="GM91" s="139">
        <v>1290855</v>
      </c>
      <c r="GN91" s="139">
        <v>1844313</v>
      </c>
      <c r="GO91" s="139">
        <v>524078</v>
      </c>
      <c r="GP91" s="139">
        <v>565162</v>
      </c>
      <c r="GQ91" s="139">
        <v>1812554</v>
      </c>
      <c r="GR91" s="139">
        <v>84287</v>
      </c>
      <c r="GS91" s="139">
        <v>4830394</v>
      </c>
      <c r="GT91" s="139">
        <v>389848</v>
      </c>
      <c r="GU91" s="139">
        <v>101910</v>
      </c>
      <c r="GV91" s="139">
        <v>82894</v>
      </c>
      <c r="GW91" s="139">
        <v>620616</v>
      </c>
      <c r="GX91" s="139">
        <v>146685</v>
      </c>
      <c r="GY91" s="139">
        <v>1341953</v>
      </c>
      <c r="GZ91" s="139">
        <v>1722215</v>
      </c>
      <c r="HA91" s="139">
        <v>413346</v>
      </c>
      <c r="HB91" s="139">
        <v>186480</v>
      </c>
      <c r="HC91" s="139">
        <v>465803</v>
      </c>
      <c r="HD91" s="139">
        <v>372078</v>
      </c>
      <c r="HE91" s="139">
        <v>3159922</v>
      </c>
      <c r="HF91" s="139">
        <v>246291</v>
      </c>
      <c r="HG91" s="139">
        <v>352209</v>
      </c>
      <c r="HH91" s="139">
        <v>96433</v>
      </c>
      <c r="HI91" s="139">
        <v>92701</v>
      </c>
      <c r="HJ91" s="139">
        <v>484427</v>
      </c>
      <c r="HK91" s="139">
        <v>1272061</v>
      </c>
      <c r="HL91" s="139">
        <v>0</v>
      </c>
      <c r="HM91" s="139">
        <v>0</v>
      </c>
      <c r="HN91" s="139">
        <v>0</v>
      </c>
      <c r="HO91" s="139">
        <v>0</v>
      </c>
      <c r="HP91" s="139">
        <v>0</v>
      </c>
      <c r="HQ91" s="139">
        <v>0</v>
      </c>
      <c r="HR91" s="139">
        <v>6634557</v>
      </c>
      <c r="HS91" s="139">
        <v>483995</v>
      </c>
      <c r="HT91" s="139">
        <v>450036</v>
      </c>
      <c r="HU91" s="139">
        <v>730177</v>
      </c>
      <c r="HV91" s="139">
        <v>8224254</v>
      </c>
      <c r="HW91" s="139">
        <v>16523019</v>
      </c>
      <c r="HX91" s="139">
        <v>453653</v>
      </c>
      <c r="HY91" s="139">
        <v>13982</v>
      </c>
      <c r="HZ91" s="139">
        <v>5350</v>
      </c>
      <c r="IA91" s="139">
        <v>0</v>
      </c>
      <c r="IB91" s="139">
        <v>121726</v>
      </c>
      <c r="IC91" s="139">
        <v>594711</v>
      </c>
      <c r="ID91" s="139">
        <v>0</v>
      </c>
      <c r="IE91" s="139">
        <v>0</v>
      </c>
      <c r="IF91" s="139">
        <v>0</v>
      </c>
      <c r="IG91" s="139">
        <v>0</v>
      </c>
      <c r="IH91" s="139">
        <v>0</v>
      </c>
      <c r="II91" s="139">
        <v>0</v>
      </c>
      <c r="IJ91" s="139">
        <v>171241</v>
      </c>
      <c r="IK91" s="139">
        <v>29936</v>
      </c>
      <c r="IL91" s="139">
        <v>29289</v>
      </c>
      <c r="IM91" s="139">
        <v>386004</v>
      </c>
      <c r="IN91" s="139">
        <v>301303</v>
      </c>
      <c r="IO91" s="139">
        <v>917773</v>
      </c>
      <c r="IP91" s="139">
        <v>1781</v>
      </c>
      <c r="IQ91" s="139">
        <v>940</v>
      </c>
      <c r="IR91" s="139">
        <v>738</v>
      </c>
      <c r="IS91" s="139">
        <v>7724</v>
      </c>
      <c r="IT91" s="139">
        <v>22694</v>
      </c>
      <c r="IU91" s="139">
        <v>33877</v>
      </c>
      <c r="IV91" s="139">
        <v>884237</v>
      </c>
      <c r="IW91" s="139">
        <v>374093</v>
      </c>
      <c r="IX91" s="139">
        <v>79926</v>
      </c>
      <c r="IY91" s="139">
        <v>405277</v>
      </c>
      <c r="IZ91" s="139">
        <v>897202</v>
      </c>
      <c r="JA91" s="139">
        <v>2640735</v>
      </c>
      <c r="JB91" s="139">
        <v>24022916</v>
      </c>
      <c r="JC91" s="139">
        <v>6819569</v>
      </c>
      <c r="JD91" s="139">
        <v>3408818</v>
      </c>
      <c r="JE91" s="139">
        <v>14648248</v>
      </c>
      <c r="JF91" s="139">
        <v>20698228</v>
      </c>
      <c r="JG91" s="139">
        <v>69597779</v>
      </c>
      <c r="JH91" s="139">
        <v>0</v>
      </c>
      <c r="JI91" s="139">
        <v>0</v>
      </c>
      <c r="JJ91" s="139">
        <v>0</v>
      </c>
      <c r="JK91" s="139">
        <v>0</v>
      </c>
      <c r="JL91" s="139">
        <v>0</v>
      </c>
      <c r="JM91" s="139">
        <v>0</v>
      </c>
      <c r="JN91" s="139">
        <v>24022916</v>
      </c>
      <c r="JO91" s="139">
        <v>6819569</v>
      </c>
      <c r="JP91" s="139">
        <v>3408818</v>
      </c>
      <c r="JQ91" s="139">
        <v>14648248</v>
      </c>
      <c r="JR91" s="139">
        <v>20698228</v>
      </c>
      <c r="JS91" s="139">
        <v>69597779</v>
      </c>
      <c r="JU91" s="70">
        <f t="shared" si="158"/>
        <v>15005783</v>
      </c>
      <c r="JV91" s="70">
        <f t="shared" si="159"/>
        <v>0</v>
      </c>
      <c r="JW91" s="70">
        <f t="shared" si="160"/>
        <v>7803719</v>
      </c>
      <c r="JX91" s="70">
        <f t="shared" si="161"/>
        <v>0</v>
      </c>
      <c r="JY91" s="70">
        <f t="shared" si="162"/>
        <v>2869034</v>
      </c>
      <c r="JZ91" s="70">
        <f t="shared" si="163"/>
        <v>0</v>
      </c>
      <c r="KA91" s="70">
        <f t="shared" si="164"/>
        <v>16333821</v>
      </c>
      <c r="KB91" s="70">
        <f t="shared" si="165"/>
        <v>0</v>
      </c>
      <c r="KC91" s="70">
        <f t="shared" si="166"/>
        <v>185000</v>
      </c>
      <c r="KD91" s="70">
        <f t="shared" si="167"/>
        <v>0</v>
      </c>
      <c r="KE91" s="70">
        <f t="shared" si="168"/>
        <v>0</v>
      </c>
      <c r="KF91" s="70">
        <f t="shared" si="169"/>
        <v>0</v>
      </c>
      <c r="KG91" s="70">
        <f t="shared" si="170"/>
        <v>307109</v>
      </c>
      <c r="KH91" s="70">
        <f t="shared" si="171"/>
        <v>0</v>
      </c>
      <c r="KI91" s="70">
        <f t="shared" si="172"/>
        <v>0</v>
      </c>
      <c r="KJ91" s="70">
        <f t="shared" si="173"/>
        <v>0</v>
      </c>
      <c r="KK91" s="70">
        <f t="shared" si="174"/>
        <v>19220520</v>
      </c>
      <c r="KL91" s="70">
        <f t="shared" si="175"/>
        <v>0</v>
      </c>
      <c r="KM91" s="70">
        <f t="shared" si="176"/>
        <v>5050008</v>
      </c>
      <c r="KN91" s="70">
        <f t="shared" si="177"/>
        <v>0</v>
      </c>
      <c r="KO91" s="70">
        <f t="shared" si="178"/>
        <v>1678623</v>
      </c>
      <c r="KP91" s="70">
        <f t="shared" si="179"/>
        <v>0</v>
      </c>
      <c r="KQ91" s="70">
        <f t="shared" si="180"/>
        <v>1837878</v>
      </c>
      <c r="KR91" s="70">
        <f t="shared" si="181"/>
        <v>0</v>
      </c>
      <c r="KS91" s="70">
        <f t="shared" si="182"/>
        <v>0</v>
      </c>
      <c r="KT91" s="70">
        <f t="shared" si="183"/>
        <v>0</v>
      </c>
      <c r="KU91" s="70">
        <f t="shared" si="184"/>
        <v>2445218</v>
      </c>
      <c r="KV91" s="70">
        <f t="shared" si="185"/>
        <v>0</v>
      </c>
      <c r="KW91" s="70">
        <f t="shared" si="186"/>
        <v>328473</v>
      </c>
      <c r="KX91" s="70">
        <f t="shared" si="187"/>
        <v>0</v>
      </c>
      <c r="KY91" s="70">
        <f t="shared" si="188"/>
        <v>73065186</v>
      </c>
      <c r="KZ91" s="70">
        <f t="shared" si="189"/>
        <v>0</v>
      </c>
      <c r="LA91" s="70">
        <f t="shared" si="190"/>
        <v>11115036</v>
      </c>
      <c r="LB91" s="70">
        <f t="shared" si="191"/>
        <v>0</v>
      </c>
      <c r="LC91" s="70">
        <f t="shared" si="192"/>
        <v>1255662</v>
      </c>
      <c r="LD91" s="70">
        <f t="shared" si="193"/>
        <v>0</v>
      </c>
      <c r="LE91" s="70">
        <f t="shared" si="194"/>
        <v>12580778</v>
      </c>
      <c r="LF91" s="70">
        <f t="shared" si="195"/>
        <v>0</v>
      </c>
      <c r="LG91" s="70">
        <f t="shared" si="234"/>
        <v>185000</v>
      </c>
      <c r="LH91" s="70">
        <f t="shared" si="235"/>
        <v>0</v>
      </c>
      <c r="LI91" s="70">
        <f t="shared" si="196"/>
        <v>10999343</v>
      </c>
      <c r="LJ91" s="70">
        <f t="shared" si="197"/>
        <v>0</v>
      </c>
      <c r="LK91" s="70">
        <f t="shared" si="198"/>
        <v>0</v>
      </c>
      <c r="LL91" s="70">
        <f t="shared" si="199"/>
        <v>0</v>
      </c>
      <c r="LM91" s="70">
        <f t="shared" si="200"/>
        <v>856660</v>
      </c>
      <c r="LN91" s="70">
        <f t="shared" si="201"/>
        <v>0</v>
      </c>
      <c r="LO91" s="70">
        <f t="shared" si="202"/>
        <v>1290855</v>
      </c>
      <c r="LP91" s="70">
        <f t="shared" si="203"/>
        <v>0</v>
      </c>
      <c r="LQ91" s="70">
        <f t="shared" si="204"/>
        <v>4830394</v>
      </c>
      <c r="LR91" s="70">
        <f t="shared" si="205"/>
        <v>0</v>
      </c>
      <c r="LS91" s="70">
        <f t="shared" si="206"/>
        <v>1341953</v>
      </c>
      <c r="LT91" s="70">
        <f t="shared" si="207"/>
        <v>0</v>
      </c>
      <c r="LU91" s="70">
        <f t="shared" si="208"/>
        <v>3159922</v>
      </c>
      <c r="LV91" s="70">
        <f t="shared" si="209"/>
        <v>0</v>
      </c>
      <c r="LW91" s="70">
        <f t="shared" si="210"/>
        <v>1272061</v>
      </c>
      <c r="LX91" s="70">
        <f t="shared" si="211"/>
        <v>0</v>
      </c>
      <c r="LY91" s="70">
        <f t="shared" si="212"/>
        <v>0</v>
      </c>
      <c r="LZ91" s="70">
        <f t="shared" si="213"/>
        <v>0</v>
      </c>
      <c r="MA91" s="70">
        <f t="shared" si="214"/>
        <v>16523019</v>
      </c>
      <c r="MB91" s="70">
        <f t="shared" si="215"/>
        <v>0</v>
      </c>
      <c r="MC91" s="70">
        <f t="shared" si="216"/>
        <v>594711</v>
      </c>
      <c r="MD91" s="70">
        <f t="shared" si="217"/>
        <v>0</v>
      </c>
      <c r="ME91" s="70">
        <f t="shared" si="218"/>
        <v>0</v>
      </c>
      <c r="MF91" s="70">
        <f t="shared" si="219"/>
        <v>0</v>
      </c>
      <c r="MG91" s="70">
        <f t="shared" si="220"/>
        <v>917773</v>
      </c>
      <c r="MH91" s="70">
        <f t="shared" si="221"/>
        <v>0</v>
      </c>
      <c r="MI91" s="70">
        <f t="shared" si="222"/>
        <v>33877</v>
      </c>
      <c r="MJ91" s="70">
        <f t="shared" si="223"/>
        <v>0</v>
      </c>
      <c r="MK91" s="70">
        <f t="shared" si="224"/>
        <v>2640735</v>
      </c>
      <c r="ML91" s="70">
        <f t="shared" si="225"/>
        <v>0</v>
      </c>
      <c r="MM91" s="70">
        <f t="shared" si="226"/>
        <v>69597779</v>
      </c>
      <c r="MN91" s="70">
        <f t="shared" si="227"/>
        <v>0</v>
      </c>
      <c r="MO91" s="70">
        <f t="shared" si="228"/>
        <v>0</v>
      </c>
      <c r="MP91" s="70">
        <f t="shared" si="229"/>
        <v>0</v>
      </c>
      <c r="MQ91" s="70">
        <f t="shared" si="230"/>
        <v>69597779</v>
      </c>
      <c r="MR91" s="70">
        <f t="shared" si="231"/>
        <v>0</v>
      </c>
      <c r="MT91" s="70">
        <f t="shared" si="232"/>
        <v>0</v>
      </c>
      <c r="MV91" s="68">
        <f t="shared" si="233"/>
        <v>0</v>
      </c>
    </row>
    <row r="92" spans="1:361" x14ac:dyDescent="0.15">
      <c r="A92" s="182" t="s">
        <v>306</v>
      </c>
      <c r="B92" s="76" t="s">
        <v>428</v>
      </c>
      <c r="C92" s="90">
        <v>236948</v>
      </c>
      <c r="D92" s="90">
        <v>2014</v>
      </c>
      <c r="E92" s="90">
        <v>1</v>
      </c>
      <c r="F92" s="91">
        <v>4</v>
      </c>
      <c r="G92" s="92">
        <v>12817</v>
      </c>
      <c r="H92" s="92">
        <v>14198</v>
      </c>
      <c r="I92" s="93">
        <v>4384376000</v>
      </c>
      <c r="J92" s="93">
        <v>4121149000</v>
      </c>
      <c r="K92" s="93">
        <v>1200000</v>
      </c>
      <c r="L92" s="93">
        <v>1100000</v>
      </c>
      <c r="M92" s="93">
        <v>148522000</v>
      </c>
      <c r="N92" s="93">
        <v>120828000</v>
      </c>
      <c r="O92" s="93">
        <v>263000000</v>
      </c>
      <c r="P92" s="93">
        <v>229000000</v>
      </c>
      <c r="Q92" s="93">
        <v>2077642000</v>
      </c>
      <c r="R92" s="93">
        <v>1991033000</v>
      </c>
      <c r="S92" s="93">
        <v>2748302000</v>
      </c>
      <c r="T92" s="93">
        <v>2637748000</v>
      </c>
      <c r="U92" s="93">
        <v>24288</v>
      </c>
      <c r="V92" s="93">
        <v>23872</v>
      </c>
      <c r="W92" s="93">
        <v>43862</v>
      </c>
      <c r="X92" s="93">
        <v>41427</v>
      </c>
      <c r="Y92" s="93">
        <v>27034</v>
      </c>
      <c r="Z92" s="93">
        <v>24059</v>
      </c>
      <c r="AA92" s="93">
        <v>46608</v>
      </c>
      <c r="AB92" s="93">
        <v>41543</v>
      </c>
      <c r="AC92" s="114">
        <v>10</v>
      </c>
      <c r="AD92" s="114">
        <v>12</v>
      </c>
      <c r="AE92" s="114">
        <v>0</v>
      </c>
      <c r="AF92" s="115">
        <v>6903250</v>
      </c>
      <c r="AG92" s="115">
        <v>4687367</v>
      </c>
      <c r="AH92" s="115">
        <v>842724</v>
      </c>
      <c r="AI92" s="115">
        <v>464741</v>
      </c>
      <c r="AJ92" s="115">
        <v>960425</v>
      </c>
      <c r="AK92" s="116">
        <v>7.5</v>
      </c>
      <c r="AL92" s="115">
        <v>900398</v>
      </c>
      <c r="AM92" s="116">
        <v>8</v>
      </c>
      <c r="AN92" s="115">
        <v>249838</v>
      </c>
      <c r="AO92" s="116">
        <v>8.75</v>
      </c>
      <c r="AP92" s="115">
        <v>218608</v>
      </c>
      <c r="AQ92" s="116">
        <v>10</v>
      </c>
      <c r="AR92" s="115">
        <v>249656</v>
      </c>
      <c r="AS92" s="116">
        <v>22.5</v>
      </c>
      <c r="AT92" s="115">
        <v>224691</v>
      </c>
      <c r="AU92" s="116">
        <v>25</v>
      </c>
      <c r="AV92" s="115">
        <v>104694</v>
      </c>
      <c r="AW92" s="116">
        <v>17.25</v>
      </c>
      <c r="AX92" s="115">
        <v>90299</v>
      </c>
      <c r="AY92" s="116">
        <v>20</v>
      </c>
      <c r="AZ92" s="139">
        <v>24733983</v>
      </c>
      <c r="BA92" s="139">
        <v>2931607</v>
      </c>
      <c r="BB92" s="139">
        <v>213315</v>
      </c>
      <c r="BC92" s="139">
        <v>569553</v>
      </c>
      <c r="BD92" s="139">
        <v>39990</v>
      </c>
      <c r="BE92" s="139">
        <v>28488448</v>
      </c>
      <c r="BF92" s="139">
        <v>0</v>
      </c>
      <c r="BG92" s="139">
        <v>0</v>
      </c>
      <c r="BH92" s="139">
        <v>0</v>
      </c>
      <c r="BI92" s="139" t="s">
        <v>308</v>
      </c>
      <c r="BJ92" s="139">
        <v>0</v>
      </c>
      <c r="BK92" s="139">
        <v>0</v>
      </c>
      <c r="BL92" s="139">
        <v>275000</v>
      </c>
      <c r="BM92" s="139">
        <v>0</v>
      </c>
      <c r="BN92" s="139">
        <v>0</v>
      </c>
      <c r="BO92" s="139">
        <v>66312</v>
      </c>
      <c r="BP92" s="139">
        <v>0</v>
      </c>
      <c r="BQ92" s="139">
        <v>341312</v>
      </c>
      <c r="BR92" s="139">
        <v>19115151</v>
      </c>
      <c r="BS92" s="139">
        <v>2063148</v>
      </c>
      <c r="BT92" s="139">
        <v>73767</v>
      </c>
      <c r="BU92" s="139">
        <v>1342302</v>
      </c>
      <c r="BV92" s="139">
        <v>1436800</v>
      </c>
      <c r="BW92" s="139">
        <v>24031168</v>
      </c>
      <c r="BX92" s="139">
        <v>0</v>
      </c>
      <c r="BY92" s="139">
        <v>0</v>
      </c>
      <c r="BZ92" s="139">
        <v>0</v>
      </c>
      <c r="CA92" s="139">
        <v>0</v>
      </c>
      <c r="CB92" s="139">
        <v>0</v>
      </c>
      <c r="CC92" s="139">
        <v>0</v>
      </c>
      <c r="CD92" s="139">
        <v>0</v>
      </c>
      <c r="CE92" s="139">
        <v>0</v>
      </c>
      <c r="CF92" s="139">
        <v>0</v>
      </c>
      <c r="CG92" s="139">
        <v>0</v>
      </c>
      <c r="CH92" s="139">
        <v>0</v>
      </c>
      <c r="CI92" s="139">
        <v>0</v>
      </c>
      <c r="CJ92" s="139">
        <v>0</v>
      </c>
      <c r="CK92" s="139">
        <v>0</v>
      </c>
      <c r="CL92" s="139">
        <v>350628</v>
      </c>
      <c r="CM92" s="139">
        <v>3199051</v>
      </c>
      <c r="CN92" s="139">
        <v>0</v>
      </c>
      <c r="CO92" s="139">
        <v>3549679</v>
      </c>
      <c r="CP92" s="139">
        <v>0</v>
      </c>
      <c r="CQ92" s="139">
        <v>0</v>
      </c>
      <c r="CR92" s="139">
        <v>0</v>
      </c>
      <c r="CS92" s="139">
        <v>0</v>
      </c>
      <c r="CT92" s="139">
        <v>0</v>
      </c>
      <c r="CU92" s="139">
        <v>0</v>
      </c>
      <c r="CV92" s="139">
        <v>19137632</v>
      </c>
      <c r="CW92" s="139">
        <v>4019240</v>
      </c>
      <c r="CX92" s="139">
        <v>0</v>
      </c>
      <c r="CY92" s="139">
        <v>0</v>
      </c>
      <c r="CZ92" s="139">
        <v>1778601</v>
      </c>
      <c r="DA92" s="139">
        <v>24935473</v>
      </c>
      <c r="DB92" s="139">
        <v>0</v>
      </c>
      <c r="DC92" s="139">
        <v>0</v>
      </c>
      <c r="DD92" s="139">
        <v>0</v>
      </c>
      <c r="DE92" s="139">
        <v>0</v>
      </c>
      <c r="DF92" s="139">
        <v>0</v>
      </c>
      <c r="DG92" s="139">
        <v>0</v>
      </c>
      <c r="DH92" s="139">
        <v>2912035</v>
      </c>
      <c r="DI92" s="139">
        <v>97658</v>
      </c>
      <c r="DJ92" s="139">
        <v>24910</v>
      </c>
      <c r="DK92" s="139">
        <v>44603</v>
      </c>
      <c r="DL92" s="139">
        <v>328802</v>
      </c>
      <c r="DM92" s="139">
        <v>3408008</v>
      </c>
      <c r="DN92" s="139">
        <v>865000</v>
      </c>
      <c r="DO92" s="139">
        <v>160000</v>
      </c>
      <c r="DP92" s="139">
        <v>160000</v>
      </c>
      <c r="DQ92" s="139">
        <v>1423850</v>
      </c>
      <c r="DR92" s="139">
        <v>8712641</v>
      </c>
      <c r="DS92" s="139">
        <v>11321491</v>
      </c>
      <c r="DT92" s="139">
        <v>67639</v>
      </c>
      <c r="DU92" s="139">
        <v>0</v>
      </c>
      <c r="DV92" s="139">
        <v>0</v>
      </c>
      <c r="DW92" s="139">
        <v>0</v>
      </c>
      <c r="DX92" s="139">
        <v>0</v>
      </c>
      <c r="DY92" s="139">
        <v>67639</v>
      </c>
      <c r="DZ92" s="139">
        <v>614337</v>
      </c>
      <c r="EA92" s="139">
        <v>156551</v>
      </c>
      <c r="EB92" s="139">
        <v>14624</v>
      </c>
      <c r="EC92" s="139">
        <v>569691</v>
      </c>
      <c r="ED92" s="139">
        <v>562536</v>
      </c>
      <c r="EE92" s="139">
        <v>1917739</v>
      </c>
      <c r="EF92" s="139">
        <v>5175</v>
      </c>
      <c r="EG92" s="139">
        <v>930</v>
      </c>
      <c r="EH92" s="139">
        <v>17</v>
      </c>
      <c r="EI92" s="139">
        <v>578916</v>
      </c>
      <c r="EJ92" s="139">
        <v>1629192</v>
      </c>
      <c r="EK92" s="139">
        <v>2214230</v>
      </c>
      <c r="EL92" s="139">
        <v>67725952</v>
      </c>
      <c r="EM92" s="139">
        <v>9429134</v>
      </c>
      <c r="EN92" s="139">
        <v>837261</v>
      </c>
      <c r="EO92" s="139">
        <v>7794278</v>
      </c>
      <c r="EP92" s="139">
        <v>14488562</v>
      </c>
      <c r="EQ92" s="139">
        <v>100275187</v>
      </c>
      <c r="ER92" s="139">
        <v>3909114</v>
      </c>
      <c r="ES92" s="139">
        <v>583178</v>
      </c>
      <c r="ET92" s="139">
        <v>499890</v>
      </c>
      <c r="EU92" s="139">
        <v>6598435</v>
      </c>
      <c r="EV92" s="139">
        <v>13732</v>
      </c>
      <c r="EW92" s="139">
        <v>11604349</v>
      </c>
      <c r="EX92" s="139">
        <v>825000</v>
      </c>
      <c r="EY92" s="139">
        <v>598332</v>
      </c>
      <c r="EZ92" s="139">
        <v>56991</v>
      </c>
      <c r="FA92" s="139">
        <v>112896</v>
      </c>
      <c r="FB92" s="139">
        <v>0</v>
      </c>
      <c r="FC92" s="139">
        <v>1593219</v>
      </c>
      <c r="FD92" s="139">
        <v>7706670</v>
      </c>
      <c r="FE92" s="139">
        <v>3135952</v>
      </c>
      <c r="FF92" s="139">
        <v>968800</v>
      </c>
      <c r="FG92" s="139">
        <v>5001091</v>
      </c>
      <c r="FH92" s="139">
        <v>0</v>
      </c>
      <c r="FI92" s="139">
        <v>16812513</v>
      </c>
      <c r="FJ92" s="139">
        <v>0</v>
      </c>
      <c r="FK92" s="139">
        <v>0</v>
      </c>
      <c r="FL92" s="139">
        <v>0</v>
      </c>
      <c r="FM92" s="139">
        <v>0</v>
      </c>
      <c r="FN92" s="139">
        <v>0</v>
      </c>
      <c r="FO92" s="139">
        <v>0</v>
      </c>
      <c r="FP92" s="139">
        <v>1460804</v>
      </c>
      <c r="FQ92" s="139">
        <v>248605</v>
      </c>
      <c r="FR92" s="139">
        <v>126907</v>
      </c>
      <c r="FS92" s="139">
        <v>597820</v>
      </c>
      <c r="FT92" s="139">
        <v>14007480</v>
      </c>
      <c r="FU92" s="139">
        <v>16441616</v>
      </c>
      <c r="FV92" s="139">
        <v>0</v>
      </c>
      <c r="FW92" s="139">
        <v>0</v>
      </c>
      <c r="FX92" s="139">
        <v>0</v>
      </c>
      <c r="FY92" s="139">
        <v>0</v>
      </c>
      <c r="FZ92" s="139">
        <v>0</v>
      </c>
      <c r="GA92" s="139">
        <v>0</v>
      </c>
      <c r="GB92" s="139">
        <v>264021</v>
      </c>
      <c r="GC92" s="139">
        <v>35656</v>
      </c>
      <c r="GD92" s="139">
        <v>0</v>
      </c>
      <c r="GE92" s="139">
        <f>299677+11916-GB92-GC92-GD92</f>
        <v>11916</v>
      </c>
      <c r="GF92" s="139">
        <v>54691</v>
      </c>
      <c r="GG92" s="139">
        <v>366284</v>
      </c>
      <c r="GH92" s="139">
        <v>512253</v>
      </c>
      <c r="GI92" s="139">
        <v>153434</v>
      </c>
      <c r="GJ92" s="139">
        <v>158295</v>
      </c>
      <c r="GK92" s="139">
        <f>842724+464741-GH92-GI92-GJ92</f>
        <v>483483</v>
      </c>
      <c r="GL92" s="139">
        <v>0</v>
      </c>
      <c r="GM92" s="139">
        <v>1307465</v>
      </c>
      <c r="GN92" s="139">
        <v>2123570</v>
      </c>
      <c r="GO92" s="139">
        <v>429532</v>
      </c>
      <c r="GP92" s="139">
        <v>382378</v>
      </c>
      <c r="GQ92" s="139">
        <f>3669631+1769325-GN92-GO92-GP92</f>
        <v>2503476</v>
      </c>
      <c r="GR92" s="139">
        <v>35240</v>
      </c>
      <c r="GS92" s="139">
        <v>5474196</v>
      </c>
      <c r="GT92" s="139">
        <v>2155699</v>
      </c>
      <c r="GU92" s="139">
        <v>278397</v>
      </c>
      <c r="GV92" s="139">
        <v>199192</v>
      </c>
      <c r="GW92" s="139">
        <f>3332493+1394311-GT92-GU92-GV92</f>
        <v>2093516</v>
      </c>
      <c r="GX92" s="139">
        <v>679338</v>
      </c>
      <c r="GY92" s="139">
        <v>5406142</v>
      </c>
      <c r="GZ92" s="139">
        <v>5056265</v>
      </c>
      <c r="HA92" s="139">
        <v>677056</v>
      </c>
      <c r="HB92" s="139">
        <v>257550</v>
      </c>
      <c r="HC92" s="139">
        <f>6004609+765328-GZ92-HA92-HB92</f>
        <v>779066</v>
      </c>
      <c r="HD92" s="139">
        <v>99636</v>
      </c>
      <c r="HE92" s="139">
        <v>6869573</v>
      </c>
      <c r="HF92" s="139">
        <v>978605</v>
      </c>
      <c r="HG92" s="139">
        <v>323911</v>
      </c>
      <c r="HH92" s="139">
        <v>179756</v>
      </c>
      <c r="HI92" s="139">
        <f>1399538+342237-HF92-HG92-HH92</f>
        <v>259503</v>
      </c>
      <c r="HJ92" s="139">
        <v>233627</v>
      </c>
      <c r="HK92" s="139">
        <v>1975402</v>
      </c>
      <c r="HL92" s="139">
        <v>67703</v>
      </c>
      <c r="HM92" s="139">
        <v>0</v>
      </c>
      <c r="HN92" s="139">
        <v>0</v>
      </c>
      <c r="HO92" s="139">
        <f>67703+0-HL92-HM92-HN92</f>
        <v>0</v>
      </c>
      <c r="HP92" s="139">
        <v>0</v>
      </c>
      <c r="HQ92" s="139">
        <v>67703</v>
      </c>
      <c r="HR92" s="139">
        <v>1447928</v>
      </c>
      <c r="HS92" s="139">
        <v>0</v>
      </c>
      <c r="HT92" s="139">
        <v>0</v>
      </c>
      <c r="HU92" s="139">
        <f>1677310+295034-HR92-HS92-HT92</f>
        <v>524416</v>
      </c>
      <c r="HV92" s="139">
        <v>2128531</v>
      </c>
      <c r="HW92" s="139">
        <v>4100875</v>
      </c>
      <c r="HX92" s="139">
        <v>247789</v>
      </c>
      <c r="HY92" s="139">
        <v>61947</v>
      </c>
      <c r="HZ92" s="139">
        <v>61947</v>
      </c>
      <c r="IA92" s="139">
        <f>309736+82596-HX92-HY92-HZ92</f>
        <v>20649</v>
      </c>
      <c r="IB92" s="139">
        <v>20649</v>
      </c>
      <c r="IC92" s="139">
        <v>412981</v>
      </c>
      <c r="ID92" s="139">
        <v>0</v>
      </c>
      <c r="IE92" s="139">
        <v>0</v>
      </c>
      <c r="IF92" s="139">
        <v>0</v>
      </c>
      <c r="IG92" s="139">
        <v>0</v>
      </c>
      <c r="IH92" s="139">
        <v>0</v>
      </c>
      <c r="II92" s="139">
        <v>0</v>
      </c>
      <c r="IJ92" s="139">
        <v>351852</v>
      </c>
      <c r="IK92" s="139">
        <v>61865</v>
      </c>
      <c r="IL92" s="139">
        <v>85082</v>
      </c>
      <c r="IM92" s="139">
        <f>567334+388143-IJ92-IK92-IL92</f>
        <v>456678</v>
      </c>
      <c r="IN92" s="139">
        <v>0</v>
      </c>
      <c r="IO92" s="139">
        <v>955477</v>
      </c>
      <c r="IP92" s="139">
        <v>5889</v>
      </c>
      <c r="IQ92" s="139">
        <v>1595</v>
      </c>
      <c r="IR92" s="139">
        <v>1020</v>
      </c>
      <c r="IS92" s="139">
        <f>82465+27120-IP92-IQ92-IR92</f>
        <v>101081</v>
      </c>
      <c r="IT92" s="139">
        <v>34703</v>
      </c>
      <c r="IU92" s="139">
        <v>144288</v>
      </c>
      <c r="IV92" s="139">
        <v>1986010</v>
      </c>
      <c r="IW92" s="139">
        <v>162368</v>
      </c>
      <c r="IX92" s="139">
        <v>87055</v>
      </c>
      <c r="IY92" s="139">
        <f>2594475+698839-IV92-IW92-IX92</f>
        <v>1057881</v>
      </c>
      <c r="IZ92" s="139">
        <v>9271740</v>
      </c>
      <c r="JA92" s="139">
        <v>12565054</v>
      </c>
      <c r="JB92" s="139">
        <v>29099172</v>
      </c>
      <c r="JC92" s="139">
        <v>6751828</v>
      </c>
      <c r="JD92" s="139">
        <v>3064863</v>
      </c>
      <c r="JE92" s="139">
        <f>44544772+16049579-JB92-JC92-JD92</f>
        <v>21678488</v>
      </c>
      <c r="JF92" s="139">
        <v>25502786</v>
      </c>
      <c r="JG92" s="139">
        <v>86097137</v>
      </c>
      <c r="JH92" s="139">
        <v>0</v>
      </c>
      <c r="JI92" s="139">
        <v>0</v>
      </c>
      <c r="JJ92" s="139">
        <v>0</v>
      </c>
      <c r="JK92" s="139">
        <v>0</v>
      </c>
      <c r="JL92" s="139">
        <v>0</v>
      </c>
      <c r="JM92" s="139">
        <v>0</v>
      </c>
      <c r="JN92" s="139">
        <v>29099172</v>
      </c>
      <c r="JO92" s="139">
        <v>6751828</v>
      </c>
      <c r="JP92" s="139">
        <v>3064863</v>
      </c>
      <c r="JQ92" s="139">
        <f>44544772+16049579-JN92-JO92-JP92</f>
        <v>21678488</v>
      </c>
      <c r="JR92" s="139">
        <v>25502786</v>
      </c>
      <c r="JS92" s="139">
        <v>86097137</v>
      </c>
      <c r="JU92" s="70">
        <f t="shared" si="158"/>
        <v>28488448</v>
      </c>
      <c r="JV92" s="70">
        <f t="shared" si="159"/>
        <v>0</v>
      </c>
      <c r="JW92" s="70">
        <f t="shared" si="160"/>
        <v>0</v>
      </c>
      <c r="JX92" s="70">
        <f t="shared" si="161"/>
        <v>0</v>
      </c>
      <c r="JY92" s="70">
        <f t="shared" si="162"/>
        <v>341312</v>
      </c>
      <c r="JZ92" s="70">
        <f t="shared" si="163"/>
        <v>0</v>
      </c>
      <c r="KA92" s="70">
        <f t="shared" si="164"/>
        <v>24031168</v>
      </c>
      <c r="KB92" s="70">
        <f t="shared" si="165"/>
        <v>0</v>
      </c>
      <c r="KC92" s="70">
        <f t="shared" si="166"/>
        <v>0</v>
      </c>
      <c r="KD92" s="70">
        <f t="shared" si="167"/>
        <v>0</v>
      </c>
      <c r="KE92" s="70">
        <f t="shared" si="168"/>
        <v>0</v>
      </c>
      <c r="KF92" s="70">
        <f t="shared" si="169"/>
        <v>0</v>
      </c>
      <c r="KG92" s="70">
        <f t="shared" si="170"/>
        <v>3549679</v>
      </c>
      <c r="KH92" s="70">
        <f t="shared" si="171"/>
        <v>0</v>
      </c>
      <c r="KI92" s="70">
        <f t="shared" si="172"/>
        <v>0</v>
      </c>
      <c r="KJ92" s="70">
        <f t="shared" si="173"/>
        <v>0</v>
      </c>
      <c r="KK92" s="70">
        <f t="shared" si="174"/>
        <v>24935473</v>
      </c>
      <c r="KL92" s="70">
        <f t="shared" si="175"/>
        <v>0</v>
      </c>
      <c r="KM92" s="70">
        <f t="shared" si="176"/>
        <v>0</v>
      </c>
      <c r="KN92" s="70">
        <f t="shared" si="177"/>
        <v>0</v>
      </c>
      <c r="KO92" s="70">
        <f t="shared" si="178"/>
        <v>3408008</v>
      </c>
      <c r="KP92" s="70">
        <f t="shared" si="179"/>
        <v>0</v>
      </c>
      <c r="KQ92" s="70">
        <f t="shared" si="180"/>
        <v>11321491</v>
      </c>
      <c r="KR92" s="70">
        <f t="shared" si="181"/>
        <v>0</v>
      </c>
      <c r="KS92" s="70">
        <f t="shared" si="182"/>
        <v>67639</v>
      </c>
      <c r="KT92" s="70">
        <f t="shared" si="183"/>
        <v>0</v>
      </c>
      <c r="KU92" s="70">
        <f t="shared" si="184"/>
        <v>1917739</v>
      </c>
      <c r="KV92" s="70">
        <f t="shared" si="185"/>
        <v>0</v>
      </c>
      <c r="KW92" s="70">
        <f t="shared" si="186"/>
        <v>2214230</v>
      </c>
      <c r="KX92" s="70">
        <f t="shared" si="187"/>
        <v>0</v>
      </c>
      <c r="KY92" s="70">
        <f t="shared" si="188"/>
        <v>100275187</v>
      </c>
      <c r="KZ92" s="70">
        <f t="shared" si="189"/>
        <v>0</v>
      </c>
      <c r="LA92" s="70">
        <f t="shared" si="190"/>
        <v>11604349</v>
      </c>
      <c r="LB92" s="70">
        <f t="shared" si="191"/>
        <v>0</v>
      </c>
      <c r="LC92" s="70">
        <f t="shared" si="192"/>
        <v>1593219</v>
      </c>
      <c r="LD92" s="70">
        <f t="shared" si="193"/>
        <v>0</v>
      </c>
      <c r="LE92" s="70">
        <f t="shared" si="194"/>
        <v>16812513</v>
      </c>
      <c r="LF92" s="70">
        <f t="shared" si="195"/>
        <v>0</v>
      </c>
      <c r="LG92" s="70">
        <f t="shared" si="234"/>
        <v>0</v>
      </c>
      <c r="LH92" s="70">
        <f t="shared" si="235"/>
        <v>0</v>
      </c>
      <c r="LI92" s="70">
        <f t="shared" si="196"/>
        <v>16441616</v>
      </c>
      <c r="LJ92" s="70">
        <f t="shared" si="197"/>
        <v>0</v>
      </c>
      <c r="LK92" s="70">
        <f t="shared" si="198"/>
        <v>0</v>
      </c>
      <c r="LL92" s="70">
        <f t="shared" si="199"/>
        <v>0</v>
      </c>
      <c r="LM92" s="70">
        <f t="shared" si="200"/>
        <v>366284</v>
      </c>
      <c r="LN92" s="70">
        <f t="shared" si="201"/>
        <v>0</v>
      </c>
      <c r="LO92" s="70">
        <f t="shared" si="202"/>
        <v>1307465</v>
      </c>
      <c r="LP92" s="70">
        <f t="shared" si="203"/>
        <v>0</v>
      </c>
      <c r="LQ92" s="70">
        <f t="shared" si="204"/>
        <v>5474196</v>
      </c>
      <c r="LR92" s="70">
        <f t="shared" si="205"/>
        <v>0</v>
      </c>
      <c r="LS92" s="70">
        <f t="shared" si="206"/>
        <v>5406142</v>
      </c>
      <c r="LT92" s="70">
        <f t="shared" si="207"/>
        <v>0</v>
      </c>
      <c r="LU92" s="70">
        <f t="shared" si="208"/>
        <v>6869573</v>
      </c>
      <c r="LV92" s="70">
        <f t="shared" si="209"/>
        <v>0</v>
      </c>
      <c r="LW92" s="70">
        <f t="shared" si="210"/>
        <v>1975402</v>
      </c>
      <c r="LX92" s="70">
        <f t="shared" si="211"/>
        <v>0</v>
      </c>
      <c r="LY92" s="70">
        <f t="shared" si="212"/>
        <v>67703</v>
      </c>
      <c r="LZ92" s="70">
        <f t="shared" si="213"/>
        <v>0</v>
      </c>
      <c r="MA92" s="70">
        <f t="shared" si="214"/>
        <v>4100875</v>
      </c>
      <c r="MB92" s="70">
        <f t="shared" si="215"/>
        <v>0</v>
      </c>
      <c r="MC92" s="70">
        <f t="shared" si="216"/>
        <v>412981</v>
      </c>
      <c r="MD92" s="70">
        <f t="shared" si="217"/>
        <v>0</v>
      </c>
      <c r="ME92" s="70">
        <f t="shared" si="218"/>
        <v>0</v>
      </c>
      <c r="MF92" s="70">
        <f t="shared" si="219"/>
        <v>0</v>
      </c>
      <c r="MG92" s="70">
        <f t="shared" si="220"/>
        <v>955477</v>
      </c>
      <c r="MH92" s="70">
        <f t="shared" si="221"/>
        <v>0</v>
      </c>
      <c r="MI92" s="70">
        <f t="shared" si="222"/>
        <v>144288</v>
      </c>
      <c r="MJ92" s="70">
        <f t="shared" si="223"/>
        <v>0</v>
      </c>
      <c r="MK92" s="70">
        <f t="shared" si="224"/>
        <v>12565054</v>
      </c>
      <c r="ML92" s="70">
        <f t="shared" si="225"/>
        <v>0</v>
      </c>
      <c r="MM92" s="70">
        <f t="shared" si="226"/>
        <v>86097137</v>
      </c>
      <c r="MN92" s="70">
        <f t="shared" si="227"/>
        <v>0</v>
      </c>
      <c r="MO92" s="70">
        <f t="shared" si="228"/>
        <v>0</v>
      </c>
      <c r="MP92" s="70">
        <f t="shared" si="229"/>
        <v>0</v>
      </c>
      <c r="MQ92" s="70">
        <f t="shared" si="230"/>
        <v>86097137</v>
      </c>
      <c r="MR92" s="70">
        <f t="shared" si="231"/>
        <v>0</v>
      </c>
      <c r="MT92" s="70">
        <f t="shared" si="232"/>
        <v>0</v>
      </c>
      <c r="MV92" s="68">
        <f t="shared" si="233"/>
        <v>0</v>
      </c>
    </row>
    <row r="93" spans="1:361" x14ac:dyDescent="0.15">
      <c r="A93" s="182" t="s">
        <v>418</v>
      </c>
      <c r="B93" s="76" t="s">
        <v>428</v>
      </c>
      <c r="C93" s="90">
        <v>236939</v>
      </c>
      <c r="D93" s="90">
        <v>2014</v>
      </c>
      <c r="E93" s="90">
        <v>1</v>
      </c>
      <c r="F93" s="91">
        <v>4</v>
      </c>
      <c r="G93" s="92">
        <v>10168</v>
      </c>
      <c r="H93" s="92">
        <v>10086</v>
      </c>
      <c r="I93" s="93">
        <v>995135796</v>
      </c>
      <c r="J93" s="93">
        <v>923702193</v>
      </c>
      <c r="K93" s="93">
        <v>8481471</v>
      </c>
      <c r="L93" s="93">
        <v>1586744</v>
      </c>
      <c r="M93" s="93">
        <v>43682392</v>
      </c>
      <c r="N93" s="93">
        <v>38478069</v>
      </c>
      <c r="O93" s="93">
        <v>147247582</v>
      </c>
      <c r="P93" s="93">
        <v>150281676</v>
      </c>
      <c r="Q93" s="93">
        <v>648737632</v>
      </c>
      <c r="R93" s="93">
        <v>566313270</v>
      </c>
      <c r="S93" s="93">
        <v>622185036</v>
      </c>
      <c r="T93" s="93">
        <v>585838499</v>
      </c>
      <c r="U93" s="93">
        <v>24154</v>
      </c>
      <c r="V93" s="93">
        <v>23760</v>
      </c>
      <c r="W93" s="93">
        <v>37236</v>
      </c>
      <c r="X93" s="93">
        <v>36842</v>
      </c>
      <c r="Y93" s="93">
        <v>27696</v>
      </c>
      <c r="Z93" s="93">
        <v>27302</v>
      </c>
      <c r="AA93" s="93">
        <v>40778</v>
      </c>
      <c r="AB93" s="93">
        <v>40384</v>
      </c>
      <c r="AC93" s="114">
        <v>7</v>
      </c>
      <c r="AD93" s="114">
        <v>10</v>
      </c>
      <c r="AE93" s="114">
        <v>0</v>
      </c>
      <c r="AF93" s="115">
        <v>5142227</v>
      </c>
      <c r="AG93" s="115">
        <v>4249413</v>
      </c>
      <c r="AH93" s="115">
        <v>563478</v>
      </c>
      <c r="AI93" s="115">
        <v>426157</v>
      </c>
      <c r="AJ93" s="115">
        <v>925181</v>
      </c>
      <c r="AK93" s="116">
        <v>4.5</v>
      </c>
      <c r="AL93" s="115">
        <v>832663</v>
      </c>
      <c r="AM93" s="116">
        <v>5</v>
      </c>
      <c r="AN93" s="115">
        <v>190732</v>
      </c>
      <c r="AO93" s="116">
        <v>7.5</v>
      </c>
      <c r="AP93" s="115">
        <v>178811</v>
      </c>
      <c r="AQ93" s="116">
        <v>8</v>
      </c>
      <c r="AR93" s="115">
        <v>209245</v>
      </c>
      <c r="AS93" s="116">
        <v>16.75</v>
      </c>
      <c r="AT93" s="115">
        <v>206168</v>
      </c>
      <c r="AU93" s="116">
        <v>17</v>
      </c>
      <c r="AV93" s="115">
        <v>80080</v>
      </c>
      <c r="AW93" s="116">
        <v>14.08</v>
      </c>
      <c r="AX93" s="115">
        <v>75168</v>
      </c>
      <c r="AY93" s="116">
        <v>15</v>
      </c>
      <c r="AZ93" s="139">
        <v>5023652</v>
      </c>
      <c r="BA93" s="139">
        <v>657187</v>
      </c>
      <c r="BB93" s="139">
        <v>13663</v>
      </c>
      <c r="BC93" s="139">
        <v>59730</v>
      </c>
      <c r="BD93" s="139">
        <v>134031</v>
      </c>
      <c r="BE93" s="139">
        <v>5888263</v>
      </c>
      <c r="BF93" s="139">
        <v>0</v>
      </c>
      <c r="BG93" s="139">
        <v>0</v>
      </c>
      <c r="BH93" s="139">
        <v>0</v>
      </c>
      <c r="BI93" s="139">
        <v>0</v>
      </c>
      <c r="BJ93" s="139">
        <v>990402</v>
      </c>
      <c r="BK93" s="139">
        <v>990402</v>
      </c>
      <c r="BL93" s="139">
        <v>1150000</v>
      </c>
      <c r="BM93" s="139">
        <v>0</v>
      </c>
      <c r="BN93" s="139">
        <v>0</v>
      </c>
      <c r="BO93" s="139">
        <v>14000</v>
      </c>
      <c r="BP93" s="139">
        <v>0</v>
      </c>
      <c r="BQ93" s="139">
        <v>1164000</v>
      </c>
      <c r="BR93" s="139">
        <v>2139322</v>
      </c>
      <c r="BS93" s="139">
        <v>333266</v>
      </c>
      <c r="BT93" s="139">
        <v>326195</v>
      </c>
      <c r="BU93" s="139">
        <v>2990353</v>
      </c>
      <c r="BV93" s="139">
        <v>1228555</v>
      </c>
      <c r="BW93" s="139">
        <v>7017691</v>
      </c>
      <c r="BX93" s="139">
        <v>0</v>
      </c>
      <c r="BY93" s="139">
        <v>0</v>
      </c>
      <c r="BZ93" s="139">
        <v>0</v>
      </c>
      <c r="CA93" s="139">
        <v>0</v>
      </c>
      <c r="CB93" s="139">
        <v>0</v>
      </c>
      <c r="CC93" s="139">
        <v>0</v>
      </c>
      <c r="CD93" s="139">
        <v>0</v>
      </c>
      <c r="CE93" s="139">
        <v>0</v>
      </c>
      <c r="CF93" s="139">
        <v>0</v>
      </c>
      <c r="CG93" s="139">
        <v>0</v>
      </c>
      <c r="CH93" s="139">
        <v>0</v>
      </c>
      <c r="CI93" s="139">
        <v>0</v>
      </c>
      <c r="CJ93" s="139">
        <v>1219130</v>
      </c>
      <c r="CK93" s="139">
        <v>185072</v>
      </c>
      <c r="CL93" s="139">
        <v>253543</v>
      </c>
      <c r="CM93" s="139">
        <v>1933470</v>
      </c>
      <c r="CN93" s="139">
        <v>0</v>
      </c>
      <c r="CO93" s="139">
        <v>3591215</v>
      </c>
      <c r="CP93" s="139">
        <v>0</v>
      </c>
      <c r="CQ93" s="139">
        <v>0</v>
      </c>
      <c r="CR93" s="139">
        <v>0</v>
      </c>
      <c r="CS93" s="139">
        <v>0</v>
      </c>
      <c r="CT93" s="139">
        <v>5523021</v>
      </c>
      <c r="CU93" s="139">
        <v>5523021</v>
      </c>
      <c r="CV93" s="139">
        <v>16770295</v>
      </c>
      <c r="CW93" s="139">
        <v>3744925</v>
      </c>
      <c r="CX93" s="139">
        <v>51873</v>
      </c>
      <c r="CY93" s="139">
        <v>525030</v>
      </c>
      <c r="CZ93" s="139">
        <v>2098311</v>
      </c>
      <c r="DA93" s="139">
        <v>23190434</v>
      </c>
      <c r="DB93" s="139">
        <v>0</v>
      </c>
      <c r="DC93" s="139">
        <v>0</v>
      </c>
      <c r="DD93" s="139">
        <v>0</v>
      </c>
      <c r="DE93" s="139">
        <v>0</v>
      </c>
      <c r="DF93" s="139">
        <v>0</v>
      </c>
      <c r="DG93" s="139">
        <v>0</v>
      </c>
      <c r="DH93" s="139">
        <v>0</v>
      </c>
      <c r="DI93" s="139">
        <v>0</v>
      </c>
      <c r="DJ93" s="139">
        <v>0</v>
      </c>
      <c r="DK93" s="139">
        <v>0</v>
      </c>
      <c r="DL93" s="139">
        <v>130042</v>
      </c>
      <c r="DM93" s="139">
        <v>130042</v>
      </c>
      <c r="DN93" s="139">
        <v>470107</v>
      </c>
      <c r="DO93" s="139">
        <v>95750</v>
      </c>
      <c r="DP93" s="139">
        <v>88250</v>
      </c>
      <c r="DQ93" s="139">
        <v>644294</v>
      </c>
      <c r="DR93" s="139">
        <v>2396382</v>
      </c>
      <c r="DS93" s="139">
        <v>3694783</v>
      </c>
      <c r="DT93" s="139">
        <v>14220</v>
      </c>
      <c r="DU93" s="139">
        <v>35455</v>
      </c>
      <c r="DV93" s="139">
        <v>14964</v>
      </c>
      <c r="DW93" s="139">
        <v>294120</v>
      </c>
      <c r="DX93" s="139">
        <v>2845</v>
      </c>
      <c r="DY93" s="139">
        <v>361604</v>
      </c>
      <c r="DZ93" s="139">
        <v>175002</v>
      </c>
      <c r="EA93" s="139">
        <v>16135</v>
      </c>
      <c r="EB93" s="139">
        <v>6291</v>
      </c>
      <c r="EC93" s="139">
        <v>257709</v>
      </c>
      <c r="ED93" s="139">
        <v>77713</v>
      </c>
      <c r="EE93" s="139">
        <v>532850</v>
      </c>
      <c r="EF93" s="139">
        <v>112104</v>
      </c>
      <c r="EG93" s="139">
        <v>5696</v>
      </c>
      <c r="EH93" s="139">
        <v>12659</v>
      </c>
      <c r="EI93" s="139">
        <v>148090</v>
      </c>
      <c r="EJ93" s="139">
        <v>2063964</v>
      </c>
      <c r="EK93" s="139">
        <v>2342513</v>
      </c>
      <c r="EL93" s="139">
        <v>27073832</v>
      </c>
      <c r="EM93" s="139">
        <v>5073486</v>
      </c>
      <c r="EN93" s="139">
        <v>767438</v>
      </c>
      <c r="EO93" s="139">
        <v>6866796</v>
      </c>
      <c r="EP93" s="139">
        <v>14645266</v>
      </c>
      <c r="EQ93" s="139">
        <v>54426818</v>
      </c>
      <c r="ER93" s="139">
        <v>3465356</v>
      </c>
      <c r="ES93" s="139">
        <v>547340</v>
      </c>
      <c r="ET93" s="139">
        <v>514521</v>
      </c>
      <c r="EU93" s="139">
        <v>4864423</v>
      </c>
      <c r="EV93" s="139">
        <v>210957</v>
      </c>
      <c r="EW93" s="139">
        <v>9602597</v>
      </c>
      <c r="EX93" s="139">
        <v>1015000</v>
      </c>
      <c r="EY93" s="139">
        <v>297684</v>
      </c>
      <c r="EZ93" s="139">
        <v>35000</v>
      </c>
      <c r="FA93" s="139">
        <v>94866</v>
      </c>
      <c r="FB93" s="139">
        <v>0</v>
      </c>
      <c r="FC93" s="139">
        <v>1442550</v>
      </c>
      <c r="FD93" s="139">
        <v>5252118</v>
      </c>
      <c r="FE93" s="139">
        <v>1601730</v>
      </c>
      <c r="FF93" s="139">
        <v>901543</v>
      </c>
      <c r="FG93" s="139">
        <v>2470795</v>
      </c>
      <c r="FH93" s="139">
        <v>0</v>
      </c>
      <c r="FI93" s="139">
        <v>10226186</v>
      </c>
      <c r="FJ93" s="139">
        <v>0</v>
      </c>
      <c r="FK93" s="139">
        <v>0</v>
      </c>
      <c r="FL93" s="139">
        <v>0</v>
      </c>
      <c r="FM93" s="139">
        <v>0</v>
      </c>
      <c r="FN93" s="139">
        <v>0</v>
      </c>
      <c r="FO93" s="139">
        <v>0</v>
      </c>
      <c r="FP93" s="139">
        <v>1256138</v>
      </c>
      <c r="FQ93" s="139">
        <v>189860</v>
      </c>
      <c r="FR93" s="139">
        <v>165746</v>
      </c>
      <c r="FS93" s="139">
        <v>268603</v>
      </c>
      <c r="FT93" s="139">
        <v>8857799</v>
      </c>
      <c r="FU93" s="139">
        <v>10738146</v>
      </c>
      <c r="FV93" s="139">
        <v>0</v>
      </c>
      <c r="FW93" s="139">
        <v>0</v>
      </c>
      <c r="FX93" s="139">
        <v>0</v>
      </c>
      <c r="FY93" s="139">
        <v>0</v>
      </c>
      <c r="FZ93" s="139">
        <v>0</v>
      </c>
      <c r="GA93" s="139">
        <v>0</v>
      </c>
      <c r="GB93" s="139">
        <v>0</v>
      </c>
      <c r="GC93" s="139">
        <v>1815618</v>
      </c>
      <c r="GD93" s="139">
        <v>0</v>
      </c>
      <c r="GE93" s="139">
        <v>13615</v>
      </c>
      <c r="GF93" s="139">
        <v>10800</v>
      </c>
      <c r="GG93" s="139">
        <v>1840033</v>
      </c>
      <c r="GH93" s="139">
        <v>349095</v>
      </c>
      <c r="GI93" s="139">
        <v>128929</v>
      </c>
      <c r="GJ93" s="139">
        <v>182337</v>
      </c>
      <c r="GK93" s="139">
        <v>329274</v>
      </c>
      <c r="GL93" s="139">
        <v>0</v>
      </c>
      <c r="GM93" s="139">
        <v>989635</v>
      </c>
      <c r="GN93" s="139">
        <v>1861261</v>
      </c>
      <c r="GO93" s="139">
        <v>323302</v>
      </c>
      <c r="GP93" s="139">
        <v>403145</v>
      </c>
      <c r="GQ93" s="139">
        <v>1831181</v>
      </c>
      <c r="GR93" s="139">
        <v>0</v>
      </c>
      <c r="GS93" s="139">
        <v>4418889</v>
      </c>
      <c r="GT93" s="139">
        <v>899701</v>
      </c>
      <c r="GU93" s="139">
        <v>154411</v>
      </c>
      <c r="GV93" s="139">
        <v>132076</v>
      </c>
      <c r="GW93" s="139">
        <v>1084852</v>
      </c>
      <c r="GX93" s="139">
        <v>274657</v>
      </c>
      <c r="GY93" s="139">
        <v>2545697</v>
      </c>
      <c r="GZ93" s="139">
        <v>856196</v>
      </c>
      <c r="HA93" s="139">
        <v>353937</v>
      </c>
      <c r="HB93" s="139">
        <v>171264</v>
      </c>
      <c r="HC93" s="139">
        <v>421232</v>
      </c>
      <c r="HD93" s="139">
        <v>0</v>
      </c>
      <c r="HE93" s="139">
        <v>1802629</v>
      </c>
      <c r="HF93" s="139">
        <v>81604</v>
      </c>
      <c r="HG93" s="139">
        <v>0</v>
      </c>
      <c r="HH93" s="139">
        <v>0</v>
      </c>
      <c r="HI93" s="139">
        <v>1044</v>
      </c>
      <c r="HJ93" s="139">
        <v>2125380</v>
      </c>
      <c r="HK93" s="139">
        <v>2208028</v>
      </c>
      <c r="HL93" s="139">
        <v>20675</v>
      </c>
      <c r="HM93" s="139">
        <v>50783</v>
      </c>
      <c r="HN93" s="139">
        <v>33100</v>
      </c>
      <c r="HO93" s="139">
        <v>196960</v>
      </c>
      <c r="HP93" s="139">
        <v>964</v>
      </c>
      <c r="HQ93" s="139">
        <v>302482</v>
      </c>
      <c r="HR93" s="139">
        <v>38248</v>
      </c>
      <c r="HS93" s="139">
        <v>22794</v>
      </c>
      <c r="HT93" s="139">
        <v>11890</v>
      </c>
      <c r="HU93" s="139">
        <v>421445</v>
      </c>
      <c r="HV93" s="139">
        <v>8513771</v>
      </c>
      <c r="HW93" s="139">
        <v>9008148</v>
      </c>
      <c r="HX93" s="139">
        <v>0</v>
      </c>
      <c r="HY93" s="139">
        <v>0</v>
      </c>
      <c r="HZ93" s="139">
        <v>0</v>
      </c>
      <c r="IA93" s="139">
        <v>0</v>
      </c>
      <c r="IB93" s="139">
        <v>128412</v>
      </c>
      <c r="IC93" s="139">
        <v>128412</v>
      </c>
      <c r="ID93" s="139">
        <v>0</v>
      </c>
      <c r="IE93" s="139">
        <v>0</v>
      </c>
      <c r="IF93" s="139">
        <v>0</v>
      </c>
      <c r="IG93" s="139">
        <v>0</v>
      </c>
      <c r="IH93" s="139">
        <v>5523021</v>
      </c>
      <c r="II93" s="139">
        <v>5523021</v>
      </c>
      <c r="IJ93" s="139">
        <v>0</v>
      </c>
      <c r="IK93" s="139">
        <v>0</v>
      </c>
      <c r="IL93" s="139">
        <v>0</v>
      </c>
      <c r="IM93" s="139">
        <v>0</v>
      </c>
      <c r="IN93" s="139">
        <v>1093869</v>
      </c>
      <c r="IO93" s="139">
        <v>1093869</v>
      </c>
      <c r="IP93" s="139">
        <v>4605</v>
      </c>
      <c r="IQ93" s="139">
        <v>2315</v>
      </c>
      <c r="IR93" s="139">
        <v>1140</v>
      </c>
      <c r="IS93" s="139">
        <v>11352</v>
      </c>
      <c r="IT93" s="139">
        <v>1517559</v>
      </c>
      <c r="IU93" s="139">
        <v>1536971</v>
      </c>
      <c r="IV93" s="139">
        <v>1158006</v>
      </c>
      <c r="IW93" s="139">
        <v>267925</v>
      </c>
      <c r="IX93" s="139">
        <v>196214</v>
      </c>
      <c r="IY93" s="139">
        <v>743808</v>
      </c>
      <c r="IZ93" s="139">
        <v>2368012</v>
      </c>
      <c r="JA93" s="139">
        <v>4733965</v>
      </c>
      <c r="JB93" s="139">
        <v>16258003</v>
      </c>
      <c r="JC93" s="139">
        <v>5756628</v>
      </c>
      <c r="JD93" s="139">
        <v>2747976</v>
      </c>
      <c r="JE93" s="139">
        <v>12753450</v>
      </c>
      <c r="JF93" s="139">
        <v>30625201</v>
      </c>
      <c r="JG93" s="139">
        <v>68141258</v>
      </c>
      <c r="JH93" s="139">
        <v>0</v>
      </c>
      <c r="JI93" s="139">
        <v>0</v>
      </c>
      <c r="JJ93" s="139">
        <v>0</v>
      </c>
      <c r="JK93" s="139">
        <v>0</v>
      </c>
      <c r="JL93" s="139">
        <v>0</v>
      </c>
      <c r="JM93" s="139">
        <v>0</v>
      </c>
      <c r="JN93" s="139">
        <v>16258003</v>
      </c>
      <c r="JO93" s="139">
        <v>5756628</v>
      </c>
      <c r="JP93" s="139">
        <v>2747976</v>
      </c>
      <c r="JQ93" s="139">
        <v>12753450</v>
      </c>
      <c r="JR93" s="139">
        <v>30625201</v>
      </c>
      <c r="JS93" s="139">
        <v>68141258</v>
      </c>
      <c r="JU93" s="70">
        <f t="shared" si="158"/>
        <v>5888263</v>
      </c>
      <c r="JV93" s="70">
        <f t="shared" si="159"/>
        <v>0</v>
      </c>
      <c r="JW93" s="70">
        <f t="shared" si="160"/>
        <v>990402</v>
      </c>
      <c r="JX93" s="70">
        <f t="shared" si="161"/>
        <v>0</v>
      </c>
      <c r="JY93" s="70">
        <f t="shared" si="162"/>
        <v>1164000</v>
      </c>
      <c r="JZ93" s="70">
        <f t="shared" si="163"/>
        <v>0</v>
      </c>
      <c r="KA93" s="70">
        <f t="shared" si="164"/>
        <v>7017691</v>
      </c>
      <c r="KB93" s="70">
        <f t="shared" si="165"/>
        <v>0</v>
      </c>
      <c r="KC93" s="70">
        <f t="shared" si="166"/>
        <v>0</v>
      </c>
      <c r="KD93" s="70">
        <f t="shared" si="167"/>
        <v>0</v>
      </c>
      <c r="KE93" s="70">
        <f t="shared" si="168"/>
        <v>0</v>
      </c>
      <c r="KF93" s="70">
        <f t="shared" si="169"/>
        <v>0</v>
      </c>
      <c r="KG93" s="70">
        <f t="shared" si="170"/>
        <v>3591215</v>
      </c>
      <c r="KH93" s="70">
        <f t="shared" si="171"/>
        <v>0</v>
      </c>
      <c r="KI93" s="70">
        <f t="shared" si="172"/>
        <v>5523021</v>
      </c>
      <c r="KJ93" s="70">
        <f t="shared" si="173"/>
        <v>0</v>
      </c>
      <c r="KK93" s="70">
        <f t="shared" si="174"/>
        <v>23190434</v>
      </c>
      <c r="KL93" s="70">
        <f t="shared" si="175"/>
        <v>0</v>
      </c>
      <c r="KM93" s="70">
        <f t="shared" si="176"/>
        <v>0</v>
      </c>
      <c r="KN93" s="70">
        <f t="shared" si="177"/>
        <v>0</v>
      </c>
      <c r="KO93" s="70">
        <f t="shared" si="178"/>
        <v>130042</v>
      </c>
      <c r="KP93" s="70">
        <f t="shared" si="179"/>
        <v>0</v>
      </c>
      <c r="KQ93" s="70">
        <f t="shared" si="180"/>
        <v>3694783</v>
      </c>
      <c r="KR93" s="70">
        <f t="shared" si="181"/>
        <v>0</v>
      </c>
      <c r="KS93" s="70">
        <f t="shared" si="182"/>
        <v>361604</v>
      </c>
      <c r="KT93" s="70">
        <f t="shared" si="183"/>
        <v>0</v>
      </c>
      <c r="KU93" s="70">
        <f t="shared" si="184"/>
        <v>532850</v>
      </c>
      <c r="KV93" s="70">
        <f t="shared" si="185"/>
        <v>0</v>
      </c>
      <c r="KW93" s="70">
        <f t="shared" si="186"/>
        <v>2342513</v>
      </c>
      <c r="KX93" s="70">
        <f t="shared" si="187"/>
        <v>0</v>
      </c>
      <c r="KY93" s="70">
        <f t="shared" si="188"/>
        <v>54426818</v>
      </c>
      <c r="KZ93" s="70">
        <f t="shared" si="189"/>
        <v>0</v>
      </c>
      <c r="LA93" s="70">
        <f t="shared" si="190"/>
        <v>9602597</v>
      </c>
      <c r="LB93" s="70">
        <f t="shared" si="191"/>
        <v>0</v>
      </c>
      <c r="LC93" s="70">
        <f t="shared" si="192"/>
        <v>1442550</v>
      </c>
      <c r="LD93" s="70">
        <f t="shared" si="193"/>
        <v>0</v>
      </c>
      <c r="LE93" s="70">
        <f t="shared" si="194"/>
        <v>10226186</v>
      </c>
      <c r="LF93" s="70">
        <f t="shared" si="195"/>
        <v>0</v>
      </c>
      <c r="LG93" s="70">
        <f t="shared" si="234"/>
        <v>0</v>
      </c>
      <c r="LH93" s="70">
        <f t="shared" si="235"/>
        <v>0</v>
      </c>
      <c r="LI93" s="70">
        <f t="shared" si="196"/>
        <v>10738146</v>
      </c>
      <c r="LJ93" s="70">
        <f t="shared" si="197"/>
        <v>0</v>
      </c>
      <c r="LK93" s="70">
        <f t="shared" si="198"/>
        <v>0</v>
      </c>
      <c r="LL93" s="70">
        <f t="shared" si="199"/>
        <v>0</v>
      </c>
      <c r="LM93" s="70">
        <f t="shared" si="200"/>
        <v>1840033</v>
      </c>
      <c r="LN93" s="70">
        <f t="shared" si="201"/>
        <v>0</v>
      </c>
      <c r="LO93" s="70">
        <f t="shared" si="202"/>
        <v>989635</v>
      </c>
      <c r="LP93" s="70">
        <f t="shared" si="203"/>
        <v>0</v>
      </c>
      <c r="LQ93" s="70">
        <f t="shared" si="204"/>
        <v>4418889</v>
      </c>
      <c r="LR93" s="70">
        <f t="shared" si="205"/>
        <v>0</v>
      </c>
      <c r="LS93" s="70">
        <f t="shared" si="206"/>
        <v>2545697</v>
      </c>
      <c r="LT93" s="70">
        <f t="shared" si="207"/>
        <v>0</v>
      </c>
      <c r="LU93" s="70">
        <f t="shared" si="208"/>
        <v>1802629</v>
      </c>
      <c r="LV93" s="70">
        <f t="shared" si="209"/>
        <v>0</v>
      </c>
      <c r="LW93" s="70">
        <f t="shared" si="210"/>
        <v>2208028</v>
      </c>
      <c r="LX93" s="70">
        <f t="shared" si="211"/>
        <v>0</v>
      </c>
      <c r="LY93" s="70">
        <f t="shared" si="212"/>
        <v>302482</v>
      </c>
      <c r="LZ93" s="70">
        <f t="shared" si="213"/>
        <v>0</v>
      </c>
      <c r="MA93" s="70">
        <f t="shared" si="214"/>
        <v>9008148</v>
      </c>
      <c r="MB93" s="70">
        <f t="shared" si="215"/>
        <v>0</v>
      </c>
      <c r="MC93" s="70">
        <f t="shared" si="216"/>
        <v>128412</v>
      </c>
      <c r="MD93" s="70">
        <f t="shared" si="217"/>
        <v>0</v>
      </c>
      <c r="ME93" s="70">
        <f t="shared" si="218"/>
        <v>5523021</v>
      </c>
      <c r="MF93" s="70">
        <f t="shared" si="219"/>
        <v>0</v>
      </c>
      <c r="MG93" s="70">
        <f t="shared" si="220"/>
        <v>1093869</v>
      </c>
      <c r="MH93" s="70">
        <f t="shared" si="221"/>
        <v>0</v>
      </c>
      <c r="MI93" s="70">
        <f t="shared" si="222"/>
        <v>1536971</v>
      </c>
      <c r="MJ93" s="70">
        <f t="shared" si="223"/>
        <v>0</v>
      </c>
      <c r="MK93" s="70">
        <f t="shared" si="224"/>
        <v>4733965</v>
      </c>
      <c r="ML93" s="70">
        <f t="shared" si="225"/>
        <v>0</v>
      </c>
      <c r="MM93" s="70">
        <f t="shared" si="226"/>
        <v>68141258</v>
      </c>
      <c r="MN93" s="70">
        <f t="shared" si="227"/>
        <v>0</v>
      </c>
      <c r="MO93" s="70">
        <f t="shared" si="228"/>
        <v>0</v>
      </c>
      <c r="MP93" s="70">
        <f t="shared" si="229"/>
        <v>0</v>
      </c>
      <c r="MQ93" s="70">
        <f t="shared" si="230"/>
        <v>68141258</v>
      </c>
      <c r="MR93" s="70">
        <f t="shared" si="231"/>
        <v>0</v>
      </c>
      <c r="MT93" s="70">
        <f t="shared" si="232"/>
        <v>0</v>
      </c>
      <c r="MV93" s="68">
        <f t="shared" si="233"/>
        <v>0</v>
      </c>
    </row>
    <row r="94" spans="1:361" x14ac:dyDescent="0.15">
      <c r="A94" s="182" t="s">
        <v>309</v>
      </c>
      <c r="B94" s="76" t="s">
        <v>428</v>
      </c>
      <c r="C94" s="90">
        <v>157951</v>
      </c>
      <c r="D94" s="90">
        <v>2014</v>
      </c>
      <c r="E94" s="90">
        <v>1</v>
      </c>
      <c r="F94" s="91">
        <v>8</v>
      </c>
      <c r="G94" s="92">
        <v>6020</v>
      </c>
      <c r="H94" s="92">
        <v>7213</v>
      </c>
      <c r="I94" s="93">
        <v>321875567</v>
      </c>
      <c r="J94" s="93">
        <v>318720233</v>
      </c>
      <c r="K94" s="93">
        <v>5036275</v>
      </c>
      <c r="L94" s="93">
        <v>5057350</v>
      </c>
      <c r="M94" s="93">
        <v>19398121</v>
      </c>
      <c r="N94" s="93">
        <v>16638958</v>
      </c>
      <c r="O94" s="93">
        <v>52366300</v>
      </c>
      <c r="P94" s="93">
        <v>55460600</v>
      </c>
      <c r="Q94" s="93">
        <v>215382564</v>
      </c>
      <c r="R94" s="93">
        <v>186940071</v>
      </c>
      <c r="S94" s="93">
        <v>280044915</v>
      </c>
      <c r="T94" s="93">
        <v>272752643</v>
      </c>
      <c r="U94" s="93">
        <v>16392</v>
      </c>
      <c r="V94" s="93">
        <v>15932</v>
      </c>
      <c r="W94" s="93">
        <v>29918</v>
      </c>
      <c r="X94" s="93">
        <v>28460</v>
      </c>
      <c r="Y94" s="93">
        <v>19481</v>
      </c>
      <c r="Z94" s="93">
        <v>19051</v>
      </c>
      <c r="AA94" s="93">
        <v>33007</v>
      </c>
      <c r="AB94" s="93">
        <v>21595</v>
      </c>
      <c r="AC94" s="114">
        <v>9</v>
      </c>
      <c r="AD94" s="114">
        <v>10</v>
      </c>
      <c r="AE94" s="114">
        <v>0</v>
      </c>
      <c r="AF94" s="115">
        <v>3888984</v>
      </c>
      <c r="AG94" s="115">
        <v>2352696</v>
      </c>
      <c r="AH94" s="115">
        <v>381245</v>
      </c>
      <c r="AI94" s="115">
        <v>158760</v>
      </c>
      <c r="AJ94" s="115">
        <v>327750</v>
      </c>
      <c r="AK94" s="116">
        <v>5.5</v>
      </c>
      <c r="AL94" s="115">
        <v>257518</v>
      </c>
      <c r="AM94" s="116">
        <v>7</v>
      </c>
      <c r="AN94" s="115">
        <v>114948</v>
      </c>
      <c r="AO94" s="116">
        <v>6.5</v>
      </c>
      <c r="AP94" s="115">
        <v>93395</v>
      </c>
      <c r="AQ94" s="116">
        <v>8</v>
      </c>
      <c r="AR94" s="115">
        <v>87121</v>
      </c>
      <c r="AS94" s="116">
        <v>20</v>
      </c>
      <c r="AT94" s="115">
        <v>82972</v>
      </c>
      <c r="AU94" s="116">
        <v>21</v>
      </c>
      <c r="AV94" s="115">
        <v>50289</v>
      </c>
      <c r="AW94" s="116">
        <v>13</v>
      </c>
      <c r="AX94" s="115">
        <v>46697</v>
      </c>
      <c r="AY94" s="116">
        <v>14</v>
      </c>
      <c r="AZ94" s="139">
        <v>978068</v>
      </c>
      <c r="BA94" s="139">
        <v>874897</v>
      </c>
      <c r="BB94" s="139">
        <v>111683</v>
      </c>
      <c r="BC94" s="139">
        <v>28665</v>
      </c>
      <c r="BD94" s="139">
        <v>61047</v>
      </c>
      <c r="BE94" s="139">
        <v>2054360</v>
      </c>
      <c r="BF94" s="139">
        <v>1138063</v>
      </c>
      <c r="BG94" s="139">
        <v>320555</v>
      </c>
      <c r="BH94" s="139">
        <v>278562</v>
      </c>
      <c r="BI94" s="139">
        <v>1135613</v>
      </c>
      <c r="BJ94" s="139">
        <v>1156683</v>
      </c>
      <c r="BK94" s="139">
        <v>4029476</v>
      </c>
      <c r="BL94" s="139">
        <v>2428796</v>
      </c>
      <c r="BM94" s="139">
        <v>150000</v>
      </c>
      <c r="BN94" s="139">
        <v>0</v>
      </c>
      <c r="BO94" s="139">
        <v>12000</v>
      </c>
      <c r="BP94" s="139">
        <v>0</v>
      </c>
      <c r="BQ94" s="139">
        <v>2590796</v>
      </c>
      <c r="BR94" s="139">
        <v>671467</v>
      </c>
      <c r="BS94" s="139">
        <v>149362</v>
      </c>
      <c r="BT94" s="139">
        <v>148486</v>
      </c>
      <c r="BU94" s="139">
        <v>154479</v>
      </c>
      <c r="BV94" s="139">
        <v>1146693</v>
      </c>
      <c r="BW94" s="139">
        <v>2270487</v>
      </c>
      <c r="BX94" s="139">
        <v>50596</v>
      </c>
      <c r="BY94" s="139">
        <v>14321</v>
      </c>
      <c r="BZ94" s="139">
        <v>5299</v>
      </c>
      <c r="CA94" s="139">
        <v>17188</v>
      </c>
      <c r="CB94" s="139">
        <v>15386</v>
      </c>
      <c r="CC94" s="139">
        <v>102790</v>
      </c>
      <c r="CD94" s="139">
        <v>0</v>
      </c>
      <c r="CE94" s="139">
        <v>0</v>
      </c>
      <c r="CF94" s="139">
        <v>0</v>
      </c>
      <c r="CG94" s="139">
        <v>0</v>
      </c>
      <c r="CH94" s="139">
        <v>0</v>
      </c>
      <c r="CI94" s="139">
        <v>0</v>
      </c>
      <c r="CJ94" s="139">
        <v>2439230</v>
      </c>
      <c r="CK94" s="139">
        <v>1027287</v>
      </c>
      <c r="CL94" s="139">
        <v>1145710</v>
      </c>
      <c r="CM94" s="139">
        <v>4768149</v>
      </c>
      <c r="CN94" s="139">
        <v>877631</v>
      </c>
      <c r="CO94" s="139">
        <v>10258007</v>
      </c>
      <c r="CP94" s="139">
        <v>0</v>
      </c>
      <c r="CQ94" s="139">
        <v>0</v>
      </c>
      <c r="CR94" s="139">
        <v>0</v>
      </c>
      <c r="CS94" s="139">
        <v>0</v>
      </c>
      <c r="CT94" s="139">
        <v>1470952</v>
      </c>
      <c r="CU94" s="139">
        <v>1470952</v>
      </c>
      <c r="CV94" s="139">
        <v>0</v>
      </c>
      <c r="CW94" s="139">
        <v>0</v>
      </c>
      <c r="CX94" s="139">
        <v>0</v>
      </c>
      <c r="CY94" s="139">
        <v>0</v>
      </c>
      <c r="CZ94" s="139">
        <v>1355089</v>
      </c>
      <c r="DA94" s="139">
        <v>1355089</v>
      </c>
      <c r="DB94" s="139">
        <v>0</v>
      </c>
      <c r="DC94" s="139">
        <v>0</v>
      </c>
      <c r="DD94" s="139">
        <v>0</v>
      </c>
      <c r="DE94" s="139">
        <v>0</v>
      </c>
      <c r="DF94" s="139">
        <v>0</v>
      </c>
      <c r="DG94" s="139">
        <v>0</v>
      </c>
      <c r="DH94" s="139">
        <v>0</v>
      </c>
      <c r="DI94" s="139">
        <v>0</v>
      </c>
      <c r="DJ94" s="139">
        <v>0</v>
      </c>
      <c r="DK94" s="139">
        <v>0</v>
      </c>
      <c r="DL94" s="139">
        <v>476571</v>
      </c>
      <c r="DM94" s="139">
        <v>476571</v>
      </c>
      <c r="DN94" s="139">
        <v>0</v>
      </c>
      <c r="DO94" s="139">
        <v>0</v>
      </c>
      <c r="DP94" s="139">
        <v>0</v>
      </c>
      <c r="DQ94" s="139">
        <v>0</v>
      </c>
      <c r="DR94" s="139">
        <v>1263055</v>
      </c>
      <c r="DS94" s="139">
        <v>1263055</v>
      </c>
      <c r="DT94" s="139">
        <v>63193</v>
      </c>
      <c r="DU94" s="139">
        <v>97931</v>
      </c>
      <c r="DV94" s="139">
        <v>40788</v>
      </c>
      <c r="DW94" s="139">
        <v>262106</v>
      </c>
      <c r="DX94" s="139">
        <v>0</v>
      </c>
      <c r="DY94" s="139">
        <v>464018</v>
      </c>
      <c r="DZ94" s="139">
        <v>67398</v>
      </c>
      <c r="EA94" s="139">
        <v>71392</v>
      </c>
      <c r="EB94" s="139">
        <v>0</v>
      </c>
      <c r="EC94" s="139">
        <v>2</v>
      </c>
      <c r="ED94" s="139">
        <v>0</v>
      </c>
      <c r="EE94" s="139">
        <v>138792</v>
      </c>
      <c r="EF94" s="139">
        <v>0</v>
      </c>
      <c r="EG94" s="139">
        <v>0</v>
      </c>
      <c r="EH94" s="139">
        <v>0</v>
      </c>
      <c r="EI94" s="139">
        <v>0</v>
      </c>
      <c r="EJ94" s="139">
        <v>1241638</v>
      </c>
      <c r="EK94" s="139">
        <v>1241638</v>
      </c>
      <c r="EL94" s="139">
        <v>7836811</v>
      </c>
      <c r="EM94" s="139">
        <v>2705745</v>
      </c>
      <c r="EN94" s="139">
        <v>1730528</v>
      </c>
      <c r="EO94" s="139">
        <v>6378202</v>
      </c>
      <c r="EP94" s="139">
        <v>9064745</v>
      </c>
      <c r="EQ94" s="139">
        <v>27716031</v>
      </c>
      <c r="ER94" s="139">
        <v>2389572</v>
      </c>
      <c r="ES94" s="139">
        <v>385223</v>
      </c>
      <c r="ET94" s="139">
        <v>365410</v>
      </c>
      <c r="EU94" s="139">
        <v>3101475</v>
      </c>
      <c r="EV94" s="139">
        <v>312351</v>
      </c>
      <c r="EW94" s="139">
        <v>6554031</v>
      </c>
      <c r="EX94" s="139">
        <v>1061518</v>
      </c>
      <c r="EY94" s="139">
        <v>230500</v>
      </c>
      <c r="EZ94" s="139">
        <v>18426</v>
      </c>
      <c r="FA94" s="139">
        <v>18968</v>
      </c>
      <c r="FB94" s="139">
        <v>0</v>
      </c>
      <c r="FC94" s="139">
        <v>1329412</v>
      </c>
      <c r="FD94" s="139">
        <v>1900196</v>
      </c>
      <c r="FE94" s="139">
        <v>940375</v>
      </c>
      <c r="FF94" s="139">
        <v>558761</v>
      </c>
      <c r="FG94" s="139">
        <v>1546634</v>
      </c>
      <c r="FH94" s="139">
        <v>0</v>
      </c>
      <c r="FI94" s="139">
        <v>4945966</v>
      </c>
      <c r="FJ94" s="139">
        <v>50596</v>
      </c>
      <c r="FK94" s="139">
        <v>14321</v>
      </c>
      <c r="FL94" s="139">
        <v>5299</v>
      </c>
      <c r="FM94" s="139">
        <v>17188</v>
      </c>
      <c r="FN94" s="139">
        <v>0</v>
      </c>
      <c r="FO94" s="139">
        <v>87404</v>
      </c>
      <c r="FP94" s="139">
        <v>515381</v>
      </c>
      <c r="FQ94" s="139">
        <v>174907</v>
      </c>
      <c r="FR94" s="139">
        <v>109715</v>
      </c>
      <c r="FS94" s="139">
        <v>10613</v>
      </c>
      <c r="FT94" s="139">
        <v>2897008</v>
      </c>
      <c r="FU94" s="139">
        <v>3707624</v>
      </c>
      <c r="FV94" s="139">
        <v>0</v>
      </c>
      <c r="FW94" s="139">
        <v>0</v>
      </c>
      <c r="FX94" s="139">
        <v>0</v>
      </c>
      <c r="FY94" s="139">
        <v>0</v>
      </c>
      <c r="FZ94" s="139">
        <v>15386</v>
      </c>
      <c r="GA94" s="139">
        <v>15386</v>
      </c>
      <c r="GB94" s="139">
        <v>0</v>
      </c>
      <c r="GC94" s="139">
        <v>0</v>
      </c>
      <c r="GD94" s="139">
        <v>141601</v>
      </c>
      <c r="GE94" s="139">
        <v>0</v>
      </c>
      <c r="GF94" s="139">
        <v>0</v>
      </c>
      <c r="GG94" s="139">
        <v>141601</v>
      </c>
      <c r="GH94" s="139">
        <v>155721</v>
      </c>
      <c r="GI94" s="139">
        <v>127656</v>
      </c>
      <c r="GJ94" s="139">
        <v>60232</v>
      </c>
      <c r="GK94" s="139">
        <v>196396</v>
      </c>
      <c r="GL94" s="139">
        <v>0</v>
      </c>
      <c r="GM94" s="139">
        <v>540005</v>
      </c>
      <c r="GN94" s="139">
        <v>680549</v>
      </c>
      <c r="GO94" s="139">
        <v>373622</v>
      </c>
      <c r="GP94" s="139">
        <v>226357</v>
      </c>
      <c r="GQ94" s="139">
        <v>688379</v>
      </c>
      <c r="GR94" s="139">
        <v>544605</v>
      </c>
      <c r="GS94" s="139">
        <v>2513512</v>
      </c>
      <c r="GT94" s="139">
        <v>479658</v>
      </c>
      <c r="GU94" s="139">
        <v>67845</v>
      </c>
      <c r="GV94" s="139">
        <v>24798</v>
      </c>
      <c r="GW94" s="139">
        <v>194486</v>
      </c>
      <c r="GX94" s="139">
        <v>0</v>
      </c>
      <c r="GY94" s="139">
        <v>766787</v>
      </c>
      <c r="GZ94" s="139">
        <v>75987</v>
      </c>
      <c r="HA94" s="139">
        <v>122515</v>
      </c>
      <c r="HB94" s="139">
        <v>72114</v>
      </c>
      <c r="HC94" s="139">
        <v>100767</v>
      </c>
      <c r="HD94" s="139">
        <v>536769</v>
      </c>
      <c r="HE94" s="139">
        <v>908152</v>
      </c>
      <c r="HF94" s="139">
        <v>35969</v>
      </c>
      <c r="HG94" s="139">
        <v>23157</v>
      </c>
      <c r="HH94" s="139">
        <v>15888</v>
      </c>
      <c r="HI94" s="139">
        <v>12639</v>
      </c>
      <c r="HJ94" s="139">
        <v>64976</v>
      </c>
      <c r="HK94" s="139">
        <v>152629</v>
      </c>
      <c r="HL94" s="139">
        <v>11610</v>
      </c>
      <c r="HM94" s="139">
        <v>89621</v>
      </c>
      <c r="HN94" s="139">
        <v>35022</v>
      </c>
      <c r="HO94" s="139">
        <v>255165</v>
      </c>
      <c r="HP94" s="139">
        <v>0</v>
      </c>
      <c r="HQ94" s="139">
        <v>391418</v>
      </c>
      <c r="HR94" s="139">
        <v>1534</v>
      </c>
      <c r="HS94" s="139">
        <v>125</v>
      </c>
      <c r="HT94" s="139">
        <v>366</v>
      </c>
      <c r="HU94" s="139">
        <v>5150</v>
      </c>
      <c r="HV94" s="139">
        <v>745890</v>
      </c>
      <c r="HW94" s="139">
        <v>753065</v>
      </c>
      <c r="HX94" s="139">
        <v>0</v>
      </c>
      <c r="HY94" s="139">
        <v>0</v>
      </c>
      <c r="HZ94" s="139">
        <v>0</v>
      </c>
      <c r="IA94" s="139">
        <v>0</v>
      </c>
      <c r="IB94" s="139">
        <v>124656</v>
      </c>
      <c r="IC94" s="139">
        <v>124656</v>
      </c>
      <c r="ID94" s="139">
        <v>0</v>
      </c>
      <c r="IE94" s="139">
        <v>0</v>
      </c>
      <c r="IF94" s="139">
        <v>0</v>
      </c>
      <c r="IG94" s="139">
        <v>0</v>
      </c>
      <c r="IH94" s="139">
        <v>1470952</v>
      </c>
      <c r="II94" s="139">
        <v>1470952</v>
      </c>
      <c r="IJ94" s="139">
        <v>0</v>
      </c>
      <c r="IK94" s="139">
        <v>245</v>
      </c>
      <c r="IL94" s="139">
        <v>0</v>
      </c>
      <c r="IM94" s="139">
        <v>384</v>
      </c>
      <c r="IN94" s="139">
        <v>660056</v>
      </c>
      <c r="IO94" s="139">
        <v>660685</v>
      </c>
      <c r="IP94" s="139">
        <v>0</v>
      </c>
      <c r="IQ94" s="139">
        <v>3147</v>
      </c>
      <c r="IR94" s="139">
        <v>0</v>
      </c>
      <c r="IS94" s="139">
        <v>1098</v>
      </c>
      <c r="IT94" s="139">
        <v>1005355</v>
      </c>
      <c r="IU94" s="139">
        <v>1009600</v>
      </c>
      <c r="IV94" s="139">
        <v>478520</v>
      </c>
      <c r="IW94" s="139">
        <v>152486</v>
      </c>
      <c r="IX94" s="139">
        <v>96539</v>
      </c>
      <c r="IY94" s="139">
        <v>228860</v>
      </c>
      <c r="IZ94" s="139">
        <v>686741</v>
      </c>
      <c r="JA94" s="139">
        <v>1643146</v>
      </c>
      <c r="JB94" s="139">
        <v>7836811</v>
      </c>
      <c r="JC94" s="139">
        <v>2705745</v>
      </c>
      <c r="JD94" s="139">
        <v>1730528</v>
      </c>
      <c r="JE94" s="139">
        <v>6378202</v>
      </c>
      <c r="JF94" s="139">
        <v>9064745</v>
      </c>
      <c r="JG94" s="139">
        <v>27716031</v>
      </c>
      <c r="JH94" s="139">
        <v>0</v>
      </c>
      <c r="JI94" s="139">
        <v>0</v>
      </c>
      <c r="JJ94" s="139">
        <v>0</v>
      </c>
      <c r="JK94" s="139">
        <v>0</v>
      </c>
      <c r="JL94" s="139">
        <v>0</v>
      </c>
      <c r="JM94" s="139">
        <v>0</v>
      </c>
      <c r="JN94" s="139">
        <v>7836811</v>
      </c>
      <c r="JO94" s="139">
        <v>2705745</v>
      </c>
      <c r="JP94" s="139">
        <v>1730528</v>
      </c>
      <c r="JQ94" s="139">
        <v>6378202</v>
      </c>
      <c r="JR94" s="139">
        <v>9064745</v>
      </c>
      <c r="JS94" s="139">
        <v>27716031</v>
      </c>
      <c r="JU94" s="70">
        <f t="shared" si="158"/>
        <v>2054360</v>
      </c>
      <c r="JV94" s="70">
        <f t="shared" si="159"/>
        <v>0</v>
      </c>
      <c r="JW94" s="70">
        <f t="shared" si="160"/>
        <v>4029476</v>
      </c>
      <c r="JX94" s="70">
        <f t="shared" si="161"/>
        <v>0</v>
      </c>
      <c r="JY94" s="70">
        <f t="shared" si="162"/>
        <v>2590796</v>
      </c>
      <c r="JZ94" s="70">
        <f t="shared" si="163"/>
        <v>0</v>
      </c>
      <c r="KA94" s="70">
        <f t="shared" si="164"/>
        <v>2270487</v>
      </c>
      <c r="KB94" s="70">
        <f t="shared" si="165"/>
        <v>0</v>
      </c>
      <c r="KC94" s="70">
        <f t="shared" si="166"/>
        <v>102790</v>
      </c>
      <c r="KD94" s="70">
        <f t="shared" si="167"/>
        <v>0</v>
      </c>
      <c r="KE94" s="70">
        <f t="shared" si="168"/>
        <v>0</v>
      </c>
      <c r="KF94" s="70">
        <f t="shared" si="169"/>
        <v>0</v>
      </c>
      <c r="KG94" s="70">
        <f t="shared" si="170"/>
        <v>10258007</v>
      </c>
      <c r="KH94" s="70">
        <f t="shared" si="171"/>
        <v>0</v>
      </c>
      <c r="KI94" s="70">
        <f t="shared" si="172"/>
        <v>1470952</v>
      </c>
      <c r="KJ94" s="70">
        <f t="shared" si="173"/>
        <v>0</v>
      </c>
      <c r="KK94" s="70">
        <f t="shared" si="174"/>
        <v>1355089</v>
      </c>
      <c r="KL94" s="70">
        <f t="shared" si="175"/>
        <v>0</v>
      </c>
      <c r="KM94" s="70">
        <f t="shared" si="176"/>
        <v>0</v>
      </c>
      <c r="KN94" s="70">
        <f t="shared" si="177"/>
        <v>0</v>
      </c>
      <c r="KO94" s="70">
        <f t="shared" si="178"/>
        <v>476571</v>
      </c>
      <c r="KP94" s="70">
        <f t="shared" si="179"/>
        <v>0</v>
      </c>
      <c r="KQ94" s="70">
        <f t="shared" si="180"/>
        <v>1263055</v>
      </c>
      <c r="KR94" s="70">
        <f t="shared" si="181"/>
        <v>0</v>
      </c>
      <c r="KS94" s="70">
        <f t="shared" si="182"/>
        <v>464018</v>
      </c>
      <c r="KT94" s="70">
        <f t="shared" si="183"/>
        <v>0</v>
      </c>
      <c r="KU94" s="70">
        <f t="shared" si="184"/>
        <v>138792</v>
      </c>
      <c r="KV94" s="70">
        <f t="shared" si="185"/>
        <v>0</v>
      </c>
      <c r="KW94" s="70">
        <f t="shared" si="186"/>
        <v>1241638</v>
      </c>
      <c r="KX94" s="70">
        <f t="shared" si="187"/>
        <v>0</v>
      </c>
      <c r="KY94" s="70">
        <f t="shared" si="188"/>
        <v>27716031</v>
      </c>
      <c r="KZ94" s="70">
        <f t="shared" si="189"/>
        <v>0</v>
      </c>
      <c r="LA94" s="70">
        <f t="shared" si="190"/>
        <v>6554031</v>
      </c>
      <c r="LB94" s="70">
        <f t="shared" si="191"/>
        <v>0</v>
      </c>
      <c r="LC94" s="70">
        <f t="shared" si="192"/>
        <v>1329412</v>
      </c>
      <c r="LD94" s="70">
        <f t="shared" si="193"/>
        <v>0</v>
      </c>
      <c r="LE94" s="70">
        <f t="shared" si="194"/>
        <v>4945966</v>
      </c>
      <c r="LF94" s="70">
        <f t="shared" si="195"/>
        <v>0</v>
      </c>
      <c r="LG94" s="70">
        <f t="shared" si="234"/>
        <v>87404</v>
      </c>
      <c r="LH94" s="70">
        <f t="shared" si="235"/>
        <v>0</v>
      </c>
      <c r="LI94" s="70">
        <f t="shared" si="196"/>
        <v>3707624</v>
      </c>
      <c r="LJ94" s="70">
        <f t="shared" si="197"/>
        <v>0</v>
      </c>
      <c r="LK94" s="70">
        <f t="shared" si="198"/>
        <v>15386</v>
      </c>
      <c r="LL94" s="70">
        <f t="shared" si="199"/>
        <v>0</v>
      </c>
      <c r="LM94" s="70">
        <f t="shared" si="200"/>
        <v>141601</v>
      </c>
      <c r="LN94" s="70">
        <f t="shared" si="201"/>
        <v>0</v>
      </c>
      <c r="LO94" s="70">
        <f t="shared" si="202"/>
        <v>540005</v>
      </c>
      <c r="LP94" s="70">
        <f t="shared" si="203"/>
        <v>0</v>
      </c>
      <c r="LQ94" s="70">
        <f t="shared" si="204"/>
        <v>2513512</v>
      </c>
      <c r="LR94" s="70">
        <f t="shared" si="205"/>
        <v>0</v>
      </c>
      <c r="LS94" s="70">
        <f t="shared" si="206"/>
        <v>766787</v>
      </c>
      <c r="LT94" s="70">
        <f t="shared" si="207"/>
        <v>0</v>
      </c>
      <c r="LU94" s="70">
        <f t="shared" si="208"/>
        <v>908152</v>
      </c>
      <c r="LV94" s="70">
        <f t="shared" si="209"/>
        <v>0</v>
      </c>
      <c r="LW94" s="70">
        <f t="shared" si="210"/>
        <v>152629</v>
      </c>
      <c r="LX94" s="70">
        <f t="shared" si="211"/>
        <v>0</v>
      </c>
      <c r="LY94" s="70">
        <f t="shared" si="212"/>
        <v>391418</v>
      </c>
      <c r="LZ94" s="70">
        <f t="shared" si="213"/>
        <v>0</v>
      </c>
      <c r="MA94" s="70">
        <f t="shared" si="214"/>
        <v>753065</v>
      </c>
      <c r="MB94" s="70">
        <f t="shared" si="215"/>
        <v>0</v>
      </c>
      <c r="MC94" s="70">
        <f t="shared" si="216"/>
        <v>124656</v>
      </c>
      <c r="MD94" s="70">
        <f t="shared" si="217"/>
        <v>0</v>
      </c>
      <c r="ME94" s="70">
        <f t="shared" si="218"/>
        <v>1470952</v>
      </c>
      <c r="MF94" s="70">
        <f t="shared" si="219"/>
        <v>0</v>
      </c>
      <c r="MG94" s="70">
        <f t="shared" si="220"/>
        <v>660685</v>
      </c>
      <c r="MH94" s="70">
        <f t="shared" si="221"/>
        <v>0</v>
      </c>
      <c r="MI94" s="70">
        <f t="shared" si="222"/>
        <v>1009600</v>
      </c>
      <c r="MJ94" s="70">
        <f t="shared" si="223"/>
        <v>0</v>
      </c>
      <c r="MK94" s="70">
        <f t="shared" si="224"/>
        <v>1643146</v>
      </c>
      <c r="ML94" s="70">
        <f t="shared" si="225"/>
        <v>0</v>
      </c>
      <c r="MM94" s="70">
        <f t="shared" si="226"/>
        <v>27716031</v>
      </c>
      <c r="MN94" s="70">
        <f t="shared" si="227"/>
        <v>0</v>
      </c>
      <c r="MO94" s="70">
        <f t="shared" si="228"/>
        <v>0</v>
      </c>
      <c r="MP94" s="70">
        <f t="shared" si="229"/>
        <v>0</v>
      </c>
      <c r="MQ94" s="70">
        <f t="shared" si="230"/>
        <v>27716031</v>
      </c>
      <c r="MR94" s="70">
        <f t="shared" si="231"/>
        <v>0</v>
      </c>
      <c r="MT94" s="70">
        <f t="shared" si="232"/>
        <v>0</v>
      </c>
      <c r="MV94" s="68">
        <f t="shared" si="233"/>
        <v>0</v>
      </c>
    </row>
    <row r="95" spans="1:361" x14ac:dyDescent="0.15">
      <c r="A95" s="182" t="s">
        <v>311</v>
      </c>
      <c r="B95" s="76" t="s">
        <v>428</v>
      </c>
      <c r="C95" s="90">
        <v>172699</v>
      </c>
      <c r="D95" s="90">
        <v>2014</v>
      </c>
      <c r="E95" s="90">
        <v>1</v>
      </c>
      <c r="F95" s="91">
        <v>9</v>
      </c>
      <c r="G95" s="92">
        <v>7899</v>
      </c>
      <c r="H95" s="92">
        <v>7921</v>
      </c>
      <c r="I95" s="93">
        <v>561801186</v>
      </c>
      <c r="J95" s="93">
        <v>510929649</v>
      </c>
      <c r="K95" s="93">
        <v>2760457</v>
      </c>
      <c r="L95" s="93">
        <v>2656381</v>
      </c>
      <c r="M95" s="93">
        <v>26897681</v>
      </c>
      <c r="N95" s="93">
        <v>26360089</v>
      </c>
      <c r="O95" s="93">
        <v>28345405</v>
      </c>
      <c r="P95" s="93">
        <v>29891710</v>
      </c>
      <c r="Q95" s="93">
        <v>390644696</v>
      </c>
      <c r="R95" s="93">
        <v>289860000</v>
      </c>
      <c r="S95" s="93">
        <v>356638782</v>
      </c>
      <c r="T95" s="93">
        <v>347038787</v>
      </c>
      <c r="U95" s="93">
        <v>19843</v>
      </c>
      <c r="V95" s="93">
        <v>19196</v>
      </c>
      <c r="W95" s="93">
        <v>33597</v>
      </c>
      <c r="X95" s="93">
        <v>32476</v>
      </c>
      <c r="Y95" s="93">
        <v>23043</v>
      </c>
      <c r="Z95" s="93">
        <v>23496</v>
      </c>
      <c r="AA95" s="93">
        <v>36797</v>
      </c>
      <c r="AB95" s="93">
        <v>36776</v>
      </c>
      <c r="AC95" s="114">
        <v>6</v>
      </c>
      <c r="AD95" s="114">
        <v>10</v>
      </c>
      <c r="AE95" s="114">
        <v>0</v>
      </c>
      <c r="AF95" s="115">
        <v>4525586</v>
      </c>
      <c r="AG95" s="115">
        <v>2886214</v>
      </c>
      <c r="AH95" s="115">
        <v>343540</v>
      </c>
      <c r="AI95" s="115">
        <v>61400</v>
      </c>
      <c r="AJ95" s="115">
        <v>301015</v>
      </c>
      <c r="AK95" s="116">
        <v>6</v>
      </c>
      <c r="AL95" s="115">
        <v>301015</v>
      </c>
      <c r="AM95" s="116">
        <v>6</v>
      </c>
      <c r="AN95" s="115">
        <v>125479</v>
      </c>
      <c r="AO95" s="116">
        <v>8</v>
      </c>
      <c r="AP95" s="115">
        <v>125479</v>
      </c>
      <c r="AQ95" s="116">
        <v>8</v>
      </c>
      <c r="AR95" s="115">
        <v>105108</v>
      </c>
      <c r="AS95" s="116">
        <v>19.63</v>
      </c>
      <c r="AT95" s="115">
        <v>89708</v>
      </c>
      <c r="AU95" s="116">
        <v>23</v>
      </c>
      <c r="AV95" s="115">
        <v>66239</v>
      </c>
      <c r="AW95" s="116">
        <v>11</v>
      </c>
      <c r="AX95" s="115">
        <v>66239</v>
      </c>
      <c r="AY95" s="116">
        <v>11</v>
      </c>
      <c r="AZ95" s="139">
        <v>895541</v>
      </c>
      <c r="BA95" s="139">
        <v>219186</v>
      </c>
      <c r="BB95" s="139">
        <v>11202</v>
      </c>
      <c r="BC95" s="139">
        <v>368452</v>
      </c>
      <c r="BD95" s="139">
        <v>41043</v>
      </c>
      <c r="BE95" s="139">
        <v>1535424</v>
      </c>
      <c r="BF95" s="139">
        <v>0</v>
      </c>
      <c r="BG95" s="139">
        <v>0</v>
      </c>
      <c r="BH95" s="139">
        <v>0</v>
      </c>
      <c r="BI95" s="139">
        <v>0</v>
      </c>
      <c r="BJ95" s="139">
        <v>0</v>
      </c>
      <c r="BK95" s="139">
        <v>0</v>
      </c>
      <c r="BL95" s="139">
        <v>1950000</v>
      </c>
      <c r="BM95" s="139">
        <v>165000</v>
      </c>
      <c r="BN95" s="139">
        <v>26000</v>
      </c>
      <c r="BO95" s="139">
        <v>69879</v>
      </c>
      <c r="BP95" s="139">
        <v>0</v>
      </c>
      <c r="BQ95" s="139">
        <v>2210879</v>
      </c>
      <c r="BR95" s="139">
        <v>78458</v>
      </c>
      <c r="BS95" s="139">
        <v>12201</v>
      </c>
      <c r="BT95" s="139">
        <v>11616</v>
      </c>
      <c r="BU95" s="139">
        <v>102626</v>
      </c>
      <c r="BV95" s="139">
        <v>413319</v>
      </c>
      <c r="BW95" s="139">
        <v>618220</v>
      </c>
      <c r="BX95" s="139">
        <v>0</v>
      </c>
      <c r="BY95" s="139">
        <v>0</v>
      </c>
      <c r="BZ95" s="139">
        <v>0</v>
      </c>
      <c r="CA95" s="139">
        <v>0</v>
      </c>
      <c r="CB95" s="139">
        <v>0</v>
      </c>
      <c r="CC95" s="139">
        <v>0</v>
      </c>
      <c r="CD95" s="139">
        <v>0</v>
      </c>
      <c r="CE95" s="139">
        <v>0</v>
      </c>
      <c r="CF95" s="139">
        <v>0</v>
      </c>
      <c r="CG95" s="139">
        <v>0</v>
      </c>
      <c r="CH95" s="139">
        <v>0</v>
      </c>
      <c r="CI95" s="139">
        <v>0</v>
      </c>
      <c r="CJ95" s="139">
        <v>0</v>
      </c>
      <c r="CK95" s="139">
        <v>0</v>
      </c>
      <c r="CL95" s="139">
        <v>0</v>
      </c>
      <c r="CM95" s="139">
        <v>0</v>
      </c>
      <c r="CN95" s="139">
        <v>16863785</v>
      </c>
      <c r="CO95" s="139">
        <v>16863785</v>
      </c>
      <c r="CP95" s="139">
        <v>0</v>
      </c>
      <c r="CQ95" s="139">
        <v>0</v>
      </c>
      <c r="CR95" s="139">
        <v>0</v>
      </c>
      <c r="CS95" s="139">
        <v>0</v>
      </c>
      <c r="CT95" s="139">
        <v>3164166</v>
      </c>
      <c r="CU95" s="139">
        <v>3164166</v>
      </c>
      <c r="CV95" s="139">
        <v>0</v>
      </c>
      <c r="CW95" s="139">
        <v>45233</v>
      </c>
      <c r="CX95" s="139">
        <v>0</v>
      </c>
      <c r="CY95" s="139">
        <v>16380</v>
      </c>
      <c r="CZ95" s="139">
        <v>1810330</v>
      </c>
      <c r="DA95" s="139">
        <v>1871943</v>
      </c>
      <c r="DB95" s="139">
        <v>0</v>
      </c>
      <c r="DC95" s="139">
        <v>0</v>
      </c>
      <c r="DD95" s="139">
        <v>0</v>
      </c>
      <c r="DE95" s="139">
        <v>0</v>
      </c>
      <c r="DF95" s="139">
        <v>0</v>
      </c>
      <c r="DG95" s="139">
        <v>0</v>
      </c>
      <c r="DH95" s="139">
        <v>11887</v>
      </c>
      <c r="DI95" s="139">
        <v>7429</v>
      </c>
      <c r="DJ95" s="139">
        <v>1486</v>
      </c>
      <c r="DK95" s="139">
        <v>8915</v>
      </c>
      <c r="DL95" s="139">
        <v>0</v>
      </c>
      <c r="DM95" s="139">
        <v>29717</v>
      </c>
      <c r="DN95" s="139">
        <v>11887</v>
      </c>
      <c r="DO95" s="139">
        <v>7429</v>
      </c>
      <c r="DP95" s="139">
        <v>1486</v>
      </c>
      <c r="DQ95" s="139">
        <v>8915</v>
      </c>
      <c r="DR95" s="139">
        <v>0</v>
      </c>
      <c r="DS95" s="139">
        <v>29717</v>
      </c>
      <c r="DT95" s="139">
        <v>24792</v>
      </c>
      <c r="DU95" s="139">
        <v>0</v>
      </c>
      <c r="DV95" s="139">
        <v>22039</v>
      </c>
      <c r="DW95" s="139">
        <v>315022</v>
      </c>
      <c r="DX95" s="139">
        <v>0</v>
      </c>
      <c r="DY95" s="139">
        <v>361853</v>
      </c>
      <c r="DZ95" s="139">
        <v>27746</v>
      </c>
      <c r="EA95" s="139">
        <v>1588</v>
      </c>
      <c r="EB95" s="139">
        <v>9743</v>
      </c>
      <c r="EC95" s="139">
        <v>86063</v>
      </c>
      <c r="ED95" s="139">
        <v>65181</v>
      </c>
      <c r="EE95" s="139">
        <v>190321</v>
      </c>
      <c r="EF95" s="139">
        <v>13356</v>
      </c>
      <c r="EG95" s="139">
        <v>16977</v>
      </c>
      <c r="EH95" s="139">
        <v>7107</v>
      </c>
      <c r="EI95" s="139">
        <v>162600</v>
      </c>
      <c r="EJ95" s="139">
        <v>518231</v>
      </c>
      <c r="EK95" s="139">
        <v>718271</v>
      </c>
      <c r="EL95" s="139">
        <v>3546077</v>
      </c>
      <c r="EM95" s="139">
        <v>807800</v>
      </c>
      <c r="EN95" s="139">
        <v>157230</v>
      </c>
      <c r="EO95" s="139">
        <v>1538160</v>
      </c>
      <c r="EP95" s="139">
        <v>22877805</v>
      </c>
      <c r="EQ95" s="139">
        <v>28927072</v>
      </c>
      <c r="ER95" s="139">
        <v>2897712</v>
      </c>
      <c r="ES95" s="139">
        <v>404597</v>
      </c>
      <c r="ET95" s="139">
        <v>543269</v>
      </c>
      <c r="EU95" s="139">
        <v>3566222</v>
      </c>
      <c r="EV95" s="139">
        <v>253004</v>
      </c>
      <c r="EW95" s="139">
        <v>7664804</v>
      </c>
      <c r="EX95" s="139">
        <v>380000</v>
      </c>
      <c r="EY95" s="139">
        <v>200876</v>
      </c>
      <c r="EZ95" s="139">
        <v>2679</v>
      </c>
      <c r="FA95" s="139">
        <v>25670</v>
      </c>
      <c r="FB95" s="139">
        <v>0</v>
      </c>
      <c r="FC95" s="139">
        <v>609225</v>
      </c>
      <c r="FD95" s="139">
        <v>1822493</v>
      </c>
      <c r="FE95" s="139">
        <v>923757</v>
      </c>
      <c r="FF95" s="139">
        <v>549291</v>
      </c>
      <c r="FG95" s="139">
        <v>2306292</v>
      </c>
      <c r="FH95" s="139">
        <v>0</v>
      </c>
      <c r="FI95" s="139">
        <v>5601833</v>
      </c>
      <c r="FJ95" s="139">
        <v>0</v>
      </c>
      <c r="FK95" s="139">
        <v>0</v>
      </c>
      <c r="FL95" s="139">
        <v>0</v>
      </c>
      <c r="FM95" s="139">
        <v>0</v>
      </c>
      <c r="FN95" s="139">
        <v>0</v>
      </c>
      <c r="FO95" s="139">
        <v>0</v>
      </c>
      <c r="FP95" s="139">
        <v>367488</v>
      </c>
      <c r="FQ95" s="139">
        <v>72067</v>
      </c>
      <c r="FR95" s="139">
        <v>59896</v>
      </c>
      <c r="FS95" s="139">
        <v>65462</v>
      </c>
      <c r="FT95" s="139">
        <v>2605390</v>
      </c>
      <c r="FU95" s="139">
        <v>3170303</v>
      </c>
      <c r="FV95" s="139">
        <v>0</v>
      </c>
      <c r="FW95" s="139">
        <v>0</v>
      </c>
      <c r="FX95" s="139">
        <v>0</v>
      </c>
      <c r="FY95" s="139">
        <v>0</v>
      </c>
      <c r="FZ95" s="139">
        <v>0</v>
      </c>
      <c r="GA95" s="139">
        <v>0</v>
      </c>
      <c r="GB95" s="139">
        <v>0</v>
      </c>
      <c r="GC95" s="139">
        <v>0</v>
      </c>
      <c r="GD95" s="139">
        <v>0</v>
      </c>
      <c r="GE95" s="139">
        <v>0</v>
      </c>
      <c r="GF95" s="139">
        <v>0</v>
      </c>
      <c r="GG95" s="139">
        <v>0</v>
      </c>
      <c r="GH95" s="139">
        <v>227014</v>
      </c>
      <c r="GI95" s="139">
        <v>41684</v>
      </c>
      <c r="GJ95" s="139">
        <v>38677</v>
      </c>
      <c r="GK95" s="139">
        <v>97565</v>
      </c>
      <c r="GL95" s="139">
        <v>384</v>
      </c>
      <c r="GM95" s="139">
        <v>405324</v>
      </c>
      <c r="GN95" s="139">
        <v>729150</v>
      </c>
      <c r="GO95" s="139">
        <v>263756</v>
      </c>
      <c r="GP95" s="139">
        <v>122714</v>
      </c>
      <c r="GQ95" s="139">
        <v>1202138</v>
      </c>
      <c r="GR95" s="139">
        <v>44175</v>
      </c>
      <c r="GS95" s="139">
        <v>2361933</v>
      </c>
      <c r="GT95" s="139">
        <v>208439</v>
      </c>
      <c r="GU95" s="139">
        <v>53428</v>
      </c>
      <c r="GV95" s="139">
        <v>35954</v>
      </c>
      <c r="GW95" s="139">
        <v>401707</v>
      </c>
      <c r="GX95" s="139">
        <v>26933</v>
      </c>
      <c r="GY95" s="139">
        <v>726461</v>
      </c>
      <c r="GZ95" s="139">
        <v>89345</v>
      </c>
      <c r="HA95" s="139">
        <v>84450</v>
      </c>
      <c r="HB95" s="139">
        <v>50200</v>
      </c>
      <c r="HC95" s="139">
        <v>64897</v>
      </c>
      <c r="HD95" s="139">
        <v>651820</v>
      </c>
      <c r="HE95" s="139">
        <v>940712</v>
      </c>
      <c r="HF95" s="139">
        <v>2586</v>
      </c>
      <c r="HG95" s="139">
        <v>39</v>
      </c>
      <c r="HH95" s="139">
        <v>405</v>
      </c>
      <c r="HI95" s="139">
        <v>708</v>
      </c>
      <c r="HJ95" s="139">
        <v>1015672</v>
      </c>
      <c r="HK95" s="139">
        <v>1019410</v>
      </c>
      <c r="HL95" s="139">
        <v>36629</v>
      </c>
      <c r="HM95" s="139">
        <v>0</v>
      </c>
      <c r="HN95" s="139">
        <v>16866</v>
      </c>
      <c r="HO95" s="139">
        <v>306422</v>
      </c>
      <c r="HP95" s="139">
        <v>0</v>
      </c>
      <c r="HQ95" s="139">
        <v>359917</v>
      </c>
      <c r="HR95" s="139">
        <v>5565</v>
      </c>
      <c r="HS95" s="139">
        <v>1395</v>
      </c>
      <c r="HT95" s="139">
        <v>992</v>
      </c>
      <c r="HU95" s="139">
        <v>135966</v>
      </c>
      <c r="HV95" s="139">
        <v>830469</v>
      </c>
      <c r="HW95" s="139">
        <v>974387</v>
      </c>
      <c r="HX95" s="139">
        <v>0</v>
      </c>
      <c r="HY95" s="139">
        <v>0</v>
      </c>
      <c r="HZ95" s="139">
        <v>0</v>
      </c>
      <c r="IA95" s="139">
        <v>0</v>
      </c>
      <c r="IB95" s="139">
        <v>94908</v>
      </c>
      <c r="IC95" s="139">
        <v>94908</v>
      </c>
      <c r="ID95" s="139">
        <v>0</v>
      </c>
      <c r="IE95" s="139">
        <v>0</v>
      </c>
      <c r="IF95" s="139">
        <v>0</v>
      </c>
      <c r="IG95" s="139">
        <v>0</v>
      </c>
      <c r="IH95" s="139">
        <v>3164166</v>
      </c>
      <c r="II95" s="139">
        <v>3164166</v>
      </c>
      <c r="IJ95" s="139">
        <v>0</v>
      </c>
      <c r="IK95" s="139">
        <v>0</v>
      </c>
      <c r="IL95" s="139">
        <v>0</v>
      </c>
      <c r="IM95" s="139">
        <v>0</v>
      </c>
      <c r="IN95" s="139">
        <v>966594</v>
      </c>
      <c r="IO95" s="139">
        <v>966594</v>
      </c>
      <c r="IP95" s="139">
        <v>7368</v>
      </c>
      <c r="IQ95" s="139">
        <v>1041</v>
      </c>
      <c r="IR95" s="139">
        <v>907</v>
      </c>
      <c r="IS95" s="139">
        <v>6251</v>
      </c>
      <c r="IT95" s="139">
        <v>394754</v>
      </c>
      <c r="IU95" s="139">
        <v>410321</v>
      </c>
      <c r="IV95" s="139">
        <v>561972</v>
      </c>
      <c r="IW95" s="139">
        <v>91430</v>
      </c>
      <c r="IX95" s="139">
        <v>50356</v>
      </c>
      <c r="IY95" s="139">
        <v>218144</v>
      </c>
      <c r="IZ95" s="139">
        <v>721564</v>
      </c>
      <c r="JA95" s="139">
        <v>1643466</v>
      </c>
      <c r="JB95" s="139">
        <v>7335761</v>
      </c>
      <c r="JC95" s="139">
        <v>2138520</v>
      </c>
      <c r="JD95" s="139">
        <v>1472206</v>
      </c>
      <c r="JE95" s="139">
        <v>8397444</v>
      </c>
      <c r="JF95" s="139">
        <v>10769833</v>
      </c>
      <c r="JG95" s="139">
        <v>30113764</v>
      </c>
      <c r="JH95" s="139">
        <v>0</v>
      </c>
      <c r="JI95" s="139">
        <v>0</v>
      </c>
      <c r="JJ95" s="139">
        <v>0</v>
      </c>
      <c r="JK95" s="139">
        <v>0</v>
      </c>
      <c r="JL95" s="139">
        <v>0</v>
      </c>
      <c r="JM95" s="139">
        <v>0</v>
      </c>
      <c r="JN95" s="139">
        <v>7335761</v>
      </c>
      <c r="JO95" s="139">
        <v>2138520</v>
      </c>
      <c r="JP95" s="139">
        <v>1472206</v>
      </c>
      <c r="JQ95" s="139">
        <v>8397444</v>
      </c>
      <c r="JR95" s="139">
        <v>10769833</v>
      </c>
      <c r="JS95" s="139">
        <v>30113764</v>
      </c>
      <c r="JU95" s="70">
        <f t="shared" si="158"/>
        <v>1535424</v>
      </c>
      <c r="JV95" s="70">
        <f t="shared" si="159"/>
        <v>0</v>
      </c>
      <c r="JW95" s="70">
        <f t="shared" si="160"/>
        <v>0</v>
      </c>
      <c r="JX95" s="70">
        <f t="shared" si="161"/>
        <v>0</v>
      </c>
      <c r="JY95" s="70">
        <f t="shared" si="162"/>
        <v>2210879</v>
      </c>
      <c r="JZ95" s="70">
        <f t="shared" si="163"/>
        <v>0</v>
      </c>
      <c r="KA95" s="70">
        <f t="shared" si="164"/>
        <v>618220</v>
      </c>
      <c r="KB95" s="70">
        <f t="shared" si="165"/>
        <v>0</v>
      </c>
      <c r="KC95" s="70">
        <f t="shared" si="166"/>
        <v>0</v>
      </c>
      <c r="KD95" s="70">
        <f t="shared" si="167"/>
        <v>0</v>
      </c>
      <c r="KE95" s="70">
        <f t="shared" si="168"/>
        <v>0</v>
      </c>
      <c r="KF95" s="70">
        <f t="shared" si="169"/>
        <v>0</v>
      </c>
      <c r="KG95" s="70">
        <f t="shared" si="170"/>
        <v>16863785</v>
      </c>
      <c r="KH95" s="70">
        <f t="shared" si="171"/>
        <v>0</v>
      </c>
      <c r="KI95" s="70">
        <f t="shared" si="172"/>
        <v>3164166</v>
      </c>
      <c r="KJ95" s="70">
        <f t="shared" si="173"/>
        <v>0</v>
      </c>
      <c r="KK95" s="70">
        <f t="shared" si="174"/>
        <v>1871943</v>
      </c>
      <c r="KL95" s="70">
        <f t="shared" si="175"/>
        <v>0</v>
      </c>
      <c r="KM95" s="70">
        <f t="shared" si="176"/>
        <v>0</v>
      </c>
      <c r="KN95" s="70">
        <f t="shared" si="177"/>
        <v>0</v>
      </c>
      <c r="KO95" s="70">
        <f t="shared" si="178"/>
        <v>29717</v>
      </c>
      <c r="KP95" s="70">
        <f t="shared" si="179"/>
        <v>0</v>
      </c>
      <c r="KQ95" s="70">
        <f t="shared" si="180"/>
        <v>29717</v>
      </c>
      <c r="KR95" s="70">
        <f t="shared" si="181"/>
        <v>0</v>
      </c>
      <c r="KS95" s="70">
        <f t="shared" si="182"/>
        <v>361853</v>
      </c>
      <c r="KT95" s="70">
        <f t="shared" si="183"/>
        <v>0</v>
      </c>
      <c r="KU95" s="70">
        <f t="shared" si="184"/>
        <v>190321</v>
      </c>
      <c r="KV95" s="70">
        <f t="shared" si="185"/>
        <v>0</v>
      </c>
      <c r="KW95" s="70">
        <f t="shared" si="186"/>
        <v>718271</v>
      </c>
      <c r="KX95" s="70">
        <f t="shared" si="187"/>
        <v>0</v>
      </c>
      <c r="KY95" s="70">
        <f t="shared" si="188"/>
        <v>28927072</v>
      </c>
      <c r="KZ95" s="70">
        <f t="shared" si="189"/>
        <v>0</v>
      </c>
      <c r="LA95" s="70">
        <f t="shared" si="190"/>
        <v>7664804</v>
      </c>
      <c r="LB95" s="70">
        <f t="shared" si="191"/>
        <v>0</v>
      </c>
      <c r="LC95" s="70">
        <f t="shared" si="192"/>
        <v>609225</v>
      </c>
      <c r="LD95" s="70">
        <f t="shared" si="193"/>
        <v>0</v>
      </c>
      <c r="LE95" s="70">
        <f t="shared" si="194"/>
        <v>5601833</v>
      </c>
      <c r="LF95" s="70">
        <f t="shared" si="195"/>
        <v>0</v>
      </c>
      <c r="LG95" s="70">
        <f t="shared" si="234"/>
        <v>0</v>
      </c>
      <c r="LH95" s="70">
        <f t="shared" si="235"/>
        <v>0</v>
      </c>
      <c r="LI95" s="70">
        <f t="shared" si="196"/>
        <v>3170303</v>
      </c>
      <c r="LJ95" s="70">
        <f t="shared" si="197"/>
        <v>0</v>
      </c>
      <c r="LK95" s="70">
        <f t="shared" si="198"/>
        <v>0</v>
      </c>
      <c r="LL95" s="70">
        <f t="shared" si="199"/>
        <v>0</v>
      </c>
      <c r="LM95" s="70">
        <f t="shared" si="200"/>
        <v>0</v>
      </c>
      <c r="LN95" s="70">
        <f t="shared" si="201"/>
        <v>0</v>
      </c>
      <c r="LO95" s="70">
        <f t="shared" si="202"/>
        <v>405324</v>
      </c>
      <c r="LP95" s="70">
        <f t="shared" si="203"/>
        <v>0</v>
      </c>
      <c r="LQ95" s="70">
        <f t="shared" si="204"/>
        <v>2361933</v>
      </c>
      <c r="LR95" s="70">
        <f t="shared" si="205"/>
        <v>0</v>
      </c>
      <c r="LS95" s="70">
        <f t="shared" si="206"/>
        <v>726461</v>
      </c>
      <c r="LT95" s="70">
        <f t="shared" si="207"/>
        <v>0</v>
      </c>
      <c r="LU95" s="70">
        <f t="shared" si="208"/>
        <v>940712</v>
      </c>
      <c r="LV95" s="70">
        <f t="shared" si="209"/>
        <v>0</v>
      </c>
      <c r="LW95" s="70">
        <f t="shared" si="210"/>
        <v>1019410</v>
      </c>
      <c r="LX95" s="70">
        <f t="shared" si="211"/>
        <v>0</v>
      </c>
      <c r="LY95" s="70">
        <f t="shared" si="212"/>
        <v>359917</v>
      </c>
      <c r="LZ95" s="70">
        <f t="shared" si="213"/>
        <v>0</v>
      </c>
      <c r="MA95" s="70">
        <f t="shared" si="214"/>
        <v>974387</v>
      </c>
      <c r="MB95" s="70">
        <f t="shared" si="215"/>
        <v>0</v>
      </c>
      <c r="MC95" s="70">
        <f t="shared" si="216"/>
        <v>94908</v>
      </c>
      <c r="MD95" s="70">
        <f t="shared" si="217"/>
        <v>0</v>
      </c>
      <c r="ME95" s="70">
        <f t="shared" si="218"/>
        <v>3164166</v>
      </c>
      <c r="MF95" s="70">
        <f t="shared" si="219"/>
        <v>0</v>
      </c>
      <c r="MG95" s="70">
        <f t="shared" si="220"/>
        <v>966594</v>
      </c>
      <c r="MH95" s="70">
        <f t="shared" si="221"/>
        <v>0</v>
      </c>
      <c r="MI95" s="70">
        <f t="shared" si="222"/>
        <v>410321</v>
      </c>
      <c r="MJ95" s="70">
        <f t="shared" si="223"/>
        <v>0</v>
      </c>
      <c r="MK95" s="70">
        <f t="shared" si="224"/>
        <v>1643466</v>
      </c>
      <c r="ML95" s="70">
        <f t="shared" si="225"/>
        <v>0</v>
      </c>
      <c r="MM95" s="70">
        <f t="shared" si="226"/>
        <v>30113764</v>
      </c>
      <c r="MN95" s="70">
        <f t="shared" si="227"/>
        <v>0</v>
      </c>
      <c r="MO95" s="70">
        <f t="shared" si="228"/>
        <v>0</v>
      </c>
      <c r="MP95" s="70">
        <f t="shared" si="229"/>
        <v>0</v>
      </c>
      <c r="MQ95" s="70">
        <f t="shared" si="230"/>
        <v>30113764</v>
      </c>
      <c r="MR95" s="70">
        <f t="shared" si="231"/>
        <v>0</v>
      </c>
      <c r="MT95" s="70">
        <f t="shared" si="232"/>
        <v>0</v>
      </c>
      <c r="MV95" s="68">
        <f t="shared" si="233"/>
        <v>0</v>
      </c>
    </row>
    <row r="96" spans="1:361" x14ac:dyDescent="0.15">
      <c r="A96" s="76" t="s">
        <v>312</v>
      </c>
      <c r="B96" s="76" t="s">
        <v>428</v>
      </c>
      <c r="C96" s="90">
        <v>240444</v>
      </c>
      <c r="D96" s="90">
        <v>2014</v>
      </c>
      <c r="E96" s="90">
        <v>1</v>
      </c>
      <c r="F96" s="91">
        <v>3</v>
      </c>
      <c r="G96" s="92">
        <v>13670</v>
      </c>
      <c r="H96" s="92">
        <v>14513</v>
      </c>
      <c r="I96" s="93">
        <v>2437424557</v>
      </c>
      <c r="J96" s="93">
        <v>2326806278</v>
      </c>
      <c r="K96" s="93">
        <v>12577792</v>
      </c>
      <c r="L96" s="93">
        <v>11734276</v>
      </c>
      <c r="M96" s="93">
        <v>79868534</v>
      </c>
      <c r="N96" s="93">
        <v>57048968</v>
      </c>
      <c r="O96" s="93">
        <v>117033186</v>
      </c>
      <c r="P96" s="93">
        <v>124779662</v>
      </c>
      <c r="Q96" s="93">
        <v>838843253</v>
      </c>
      <c r="R96" s="93">
        <v>874918828</v>
      </c>
      <c r="S96" s="93">
        <v>2262340051</v>
      </c>
      <c r="T96" s="93">
        <v>2000784266</v>
      </c>
      <c r="U96" s="93">
        <v>21888</v>
      </c>
      <c r="V96" s="93">
        <v>21526</v>
      </c>
      <c r="W96" s="93">
        <v>38138</v>
      </c>
      <c r="X96" s="93">
        <v>37776</v>
      </c>
      <c r="Y96" s="93">
        <v>26527</v>
      </c>
      <c r="Z96" s="93">
        <v>25966</v>
      </c>
      <c r="AA96" s="93">
        <v>43413</v>
      </c>
      <c r="AB96" s="93">
        <v>43196</v>
      </c>
      <c r="AC96" s="114">
        <v>12</v>
      </c>
      <c r="AD96" s="114">
        <v>12</v>
      </c>
      <c r="AE96" s="114">
        <v>0</v>
      </c>
      <c r="AF96" s="115">
        <v>5840378</v>
      </c>
      <c r="AG96" s="115">
        <v>5140477</v>
      </c>
      <c r="AH96" s="115">
        <v>631243</v>
      </c>
      <c r="AI96" s="115">
        <v>395514</v>
      </c>
      <c r="AJ96" s="115">
        <v>680553</v>
      </c>
      <c r="AK96" s="116">
        <v>9.5</v>
      </c>
      <c r="AL96" s="115">
        <v>646525</v>
      </c>
      <c r="AM96" s="116">
        <v>10</v>
      </c>
      <c r="AN96" s="115">
        <v>205280</v>
      </c>
      <c r="AO96" s="116">
        <v>9.5</v>
      </c>
      <c r="AP96" s="115">
        <v>195016</v>
      </c>
      <c r="AQ96" s="116">
        <v>10</v>
      </c>
      <c r="AR96" s="115">
        <v>211129</v>
      </c>
      <c r="AS96" s="116">
        <v>26.5</v>
      </c>
      <c r="AT96" s="115">
        <v>180481</v>
      </c>
      <c r="AU96" s="116">
        <v>31</v>
      </c>
      <c r="AV96" s="115">
        <v>89362</v>
      </c>
      <c r="AW96" s="116">
        <v>21.5</v>
      </c>
      <c r="AX96" s="115">
        <v>73896</v>
      </c>
      <c r="AY96" s="116">
        <v>26</v>
      </c>
      <c r="AZ96" s="139">
        <v>18660405</v>
      </c>
      <c r="BA96" s="139">
        <v>5806980</v>
      </c>
      <c r="BB96" s="139">
        <v>115720</v>
      </c>
      <c r="BC96" s="139">
        <v>2964591</v>
      </c>
      <c r="BD96" s="139">
        <v>8341</v>
      </c>
      <c r="BE96" s="139">
        <v>27556037</v>
      </c>
      <c r="BF96" s="139">
        <v>0</v>
      </c>
      <c r="BG96" s="139">
        <v>0</v>
      </c>
      <c r="BH96" s="139">
        <v>0</v>
      </c>
      <c r="BI96" s="139">
        <v>0</v>
      </c>
      <c r="BJ96" s="139">
        <v>0</v>
      </c>
      <c r="BK96" s="139">
        <v>0</v>
      </c>
      <c r="BL96" s="139">
        <v>300000</v>
      </c>
      <c r="BM96" s="139">
        <v>260000</v>
      </c>
      <c r="BN96" s="139">
        <v>0</v>
      </c>
      <c r="BO96" s="139">
        <v>2591</v>
      </c>
      <c r="BP96" s="139">
        <v>0</v>
      </c>
      <c r="BQ96" s="139">
        <v>562591</v>
      </c>
      <c r="BR96" s="139">
        <v>9087257</v>
      </c>
      <c r="BS96" s="139">
        <v>1546004</v>
      </c>
      <c r="BT96" s="139">
        <v>1000069</v>
      </c>
      <c r="BU96" s="139">
        <v>3426632</v>
      </c>
      <c r="BV96" s="139">
        <v>23396657</v>
      </c>
      <c r="BW96" s="139">
        <v>38456619</v>
      </c>
      <c r="BX96" s="139">
        <v>0</v>
      </c>
      <c r="BY96" s="139">
        <v>0</v>
      </c>
      <c r="BZ96" s="139">
        <v>0</v>
      </c>
      <c r="CA96" s="139">
        <v>0</v>
      </c>
      <c r="CB96" s="139">
        <v>0</v>
      </c>
      <c r="CC96" s="139">
        <v>0</v>
      </c>
      <c r="CD96" s="139">
        <v>0</v>
      </c>
      <c r="CE96" s="139">
        <v>0</v>
      </c>
      <c r="CF96" s="139">
        <v>0</v>
      </c>
      <c r="CG96" s="139">
        <v>0</v>
      </c>
      <c r="CH96" s="139">
        <v>0</v>
      </c>
      <c r="CI96" s="139">
        <v>0</v>
      </c>
      <c r="CJ96" s="139">
        <v>1518379</v>
      </c>
      <c r="CK96" s="139">
        <v>265347</v>
      </c>
      <c r="CL96" s="139">
        <v>333017</v>
      </c>
      <c r="CM96" s="139">
        <v>2924224</v>
      </c>
      <c r="CN96" s="139">
        <v>50393</v>
      </c>
      <c r="CO96" s="139">
        <v>5091360</v>
      </c>
      <c r="CP96" s="139">
        <v>0</v>
      </c>
      <c r="CQ96" s="139">
        <v>0</v>
      </c>
      <c r="CR96" s="139">
        <v>0</v>
      </c>
      <c r="CS96" s="139">
        <v>0</v>
      </c>
      <c r="CT96" s="139">
        <v>2982000</v>
      </c>
      <c r="CU96" s="139">
        <v>2982000</v>
      </c>
      <c r="CV96" s="139">
        <v>16264057</v>
      </c>
      <c r="CW96" s="139">
        <v>10793058</v>
      </c>
      <c r="CX96" s="139">
        <v>0</v>
      </c>
      <c r="CY96" s="139">
        <v>200396</v>
      </c>
      <c r="CZ96" s="139">
        <v>2248885</v>
      </c>
      <c r="DA96" s="139">
        <v>29506396</v>
      </c>
      <c r="DB96" s="139">
        <v>0</v>
      </c>
      <c r="DC96" s="139">
        <v>0</v>
      </c>
      <c r="DD96" s="139">
        <v>0</v>
      </c>
      <c r="DE96" s="139">
        <v>0</v>
      </c>
      <c r="DF96" s="139">
        <v>8773160</v>
      </c>
      <c r="DG96" s="139">
        <v>8773160</v>
      </c>
      <c r="DH96" s="139">
        <v>935562</v>
      </c>
      <c r="DI96" s="139">
        <v>370604</v>
      </c>
      <c r="DJ96" s="139">
        <v>38515</v>
      </c>
      <c r="DK96" s="139">
        <v>339098</v>
      </c>
      <c r="DL96" s="139">
        <v>4843142</v>
      </c>
      <c r="DM96" s="139">
        <v>6526921</v>
      </c>
      <c r="DN96" s="139">
        <v>354210</v>
      </c>
      <c r="DO96" s="139">
        <v>64288</v>
      </c>
      <c r="DP96" s="139">
        <v>43444</v>
      </c>
      <c r="DQ96" s="139">
        <v>657876</v>
      </c>
      <c r="DR96" s="139">
        <v>3496394</v>
      </c>
      <c r="DS96" s="139">
        <v>4616212</v>
      </c>
      <c r="DT96" s="139">
        <v>146437</v>
      </c>
      <c r="DU96" s="139">
        <v>259763</v>
      </c>
      <c r="DV96" s="139">
        <v>45557</v>
      </c>
      <c r="DW96" s="139">
        <v>1355272</v>
      </c>
      <c r="DX96" s="139">
        <v>2769</v>
      </c>
      <c r="DY96" s="139">
        <v>1809798</v>
      </c>
      <c r="DZ96" s="139">
        <v>0</v>
      </c>
      <c r="EA96" s="139">
        <v>0</v>
      </c>
      <c r="EB96" s="139">
        <v>0</v>
      </c>
      <c r="EC96" s="139">
        <v>0</v>
      </c>
      <c r="ED96" s="139">
        <v>322152</v>
      </c>
      <c r="EE96" s="139">
        <v>322152</v>
      </c>
      <c r="EF96" s="139">
        <v>18415</v>
      </c>
      <c r="EG96" s="139">
        <v>4816</v>
      </c>
      <c r="EH96" s="139">
        <v>1133</v>
      </c>
      <c r="EI96" s="139">
        <v>3661</v>
      </c>
      <c r="EJ96" s="139">
        <v>1679647</v>
      </c>
      <c r="EK96" s="139">
        <v>1707672</v>
      </c>
      <c r="EL96" s="139">
        <v>47284722</v>
      </c>
      <c r="EM96" s="139">
        <v>19370860</v>
      </c>
      <c r="EN96" s="139">
        <v>1577455</v>
      </c>
      <c r="EO96" s="139">
        <v>11874341</v>
      </c>
      <c r="EP96" s="139">
        <v>47803540</v>
      </c>
      <c r="EQ96" s="139">
        <v>127910918</v>
      </c>
      <c r="ER96" s="139">
        <v>2918290</v>
      </c>
      <c r="ES96" s="139">
        <v>474144</v>
      </c>
      <c r="ET96" s="139">
        <v>568744</v>
      </c>
      <c r="EU96" s="139">
        <v>7019677</v>
      </c>
      <c r="EV96" s="139">
        <v>70237</v>
      </c>
      <c r="EW96" s="139">
        <v>11051092</v>
      </c>
      <c r="EX96" s="139">
        <v>3208909</v>
      </c>
      <c r="EY96" s="139">
        <v>653569</v>
      </c>
      <c r="EZ96" s="139">
        <v>55000</v>
      </c>
      <c r="FA96" s="139">
        <v>71236</v>
      </c>
      <c r="FB96" s="139">
        <v>0</v>
      </c>
      <c r="FC96" s="139">
        <v>3988714</v>
      </c>
      <c r="FD96" s="139">
        <v>5750269</v>
      </c>
      <c r="FE96" s="139">
        <v>3392460</v>
      </c>
      <c r="FF96" s="139">
        <v>693187</v>
      </c>
      <c r="FG96" s="139">
        <v>6095702</v>
      </c>
      <c r="FH96" s="139">
        <v>0</v>
      </c>
      <c r="FI96" s="139">
        <v>15931618</v>
      </c>
      <c r="FJ96" s="139">
        <v>0</v>
      </c>
      <c r="FK96" s="139">
        <v>0</v>
      </c>
      <c r="FL96" s="139">
        <v>0</v>
      </c>
      <c r="FM96" s="139">
        <v>0</v>
      </c>
      <c r="FN96" s="139">
        <v>0</v>
      </c>
      <c r="FO96" s="139">
        <v>0</v>
      </c>
      <c r="FP96" s="139">
        <v>887095</v>
      </c>
      <c r="FQ96" s="139">
        <v>262452</v>
      </c>
      <c r="FR96" s="139">
        <v>220200</v>
      </c>
      <c r="FS96" s="139">
        <v>824143</v>
      </c>
      <c r="FT96" s="139">
        <v>21581910</v>
      </c>
      <c r="FU96" s="139">
        <v>23775800</v>
      </c>
      <c r="FV96" s="139">
        <v>0</v>
      </c>
      <c r="FW96" s="139">
        <v>0</v>
      </c>
      <c r="FX96" s="139">
        <v>0</v>
      </c>
      <c r="FY96" s="139">
        <v>0</v>
      </c>
      <c r="FZ96" s="139">
        <v>0</v>
      </c>
      <c r="GA96" s="139">
        <v>0</v>
      </c>
      <c r="GB96" s="139">
        <v>0</v>
      </c>
      <c r="GC96" s="139">
        <v>0</v>
      </c>
      <c r="GD96" s="139">
        <v>0</v>
      </c>
      <c r="GE96" s="139">
        <v>0</v>
      </c>
      <c r="GF96" s="139">
        <v>0</v>
      </c>
      <c r="GG96" s="139">
        <v>0</v>
      </c>
      <c r="GH96" s="139">
        <v>311013</v>
      </c>
      <c r="GI96" s="139">
        <v>62082</v>
      </c>
      <c r="GJ96" s="139">
        <v>92830</v>
      </c>
      <c r="GK96" s="139">
        <v>560832</v>
      </c>
      <c r="GL96" s="139">
        <v>0</v>
      </c>
      <c r="GM96" s="139">
        <v>1026757</v>
      </c>
      <c r="GN96" s="139">
        <v>2865530</v>
      </c>
      <c r="GO96" s="139">
        <v>1297860</v>
      </c>
      <c r="GP96" s="139">
        <v>519920</v>
      </c>
      <c r="GQ96" s="139">
        <v>4418829</v>
      </c>
      <c r="GR96" s="139">
        <v>622665</v>
      </c>
      <c r="GS96" s="139">
        <v>9724804</v>
      </c>
      <c r="GT96" s="139">
        <v>576786</v>
      </c>
      <c r="GU96" s="139">
        <v>75798</v>
      </c>
      <c r="GV96" s="139">
        <v>47108</v>
      </c>
      <c r="GW96" s="139">
        <v>1110030</v>
      </c>
      <c r="GX96" s="139">
        <v>267655</v>
      </c>
      <c r="GY96" s="139">
        <v>2077377</v>
      </c>
      <c r="GZ96" s="139">
        <v>944687</v>
      </c>
      <c r="HA96" s="139">
        <v>280258</v>
      </c>
      <c r="HB96" s="139">
        <v>178440</v>
      </c>
      <c r="HC96" s="139">
        <v>392016</v>
      </c>
      <c r="HD96" s="139">
        <v>1873151</v>
      </c>
      <c r="HE96" s="139">
        <v>3668552</v>
      </c>
      <c r="HF96" s="139">
        <v>0</v>
      </c>
      <c r="HG96" s="139">
        <v>0</v>
      </c>
      <c r="HH96" s="139">
        <v>0</v>
      </c>
      <c r="HI96" s="139">
        <v>0</v>
      </c>
      <c r="HJ96" s="139">
        <v>2907841</v>
      </c>
      <c r="HK96" s="139">
        <v>2907841</v>
      </c>
      <c r="HL96" s="139">
        <v>64464</v>
      </c>
      <c r="HM96" s="139">
        <v>129444</v>
      </c>
      <c r="HN96" s="139">
        <v>15180</v>
      </c>
      <c r="HO96" s="139">
        <v>500872</v>
      </c>
      <c r="HP96" s="139">
        <v>857</v>
      </c>
      <c r="HQ96" s="139">
        <v>710817</v>
      </c>
      <c r="HR96" s="139">
        <v>12743623</v>
      </c>
      <c r="HS96" s="139">
        <v>829276</v>
      </c>
      <c r="HT96" s="139">
        <v>763106</v>
      </c>
      <c r="HU96" s="139">
        <v>8042767</v>
      </c>
      <c r="HV96" s="139">
        <v>15789832</v>
      </c>
      <c r="HW96" s="139">
        <v>38168604</v>
      </c>
      <c r="HX96" s="139">
        <v>0</v>
      </c>
      <c r="HY96" s="139">
        <v>0</v>
      </c>
      <c r="HZ96" s="139">
        <v>0</v>
      </c>
      <c r="IA96" s="139">
        <v>0</v>
      </c>
      <c r="IB96" s="139">
        <v>723049</v>
      </c>
      <c r="IC96" s="139">
        <v>723049</v>
      </c>
      <c r="ID96" s="139">
        <v>0</v>
      </c>
      <c r="IE96" s="139">
        <v>0</v>
      </c>
      <c r="IF96" s="139">
        <v>0</v>
      </c>
      <c r="IG96" s="139">
        <v>0</v>
      </c>
      <c r="IH96" s="139">
        <v>2982000</v>
      </c>
      <c r="II96" s="139">
        <v>2982000</v>
      </c>
      <c r="IJ96" s="139">
        <v>340988</v>
      </c>
      <c r="IK96" s="139">
        <v>48307</v>
      </c>
      <c r="IL96" s="139">
        <v>42624</v>
      </c>
      <c r="IM96" s="139">
        <v>2412494</v>
      </c>
      <c r="IN96" s="139">
        <v>0</v>
      </c>
      <c r="IO96" s="139">
        <v>2844413</v>
      </c>
      <c r="IP96" s="139">
        <v>1900</v>
      </c>
      <c r="IQ96" s="139">
        <v>985</v>
      </c>
      <c r="IR96" s="139">
        <v>885</v>
      </c>
      <c r="IS96" s="139">
        <v>9834</v>
      </c>
      <c r="IT96" s="139">
        <v>0</v>
      </c>
      <c r="IU96" s="139">
        <v>13604</v>
      </c>
      <c r="IV96" s="139">
        <v>669376</v>
      </c>
      <c r="IW96" s="139">
        <v>89572</v>
      </c>
      <c r="IX96" s="139">
        <v>78548</v>
      </c>
      <c r="IY96" s="139">
        <v>742591</v>
      </c>
      <c r="IZ96" s="139">
        <v>3921106</v>
      </c>
      <c r="JA96" s="139">
        <v>5501193</v>
      </c>
      <c r="JB96" s="139">
        <v>31282930</v>
      </c>
      <c r="JC96" s="139">
        <v>7596207</v>
      </c>
      <c r="JD96" s="139">
        <v>3275772</v>
      </c>
      <c r="JE96" s="139">
        <v>32201023</v>
      </c>
      <c r="JF96" s="139">
        <v>50740303</v>
      </c>
      <c r="JG96" s="139">
        <v>125096235</v>
      </c>
      <c r="JH96" s="139">
        <v>0</v>
      </c>
      <c r="JI96" s="139">
        <v>0</v>
      </c>
      <c r="JJ96" s="139">
        <v>0</v>
      </c>
      <c r="JK96" s="139">
        <v>0</v>
      </c>
      <c r="JL96" s="139">
        <v>0</v>
      </c>
      <c r="JM96" s="139">
        <v>0</v>
      </c>
      <c r="JN96" s="139">
        <v>31282930</v>
      </c>
      <c r="JO96" s="139">
        <v>7596207</v>
      </c>
      <c r="JP96" s="139">
        <v>3275772</v>
      </c>
      <c r="JQ96" s="139">
        <v>32201023</v>
      </c>
      <c r="JR96" s="139">
        <v>50740303</v>
      </c>
      <c r="JS96" s="139">
        <v>125096235</v>
      </c>
      <c r="JU96" s="70">
        <f t="shared" si="158"/>
        <v>27556037</v>
      </c>
      <c r="JV96" s="70">
        <f t="shared" si="159"/>
        <v>0</v>
      </c>
      <c r="JW96" s="70">
        <f t="shared" si="160"/>
        <v>0</v>
      </c>
      <c r="JX96" s="70">
        <f t="shared" si="161"/>
        <v>0</v>
      </c>
      <c r="JY96" s="70">
        <f t="shared" si="162"/>
        <v>562591</v>
      </c>
      <c r="JZ96" s="70">
        <f t="shared" si="163"/>
        <v>0</v>
      </c>
      <c r="KA96" s="70">
        <f t="shared" si="164"/>
        <v>38456619</v>
      </c>
      <c r="KB96" s="70">
        <f t="shared" si="165"/>
        <v>0</v>
      </c>
      <c r="KC96" s="70">
        <f t="shared" si="166"/>
        <v>0</v>
      </c>
      <c r="KD96" s="70">
        <f t="shared" si="167"/>
        <v>0</v>
      </c>
      <c r="KE96" s="70">
        <f t="shared" si="168"/>
        <v>0</v>
      </c>
      <c r="KF96" s="70">
        <f t="shared" si="169"/>
        <v>0</v>
      </c>
      <c r="KG96" s="70">
        <f t="shared" si="170"/>
        <v>5091360</v>
      </c>
      <c r="KH96" s="70">
        <f t="shared" si="171"/>
        <v>0</v>
      </c>
      <c r="KI96" s="70">
        <f t="shared" si="172"/>
        <v>2982000</v>
      </c>
      <c r="KJ96" s="70">
        <f t="shared" si="173"/>
        <v>0</v>
      </c>
      <c r="KK96" s="70">
        <f t="shared" si="174"/>
        <v>29506396</v>
      </c>
      <c r="KL96" s="70">
        <f t="shared" si="175"/>
        <v>0</v>
      </c>
      <c r="KM96" s="70">
        <f t="shared" si="176"/>
        <v>8773160</v>
      </c>
      <c r="KN96" s="70">
        <f t="shared" si="177"/>
        <v>0</v>
      </c>
      <c r="KO96" s="70">
        <f t="shared" si="178"/>
        <v>6526921</v>
      </c>
      <c r="KP96" s="70">
        <f t="shared" si="179"/>
        <v>0</v>
      </c>
      <c r="KQ96" s="70">
        <f t="shared" si="180"/>
        <v>4616212</v>
      </c>
      <c r="KR96" s="70">
        <f t="shared" si="181"/>
        <v>0</v>
      </c>
      <c r="KS96" s="70">
        <f t="shared" si="182"/>
        <v>1809798</v>
      </c>
      <c r="KT96" s="70">
        <f t="shared" si="183"/>
        <v>0</v>
      </c>
      <c r="KU96" s="70">
        <f t="shared" si="184"/>
        <v>322152</v>
      </c>
      <c r="KV96" s="70">
        <f t="shared" si="185"/>
        <v>0</v>
      </c>
      <c r="KW96" s="70">
        <f t="shared" si="186"/>
        <v>1707672</v>
      </c>
      <c r="KX96" s="70">
        <f t="shared" si="187"/>
        <v>0</v>
      </c>
      <c r="KY96" s="70">
        <f t="shared" si="188"/>
        <v>127910918</v>
      </c>
      <c r="KZ96" s="70">
        <f t="shared" si="189"/>
        <v>0</v>
      </c>
      <c r="LA96" s="70">
        <f t="shared" si="190"/>
        <v>11051092</v>
      </c>
      <c r="LB96" s="70">
        <f t="shared" si="191"/>
        <v>0</v>
      </c>
      <c r="LC96" s="70">
        <f t="shared" si="192"/>
        <v>3988714</v>
      </c>
      <c r="LD96" s="70">
        <f t="shared" si="193"/>
        <v>0</v>
      </c>
      <c r="LE96" s="70">
        <f t="shared" si="194"/>
        <v>15931618</v>
      </c>
      <c r="LF96" s="70">
        <f t="shared" si="195"/>
        <v>0</v>
      </c>
      <c r="LG96" s="70">
        <f t="shared" si="234"/>
        <v>0</v>
      </c>
      <c r="LH96" s="70">
        <f t="shared" si="235"/>
        <v>0</v>
      </c>
      <c r="LI96" s="70">
        <f t="shared" si="196"/>
        <v>23775800</v>
      </c>
      <c r="LJ96" s="70">
        <f t="shared" si="197"/>
        <v>0</v>
      </c>
      <c r="LK96" s="70">
        <f t="shared" si="198"/>
        <v>0</v>
      </c>
      <c r="LL96" s="70">
        <f t="shared" si="199"/>
        <v>0</v>
      </c>
      <c r="LM96" s="70">
        <f t="shared" si="200"/>
        <v>0</v>
      </c>
      <c r="LN96" s="70">
        <f t="shared" si="201"/>
        <v>0</v>
      </c>
      <c r="LO96" s="70">
        <f t="shared" si="202"/>
        <v>1026757</v>
      </c>
      <c r="LP96" s="70">
        <f t="shared" si="203"/>
        <v>0</v>
      </c>
      <c r="LQ96" s="70">
        <f t="shared" si="204"/>
        <v>9724804</v>
      </c>
      <c r="LR96" s="70">
        <f t="shared" si="205"/>
        <v>0</v>
      </c>
      <c r="LS96" s="70">
        <f t="shared" si="206"/>
        <v>2077377</v>
      </c>
      <c r="LT96" s="70">
        <f t="shared" si="207"/>
        <v>0</v>
      </c>
      <c r="LU96" s="70">
        <f t="shared" si="208"/>
        <v>3668552</v>
      </c>
      <c r="LV96" s="70">
        <f t="shared" si="209"/>
        <v>0</v>
      </c>
      <c r="LW96" s="70">
        <f t="shared" si="210"/>
        <v>2907841</v>
      </c>
      <c r="LX96" s="70">
        <f t="shared" si="211"/>
        <v>0</v>
      </c>
      <c r="LY96" s="70">
        <f t="shared" si="212"/>
        <v>710817</v>
      </c>
      <c r="LZ96" s="70">
        <f t="shared" si="213"/>
        <v>0</v>
      </c>
      <c r="MA96" s="70">
        <f t="shared" si="214"/>
        <v>38168604</v>
      </c>
      <c r="MB96" s="70">
        <f t="shared" si="215"/>
        <v>0</v>
      </c>
      <c r="MC96" s="70">
        <f t="shared" si="216"/>
        <v>723049</v>
      </c>
      <c r="MD96" s="70">
        <f t="shared" si="217"/>
        <v>0</v>
      </c>
      <c r="ME96" s="70">
        <f t="shared" si="218"/>
        <v>2982000</v>
      </c>
      <c r="MF96" s="70">
        <f t="shared" si="219"/>
        <v>0</v>
      </c>
      <c r="MG96" s="70">
        <f t="shared" si="220"/>
        <v>2844413</v>
      </c>
      <c r="MH96" s="70">
        <f t="shared" si="221"/>
        <v>0</v>
      </c>
      <c r="MI96" s="70">
        <f t="shared" si="222"/>
        <v>13604</v>
      </c>
      <c r="MJ96" s="70">
        <f t="shared" si="223"/>
        <v>0</v>
      </c>
      <c r="MK96" s="70">
        <f t="shared" si="224"/>
        <v>5501193</v>
      </c>
      <c r="ML96" s="70">
        <f t="shared" si="225"/>
        <v>0</v>
      </c>
      <c r="MM96" s="70">
        <f t="shared" si="226"/>
        <v>125096235</v>
      </c>
      <c r="MN96" s="70">
        <f t="shared" si="227"/>
        <v>0</v>
      </c>
      <c r="MO96" s="70">
        <f t="shared" si="228"/>
        <v>0</v>
      </c>
      <c r="MP96" s="70">
        <f t="shared" si="229"/>
        <v>0</v>
      </c>
      <c r="MQ96" s="70">
        <f t="shared" si="230"/>
        <v>125096235</v>
      </c>
      <c r="MR96" s="70">
        <f t="shared" si="231"/>
        <v>0</v>
      </c>
      <c r="MT96" s="70">
        <f t="shared" si="232"/>
        <v>0</v>
      </c>
      <c r="MV96" s="68">
        <f t="shared" ref="MV96" si="236">IF(MT96=0,0,1)</f>
        <v>0</v>
      </c>
    </row>
    <row r="97" spans="1:361" x14ac:dyDescent="0.15">
      <c r="A97" s="182" t="s">
        <v>314</v>
      </c>
      <c r="B97" s="76" t="s">
        <v>428</v>
      </c>
      <c r="C97" s="90">
        <v>240727</v>
      </c>
      <c r="D97" s="90">
        <v>2014</v>
      </c>
      <c r="E97" s="90">
        <v>1</v>
      </c>
      <c r="F97" s="91">
        <v>10</v>
      </c>
      <c r="G97" s="92">
        <v>4087</v>
      </c>
      <c r="H97" s="92">
        <v>3782</v>
      </c>
      <c r="I97" s="93">
        <v>520862297</v>
      </c>
      <c r="J97" s="93">
        <v>506360087</v>
      </c>
      <c r="K97" s="93">
        <v>11066</v>
      </c>
      <c r="L97" s="93">
        <v>11066</v>
      </c>
      <c r="M97" s="93">
        <v>5046386</v>
      </c>
      <c r="N97" s="93">
        <v>14899589</v>
      </c>
      <c r="O97" s="93">
        <v>11715</v>
      </c>
      <c r="P97" s="93">
        <v>11715</v>
      </c>
      <c r="Q97" s="93">
        <v>112259043</v>
      </c>
      <c r="R97" s="93">
        <v>117305430</v>
      </c>
      <c r="S97" s="93">
        <v>461362016</v>
      </c>
      <c r="T97" s="93">
        <v>451176874</v>
      </c>
      <c r="U97" s="93">
        <v>15055</v>
      </c>
      <c r="V97" s="93">
        <v>14562</v>
      </c>
      <c r="W97" s="93">
        <v>24775</v>
      </c>
      <c r="X97" s="93">
        <v>23772</v>
      </c>
      <c r="Y97" s="93">
        <v>18145</v>
      </c>
      <c r="Z97" s="93">
        <v>17652</v>
      </c>
      <c r="AA97" s="93">
        <v>27865</v>
      </c>
      <c r="AB97" s="93">
        <v>26862</v>
      </c>
      <c r="AC97" s="114">
        <v>8</v>
      </c>
      <c r="AD97" s="114">
        <v>9</v>
      </c>
      <c r="AE97" s="114">
        <v>0</v>
      </c>
      <c r="AF97" s="115">
        <v>2909971</v>
      </c>
      <c r="AG97" s="115">
        <v>1487540</v>
      </c>
      <c r="AH97" s="115">
        <v>393253</v>
      </c>
      <c r="AI97" s="115">
        <v>196679</v>
      </c>
      <c r="AJ97" s="115">
        <v>440014</v>
      </c>
      <c r="AK97" s="116">
        <v>5</v>
      </c>
      <c r="AL97" s="115">
        <v>366678</v>
      </c>
      <c r="AM97" s="116">
        <v>6</v>
      </c>
      <c r="AN97" s="115">
        <v>150188</v>
      </c>
      <c r="AO97" s="116">
        <v>6</v>
      </c>
      <c r="AP97" s="115">
        <v>128733</v>
      </c>
      <c r="AQ97" s="116">
        <v>7</v>
      </c>
      <c r="AR97" s="115">
        <v>141255</v>
      </c>
      <c r="AS97" s="116">
        <v>17.5</v>
      </c>
      <c r="AT97" s="115">
        <v>117712</v>
      </c>
      <c r="AU97" s="116">
        <v>21</v>
      </c>
      <c r="AV97" s="115">
        <v>75768</v>
      </c>
      <c r="AW97" s="116">
        <v>11.5</v>
      </c>
      <c r="AX97" s="115">
        <v>58089</v>
      </c>
      <c r="AY97" s="116">
        <v>15</v>
      </c>
      <c r="AZ97" s="139">
        <v>2372939</v>
      </c>
      <c r="BA97" s="139">
        <v>700475</v>
      </c>
      <c r="BB97" s="139">
        <v>308783</v>
      </c>
      <c r="BC97" s="139">
        <v>58379</v>
      </c>
      <c r="BD97" s="139">
        <v>318437</v>
      </c>
      <c r="BE97" s="139">
        <v>3759013</v>
      </c>
      <c r="BF97" s="139">
        <v>2372939</v>
      </c>
      <c r="BG97" s="139">
        <v>700475</v>
      </c>
      <c r="BH97" s="139">
        <v>308783</v>
      </c>
      <c r="BI97" s="139">
        <v>58379</v>
      </c>
      <c r="BJ97" s="139">
        <v>318437</v>
      </c>
      <c r="BK97" s="139">
        <v>3759013</v>
      </c>
      <c r="BL97" s="139">
        <v>850000</v>
      </c>
      <c r="BM97" s="139">
        <v>96000</v>
      </c>
      <c r="BN97" s="139">
        <v>0</v>
      </c>
      <c r="BO97" s="139">
        <v>0</v>
      </c>
      <c r="BP97" s="139">
        <v>0</v>
      </c>
      <c r="BQ97" s="139">
        <v>946000</v>
      </c>
      <c r="BR97" s="139">
        <v>6084</v>
      </c>
      <c r="BS97" s="139">
        <v>35</v>
      </c>
      <c r="BT97" s="139">
        <v>2283</v>
      </c>
      <c r="BU97" s="139">
        <v>165532</v>
      </c>
      <c r="BV97" s="139">
        <v>4570105</v>
      </c>
      <c r="BW97" s="139">
        <v>4744039</v>
      </c>
      <c r="BX97" s="139">
        <v>6084</v>
      </c>
      <c r="BY97" s="139">
        <v>35</v>
      </c>
      <c r="BZ97" s="139">
        <v>2283</v>
      </c>
      <c r="CA97" s="139">
        <v>165532</v>
      </c>
      <c r="CB97" s="139">
        <v>4570105</v>
      </c>
      <c r="CC97" s="139">
        <v>4744039</v>
      </c>
      <c r="CD97" s="139">
        <v>0</v>
      </c>
      <c r="CE97" s="139">
        <v>0</v>
      </c>
      <c r="CF97" s="139">
        <v>0</v>
      </c>
      <c r="CG97" s="139">
        <v>0</v>
      </c>
      <c r="CH97" s="139">
        <v>0</v>
      </c>
      <c r="CI97" s="139">
        <v>0</v>
      </c>
      <c r="CJ97" s="139">
        <v>3304315</v>
      </c>
      <c r="CK97" s="139">
        <v>968366</v>
      </c>
      <c r="CL97" s="139">
        <v>674128</v>
      </c>
      <c r="CM97" s="139">
        <v>2848506</v>
      </c>
      <c r="CN97" s="139">
        <v>5722097</v>
      </c>
      <c r="CO97" s="139">
        <v>13517412</v>
      </c>
      <c r="CP97" s="139">
        <v>0</v>
      </c>
      <c r="CQ97" s="139">
        <v>0</v>
      </c>
      <c r="CR97" s="139">
        <v>0</v>
      </c>
      <c r="CS97" s="139">
        <v>0</v>
      </c>
      <c r="CT97" s="139">
        <v>743208</v>
      </c>
      <c r="CU97" s="139">
        <v>743208</v>
      </c>
      <c r="CV97" s="139">
        <v>1869250</v>
      </c>
      <c r="CW97" s="139">
        <v>999003</v>
      </c>
      <c r="CX97" s="139">
        <v>0</v>
      </c>
      <c r="CY97" s="139">
        <v>0</v>
      </c>
      <c r="CZ97" s="139">
        <v>1023533</v>
      </c>
      <c r="DA97" s="139">
        <v>3891786</v>
      </c>
      <c r="DB97" s="139">
        <v>0</v>
      </c>
      <c r="DC97" s="139">
        <v>0</v>
      </c>
      <c r="DD97" s="139">
        <v>0</v>
      </c>
      <c r="DE97" s="139">
        <v>0</v>
      </c>
      <c r="DF97" s="139">
        <v>0</v>
      </c>
      <c r="DG97" s="139">
        <v>0</v>
      </c>
      <c r="DH97" s="139">
        <v>197257</v>
      </c>
      <c r="DI97" s="139">
        <v>61612</v>
      </c>
      <c r="DJ97" s="139">
        <v>25204</v>
      </c>
      <c r="DK97" s="139">
        <v>5938</v>
      </c>
      <c r="DL97" s="139">
        <v>158050</v>
      </c>
      <c r="DM97" s="139">
        <v>448061</v>
      </c>
      <c r="DN97" s="139">
        <v>0</v>
      </c>
      <c r="DO97" s="139">
        <v>0</v>
      </c>
      <c r="DP97" s="139">
        <v>0</v>
      </c>
      <c r="DQ97" s="139">
        <v>0</v>
      </c>
      <c r="DR97" s="139">
        <v>1309235</v>
      </c>
      <c r="DS97" s="139">
        <v>1309235</v>
      </c>
      <c r="DT97" s="139">
        <v>0</v>
      </c>
      <c r="DU97" s="139">
        <v>0</v>
      </c>
      <c r="DV97" s="139">
        <v>0</v>
      </c>
      <c r="DW97" s="139">
        <v>0</v>
      </c>
      <c r="DX97" s="139">
        <v>0</v>
      </c>
      <c r="DY97" s="139">
        <v>0</v>
      </c>
      <c r="DZ97" s="139">
        <v>26995</v>
      </c>
      <c r="EA97" s="139">
        <v>1720</v>
      </c>
      <c r="EB97" s="139">
        <v>30165</v>
      </c>
      <c r="EC97" s="139">
        <v>99794</v>
      </c>
      <c r="ED97" s="139">
        <v>0</v>
      </c>
      <c r="EE97" s="139">
        <v>158674</v>
      </c>
      <c r="EF97" s="139">
        <v>327211</v>
      </c>
      <c r="EG97" s="139">
        <v>7210</v>
      </c>
      <c r="EH97" s="139">
        <v>0</v>
      </c>
      <c r="EI97" s="139">
        <v>169776</v>
      </c>
      <c r="EJ97" s="139">
        <v>73877</v>
      </c>
      <c r="EK97" s="139">
        <v>578074</v>
      </c>
      <c r="EL97" s="139">
        <v>9091312</v>
      </c>
      <c r="EM97" s="139">
        <v>2852421</v>
      </c>
      <c r="EN97" s="139">
        <v>1079363</v>
      </c>
      <c r="EO97" s="139">
        <v>3460567</v>
      </c>
      <c r="EP97" s="139">
        <v>15852704</v>
      </c>
      <c r="EQ97" s="139">
        <v>32336367</v>
      </c>
      <c r="ER97" s="139">
        <v>1827030</v>
      </c>
      <c r="ES97" s="139">
        <v>345410</v>
      </c>
      <c r="ET97" s="139">
        <v>256484</v>
      </c>
      <c r="EU97" s="139">
        <v>1968587</v>
      </c>
      <c r="EV97" s="139">
        <v>875042</v>
      </c>
      <c r="EW97" s="139">
        <v>5272553</v>
      </c>
      <c r="EX97" s="139">
        <v>425000</v>
      </c>
      <c r="EY97" s="139">
        <v>361500</v>
      </c>
      <c r="EZ97" s="139">
        <v>11118</v>
      </c>
      <c r="FA97" s="139">
        <v>19267</v>
      </c>
      <c r="FB97" s="139">
        <v>0</v>
      </c>
      <c r="FC97" s="139">
        <v>816885</v>
      </c>
      <c r="FD97" s="139">
        <v>2815860</v>
      </c>
      <c r="FE97" s="139">
        <v>1233921</v>
      </c>
      <c r="FF97" s="139">
        <v>652194</v>
      </c>
      <c r="FG97" s="139">
        <v>1742517</v>
      </c>
      <c r="FH97" s="139">
        <v>0</v>
      </c>
      <c r="FI97" s="139">
        <v>6444492</v>
      </c>
      <c r="FJ97" s="139">
        <v>134261</v>
      </c>
      <c r="FK97" s="139">
        <v>14000</v>
      </c>
      <c r="FL97" s="139">
        <v>36700</v>
      </c>
      <c r="FM97" s="139">
        <v>111742</v>
      </c>
      <c r="FN97" s="139">
        <v>0</v>
      </c>
      <c r="FO97" s="139">
        <v>296703</v>
      </c>
      <c r="FP97" s="139">
        <v>184061</v>
      </c>
      <c r="FQ97" s="139">
        <v>104621</v>
      </c>
      <c r="FR97" s="139">
        <v>75708</v>
      </c>
      <c r="FS97" s="139">
        <v>164704</v>
      </c>
      <c r="FT97" s="139">
        <v>6540411</v>
      </c>
      <c r="FU97" s="139">
        <v>7069505</v>
      </c>
      <c r="FV97" s="139">
        <v>4723</v>
      </c>
      <c r="FW97" s="139">
        <v>4000</v>
      </c>
      <c r="FX97" s="139">
        <v>2100</v>
      </c>
      <c r="FY97" s="139">
        <v>900</v>
      </c>
      <c r="FZ97" s="139">
        <v>95596</v>
      </c>
      <c r="GA97" s="139">
        <v>107319</v>
      </c>
      <c r="GB97" s="139">
        <v>585138</v>
      </c>
      <c r="GC97" s="139">
        <v>133340</v>
      </c>
      <c r="GD97" s="139">
        <v>0</v>
      </c>
      <c r="GE97" s="139">
        <v>94308</v>
      </c>
      <c r="GF97" s="139">
        <v>0</v>
      </c>
      <c r="GG97" s="139">
        <v>812786</v>
      </c>
      <c r="GH97" s="139">
        <v>264789</v>
      </c>
      <c r="GI97" s="139">
        <v>100153</v>
      </c>
      <c r="GJ97" s="139">
        <v>99738</v>
      </c>
      <c r="GK97" s="139">
        <v>125252</v>
      </c>
      <c r="GL97" s="139">
        <v>30613</v>
      </c>
      <c r="GM97" s="139">
        <v>620545</v>
      </c>
      <c r="GN97" s="139">
        <v>634020</v>
      </c>
      <c r="GO97" s="139">
        <v>417859</v>
      </c>
      <c r="GP97" s="139">
        <v>341438</v>
      </c>
      <c r="GQ97" s="139">
        <v>933279</v>
      </c>
      <c r="GR97" s="139">
        <v>30096</v>
      </c>
      <c r="GS97" s="139">
        <v>2356692</v>
      </c>
      <c r="GT97" s="139">
        <v>258283</v>
      </c>
      <c r="GU97" s="139">
        <v>26445</v>
      </c>
      <c r="GV97" s="139">
        <v>15043</v>
      </c>
      <c r="GW97" s="139">
        <v>259610</v>
      </c>
      <c r="GX97" s="139">
        <v>224763</v>
      </c>
      <c r="GY97" s="139">
        <v>784144</v>
      </c>
      <c r="GZ97" s="139">
        <v>289693</v>
      </c>
      <c r="HA97" s="139">
        <v>149722</v>
      </c>
      <c r="HB97" s="139">
        <v>91797</v>
      </c>
      <c r="HC97" s="139">
        <v>74530</v>
      </c>
      <c r="HD97" s="139">
        <v>458294</v>
      </c>
      <c r="HE97" s="139">
        <v>1064036</v>
      </c>
      <c r="HF97" s="139">
        <v>0</v>
      </c>
      <c r="HG97" s="139">
        <v>0</v>
      </c>
      <c r="HH97" s="139">
        <v>0</v>
      </c>
      <c r="HI97" s="139">
        <v>0</v>
      </c>
      <c r="HJ97" s="139">
        <v>876472</v>
      </c>
      <c r="HK97" s="139">
        <v>876472</v>
      </c>
      <c r="HL97" s="139">
        <v>0</v>
      </c>
      <c r="HM97" s="139">
        <v>0</v>
      </c>
      <c r="HN97" s="139">
        <v>0</v>
      </c>
      <c r="HO97" s="139">
        <v>0</v>
      </c>
      <c r="HP97" s="139">
        <v>0</v>
      </c>
      <c r="HQ97" s="139">
        <v>0</v>
      </c>
      <c r="HR97" s="139">
        <v>0</v>
      </c>
      <c r="HS97" s="139">
        <v>0</v>
      </c>
      <c r="HT97" s="139">
        <v>0</v>
      </c>
      <c r="HU97" s="139">
        <v>0</v>
      </c>
      <c r="HV97" s="139">
        <v>2726123</v>
      </c>
      <c r="HW97" s="139">
        <v>2726123</v>
      </c>
      <c r="HX97" s="139">
        <v>0</v>
      </c>
      <c r="HY97" s="139">
        <v>0</v>
      </c>
      <c r="HZ97" s="139">
        <v>0</v>
      </c>
      <c r="IA97" s="139">
        <v>0</v>
      </c>
      <c r="IB97" s="139">
        <v>44200</v>
      </c>
      <c r="IC97" s="139">
        <v>44200</v>
      </c>
      <c r="ID97" s="139">
        <v>0</v>
      </c>
      <c r="IE97" s="139">
        <v>0</v>
      </c>
      <c r="IF97" s="139">
        <v>0</v>
      </c>
      <c r="IG97" s="139">
        <v>0</v>
      </c>
      <c r="IH97" s="139">
        <v>743208</v>
      </c>
      <c r="II97" s="139">
        <v>743208</v>
      </c>
      <c r="IJ97" s="139">
        <v>0</v>
      </c>
      <c r="IK97" s="139">
        <v>0</v>
      </c>
      <c r="IL97" s="139">
        <v>0</v>
      </c>
      <c r="IM97" s="139">
        <v>0</v>
      </c>
      <c r="IN97" s="139">
        <v>628769</v>
      </c>
      <c r="IO97" s="139">
        <v>628769</v>
      </c>
      <c r="IP97" s="139">
        <v>2130</v>
      </c>
      <c r="IQ97" s="139">
        <v>6490</v>
      </c>
      <c r="IR97" s="139">
        <v>1365</v>
      </c>
      <c r="IS97" s="139">
        <v>10330</v>
      </c>
      <c r="IT97" s="139">
        <v>478954</v>
      </c>
      <c r="IU97" s="139">
        <v>499269</v>
      </c>
      <c r="IV97" s="139">
        <v>88406</v>
      </c>
      <c r="IW97" s="139">
        <v>19645</v>
      </c>
      <c r="IX97" s="139">
        <v>10523</v>
      </c>
      <c r="IY97" s="139">
        <v>48703</v>
      </c>
      <c r="IZ97" s="139">
        <v>1635995</v>
      </c>
      <c r="JA97" s="139">
        <v>1803272</v>
      </c>
      <c r="JB97" s="139">
        <v>7513394</v>
      </c>
      <c r="JC97" s="139">
        <v>2917106</v>
      </c>
      <c r="JD97" s="139">
        <v>1594208</v>
      </c>
      <c r="JE97" s="139">
        <v>5553729</v>
      </c>
      <c r="JF97" s="139">
        <v>15388536</v>
      </c>
      <c r="JG97" s="139">
        <v>32966973</v>
      </c>
      <c r="JH97" s="139">
        <v>0</v>
      </c>
      <c r="JI97" s="139">
        <v>0</v>
      </c>
      <c r="JJ97" s="139">
        <v>0</v>
      </c>
      <c r="JK97" s="139">
        <v>0</v>
      </c>
      <c r="JL97" s="139">
        <v>0</v>
      </c>
      <c r="JM97" s="139">
        <v>0</v>
      </c>
      <c r="JN97" s="139">
        <v>7513394</v>
      </c>
      <c r="JO97" s="139">
        <v>2917106</v>
      </c>
      <c r="JP97" s="139">
        <v>1594208</v>
      </c>
      <c r="JQ97" s="139">
        <v>5553729</v>
      </c>
      <c r="JR97" s="139">
        <v>15388536</v>
      </c>
      <c r="JS97" s="139">
        <v>32966973</v>
      </c>
      <c r="JU97" s="70">
        <f t="shared" si="158"/>
        <v>3759013</v>
      </c>
      <c r="JV97" s="70">
        <f t="shared" ref="JV97" si="237">BE97-JU97</f>
        <v>0</v>
      </c>
      <c r="JW97" s="70">
        <f t="shared" si="160"/>
        <v>3759013</v>
      </c>
      <c r="JX97" s="70">
        <f t="shared" ref="JX97" si="238">BK97-JW97</f>
        <v>0</v>
      </c>
      <c r="JY97" s="70">
        <f t="shared" si="162"/>
        <v>946000</v>
      </c>
      <c r="JZ97" s="70">
        <f t="shared" ref="JZ97" si="239">BQ97-JY97</f>
        <v>0</v>
      </c>
      <c r="KA97" s="70">
        <f t="shared" si="164"/>
        <v>4744039</v>
      </c>
      <c r="KB97" s="70">
        <f t="shared" ref="KB97" si="240">BW97-KA97</f>
        <v>0</v>
      </c>
      <c r="KC97" s="70">
        <f t="shared" si="166"/>
        <v>4744039</v>
      </c>
      <c r="KD97" s="70">
        <f t="shared" ref="KD97" si="241">CC97-KC97</f>
        <v>0</v>
      </c>
      <c r="KE97" s="70">
        <f t="shared" si="168"/>
        <v>0</v>
      </c>
      <c r="KF97" s="70">
        <f t="shared" ref="KF97" si="242">CI97-KE97</f>
        <v>0</v>
      </c>
      <c r="KG97" s="70">
        <f t="shared" si="170"/>
        <v>13517412</v>
      </c>
      <c r="KH97" s="70">
        <f t="shared" ref="KH97" si="243">CO97-KG97</f>
        <v>0</v>
      </c>
      <c r="KI97" s="70">
        <f t="shared" si="172"/>
        <v>743208</v>
      </c>
      <c r="KJ97" s="70">
        <f t="shared" ref="KJ97" si="244">CU97-KI97</f>
        <v>0</v>
      </c>
      <c r="KK97" s="70">
        <f t="shared" si="174"/>
        <v>3891786</v>
      </c>
      <c r="KL97" s="70">
        <f t="shared" ref="KL97" si="245">DA97-KK97</f>
        <v>0</v>
      </c>
      <c r="KM97" s="70">
        <f t="shared" si="176"/>
        <v>0</v>
      </c>
      <c r="KN97" s="70">
        <f t="shared" ref="KN97" si="246">DG97-KM97</f>
        <v>0</v>
      </c>
      <c r="KO97" s="70">
        <f t="shared" si="178"/>
        <v>448061</v>
      </c>
      <c r="KP97" s="70">
        <f t="shared" ref="KP97" si="247">DM97-KO97</f>
        <v>0</v>
      </c>
      <c r="KQ97" s="70">
        <f t="shared" si="180"/>
        <v>1309235</v>
      </c>
      <c r="KR97" s="70">
        <f t="shared" ref="KR97" si="248">DS97-KQ97</f>
        <v>0</v>
      </c>
      <c r="KS97" s="70">
        <f t="shared" si="182"/>
        <v>0</v>
      </c>
      <c r="KT97" s="70">
        <f t="shared" ref="KT97" si="249">DY97-KS97</f>
        <v>0</v>
      </c>
      <c r="KU97" s="70">
        <f t="shared" si="184"/>
        <v>158674</v>
      </c>
      <c r="KV97" s="70">
        <f t="shared" ref="KV97" si="250">EE97-KU97</f>
        <v>0</v>
      </c>
      <c r="KW97" s="70">
        <f t="shared" si="186"/>
        <v>578074</v>
      </c>
      <c r="KX97" s="70">
        <f t="shared" ref="KX97" si="251">EK97-KW97</f>
        <v>0</v>
      </c>
      <c r="KY97" s="70">
        <f t="shared" si="188"/>
        <v>32336367</v>
      </c>
      <c r="KZ97" s="70">
        <f t="shared" ref="KZ97" si="252">EQ97-KY97</f>
        <v>0</v>
      </c>
      <c r="LA97" s="70">
        <f t="shared" si="190"/>
        <v>5272553</v>
      </c>
      <c r="LB97" s="70">
        <f t="shared" ref="LB97" si="253">EW97-LA97</f>
        <v>0</v>
      </c>
      <c r="LC97" s="70">
        <f t="shared" si="192"/>
        <v>816885</v>
      </c>
      <c r="LD97" s="70">
        <f t="shared" ref="LD97" si="254">FC97-LC97</f>
        <v>0</v>
      </c>
      <c r="LE97" s="70">
        <f t="shared" si="194"/>
        <v>6444492</v>
      </c>
      <c r="LF97" s="70">
        <f t="shared" ref="LF97" si="255">FI97-LE97</f>
        <v>0</v>
      </c>
      <c r="LG97" s="70">
        <f t="shared" si="234"/>
        <v>296703</v>
      </c>
      <c r="LH97" s="70">
        <f t="shared" si="235"/>
        <v>0</v>
      </c>
      <c r="LI97" s="70">
        <f t="shared" si="196"/>
        <v>7069505</v>
      </c>
      <c r="LJ97" s="70">
        <f t="shared" ref="LJ97" si="256">FU97-LI97</f>
        <v>0</v>
      </c>
      <c r="LK97" s="70">
        <f t="shared" si="198"/>
        <v>107319</v>
      </c>
      <c r="LL97" s="70">
        <f t="shared" ref="LL97" si="257">GA97-LK97</f>
        <v>0</v>
      </c>
      <c r="LM97" s="70">
        <f t="shared" si="200"/>
        <v>812786</v>
      </c>
      <c r="LN97" s="70">
        <f t="shared" ref="LN97" si="258">GG97-LM97</f>
        <v>0</v>
      </c>
      <c r="LO97" s="70">
        <f t="shared" si="202"/>
        <v>620545</v>
      </c>
      <c r="LP97" s="70">
        <f t="shared" ref="LP97" si="259">GM97-LO97</f>
        <v>0</v>
      </c>
      <c r="LQ97" s="70">
        <f t="shared" si="204"/>
        <v>2356692</v>
      </c>
      <c r="LR97" s="70">
        <f t="shared" ref="LR97" si="260">GS97-LQ97</f>
        <v>0</v>
      </c>
      <c r="LS97" s="70">
        <f t="shared" si="206"/>
        <v>784144</v>
      </c>
      <c r="LT97" s="70">
        <f t="shared" ref="LT97" si="261">GY97-LS97</f>
        <v>0</v>
      </c>
      <c r="LU97" s="70">
        <f t="shared" si="208"/>
        <v>1064036</v>
      </c>
      <c r="LV97" s="70">
        <f t="shared" ref="LV97" si="262">HE97-LU97</f>
        <v>0</v>
      </c>
      <c r="LW97" s="70">
        <f t="shared" si="210"/>
        <v>876472</v>
      </c>
      <c r="LX97" s="70">
        <f t="shared" ref="LX97" si="263">HK97-LW97</f>
        <v>0</v>
      </c>
      <c r="LY97" s="70">
        <f t="shared" si="212"/>
        <v>0</v>
      </c>
      <c r="LZ97" s="70">
        <f t="shared" ref="LZ97" si="264">HQ97-LY97</f>
        <v>0</v>
      </c>
      <c r="MA97" s="70">
        <f t="shared" si="214"/>
        <v>2726123</v>
      </c>
      <c r="MB97" s="70">
        <f t="shared" ref="MB97" si="265">HW97-MA97</f>
        <v>0</v>
      </c>
      <c r="MC97" s="70">
        <f t="shared" si="216"/>
        <v>44200</v>
      </c>
      <c r="MD97" s="70">
        <f t="shared" ref="MD97" si="266">IC97-MC97</f>
        <v>0</v>
      </c>
      <c r="ME97" s="70">
        <f t="shared" si="218"/>
        <v>743208</v>
      </c>
      <c r="MF97" s="70">
        <f t="shared" ref="MF97" si="267">II97-ME97</f>
        <v>0</v>
      </c>
      <c r="MG97" s="70">
        <f t="shared" si="220"/>
        <v>628769</v>
      </c>
      <c r="MH97" s="70">
        <f t="shared" ref="MH97" si="268">IO97-MG97</f>
        <v>0</v>
      </c>
      <c r="MI97" s="70">
        <f t="shared" si="222"/>
        <v>499269</v>
      </c>
      <c r="MJ97" s="70">
        <f t="shared" ref="MJ97" si="269">IU97-MI97</f>
        <v>0</v>
      </c>
      <c r="MK97" s="70">
        <f t="shared" si="224"/>
        <v>1803272</v>
      </c>
      <c r="ML97" s="70">
        <f t="shared" ref="ML97" si="270">JA97-MK97</f>
        <v>0</v>
      </c>
      <c r="MM97" s="70">
        <f t="shared" si="226"/>
        <v>32966973</v>
      </c>
      <c r="MN97" s="70">
        <f t="shared" ref="MN97" si="271">JG97-MM97</f>
        <v>0</v>
      </c>
      <c r="MO97" s="70">
        <f t="shared" si="228"/>
        <v>0</v>
      </c>
      <c r="MP97" s="70">
        <f t="shared" ref="MP97" si="272">JM97-MO97</f>
        <v>0</v>
      </c>
      <c r="MQ97" s="70">
        <f t="shared" si="230"/>
        <v>32966973</v>
      </c>
      <c r="MR97" s="70">
        <f t="shared" ref="MR97" si="273">JS97-MQ97</f>
        <v>0</v>
      </c>
      <c r="MT97" s="70">
        <f t="shared" si="232"/>
        <v>0</v>
      </c>
      <c r="MV97" s="68">
        <f t="shared" ref="MV97" si="274">IF(MT97=0,0,1)</f>
        <v>0</v>
      </c>
    </row>
    <row r="98" spans="1:361" x14ac:dyDescent="0.15">
      <c r="A98" s="67">
        <f>COUNTA(A3:A97)</f>
        <v>95</v>
      </c>
      <c r="JV98" s="70">
        <f>SUM(JV3:JV97)</f>
        <v>0</v>
      </c>
      <c r="JX98" s="70">
        <f>SUM(JX3:JX97)</f>
        <v>0</v>
      </c>
      <c r="JZ98" s="70">
        <f>SUM(JZ3:JZ97)</f>
        <v>0</v>
      </c>
      <c r="KB98" s="70">
        <f>SUM(KB3:KB97)</f>
        <v>-0.32000000006519258</v>
      </c>
      <c r="KD98" s="70">
        <f>SUM(KD3:KD97)</f>
        <v>0</v>
      </c>
      <c r="KF98" s="70">
        <f>SUM(KF3:KF97)</f>
        <v>0</v>
      </c>
      <c r="KH98" s="70">
        <f>SUM(KH3:KH97)</f>
        <v>0.16000000014901161</v>
      </c>
      <c r="KJ98" s="70">
        <f>SUM(KJ3:KJ97)</f>
        <v>0</v>
      </c>
      <c r="KL98" s="70">
        <f>SUM(KL3:KL97)</f>
        <v>-0.18999999994412065</v>
      </c>
      <c r="KN98" s="70">
        <f>SUM(KN3:KN97)</f>
        <v>0</v>
      </c>
      <c r="KP98" s="70">
        <f>SUM(KP3:KP97)</f>
        <v>-0.8799999999901047</v>
      </c>
      <c r="KR98" s="70">
        <f>SUM(KR3:KR97)</f>
        <v>0</v>
      </c>
      <c r="KT98" s="70">
        <f>SUM(KT3:KT97)</f>
        <v>0.15000000002328306</v>
      </c>
      <c r="KV98" s="70">
        <f>SUM(KV3:KV97)</f>
        <v>-0.23000000003958121</v>
      </c>
      <c r="KX98" s="70">
        <f>SUM(KX3:KX97)</f>
        <v>0.28999999997904524</v>
      </c>
      <c r="KZ98" s="70">
        <f>SUM(KZ3:KZ97)</f>
        <v>-1.0199999995529652</v>
      </c>
      <c r="LB98" s="70">
        <f>SUM(LB3:LB97)</f>
        <v>-0.71999999973922968</v>
      </c>
      <c r="LD98" s="70">
        <f>SUM(LD3:LD97)</f>
        <v>0</v>
      </c>
      <c r="LF98" s="70">
        <f>SUM(LF3:LF97)</f>
        <v>0</v>
      </c>
      <c r="LH98" s="70">
        <f>SUM(LH3:LH97)</f>
        <v>0</v>
      </c>
      <c r="LJ98" s="70">
        <f>SUM(LJ3:LJ97)</f>
        <v>-0.68000000016763806</v>
      </c>
      <c r="LL98" s="70">
        <f>SUM(LL3:LL97)</f>
        <v>0</v>
      </c>
      <c r="LN98" s="70">
        <f>SUM(LN3:LN97)</f>
        <v>0</v>
      </c>
      <c r="LP98" s="70">
        <f>SUM(LP3:LP97)</f>
        <v>-6.0000000055879354E-2</v>
      </c>
      <c r="LR98" s="70">
        <f>SUM(LR3:LR97)</f>
        <v>-6.0000000521540642E-2</v>
      </c>
      <c r="LT98" s="70">
        <f>SUM(LT3:LT97)</f>
        <v>-0.5099999998928979</v>
      </c>
      <c r="LV98" s="70">
        <f>SUM(LV3:LV97)</f>
        <v>0.37000000011175871</v>
      </c>
      <c r="LX98" s="70">
        <f>SUM(LX3:LX97)</f>
        <v>-0.9599999999627471</v>
      </c>
      <c r="LZ98" s="70">
        <f>SUM(LZ3:LZ97)</f>
        <v>0.27999999999883585</v>
      </c>
      <c r="MB98" s="70">
        <f>SUM(MB3:MB97)</f>
        <v>-0.56000000005587935</v>
      </c>
      <c r="MD98" s="70">
        <f>SUM(MD3:MD97)</f>
        <v>0</v>
      </c>
      <c r="MF98" s="70">
        <f>SUM(MF3:MF97)</f>
        <v>-9.9999997764825821E-3</v>
      </c>
      <c r="MH98" s="70">
        <f>SUM(MH3:MH97)</f>
        <v>-0.57000000000698492</v>
      </c>
      <c r="MJ98" s="70">
        <f>SUM(MJ3:MJ97)</f>
        <v>-0.54999999999563443</v>
      </c>
      <c r="ML98" s="70">
        <f>SUM(ML3:ML97)</f>
        <v>0.73999999999068677</v>
      </c>
      <c r="MN98" s="70">
        <f>SUM(MN3:MN97)</f>
        <v>-0.69999999925494194</v>
      </c>
      <c r="MP98" s="70">
        <f>SUM(MP3:MP97)</f>
        <v>0</v>
      </c>
      <c r="MR98" s="70">
        <f>SUM(MR3:MR97)</f>
        <v>-0.69999999925494194</v>
      </c>
      <c r="MV98" s="68">
        <f>SUM(MV3:MV97)</f>
        <v>1</v>
      </c>
      <c r="MW98" s="67"/>
    </row>
    <row r="100" spans="1:361" x14ac:dyDescent="0.15">
      <c r="A100" s="67" t="s">
        <v>593</v>
      </c>
      <c r="B100" s="68"/>
      <c r="G100" s="69">
        <f>MIN(G3:G97)</f>
        <v>1511</v>
      </c>
      <c r="H100" s="69">
        <f t="shared" ref="H100:BS100" si="275">MIN(H3:H97)</f>
        <v>2723</v>
      </c>
      <c r="I100" s="69">
        <f t="shared" si="275"/>
        <v>154009510</v>
      </c>
      <c r="J100" s="69">
        <f t="shared" si="275"/>
        <v>35221734</v>
      </c>
      <c r="K100" s="69">
        <f t="shared" si="275"/>
        <v>0</v>
      </c>
      <c r="L100" s="69">
        <f t="shared" si="275"/>
        <v>0</v>
      </c>
      <c r="M100" s="69">
        <f t="shared" si="275"/>
        <v>1977668</v>
      </c>
      <c r="N100" s="69">
        <f t="shared" si="275"/>
        <v>1397759</v>
      </c>
      <c r="O100" s="69">
        <f t="shared" si="275"/>
        <v>0</v>
      </c>
      <c r="P100" s="69">
        <f t="shared" si="275"/>
        <v>0</v>
      </c>
      <c r="Q100" s="69">
        <f t="shared" si="275"/>
        <v>73999582</v>
      </c>
      <c r="R100" s="69">
        <f t="shared" si="275"/>
        <v>72262059</v>
      </c>
      <c r="S100" s="69">
        <f t="shared" si="275"/>
        <v>127787543</v>
      </c>
      <c r="T100" s="69">
        <f t="shared" si="275"/>
        <v>84572670</v>
      </c>
      <c r="U100" s="69">
        <f t="shared" si="275"/>
        <v>13614</v>
      </c>
      <c r="V100" s="69">
        <f t="shared" si="275"/>
        <v>23.422000000000001</v>
      </c>
      <c r="W100" s="69">
        <f t="shared" si="275"/>
        <v>22525</v>
      </c>
      <c r="X100" s="69">
        <f t="shared" si="275"/>
        <v>20621</v>
      </c>
      <c r="Y100" s="69">
        <f t="shared" si="275"/>
        <v>17720</v>
      </c>
      <c r="Z100" s="69">
        <f t="shared" si="275"/>
        <v>17127</v>
      </c>
      <c r="AA100" s="69">
        <f t="shared" si="275"/>
        <v>25654</v>
      </c>
      <c r="AB100" s="69">
        <f t="shared" si="275"/>
        <v>21595</v>
      </c>
      <c r="AC100" s="69">
        <f t="shared" si="275"/>
        <v>5</v>
      </c>
      <c r="AD100" s="69">
        <f t="shared" si="275"/>
        <v>8</v>
      </c>
      <c r="AE100" s="69">
        <f t="shared" si="275"/>
        <v>0</v>
      </c>
      <c r="AF100" s="69">
        <f t="shared" si="275"/>
        <v>1591713</v>
      </c>
      <c r="AG100" s="69">
        <f t="shared" si="275"/>
        <v>1487540</v>
      </c>
      <c r="AH100" s="69">
        <f t="shared" si="275"/>
        <v>153510</v>
      </c>
      <c r="AI100" s="69">
        <f t="shared" si="275"/>
        <v>36494</v>
      </c>
      <c r="AJ100" s="69">
        <f t="shared" si="275"/>
        <v>127818</v>
      </c>
      <c r="AK100" s="69">
        <f t="shared" si="275"/>
        <v>3.5</v>
      </c>
      <c r="AL100" s="69">
        <f t="shared" si="275"/>
        <v>115036</v>
      </c>
      <c r="AM100" s="69">
        <f t="shared" si="275"/>
        <v>4</v>
      </c>
      <c r="AN100" s="69">
        <f t="shared" si="275"/>
        <v>69448</v>
      </c>
      <c r="AO100" s="69">
        <f t="shared" si="275"/>
        <v>4.5</v>
      </c>
      <c r="AP100" s="69">
        <f t="shared" si="275"/>
        <v>28914</v>
      </c>
      <c r="AQ100" s="69">
        <f t="shared" si="275"/>
        <v>5</v>
      </c>
      <c r="AR100" s="69">
        <f t="shared" si="275"/>
        <v>63729</v>
      </c>
      <c r="AS100" s="69">
        <f t="shared" si="275"/>
        <v>3.5</v>
      </c>
      <c r="AT100" s="69">
        <f t="shared" si="275"/>
        <v>51485</v>
      </c>
      <c r="AU100" s="69">
        <f t="shared" si="275"/>
        <v>12</v>
      </c>
      <c r="AV100" s="69">
        <f t="shared" si="275"/>
        <v>42214.595999999998</v>
      </c>
      <c r="AW100" s="69">
        <f t="shared" si="275"/>
        <v>6.5</v>
      </c>
      <c r="AX100" s="69">
        <f t="shared" si="275"/>
        <v>28271</v>
      </c>
      <c r="AY100" s="69">
        <f t="shared" si="275"/>
        <v>8</v>
      </c>
      <c r="AZ100" s="69">
        <f t="shared" si="275"/>
        <v>79920</v>
      </c>
      <c r="BA100" s="69">
        <f t="shared" si="275"/>
        <v>33720</v>
      </c>
      <c r="BB100" s="69">
        <f t="shared" si="275"/>
        <v>0</v>
      </c>
      <c r="BC100" s="69">
        <f t="shared" si="275"/>
        <v>0</v>
      </c>
      <c r="BD100" s="69">
        <f t="shared" si="275"/>
        <v>-10750</v>
      </c>
      <c r="BE100" s="69">
        <f t="shared" si="275"/>
        <v>148738</v>
      </c>
      <c r="BF100" s="69">
        <f t="shared" si="275"/>
        <v>0</v>
      </c>
      <c r="BG100" s="69">
        <f t="shared" si="275"/>
        <v>0</v>
      </c>
      <c r="BH100" s="69">
        <f t="shared" si="275"/>
        <v>0</v>
      </c>
      <c r="BI100" s="69">
        <f t="shared" si="275"/>
        <v>0</v>
      </c>
      <c r="BJ100" s="69">
        <f t="shared" si="275"/>
        <v>0</v>
      </c>
      <c r="BK100" s="69">
        <f t="shared" si="275"/>
        <v>0</v>
      </c>
      <c r="BL100" s="69">
        <f t="shared" si="275"/>
        <v>0</v>
      </c>
      <c r="BM100" s="69">
        <f t="shared" si="275"/>
        <v>0</v>
      </c>
      <c r="BN100" s="69">
        <f t="shared" si="275"/>
        <v>0</v>
      </c>
      <c r="BO100" s="69">
        <f t="shared" si="275"/>
        <v>0</v>
      </c>
      <c r="BP100" s="69">
        <f t="shared" si="275"/>
        <v>0</v>
      </c>
      <c r="BQ100" s="69">
        <f t="shared" si="275"/>
        <v>0</v>
      </c>
      <c r="BR100" s="69">
        <f t="shared" si="275"/>
        <v>0</v>
      </c>
      <c r="BS100" s="69">
        <f t="shared" si="275"/>
        <v>0</v>
      </c>
      <c r="BT100" s="69">
        <f t="shared" ref="BT100:EE100" si="276">MIN(BT3:BT97)</f>
        <v>0</v>
      </c>
      <c r="BU100" s="69">
        <f t="shared" si="276"/>
        <v>0</v>
      </c>
      <c r="BV100" s="69">
        <f t="shared" si="276"/>
        <v>0</v>
      </c>
      <c r="BW100" s="69">
        <f t="shared" si="276"/>
        <v>0</v>
      </c>
      <c r="BX100" s="69">
        <f t="shared" si="276"/>
        <v>0</v>
      </c>
      <c r="BY100" s="69">
        <f t="shared" si="276"/>
        <v>0</v>
      </c>
      <c r="BZ100" s="69">
        <f t="shared" si="276"/>
        <v>0</v>
      </c>
      <c r="CA100" s="69">
        <f t="shared" si="276"/>
        <v>0</v>
      </c>
      <c r="CB100" s="69">
        <f t="shared" si="276"/>
        <v>0</v>
      </c>
      <c r="CC100" s="69">
        <f t="shared" si="276"/>
        <v>0</v>
      </c>
      <c r="CD100" s="69">
        <f t="shared" si="276"/>
        <v>0</v>
      </c>
      <c r="CE100" s="69">
        <f t="shared" si="276"/>
        <v>0</v>
      </c>
      <c r="CF100" s="69">
        <f t="shared" si="276"/>
        <v>0</v>
      </c>
      <c r="CG100" s="69">
        <f t="shared" si="276"/>
        <v>0</v>
      </c>
      <c r="CH100" s="69">
        <f t="shared" si="276"/>
        <v>0</v>
      </c>
      <c r="CI100" s="69">
        <f t="shared" si="276"/>
        <v>0</v>
      </c>
      <c r="CJ100" s="69">
        <f t="shared" si="276"/>
        <v>0</v>
      </c>
      <c r="CK100" s="69">
        <f t="shared" si="276"/>
        <v>0</v>
      </c>
      <c r="CL100" s="69">
        <f t="shared" si="276"/>
        <v>0</v>
      </c>
      <c r="CM100" s="69">
        <f t="shared" si="276"/>
        <v>0</v>
      </c>
      <c r="CN100" s="69">
        <f t="shared" si="276"/>
        <v>0</v>
      </c>
      <c r="CO100" s="69">
        <f t="shared" si="276"/>
        <v>0</v>
      </c>
      <c r="CP100" s="69">
        <f t="shared" si="276"/>
        <v>0</v>
      </c>
      <c r="CQ100" s="69">
        <f t="shared" si="276"/>
        <v>0</v>
      </c>
      <c r="CR100" s="69">
        <f t="shared" si="276"/>
        <v>0</v>
      </c>
      <c r="CS100" s="69">
        <f t="shared" si="276"/>
        <v>0</v>
      </c>
      <c r="CT100" s="69">
        <f t="shared" si="276"/>
        <v>0</v>
      </c>
      <c r="CU100" s="69">
        <f t="shared" si="276"/>
        <v>0</v>
      </c>
      <c r="CV100" s="69">
        <f t="shared" si="276"/>
        <v>0</v>
      </c>
      <c r="CW100" s="69">
        <f t="shared" si="276"/>
        <v>0</v>
      </c>
      <c r="CX100" s="69">
        <f t="shared" si="276"/>
        <v>-16762</v>
      </c>
      <c r="CY100" s="69">
        <f t="shared" si="276"/>
        <v>0</v>
      </c>
      <c r="CZ100" s="69">
        <f t="shared" si="276"/>
        <v>0</v>
      </c>
      <c r="DA100" s="69">
        <f t="shared" si="276"/>
        <v>834318</v>
      </c>
      <c r="DB100" s="69">
        <f t="shared" si="276"/>
        <v>0</v>
      </c>
      <c r="DC100" s="69">
        <f t="shared" si="276"/>
        <v>0</v>
      </c>
      <c r="DD100" s="69">
        <f t="shared" si="276"/>
        <v>0</v>
      </c>
      <c r="DE100" s="69">
        <f t="shared" si="276"/>
        <v>0</v>
      </c>
      <c r="DF100" s="69">
        <f t="shared" si="276"/>
        <v>0</v>
      </c>
      <c r="DG100" s="69">
        <f t="shared" si="276"/>
        <v>0</v>
      </c>
      <c r="DH100" s="69">
        <f t="shared" si="276"/>
        <v>0</v>
      </c>
      <c r="DI100" s="69">
        <f t="shared" si="276"/>
        <v>0</v>
      </c>
      <c r="DJ100" s="69">
        <f t="shared" si="276"/>
        <v>0</v>
      </c>
      <c r="DK100" s="69">
        <f t="shared" si="276"/>
        <v>0</v>
      </c>
      <c r="DL100" s="69">
        <f t="shared" si="276"/>
        <v>0</v>
      </c>
      <c r="DM100" s="69">
        <f t="shared" si="276"/>
        <v>0</v>
      </c>
      <c r="DN100" s="69">
        <f t="shared" si="276"/>
        <v>0</v>
      </c>
      <c r="DO100" s="69">
        <f t="shared" si="276"/>
        <v>0</v>
      </c>
      <c r="DP100" s="69">
        <f t="shared" si="276"/>
        <v>0</v>
      </c>
      <c r="DQ100" s="69">
        <f t="shared" si="276"/>
        <v>0</v>
      </c>
      <c r="DR100" s="69">
        <f t="shared" si="276"/>
        <v>0</v>
      </c>
      <c r="DS100" s="69">
        <f t="shared" si="276"/>
        <v>3363</v>
      </c>
      <c r="DT100" s="69">
        <f t="shared" si="276"/>
        <v>0</v>
      </c>
      <c r="DU100" s="69">
        <f t="shared" si="276"/>
        <v>0</v>
      </c>
      <c r="DV100" s="69">
        <f t="shared" si="276"/>
        <v>0</v>
      </c>
      <c r="DW100" s="69">
        <f t="shared" si="276"/>
        <v>0</v>
      </c>
      <c r="DX100" s="69">
        <f t="shared" si="276"/>
        <v>-43717</v>
      </c>
      <c r="DY100" s="69">
        <f t="shared" si="276"/>
        <v>0</v>
      </c>
      <c r="DZ100" s="69">
        <f t="shared" si="276"/>
        <v>0</v>
      </c>
      <c r="EA100" s="69">
        <f t="shared" si="276"/>
        <v>0</v>
      </c>
      <c r="EB100" s="69">
        <f t="shared" si="276"/>
        <v>0</v>
      </c>
      <c r="EC100" s="69">
        <f t="shared" si="276"/>
        <v>0</v>
      </c>
      <c r="ED100" s="69">
        <f t="shared" si="276"/>
        <v>-46218</v>
      </c>
      <c r="EE100" s="69">
        <f t="shared" si="276"/>
        <v>-21408</v>
      </c>
      <c r="EF100" s="69">
        <f t="shared" ref="EF100:GQ100" si="277">MIN(EF3:EF97)</f>
        <v>0</v>
      </c>
      <c r="EG100" s="69">
        <f t="shared" si="277"/>
        <v>-24120</v>
      </c>
      <c r="EH100" s="69">
        <f t="shared" si="277"/>
        <v>0</v>
      </c>
      <c r="EI100" s="69">
        <f t="shared" si="277"/>
        <v>0</v>
      </c>
      <c r="EJ100" s="69">
        <f t="shared" si="277"/>
        <v>0</v>
      </c>
      <c r="EK100" s="69">
        <f t="shared" si="277"/>
        <v>0</v>
      </c>
      <c r="EL100" s="69">
        <f t="shared" si="277"/>
        <v>1960081</v>
      </c>
      <c r="EM100" s="69">
        <f t="shared" si="277"/>
        <v>312708</v>
      </c>
      <c r="EN100" s="69">
        <f t="shared" si="277"/>
        <v>10127</v>
      </c>
      <c r="EO100" s="69">
        <f t="shared" si="277"/>
        <v>129753</v>
      </c>
      <c r="EP100" s="69">
        <f t="shared" si="277"/>
        <v>1008938</v>
      </c>
      <c r="EQ100" s="69">
        <f t="shared" si="277"/>
        <v>18920916</v>
      </c>
      <c r="ER100" s="69">
        <f t="shared" si="277"/>
        <v>1552151</v>
      </c>
      <c r="ES100" s="69">
        <f t="shared" si="277"/>
        <v>243988</v>
      </c>
      <c r="ET100" s="69">
        <f t="shared" si="277"/>
        <v>256484</v>
      </c>
      <c r="EU100" s="69">
        <f t="shared" si="277"/>
        <v>1748647</v>
      </c>
      <c r="EV100" s="69">
        <f t="shared" si="277"/>
        <v>0</v>
      </c>
      <c r="EW100" s="69">
        <f t="shared" si="277"/>
        <v>4171345</v>
      </c>
      <c r="EX100" s="69">
        <f t="shared" si="277"/>
        <v>0</v>
      </c>
      <c r="EY100" s="69">
        <f t="shared" si="277"/>
        <v>0</v>
      </c>
      <c r="EZ100" s="69">
        <f t="shared" si="277"/>
        <v>0</v>
      </c>
      <c r="FA100" s="69">
        <f t="shared" si="277"/>
        <v>0</v>
      </c>
      <c r="FB100" s="69">
        <f t="shared" si="277"/>
        <v>0</v>
      </c>
      <c r="FC100" s="69">
        <f t="shared" si="277"/>
        <v>72259</v>
      </c>
      <c r="FD100" s="69">
        <f t="shared" si="277"/>
        <v>1138360</v>
      </c>
      <c r="FE100" s="69">
        <f t="shared" si="277"/>
        <v>398693</v>
      </c>
      <c r="FF100" s="69">
        <f t="shared" si="277"/>
        <v>290201</v>
      </c>
      <c r="FG100" s="69">
        <f t="shared" si="277"/>
        <v>802045</v>
      </c>
      <c r="FH100" s="69">
        <f t="shared" si="277"/>
        <v>0</v>
      </c>
      <c r="FI100" s="69">
        <f t="shared" si="277"/>
        <v>2668059</v>
      </c>
      <c r="FJ100" s="69">
        <f t="shared" si="277"/>
        <v>0</v>
      </c>
      <c r="FK100" s="69">
        <f t="shared" si="277"/>
        <v>0</v>
      </c>
      <c r="FL100" s="69">
        <f t="shared" si="277"/>
        <v>0</v>
      </c>
      <c r="FM100" s="69">
        <f t="shared" si="277"/>
        <v>0</v>
      </c>
      <c r="FN100" s="69">
        <f t="shared" si="277"/>
        <v>0</v>
      </c>
      <c r="FO100" s="69">
        <f t="shared" si="277"/>
        <v>0</v>
      </c>
      <c r="FP100" s="69">
        <f t="shared" si="277"/>
        <v>0</v>
      </c>
      <c r="FQ100" s="69">
        <f t="shared" si="277"/>
        <v>0</v>
      </c>
      <c r="FR100" s="69">
        <f t="shared" si="277"/>
        <v>0</v>
      </c>
      <c r="FS100" s="69">
        <f t="shared" si="277"/>
        <v>0</v>
      </c>
      <c r="FT100" s="69">
        <f t="shared" si="277"/>
        <v>1230184</v>
      </c>
      <c r="FU100" s="69">
        <f t="shared" si="277"/>
        <v>1673821</v>
      </c>
      <c r="FV100" s="69">
        <f t="shared" si="277"/>
        <v>0</v>
      </c>
      <c r="FW100" s="69">
        <f t="shared" si="277"/>
        <v>0</v>
      </c>
      <c r="FX100" s="69">
        <f t="shared" si="277"/>
        <v>0</v>
      </c>
      <c r="FY100" s="69">
        <f t="shared" si="277"/>
        <v>0</v>
      </c>
      <c r="FZ100" s="69">
        <f t="shared" si="277"/>
        <v>0</v>
      </c>
      <c r="GA100" s="69">
        <f t="shared" si="277"/>
        <v>0</v>
      </c>
      <c r="GB100" s="69">
        <f t="shared" si="277"/>
        <v>0</v>
      </c>
      <c r="GC100" s="69">
        <f t="shared" si="277"/>
        <v>0</v>
      </c>
      <c r="GD100" s="69">
        <f t="shared" si="277"/>
        <v>0</v>
      </c>
      <c r="GE100" s="69">
        <f t="shared" si="277"/>
        <v>0</v>
      </c>
      <c r="GF100" s="69">
        <f t="shared" si="277"/>
        <v>0</v>
      </c>
      <c r="GG100" s="69">
        <f t="shared" si="277"/>
        <v>0</v>
      </c>
      <c r="GH100" s="69">
        <f t="shared" si="277"/>
        <v>80625</v>
      </c>
      <c r="GI100" s="69">
        <f t="shared" si="277"/>
        <v>31390.3</v>
      </c>
      <c r="GJ100" s="69">
        <f t="shared" si="277"/>
        <v>14145</v>
      </c>
      <c r="GK100" s="69">
        <f t="shared" si="277"/>
        <v>45901</v>
      </c>
      <c r="GL100" s="69">
        <f t="shared" si="277"/>
        <v>0</v>
      </c>
      <c r="GM100" s="69">
        <f t="shared" si="277"/>
        <v>190010</v>
      </c>
      <c r="GN100" s="69">
        <f t="shared" si="277"/>
        <v>385322</v>
      </c>
      <c r="GO100" s="69">
        <f t="shared" si="277"/>
        <v>156136</v>
      </c>
      <c r="GP100" s="69">
        <f t="shared" si="277"/>
        <v>56101</v>
      </c>
      <c r="GQ100" s="69">
        <f t="shared" si="277"/>
        <v>450433</v>
      </c>
      <c r="GR100" s="69">
        <f t="shared" ref="GR100:JC100" si="278">MIN(GR3:GR97)</f>
        <v>0</v>
      </c>
      <c r="GS100" s="69">
        <f t="shared" si="278"/>
        <v>1388023</v>
      </c>
      <c r="GT100" s="69">
        <f t="shared" si="278"/>
        <v>124776</v>
      </c>
      <c r="GU100" s="69">
        <f t="shared" si="278"/>
        <v>8176</v>
      </c>
      <c r="GV100" s="69">
        <f t="shared" si="278"/>
        <v>3803</v>
      </c>
      <c r="GW100" s="69">
        <f t="shared" si="278"/>
        <v>162923</v>
      </c>
      <c r="GX100" s="69">
        <f t="shared" si="278"/>
        <v>0</v>
      </c>
      <c r="GY100" s="69">
        <f t="shared" si="278"/>
        <v>427797</v>
      </c>
      <c r="GZ100" s="69">
        <f t="shared" si="278"/>
        <v>0</v>
      </c>
      <c r="HA100" s="69">
        <f t="shared" si="278"/>
        <v>0</v>
      </c>
      <c r="HB100" s="69">
        <f t="shared" si="278"/>
        <v>0</v>
      </c>
      <c r="HC100" s="69">
        <f t="shared" si="278"/>
        <v>0</v>
      </c>
      <c r="HD100" s="69">
        <f t="shared" si="278"/>
        <v>0</v>
      </c>
      <c r="HE100" s="69">
        <f t="shared" si="278"/>
        <v>219926</v>
      </c>
      <c r="HF100" s="69">
        <f t="shared" si="278"/>
        <v>0</v>
      </c>
      <c r="HG100" s="69">
        <f t="shared" si="278"/>
        <v>0</v>
      </c>
      <c r="HH100" s="69">
        <f t="shared" si="278"/>
        <v>0</v>
      </c>
      <c r="HI100" s="69">
        <f t="shared" si="278"/>
        <v>0</v>
      </c>
      <c r="HJ100" s="69">
        <f t="shared" si="278"/>
        <v>0</v>
      </c>
      <c r="HK100" s="69">
        <f t="shared" si="278"/>
        <v>69844</v>
      </c>
      <c r="HL100" s="69">
        <f t="shared" si="278"/>
        <v>0</v>
      </c>
      <c r="HM100" s="69">
        <f t="shared" si="278"/>
        <v>0</v>
      </c>
      <c r="HN100" s="69">
        <f t="shared" si="278"/>
        <v>0</v>
      </c>
      <c r="HO100" s="69">
        <f t="shared" si="278"/>
        <v>0</v>
      </c>
      <c r="HP100" s="69">
        <f t="shared" si="278"/>
        <v>0</v>
      </c>
      <c r="HQ100" s="69">
        <f t="shared" si="278"/>
        <v>0</v>
      </c>
      <c r="HR100" s="69">
        <f t="shared" si="278"/>
        <v>0</v>
      </c>
      <c r="HS100" s="69">
        <f t="shared" si="278"/>
        <v>0</v>
      </c>
      <c r="HT100" s="69">
        <f t="shared" si="278"/>
        <v>0</v>
      </c>
      <c r="HU100" s="69">
        <f t="shared" si="278"/>
        <v>0</v>
      </c>
      <c r="HV100" s="69">
        <f t="shared" si="278"/>
        <v>0</v>
      </c>
      <c r="HW100" s="69">
        <f t="shared" si="278"/>
        <v>68293</v>
      </c>
      <c r="HX100" s="69">
        <f t="shared" si="278"/>
        <v>0</v>
      </c>
      <c r="HY100" s="69">
        <f t="shared" si="278"/>
        <v>0</v>
      </c>
      <c r="HZ100" s="69">
        <f t="shared" si="278"/>
        <v>0</v>
      </c>
      <c r="IA100" s="69">
        <f t="shared" si="278"/>
        <v>0</v>
      </c>
      <c r="IB100" s="69">
        <f t="shared" si="278"/>
        <v>0</v>
      </c>
      <c r="IC100" s="69">
        <f t="shared" si="278"/>
        <v>0</v>
      </c>
      <c r="ID100" s="69">
        <f t="shared" si="278"/>
        <v>0</v>
      </c>
      <c r="IE100" s="69">
        <f t="shared" si="278"/>
        <v>0</v>
      </c>
      <c r="IF100" s="69">
        <f t="shared" si="278"/>
        <v>0</v>
      </c>
      <c r="IG100" s="69">
        <f t="shared" si="278"/>
        <v>0</v>
      </c>
      <c r="IH100" s="69">
        <f t="shared" si="278"/>
        <v>0</v>
      </c>
      <c r="II100" s="69">
        <f t="shared" si="278"/>
        <v>0</v>
      </c>
      <c r="IJ100" s="69">
        <f t="shared" si="278"/>
        <v>0</v>
      </c>
      <c r="IK100" s="69">
        <f t="shared" si="278"/>
        <v>-114</v>
      </c>
      <c r="IL100" s="69">
        <f t="shared" si="278"/>
        <v>0</v>
      </c>
      <c r="IM100" s="69">
        <f t="shared" si="278"/>
        <v>0</v>
      </c>
      <c r="IN100" s="69">
        <f t="shared" si="278"/>
        <v>0</v>
      </c>
      <c r="IO100" s="69">
        <f t="shared" si="278"/>
        <v>141932</v>
      </c>
      <c r="IP100" s="69">
        <f t="shared" si="278"/>
        <v>0</v>
      </c>
      <c r="IQ100" s="69">
        <f t="shared" si="278"/>
        <v>0</v>
      </c>
      <c r="IR100" s="69">
        <f t="shared" si="278"/>
        <v>0</v>
      </c>
      <c r="IS100" s="69">
        <f t="shared" si="278"/>
        <v>0</v>
      </c>
      <c r="IT100" s="69">
        <f t="shared" si="278"/>
        <v>0</v>
      </c>
      <c r="IU100" s="69">
        <f t="shared" si="278"/>
        <v>8420</v>
      </c>
      <c r="IV100" s="69">
        <f t="shared" si="278"/>
        <v>0</v>
      </c>
      <c r="IW100" s="69">
        <f t="shared" si="278"/>
        <v>0</v>
      </c>
      <c r="IX100" s="69">
        <f t="shared" si="278"/>
        <v>-608</v>
      </c>
      <c r="IY100" s="69">
        <f t="shared" si="278"/>
        <v>0</v>
      </c>
      <c r="IZ100" s="69">
        <f t="shared" si="278"/>
        <v>0</v>
      </c>
      <c r="JA100" s="69">
        <f t="shared" si="278"/>
        <v>137425</v>
      </c>
      <c r="JB100" s="69">
        <f t="shared" si="278"/>
        <v>978332</v>
      </c>
      <c r="JC100" s="69">
        <f t="shared" si="278"/>
        <v>312111</v>
      </c>
      <c r="JD100" s="69">
        <f t="shared" ref="JD100:JS100" si="279">MIN(JD3:JD97)</f>
        <v>120954</v>
      </c>
      <c r="JE100" s="69">
        <f t="shared" si="279"/>
        <v>346638</v>
      </c>
      <c r="JF100" s="69">
        <f t="shared" si="279"/>
        <v>0</v>
      </c>
      <c r="JG100" s="69">
        <f t="shared" si="279"/>
        <v>5204790</v>
      </c>
      <c r="JH100" s="69">
        <f t="shared" si="279"/>
        <v>0</v>
      </c>
      <c r="JI100" s="69">
        <f t="shared" si="279"/>
        <v>-175000</v>
      </c>
      <c r="JJ100" s="69">
        <f t="shared" si="279"/>
        <v>0</v>
      </c>
      <c r="JK100" s="69">
        <f t="shared" si="279"/>
        <v>-19848</v>
      </c>
      <c r="JL100" s="69">
        <f t="shared" si="279"/>
        <v>0</v>
      </c>
      <c r="JM100" s="69">
        <f t="shared" si="279"/>
        <v>0</v>
      </c>
      <c r="JN100" s="69">
        <f t="shared" si="279"/>
        <v>4818896</v>
      </c>
      <c r="JO100" s="69">
        <f t="shared" si="279"/>
        <v>1398994</v>
      </c>
      <c r="JP100" s="69">
        <f t="shared" si="279"/>
        <v>1086490</v>
      </c>
      <c r="JQ100" s="69">
        <f t="shared" si="279"/>
        <v>4063530</v>
      </c>
      <c r="JR100" s="69">
        <f t="shared" si="279"/>
        <v>3060697</v>
      </c>
      <c r="JS100" s="69">
        <f t="shared" si="279"/>
        <v>18920334</v>
      </c>
    </row>
    <row r="101" spans="1:361" x14ac:dyDescent="0.15">
      <c r="A101" s="67" t="s">
        <v>594</v>
      </c>
      <c r="B101" s="68"/>
      <c r="G101" s="69">
        <f>MAX(G3:G97)</f>
        <v>26590</v>
      </c>
      <c r="H101" s="69">
        <f t="shared" ref="H101:BS101" si="280">MAX(H3:H97)</f>
        <v>25699</v>
      </c>
      <c r="I101" s="69">
        <f t="shared" si="280"/>
        <v>5742842000</v>
      </c>
      <c r="J101" s="69">
        <f t="shared" si="280"/>
        <v>5361458000</v>
      </c>
      <c r="K101" s="69">
        <f t="shared" si="280"/>
        <v>22600000</v>
      </c>
      <c r="L101" s="69">
        <f t="shared" si="280"/>
        <v>19243594</v>
      </c>
      <c r="M101" s="69">
        <f t="shared" si="280"/>
        <v>212723000</v>
      </c>
      <c r="N101" s="69">
        <f t="shared" si="280"/>
        <v>381202000</v>
      </c>
      <c r="O101" s="69">
        <f t="shared" si="280"/>
        <v>263053858</v>
      </c>
      <c r="P101" s="69">
        <f t="shared" si="280"/>
        <v>233239157</v>
      </c>
      <c r="Q101" s="69">
        <f t="shared" si="280"/>
        <v>3320121000</v>
      </c>
      <c r="R101" s="69">
        <f t="shared" si="280"/>
        <v>3310456000</v>
      </c>
      <c r="S101" s="69">
        <f t="shared" si="280"/>
        <v>3907563000</v>
      </c>
      <c r="T101" s="69">
        <f t="shared" si="280"/>
        <v>3825983000</v>
      </c>
      <c r="U101" s="69">
        <f t="shared" si="280"/>
        <v>28751</v>
      </c>
      <c r="V101" s="69">
        <f t="shared" si="280"/>
        <v>43046</v>
      </c>
      <c r="W101" s="69">
        <f t="shared" si="280"/>
        <v>51697</v>
      </c>
      <c r="X101" s="69">
        <f t="shared" si="280"/>
        <v>49355</v>
      </c>
      <c r="Y101" s="69">
        <f t="shared" si="280"/>
        <v>31960</v>
      </c>
      <c r="Z101" s="69">
        <f t="shared" si="280"/>
        <v>33279</v>
      </c>
      <c r="AA101" s="69">
        <f t="shared" si="280"/>
        <v>56729</v>
      </c>
      <c r="AB101" s="69">
        <f t="shared" si="280"/>
        <v>53384</v>
      </c>
      <c r="AC101" s="69">
        <f t="shared" si="280"/>
        <v>17</v>
      </c>
      <c r="AD101" s="69">
        <f t="shared" si="280"/>
        <v>17</v>
      </c>
      <c r="AE101" s="69">
        <f t="shared" si="280"/>
        <v>2</v>
      </c>
      <c r="AF101" s="69">
        <f t="shared" si="280"/>
        <v>10756235</v>
      </c>
      <c r="AG101" s="69">
        <f t="shared" si="280"/>
        <v>8575519</v>
      </c>
      <c r="AH101" s="69">
        <f t="shared" si="280"/>
        <v>2061288</v>
      </c>
      <c r="AI101" s="69">
        <f t="shared" si="280"/>
        <v>845536</v>
      </c>
      <c r="AJ101" s="69">
        <f t="shared" si="280"/>
        <v>1588069</v>
      </c>
      <c r="AK101" s="69">
        <f t="shared" si="280"/>
        <v>15</v>
      </c>
      <c r="AL101" s="69">
        <f t="shared" si="280"/>
        <v>1361202</v>
      </c>
      <c r="AM101" s="69">
        <f t="shared" si="280"/>
        <v>17</v>
      </c>
      <c r="AN101" s="69">
        <f t="shared" si="280"/>
        <v>379093</v>
      </c>
      <c r="AO101" s="69">
        <f t="shared" si="280"/>
        <v>17</v>
      </c>
      <c r="AP101" s="69">
        <f t="shared" si="280"/>
        <v>358032</v>
      </c>
      <c r="AQ101" s="69">
        <f t="shared" si="280"/>
        <v>18</v>
      </c>
      <c r="AR101" s="69">
        <f t="shared" si="280"/>
        <v>643545</v>
      </c>
      <c r="AS101" s="69">
        <f t="shared" si="280"/>
        <v>32.5</v>
      </c>
      <c r="AT101" s="69">
        <f t="shared" si="280"/>
        <v>357895.20833333331</v>
      </c>
      <c r="AU101" s="69">
        <f t="shared" si="280"/>
        <v>35</v>
      </c>
      <c r="AV101" s="69">
        <f t="shared" si="280"/>
        <v>128946.82</v>
      </c>
      <c r="AW101" s="69">
        <f t="shared" si="280"/>
        <v>25.5</v>
      </c>
      <c r="AX101" s="69">
        <f t="shared" si="280"/>
        <v>109604.8</v>
      </c>
      <c r="AY101" s="69">
        <f t="shared" si="280"/>
        <v>30</v>
      </c>
      <c r="AZ101" s="69">
        <f t="shared" si="280"/>
        <v>47091663</v>
      </c>
      <c r="BA101" s="69">
        <f t="shared" si="280"/>
        <v>16448308</v>
      </c>
      <c r="BB101" s="69">
        <f t="shared" si="280"/>
        <v>1794670</v>
      </c>
      <c r="BC101" s="69">
        <f t="shared" si="280"/>
        <v>7477875</v>
      </c>
      <c r="BD101" s="69">
        <f t="shared" si="280"/>
        <v>14742050</v>
      </c>
      <c r="BE101" s="69">
        <f t="shared" si="280"/>
        <v>56002638</v>
      </c>
      <c r="BF101" s="69">
        <f t="shared" si="280"/>
        <v>5924029</v>
      </c>
      <c r="BG101" s="69">
        <f t="shared" si="280"/>
        <v>1745753</v>
      </c>
      <c r="BH101" s="69">
        <f t="shared" si="280"/>
        <v>2180897</v>
      </c>
      <c r="BI101" s="69">
        <f t="shared" si="280"/>
        <v>8656214</v>
      </c>
      <c r="BJ101" s="69">
        <f t="shared" si="280"/>
        <v>26733437</v>
      </c>
      <c r="BK101" s="69">
        <f t="shared" si="280"/>
        <v>26733437</v>
      </c>
      <c r="BL101" s="69">
        <f t="shared" si="280"/>
        <v>3277405</v>
      </c>
      <c r="BM101" s="69">
        <f t="shared" si="280"/>
        <v>611481</v>
      </c>
      <c r="BN101" s="69">
        <f t="shared" si="280"/>
        <v>75000</v>
      </c>
      <c r="BO101" s="69">
        <f t="shared" si="280"/>
        <v>230000</v>
      </c>
      <c r="BP101" s="69">
        <f t="shared" si="280"/>
        <v>0</v>
      </c>
      <c r="BQ101" s="69">
        <f t="shared" si="280"/>
        <v>3621286</v>
      </c>
      <c r="BR101" s="69">
        <f t="shared" si="280"/>
        <v>105431999</v>
      </c>
      <c r="BS101" s="69">
        <f t="shared" si="280"/>
        <v>21690098</v>
      </c>
      <c r="BT101" s="69">
        <f t="shared" ref="BT101:EE101" si="281">MAX(BT3:BT97)</f>
        <v>1629577</v>
      </c>
      <c r="BU101" s="69">
        <f t="shared" si="281"/>
        <v>13032247</v>
      </c>
      <c r="BV101" s="69">
        <f t="shared" si="281"/>
        <v>34243095</v>
      </c>
      <c r="BW101" s="69">
        <f t="shared" si="281"/>
        <v>124927474</v>
      </c>
      <c r="BX101" s="69">
        <f t="shared" si="281"/>
        <v>3525000</v>
      </c>
      <c r="BY101" s="69">
        <f t="shared" si="281"/>
        <v>1400000</v>
      </c>
      <c r="BZ101" s="69">
        <f t="shared" si="281"/>
        <v>500000</v>
      </c>
      <c r="CA101" s="69">
        <f t="shared" si="281"/>
        <v>615797</v>
      </c>
      <c r="CB101" s="69">
        <f t="shared" si="281"/>
        <v>4570105</v>
      </c>
      <c r="CC101" s="69">
        <f t="shared" si="281"/>
        <v>5750000</v>
      </c>
      <c r="CD101" s="69">
        <f t="shared" si="281"/>
        <v>1034806</v>
      </c>
      <c r="CE101" s="69">
        <f t="shared" si="281"/>
        <v>172813</v>
      </c>
      <c r="CF101" s="69">
        <f t="shared" si="281"/>
        <v>351306</v>
      </c>
      <c r="CG101" s="69">
        <f t="shared" si="281"/>
        <v>1240740</v>
      </c>
      <c r="CH101" s="69">
        <f t="shared" si="281"/>
        <v>7038125</v>
      </c>
      <c r="CI101" s="69">
        <f t="shared" si="281"/>
        <v>7038125</v>
      </c>
      <c r="CJ101" s="69">
        <f t="shared" si="281"/>
        <v>3609444</v>
      </c>
      <c r="CK101" s="69">
        <f t="shared" si="281"/>
        <v>1465830</v>
      </c>
      <c r="CL101" s="69">
        <f t="shared" si="281"/>
        <v>1617177</v>
      </c>
      <c r="CM101" s="69">
        <f t="shared" si="281"/>
        <v>9483666</v>
      </c>
      <c r="CN101" s="69">
        <f t="shared" si="281"/>
        <v>22631945</v>
      </c>
      <c r="CO101" s="69">
        <f t="shared" si="281"/>
        <v>26001347</v>
      </c>
      <c r="CP101" s="69">
        <f t="shared" si="281"/>
        <v>1461928</v>
      </c>
      <c r="CQ101" s="69">
        <f t="shared" si="281"/>
        <v>1028506</v>
      </c>
      <c r="CR101" s="69">
        <f t="shared" si="281"/>
        <v>1027121</v>
      </c>
      <c r="CS101" s="69">
        <f t="shared" si="281"/>
        <v>1720778</v>
      </c>
      <c r="CT101" s="69">
        <f t="shared" si="281"/>
        <v>7826035</v>
      </c>
      <c r="CU101" s="69">
        <f t="shared" si="281"/>
        <v>7826035</v>
      </c>
      <c r="CV101" s="69">
        <f t="shared" si="281"/>
        <v>21242809</v>
      </c>
      <c r="CW101" s="69">
        <f t="shared" si="281"/>
        <v>11350497</v>
      </c>
      <c r="CX101" s="69">
        <f t="shared" si="281"/>
        <v>556984</v>
      </c>
      <c r="CY101" s="69">
        <f t="shared" si="281"/>
        <v>1982687</v>
      </c>
      <c r="CZ101" s="69">
        <f t="shared" si="281"/>
        <v>20337726</v>
      </c>
      <c r="DA101" s="69">
        <f t="shared" si="281"/>
        <v>31260069</v>
      </c>
      <c r="DB101" s="69">
        <f t="shared" si="281"/>
        <v>13593415</v>
      </c>
      <c r="DC101" s="69">
        <f t="shared" si="281"/>
        <v>4483964</v>
      </c>
      <c r="DD101" s="69">
        <f t="shared" si="281"/>
        <v>1125000</v>
      </c>
      <c r="DE101" s="69">
        <f t="shared" si="281"/>
        <v>268549</v>
      </c>
      <c r="DF101" s="69">
        <f t="shared" si="281"/>
        <v>8804120</v>
      </c>
      <c r="DG101" s="69">
        <f t="shared" si="281"/>
        <v>17536463</v>
      </c>
      <c r="DH101" s="69">
        <f t="shared" si="281"/>
        <v>4974461</v>
      </c>
      <c r="DI101" s="69">
        <f t="shared" si="281"/>
        <v>1349087</v>
      </c>
      <c r="DJ101" s="69">
        <f t="shared" si="281"/>
        <v>161013</v>
      </c>
      <c r="DK101" s="69">
        <f t="shared" si="281"/>
        <v>640630</v>
      </c>
      <c r="DL101" s="69">
        <f t="shared" si="281"/>
        <v>4843142</v>
      </c>
      <c r="DM101" s="69">
        <f t="shared" si="281"/>
        <v>8228254</v>
      </c>
      <c r="DN101" s="69">
        <f t="shared" si="281"/>
        <v>25550017</v>
      </c>
      <c r="DO101" s="69">
        <f t="shared" si="281"/>
        <v>3154262</v>
      </c>
      <c r="DP101" s="69">
        <f t="shared" si="281"/>
        <v>1009941</v>
      </c>
      <c r="DQ101" s="69">
        <f t="shared" si="281"/>
        <v>1703627</v>
      </c>
      <c r="DR101" s="69">
        <f t="shared" si="281"/>
        <v>22123931</v>
      </c>
      <c r="DS101" s="69">
        <f t="shared" si="281"/>
        <v>31955783</v>
      </c>
      <c r="DT101" s="69">
        <f t="shared" si="281"/>
        <v>730580</v>
      </c>
      <c r="DU101" s="69">
        <f t="shared" si="281"/>
        <v>793132</v>
      </c>
      <c r="DV101" s="69">
        <f t="shared" si="281"/>
        <v>342168</v>
      </c>
      <c r="DW101" s="69">
        <f t="shared" si="281"/>
        <v>4158477</v>
      </c>
      <c r="DX101" s="69">
        <f t="shared" si="281"/>
        <v>1011148</v>
      </c>
      <c r="DY101" s="69">
        <f t="shared" si="281"/>
        <v>5327040</v>
      </c>
      <c r="DZ101" s="69">
        <f t="shared" si="281"/>
        <v>2397701</v>
      </c>
      <c r="EA101" s="69">
        <f t="shared" si="281"/>
        <v>375292</v>
      </c>
      <c r="EB101" s="69">
        <f t="shared" si="281"/>
        <v>317356</v>
      </c>
      <c r="EC101" s="69">
        <f t="shared" si="281"/>
        <v>5687298</v>
      </c>
      <c r="ED101" s="69">
        <f t="shared" si="281"/>
        <v>11302784</v>
      </c>
      <c r="EE101" s="69">
        <f t="shared" si="281"/>
        <v>13358799</v>
      </c>
      <c r="EF101" s="69">
        <f t="shared" ref="EF101:GQ101" si="282">MAX(EF3:EF97)</f>
        <v>8884347</v>
      </c>
      <c r="EG101" s="69">
        <f t="shared" si="282"/>
        <v>2190732</v>
      </c>
      <c r="EH101" s="69">
        <f t="shared" si="282"/>
        <v>288209</v>
      </c>
      <c r="EI101" s="69">
        <f t="shared" si="282"/>
        <v>1338128</v>
      </c>
      <c r="EJ101" s="69">
        <f t="shared" si="282"/>
        <v>9707025</v>
      </c>
      <c r="EK101" s="69">
        <f t="shared" si="282"/>
        <v>11955605</v>
      </c>
      <c r="EL101" s="69">
        <f t="shared" si="282"/>
        <v>151044310</v>
      </c>
      <c r="EM101" s="69">
        <f t="shared" si="282"/>
        <v>40572485</v>
      </c>
      <c r="EN101" s="69">
        <f t="shared" si="282"/>
        <v>4045699</v>
      </c>
      <c r="EO101" s="69">
        <f t="shared" si="282"/>
        <v>15859696</v>
      </c>
      <c r="EP101" s="69">
        <f t="shared" si="282"/>
        <v>54839696</v>
      </c>
      <c r="EQ101" s="69">
        <f t="shared" si="282"/>
        <v>196030398</v>
      </c>
      <c r="ER101" s="69">
        <f t="shared" si="282"/>
        <v>5047904</v>
      </c>
      <c r="ES101" s="69">
        <f t="shared" si="282"/>
        <v>724931</v>
      </c>
      <c r="ET101" s="69">
        <f t="shared" si="282"/>
        <v>845447</v>
      </c>
      <c r="EU101" s="69">
        <f t="shared" si="282"/>
        <v>13052038</v>
      </c>
      <c r="EV101" s="69">
        <f t="shared" si="282"/>
        <v>4676411</v>
      </c>
      <c r="EW101" s="69">
        <f t="shared" si="282"/>
        <v>19564771</v>
      </c>
      <c r="EX101" s="69">
        <f t="shared" si="282"/>
        <v>4279293</v>
      </c>
      <c r="EY101" s="69">
        <f t="shared" si="282"/>
        <v>1406461</v>
      </c>
      <c r="EZ101" s="69">
        <f t="shared" si="282"/>
        <v>239000</v>
      </c>
      <c r="FA101" s="69">
        <f t="shared" si="282"/>
        <v>1245586</v>
      </c>
      <c r="FB101" s="69">
        <f t="shared" si="282"/>
        <v>459563</v>
      </c>
      <c r="FC101" s="69">
        <f t="shared" si="282"/>
        <v>7378442</v>
      </c>
      <c r="FD101" s="69">
        <f t="shared" si="282"/>
        <v>12843289</v>
      </c>
      <c r="FE101" s="69">
        <f t="shared" si="282"/>
        <v>7568110</v>
      </c>
      <c r="FF101" s="69">
        <f t="shared" si="282"/>
        <v>3073240</v>
      </c>
      <c r="FG101" s="69">
        <f t="shared" si="282"/>
        <v>9379217</v>
      </c>
      <c r="FH101" s="69">
        <f t="shared" si="282"/>
        <v>152317</v>
      </c>
      <c r="FI101" s="69">
        <f t="shared" si="282"/>
        <v>26429182</v>
      </c>
      <c r="FJ101" s="69">
        <f t="shared" si="282"/>
        <v>3525000</v>
      </c>
      <c r="FK101" s="69">
        <f t="shared" si="282"/>
        <v>1400000</v>
      </c>
      <c r="FL101" s="69">
        <f t="shared" si="282"/>
        <v>500000</v>
      </c>
      <c r="FM101" s="69">
        <f t="shared" si="282"/>
        <v>613297</v>
      </c>
      <c r="FN101" s="69">
        <f t="shared" si="282"/>
        <v>0</v>
      </c>
      <c r="FO101" s="69">
        <f t="shared" si="282"/>
        <v>5600000</v>
      </c>
      <c r="FP101" s="69">
        <f t="shared" si="282"/>
        <v>3580767</v>
      </c>
      <c r="FQ101" s="69">
        <f t="shared" si="282"/>
        <v>1149537</v>
      </c>
      <c r="FR101" s="69">
        <f t="shared" si="282"/>
        <v>518905</v>
      </c>
      <c r="FS101" s="69">
        <f t="shared" si="282"/>
        <v>2743752</v>
      </c>
      <c r="FT101" s="69">
        <f t="shared" si="282"/>
        <v>29415034</v>
      </c>
      <c r="FU101" s="69">
        <f t="shared" si="282"/>
        <v>35714697</v>
      </c>
      <c r="FV101" s="69">
        <f t="shared" si="282"/>
        <v>32000</v>
      </c>
      <c r="FW101" s="69">
        <f t="shared" si="282"/>
        <v>6250</v>
      </c>
      <c r="FX101" s="69">
        <f t="shared" si="282"/>
        <v>5000</v>
      </c>
      <c r="FY101" s="69">
        <f t="shared" si="282"/>
        <v>23750</v>
      </c>
      <c r="FZ101" s="69">
        <f t="shared" si="282"/>
        <v>160245</v>
      </c>
      <c r="GA101" s="69">
        <f t="shared" si="282"/>
        <v>180747</v>
      </c>
      <c r="GB101" s="69">
        <f t="shared" si="282"/>
        <v>4055763</v>
      </c>
      <c r="GC101" s="69">
        <f t="shared" si="282"/>
        <v>2677470</v>
      </c>
      <c r="GD101" s="69">
        <f t="shared" si="282"/>
        <v>524722</v>
      </c>
      <c r="GE101" s="69">
        <f t="shared" si="282"/>
        <v>4143888</v>
      </c>
      <c r="GF101" s="69">
        <f t="shared" si="282"/>
        <v>984061</v>
      </c>
      <c r="GG101" s="69">
        <f t="shared" si="282"/>
        <v>4846662</v>
      </c>
      <c r="GH101" s="69">
        <f t="shared" si="282"/>
        <v>1280265</v>
      </c>
      <c r="GI101" s="69">
        <f t="shared" si="282"/>
        <v>716888</v>
      </c>
      <c r="GJ101" s="69">
        <f t="shared" si="282"/>
        <v>311887</v>
      </c>
      <c r="GK101" s="69">
        <f t="shared" si="282"/>
        <v>1039853</v>
      </c>
      <c r="GL101" s="69">
        <f t="shared" si="282"/>
        <v>143301</v>
      </c>
      <c r="GM101" s="69">
        <f t="shared" si="282"/>
        <v>2709528</v>
      </c>
      <c r="GN101" s="69">
        <f t="shared" si="282"/>
        <v>3414850</v>
      </c>
      <c r="GO101" s="69">
        <f t="shared" si="282"/>
        <v>2244154</v>
      </c>
      <c r="GP101" s="69">
        <f t="shared" si="282"/>
        <v>1061641</v>
      </c>
      <c r="GQ101" s="69">
        <f t="shared" si="282"/>
        <v>6001050</v>
      </c>
      <c r="GR101" s="69">
        <f t="shared" ref="GR101:JC101" si="283">MAX(GR3:GR97)</f>
        <v>1051836</v>
      </c>
      <c r="GS101" s="69">
        <f t="shared" si="283"/>
        <v>10212903</v>
      </c>
      <c r="GT101" s="69">
        <f t="shared" si="283"/>
        <v>2185012</v>
      </c>
      <c r="GU101" s="69">
        <f t="shared" si="283"/>
        <v>703751</v>
      </c>
      <c r="GV101" s="69">
        <f t="shared" si="283"/>
        <v>304950</v>
      </c>
      <c r="GW101" s="69">
        <f t="shared" si="283"/>
        <v>2426898</v>
      </c>
      <c r="GX101" s="69">
        <f t="shared" si="283"/>
        <v>2670879</v>
      </c>
      <c r="GY101" s="69">
        <f t="shared" si="283"/>
        <v>5406142</v>
      </c>
      <c r="GZ101" s="69">
        <f t="shared" si="283"/>
        <v>10723293</v>
      </c>
      <c r="HA101" s="69">
        <f t="shared" si="283"/>
        <v>1946546</v>
      </c>
      <c r="HB101" s="69">
        <f t="shared" si="283"/>
        <v>958950</v>
      </c>
      <c r="HC101" s="69">
        <f t="shared" si="283"/>
        <v>2436751</v>
      </c>
      <c r="HD101" s="69">
        <f t="shared" si="283"/>
        <v>11771312</v>
      </c>
      <c r="HE101" s="69">
        <f t="shared" si="283"/>
        <v>18764617</v>
      </c>
      <c r="HF101" s="69">
        <f t="shared" si="283"/>
        <v>4784817</v>
      </c>
      <c r="HG101" s="69">
        <f t="shared" si="283"/>
        <v>1097513</v>
      </c>
      <c r="HH101" s="69">
        <f t="shared" si="283"/>
        <v>191778</v>
      </c>
      <c r="HI101" s="69">
        <f t="shared" si="283"/>
        <v>732389</v>
      </c>
      <c r="HJ101" s="69">
        <f t="shared" si="283"/>
        <v>4825093</v>
      </c>
      <c r="HK101" s="69">
        <f t="shared" si="283"/>
        <v>7168059</v>
      </c>
      <c r="HL101" s="69">
        <f t="shared" si="283"/>
        <v>601283</v>
      </c>
      <c r="HM101" s="69">
        <f t="shared" si="283"/>
        <v>345523</v>
      </c>
      <c r="HN101" s="69">
        <f t="shared" si="283"/>
        <v>202215</v>
      </c>
      <c r="HO101" s="69">
        <f t="shared" si="283"/>
        <v>2346913</v>
      </c>
      <c r="HP101" s="69">
        <f t="shared" si="283"/>
        <v>906819</v>
      </c>
      <c r="HQ101" s="69">
        <f t="shared" si="283"/>
        <v>3034623</v>
      </c>
      <c r="HR101" s="69">
        <f t="shared" si="283"/>
        <v>12743623</v>
      </c>
      <c r="HS101" s="69">
        <f t="shared" si="283"/>
        <v>4456413</v>
      </c>
      <c r="HT101" s="69">
        <f t="shared" si="283"/>
        <v>1391903</v>
      </c>
      <c r="HU101" s="69">
        <f t="shared" si="283"/>
        <v>8042767</v>
      </c>
      <c r="HV101" s="69">
        <f t="shared" si="283"/>
        <v>29776106</v>
      </c>
      <c r="HW101" s="69">
        <f t="shared" si="283"/>
        <v>38168604</v>
      </c>
      <c r="HX101" s="69">
        <f t="shared" si="283"/>
        <v>946500</v>
      </c>
      <c r="HY101" s="69">
        <f t="shared" si="283"/>
        <v>174976</v>
      </c>
      <c r="HZ101" s="69">
        <f t="shared" si="283"/>
        <v>87195</v>
      </c>
      <c r="IA101" s="69">
        <f t="shared" si="283"/>
        <v>147900</v>
      </c>
      <c r="IB101" s="69">
        <f t="shared" si="283"/>
        <v>1263780</v>
      </c>
      <c r="IC101" s="69">
        <f t="shared" si="283"/>
        <v>1357269</v>
      </c>
      <c r="ID101" s="69">
        <f t="shared" si="283"/>
        <v>1461928</v>
      </c>
      <c r="IE101" s="69">
        <f t="shared" si="283"/>
        <v>1028506</v>
      </c>
      <c r="IF101" s="69">
        <f t="shared" si="283"/>
        <v>1027121</v>
      </c>
      <c r="IG101" s="69">
        <f t="shared" si="283"/>
        <v>1720778</v>
      </c>
      <c r="IH101" s="69">
        <f t="shared" si="283"/>
        <v>7826035</v>
      </c>
      <c r="II101" s="69">
        <f t="shared" si="283"/>
        <v>7826035</v>
      </c>
      <c r="IJ101" s="69">
        <f t="shared" si="283"/>
        <v>1240808</v>
      </c>
      <c r="IK101" s="69">
        <f t="shared" si="283"/>
        <v>118476</v>
      </c>
      <c r="IL101" s="69">
        <f t="shared" si="283"/>
        <v>85082</v>
      </c>
      <c r="IM101" s="69">
        <f t="shared" si="283"/>
        <v>2412494</v>
      </c>
      <c r="IN101" s="69">
        <f t="shared" si="283"/>
        <v>2482998</v>
      </c>
      <c r="IO101" s="69">
        <f t="shared" si="283"/>
        <v>2844413</v>
      </c>
      <c r="IP101" s="69">
        <f t="shared" si="283"/>
        <v>252500</v>
      </c>
      <c r="IQ101" s="69">
        <f t="shared" si="283"/>
        <v>145510</v>
      </c>
      <c r="IR101" s="69">
        <f t="shared" si="283"/>
        <v>115279</v>
      </c>
      <c r="IS101" s="69">
        <f t="shared" si="283"/>
        <v>128895</v>
      </c>
      <c r="IT101" s="69">
        <f t="shared" si="283"/>
        <v>6518070</v>
      </c>
      <c r="IU101" s="69">
        <f t="shared" si="283"/>
        <v>6536330</v>
      </c>
      <c r="IV101" s="69">
        <f t="shared" si="283"/>
        <v>15289224</v>
      </c>
      <c r="IW101" s="69">
        <f t="shared" si="283"/>
        <v>5350100</v>
      </c>
      <c r="IX101" s="69">
        <f t="shared" si="283"/>
        <v>531458</v>
      </c>
      <c r="IY101" s="69">
        <f t="shared" si="283"/>
        <v>5543031</v>
      </c>
      <c r="IZ101" s="69">
        <f t="shared" si="283"/>
        <v>18482366</v>
      </c>
      <c r="JA101" s="69">
        <f t="shared" si="283"/>
        <v>30248533</v>
      </c>
      <c r="JB101" s="69">
        <f t="shared" si="283"/>
        <v>49639258</v>
      </c>
      <c r="JC101" s="69">
        <f t="shared" si="283"/>
        <v>16354976</v>
      </c>
      <c r="JD101" s="69">
        <f t="shared" ref="JD101:JS101" si="284">MAX(JD3:JD97)</f>
        <v>6323854</v>
      </c>
      <c r="JE101" s="69">
        <f t="shared" si="284"/>
        <v>67528260</v>
      </c>
      <c r="JF101" s="69">
        <f t="shared" si="284"/>
        <v>81255887</v>
      </c>
      <c r="JG101" s="69">
        <f t="shared" si="284"/>
        <v>154128874</v>
      </c>
      <c r="JH101" s="69">
        <f t="shared" si="284"/>
        <v>1980005</v>
      </c>
      <c r="JI101" s="69">
        <f t="shared" si="284"/>
        <v>582501</v>
      </c>
      <c r="JJ101" s="69">
        <f t="shared" si="284"/>
        <v>50450</v>
      </c>
      <c r="JK101" s="69">
        <f t="shared" si="284"/>
        <v>123215</v>
      </c>
      <c r="JL101" s="69">
        <f t="shared" si="284"/>
        <v>9721719</v>
      </c>
      <c r="JM101" s="69">
        <f t="shared" si="284"/>
        <v>9721719</v>
      </c>
      <c r="JN101" s="69">
        <f t="shared" si="284"/>
        <v>50146314</v>
      </c>
      <c r="JO101" s="69">
        <f t="shared" si="284"/>
        <v>16354976</v>
      </c>
      <c r="JP101" s="69">
        <f t="shared" si="284"/>
        <v>6323854</v>
      </c>
      <c r="JQ101" s="69">
        <f t="shared" si="284"/>
        <v>33427908</v>
      </c>
      <c r="JR101" s="69">
        <f t="shared" si="284"/>
        <v>90977606</v>
      </c>
      <c r="JS101" s="69">
        <f t="shared" si="284"/>
        <v>163850593</v>
      </c>
    </row>
    <row r="102" spans="1:361" x14ac:dyDescent="0.15">
      <c r="A102" s="67" t="s">
        <v>595</v>
      </c>
      <c r="B102" s="68"/>
      <c r="G102" s="69">
        <f>AVERAGE(G3:G97)</f>
        <v>9971.9333333333325</v>
      </c>
      <c r="H102" s="69">
        <f t="shared" ref="H102:BS102" si="285">AVERAGE(H3:H97)</f>
        <v>10644.122222222222</v>
      </c>
      <c r="I102" s="69">
        <f t="shared" si="285"/>
        <v>1204199469.0888889</v>
      </c>
      <c r="J102" s="69">
        <f t="shared" si="285"/>
        <v>1150373178.2643678</v>
      </c>
      <c r="K102" s="69">
        <f t="shared" si="285"/>
        <v>5413524.0109890113</v>
      </c>
      <c r="L102" s="69">
        <f t="shared" si="285"/>
        <v>4706857.0459770113</v>
      </c>
      <c r="M102" s="69">
        <f t="shared" si="285"/>
        <v>48076870.325842693</v>
      </c>
      <c r="N102" s="69">
        <f t="shared" si="285"/>
        <v>49968175.919540226</v>
      </c>
      <c r="O102" s="69">
        <f t="shared" si="285"/>
        <v>68929174.788888887</v>
      </c>
      <c r="P102" s="69">
        <f t="shared" si="285"/>
        <v>64759330.611764707</v>
      </c>
      <c r="Q102" s="69">
        <f t="shared" si="285"/>
        <v>579447719.86363637</v>
      </c>
      <c r="R102" s="69">
        <f t="shared" si="285"/>
        <v>556860166.32558143</v>
      </c>
      <c r="S102" s="69">
        <f t="shared" si="285"/>
        <v>842174719.06741571</v>
      </c>
      <c r="T102" s="69">
        <f t="shared" si="285"/>
        <v>850712176.88372087</v>
      </c>
      <c r="U102" s="69">
        <f t="shared" si="285"/>
        <v>20080.385168539327</v>
      </c>
      <c r="V102" s="69">
        <f t="shared" si="285"/>
        <v>19368.528162790699</v>
      </c>
      <c r="W102" s="69">
        <f t="shared" si="285"/>
        <v>34046.135730337082</v>
      </c>
      <c r="X102" s="69">
        <f t="shared" si="285"/>
        <v>32985.511627906977</v>
      </c>
      <c r="Y102" s="69">
        <f t="shared" si="285"/>
        <v>23515.887640449437</v>
      </c>
      <c r="Z102" s="69">
        <f t="shared" si="285"/>
        <v>22813.094117647059</v>
      </c>
      <c r="AA102" s="69">
        <f t="shared" si="285"/>
        <v>37693.651685393255</v>
      </c>
      <c r="AB102" s="69">
        <f t="shared" si="285"/>
        <v>36351.860465116282</v>
      </c>
      <c r="AC102" s="69">
        <f t="shared" si="285"/>
        <v>8.5217391304347831</v>
      </c>
      <c r="AD102" s="69">
        <f t="shared" si="285"/>
        <v>10.934782608695652</v>
      </c>
      <c r="AE102" s="69">
        <f t="shared" si="285"/>
        <v>7.6086956521739135E-2</v>
      </c>
      <c r="AF102" s="69">
        <f t="shared" si="285"/>
        <v>4704281.5407608692</v>
      </c>
      <c r="AG102" s="69">
        <f t="shared" si="285"/>
        <v>3620848.4079347821</v>
      </c>
      <c r="AH102" s="69">
        <f t="shared" si="285"/>
        <v>698103.15695652168</v>
      </c>
      <c r="AI102" s="69">
        <f t="shared" si="285"/>
        <v>308218.875</v>
      </c>
      <c r="AJ102" s="69">
        <f t="shared" si="285"/>
        <v>652552.18630410579</v>
      </c>
      <c r="AK102" s="69">
        <f t="shared" si="285"/>
        <v>6.4622222222222216</v>
      </c>
      <c r="AL102" s="69">
        <f t="shared" si="285"/>
        <v>579808.18756525579</v>
      </c>
      <c r="AM102" s="69">
        <f t="shared" si="285"/>
        <v>7.1833333333333336</v>
      </c>
      <c r="AN102" s="69">
        <f t="shared" si="285"/>
        <v>177552.88274003845</v>
      </c>
      <c r="AO102" s="69">
        <f t="shared" si="285"/>
        <v>8.4192222222222242</v>
      </c>
      <c r="AP102" s="69">
        <f t="shared" si="285"/>
        <v>158387.73238953023</v>
      </c>
      <c r="AQ102" s="69">
        <f t="shared" si="285"/>
        <v>9.2277777777777779</v>
      </c>
      <c r="AR102" s="69">
        <f t="shared" si="285"/>
        <v>196431.36796547461</v>
      </c>
      <c r="AS102" s="69">
        <f t="shared" si="285"/>
        <v>19.854444444444447</v>
      </c>
      <c r="AT102" s="69">
        <f t="shared" si="285"/>
        <v>168227.36041752319</v>
      </c>
      <c r="AU102" s="69">
        <f t="shared" si="285"/>
        <v>22.922222222222221</v>
      </c>
      <c r="AV102" s="69">
        <f t="shared" si="285"/>
        <v>77970.713468869799</v>
      </c>
      <c r="AW102" s="69">
        <f t="shared" si="285"/>
        <v>15.578888888888887</v>
      </c>
      <c r="AX102" s="69">
        <f t="shared" si="285"/>
        <v>66595.365381177457</v>
      </c>
      <c r="AY102" s="69">
        <f t="shared" si="285"/>
        <v>18.366666666666667</v>
      </c>
      <c r="AZ102" s="69">
        <f t="shared" si="285"/>
        <v>9885486.3263157886</v>
      </c>
      <c r="BA102" s="69">
        <f t="shared" si="285"/>
        <v>2535247.6210526316</v>
      </c>
      <c r="BB102" s="69">
        <f t="shared" si="285"/>
        <v>151344.03157894738</v>
      </c>
      <c r="BC102" s="69">
        <f t="shared" si="285"/>
        <v>529221.22105263162</v>
      </c>
      <c r="BD102" s="69">
        <f t="shared" si="285"/>
        <v>276982.44210526318</v>
      </c>
      <c r="BE102" s="69">
        <f t="shared" si="285"/>
        <v>13378281.642105263</v>
      </c>
      <c r="BF102" s="69">
        <f t="shared" si="285"/>
        <v>450635.8</v>
      </c>
      <c r="BG102" s="69">
        <f t="shared" si="285"/>
        <v>119042.64210526316</v>
      </c>
      <c r="BH102" s="69">
        <f t="shared" si="285"/>
        <v>144360.47368421053</v>
      </c>
      <c r="BI102" s="69">
        <f t="shared" si="285"/>
        <v>662685</v>
      </c>
      <c r="BJ102" s="69">
        <f t="shared" si="285"/>
        <v>3511650.103578948</v>
      </c>
      <c r="BK102" s="69">
        <f t="shared" si="285"/>
        <v>4881398.3877894739</v>
      </c>
      <c r="BL102" s="69">
        <f t="shared" si="285"/>
        <v>842223.67368421052</v>
      </c>
      <c r="BM102" s="69">
        <f t="shared" si="285"/>
        <v>110511.95789473684</v>
      </c>
      <c r="BN102" s="69">
        <f t="shared" si="285"/>
        <v>5910.5263157894733</v>
      </c>
      <c r="BO102" s="69">
        <f t="shared" si="285"/>
        <v>22038.652631578949</v>
      </c>
      <c r="BP102" s="69">
        <f t="shared" si="285"/>
        <v>0</v>
      </c>
      <c r="BQ102" s="69">
        <f t="shared" si="285"/>
        <v>980684.81052631582</v>
      </c>
      <c r="BR102" s="69">
        <f t="shared" si="285"/>
        <v>6180058.2985263159</v>
      </c>
      <c r="BS102" s="69">
        <f t="shared" si="285"/>
        <v>1019516.1289473685</v>
      </c>
      <c r="BT102" s="69">
        <f t="shared" ref="BT102:EE102" si="286">AVERAGE(BT3:BT97)</f>
        <v>157879</v>
      </c>
      <c r="BU102" s="69">
        <f t="shared" si="286"/>
        <v>1292076.909368421</v>
      </c>
      <c r="BV102" s="69">
        <f t="shared" si="286"/>
        <v>5412464.9422105262</v>
      </c>
      <c r="BW102" s="69">
        <f t="shared" si="286"/>
        <v>14061995.275684211</v>
      </c>
      <c r="BX102" s="69">
        <f t="shared" si="286"/>
        <v>76313.115789473683</v>
      </c>
      <c r="BY102" s="69">
        <f t="shared" si="286"/>
        <v>35238.663157894734</v>
      </c>
      <c r="BZ102" s="69">
        <f t="shared" si="286"/>
        <v>9363.6947368421061</v>
      </c>
      <c r="CA102" s="69">
        <f t="shared" si="286"/>
        <v>30199.610526315788</v>
      </c>
      <c r="CB102" s="69">
        <f t="shared" si="286"/>
        <v>60286.210526315786</v>
      </c>
      <c r="CC102" s="69">
        <f t="shared" si="286"/>
        <v>211401.2947368421</v>
      </c>
      <c r="CD102" s="69">
        <f t="shared" si="286"/>
        <v>15398.526315789473</v>
      </c>
      <c r="CE102" s="69">
        <f t="shared" si="286"/>
        <v>3160.136842105263</v>
      </c>
      <c r="CF102" s="69">
        <f t="shared" si="286"/>
        <v>5442.0947368421057</v>
      </c>
      <c r="CG102" s="69">
        <f t="shared" si="286"/>
        <v>35501.800000000003</v>
      </c>
      <c r="CH102" s="69">
        <f t="shared" si="286"/>
        <v>228215.2</v>
      </c>
      <c r="CI102" s="69">
        <f t="shared" si="286"/>
        <v>287717.75789473683</v>
      </c>
      <c r="CJ102" s="69">
        <f t="shared" si="286"/>
        <v>518200.85147368419</v>
      </c>
      <c r="CK102" s="69">
        <f t="shared" si="286"/>
        <v>164777.38926315791</v>
      </c>
      <c r="CL102" s="69">
        <f t="shared" si="286"/>
        <v>179168.14138297871</v>
      </c>
      <c r="CM102" s="69">
        <f t="shared" si="286"/>
        <v>1102219.1791489362</v>
      </c>
      <c r="CN102" s="69">
        <f t="shared" si="286"/>
        <v>3040845.704315789</v>
      </c>
      <c r="CO102" s="69">
        <f t="shared" si="286"/>
        <v>4991722.9796842104</v>
      </c>
      <c r="CP102" s="69">
        <f t="shared" si="286"/>
        <v>65842.052631578947</v>
      </c>
      <c r="CQ102" s="69">
        <f t="shared" si="286"/>
        <v>29401.757894736842</v>
      </c>
      <c r="CR102" s="69">
        <f t="shared" si="286"/>
        <v>24497.642105263159</v>
      </c>
      <c r="CS102" s="69">
        <f t="shared" si="286"/>
        <v>79592.421052631573</v>
      </c>
      <c r="CT102" s="69">
        <f t="shared" si="286"/>
        <v>1053847.0443157896</v>
      </c>
      <c r="CU102" s="69">
        <f t="shared" si="286"/>
        <v>1253180.9179999998</v>
      </c>
      <c r="CV102" s="69">
        <f t="shared" si="286"/>
        <v>7787472.0210526315</v>
      </c>
      <c r="CW102" s="69">
        <f t="shared" si="286"/>
        <v>2772121.9789473685</v>
      </c>
      <c r="CX102" s="69">
        <f t="shared" si="286"/>
        <v>38694.884210526317</v>
      </c>
      <c r="CY102" s="69">
        <f t="shared" si="286"/>
        <v>198338.27368421052</v>
      </c>
      <c r="CZ102" s="69">
        <f t="shared" si="286"/>
        <v>2210465.8636842105</v>
      </c>
      <c r="DA102" s="69">
        <f t="shared" si="286"/>
        <v>13007093.019578949</v>
      </c>
      <c r="DB102" s="69">
        <f t="shared" si="286"/>
        <v>489137.12631578947</v>
      </c>
      <c r="DC102" s="69">
        <f t="shared" si="286"/>
        <v>172009.15789473685</v>
      </c>
      <c r="DD102" s="69">
        <f t="shared" si="286"/>
        <v>16403.484210526316</v>
      </c>
      <c r="DE102" s="69">
        <f t="shared" si="286"/>
        <v>5005.8736842105263</v>
      </c>
      <c r="DF102" s="69">
        <f t="shared" si="286"/>
        <v>875383.05319148931</v>
      </c>
      <c r="DG102" s="69">
        <f t="shared" si="286"/>
        <v>1548724.1368421053</v>
      </c>
      <c r="DH102" s="69">
        <f t="shared" si="286"/>
        <v>820502.71800000011</v>
      </c>
      <c r="DI102" s="69">
        <f t="shared" si="286"/>
        <v>153420.60389473682</v>
      </c>
      <c r="DJ102" s="69">
        <f t="shared" si="286"/>
        <v>21762.195157894737</v>
      </c>
      <c r="DK102" s="69">
        <f t="shared" si="286"/>
        <v>82075.935578947363</v>
      </c>
      <c r="DL102" s="69">
        <f t="shared" si="286"/>
        <v>396586.85106382979</v>
      </c>
      <c r="DM102" s="69">
        <f t="shared" si="286"/>
        <v>1470173.696</v>
      </c>
      <c r="DN102" s="69">
        <f t="shared" si="286"/>
        <v>990360.48421052634</v>
      </c>
      <c r="DO102" s="69">
        <f t="shared" si="286"/>
        <v>263178.57894736843</v>
      </c>
      <c r="DP102" s="69">
        <f t="shared" si="286"/>
        <v>53679.574468085106</v>
      </c>
      <c r="DQ102" s="69">
        <f t="shared" si="286"/>
        <v>196774.75789473683</v>
      </c>
      <c r="DR102" s="69">
        <f t="shared" si="286"/>
        <v>3175745.9843157893</v>
      </c>
      <c r="DS102" s="69">
        <f t="shared" si="286"/>
        <v>4679174.3316842103</v>
      </c>
      <c r="DT102" s="69">
        <f t="shared" si="286"/>
        <v>62033.073684210525</v>
      </c>
      <c r="DU102" s="69">
        <f t="shared" si="286"/>
        <v>54468.357894736844</v>
      </c>
      <c r="DV102" s="69">
        <f t="shared" si="286"/>
        <v>21172.6</v>
      </c>
      <c r="DW102" s="69">
        <f t="shared" si="286"/>
        <v>321505.46315789473</v>
      </c>
      <c r="DX102" s="69">
        <f t="shared" si="286"/>
        <v>54631.094736842104</v>
      </c>
      <c r="DY102" s="69">
        <f t="shared" si="286"/>
        <v>513810.59105263156</v>
      </c>
      <c r="DZ102" s="69">
        <f t="shared" si="286"/>
        <v>123303.7972631579</v>
      </c>
      <c r="EA102" s="69">
        <f t="shared" si="286"/>
        <v>31101.860526315788</v>
      </c>
      <c r="EB102" s="69">
        <f t="shared" si="286"/>
        <v>17482.490842105261</v>
      </c>
      <c r="EC102" s="69">
        <f t="shared" si="286"/>
        <v>213293.33557894739</v>
      </c>
      <c r="ED102" s="69">
        <f t="shared" si="286"/>
        <v>882607.79884210532</v>
      </c>
      <c r="EE102" s="69">
        <f t="shared" si="286"/>
        <v>1267789.280631579</v>
      </c>
      <c r="EF102" s="69">
        <f t="shared" ref="EF102:GQ102" si="287">AVERAGE(EF3:EF97)</f>
        <v>236799.07452631576</v>
      </c>
      <c r="EG102" s="69">
        <f t="shared" si="287"/>
        <v>64312.336842105266</v>
      </c>
      <c r="EH102" s="69">
        <f t="shared" si="287"/>
        <v>13377.4</v>
      </c>
      <c r="EI102" s="69">
        <f t="shared" si="287"/>
        <v>111874.80968421053</v>
      </c>
      <c r="EJ102" s="69">
        <f t="shared" si="287"/>
        <v>1237204.9550526317</v>
      </c>
      <c r="EK102" s="69">
        <f t="shared" si="287"/>
        <v>1663568.5791578945</v>
      </c>
      <c r="EL102" s="69">
        <f t="shared" si="287"/>
        <v>28709010.234526314</v>
      </c>
      <c r="EM102" s="69">
        <f t="shared" si="287"/>
        <v>7532997.519473684</v>
      </c>
      <c r="EN102" s="69">
        <f t="shared" si="287"/>
        <v>860632.27852631593</v>
      </c>
      <c r="EO102" s="69">
        <f t="shared" si="287"/>
        <v>4926201.3885263158</v>
      </c>
      <c r="EP102" s="69">
        <f t="shared" si="287"/>
        <v>22893174.733157896</v>
      </c>
      <c r="EQ102" s="69">
        <f t="shared" si="287"/>
        <v>64922016.143473685</v>
      </c>
      <c r="ER102" s="69">
        <f t="shared" si="287"/>
        <v>2832079.865263158</v>
      </c>
      <c r="ES102" s="69">
        <f t="shared" si="287"/>
        <v>453075.42115789477</v>
      </c>
      <c r="ET102" s="69">
        <f t="shared" si="287"/>
        <v>473917.00789473683</v>
      </c>
      <c r="EU102" s="69">
        <f t="shared" si="287"/>
        <v>4576243.5583157893</v>
      </c>
      <c r="EV102" s="69">
        <f t="shared" si="287"/>
        <v>410203.53831578948</v>
      </c>
      <c r="EW102" s="69">
        <f t="shared" si="287"/>
        <v>8745519.3833684213</v>
      </c>
      <c r="EX102" s="69">
        <f t="shared" si="287"/>
        <v>1051840.452631579</v>
      </c>
      <c r="EY102" s="69">
        <f t="shared" si="287"/>
        <v>382375.25263157894</v>
      </c>
      <c r="EZ102" s="69">
        <f t="shared" si="287"/>
        <v>61477.357894736844</v>
      </c>
      <c r="FA102" s="69">
        <f t="shared" si="287"/>
        <v>65260.210526315786</v>
      </c>
      <c r="FB102" s="69">
        <f t="shared" si="287"/>
        <v>10605.484210526316</v>
      </c>
      <c r="FC102" s="69">
        <f t="shared" si="287"/>
        <v>1571558.7578947369</v>
      </c>
      <c r="FD102" s="69">
        <f t="shared" si="287"/>
        <v>4540708</v>
      </c>
      <c r="FE102" s="69">
        <f t="shared" si="287"/>
        <v>2120415.9684210527</v>
      </c>
      <c r="FF102" s="69">
        <f t="shared" si="287"/>
        <v>880255.84210526315</v>
      </c>
      <c r="FG102" s="69">
        <f t="shared" si="287"/>
        <v>3444516.6315789474</v>
      </c>
      <c r="FH102" s="69">
        <f t="shared" si="287"/>
        <v>1937.4483157894722</v>
      </c>
      <c r="FI102" s="69">
        <f t="shared" si="287"/>
        <v>10987833.890421053</v>
      </c>
      <c r="FJ102" s="69">
        <f t="shared" si="287"/>
        <v>77643.84210526316</v>
      </c>
      <c r="FK102" s="69">
        <f t="shared" si="287"/>
        <v>38312.747368421049</v>
      </c>
      <c r="FL102" s="69">
        <f t="shared" si="287"/>
        <v>9561.6421052631576</v>
      </c>
      <c r="FM102" s="69">
        <f t="shared" si="287"/>
        <v>29170.36842105263</v>
      </c>
      <c r="FN102" s="69">
        <f t="shared" si="287"/>
        <v>0</v>
      </c>
      <c r="FO102" s="69">
        <f t="shared" si="287"/>
        <v>154688.6</v>
      </c>
      <c r="FP102" s="69">
        <f t="shared" si="287"/>
        <v>940536.63231578935</v>
      </c>
      <c r="FQ102" s="69">
        <f t="shared" si="287"/>
        <v>272387.5</v>
      </c>
      <c r="FR102" s="69">
        <f t="shared" si="287"/>
        <v>165472.52368421052</v>
      </c>
      <c r="FS102" s="69">
        <f t="shared" si="287"/>
        <v>335527.48084210529</v>
      </c>
      <c r="FT102" s="69">
        <f t="shared" si="287"/>
        <v>8529062.9022105262</v>
      </c>
      <c r="FU102" s="69">
        <f t="shared" si="287"/>
        <v>10242987.031894736</v>
      </c>
      <c r="FV102" s="69">
        <f t="shared" si="287"/>
        <v>1791.6736842105263</v>
      </c>
      <c r="FW102" s="69">
        <f t="shared" si="287"/>
        <v>272.94736842105266</v>
      </c>
      <c r="FX102" s="69">
        <f t="shared" si="287"/>
        <v>186.44210526315788</v>
      </c>
      <c r="FY102" s="69">
        <f t="shared" si="287"/>
        <v>472.5263157894737</v>
      </c>
      <c r="FZ102" s="69">
        <f t="shared" si="287"/>
        <v>13041.557894736841</v>
      </c>
      <c r="GA102" s="69">
        <f t="shared" si="287"/>
        <v>15765.147368421052</v>
      </c>
      <c r="GB102" s="69">
        <f t="shared" si="287"/>
        <v>215111.05263157896</v>
      </c>
      <c r="GC102" s="69">
        <f t="shared" si="287"/>
        <v>99199.85263157895</v>
      </c>
      <c r="GD102" s="69">
        <f t="shared" si="287"/>
        <v>21452.557894736841</v>
      </c>
      <c r="GE102" s="69">
        <f t="shared" si="287"/>
        <v>73383.621052631584</v>
      </c>
      <c r="GF102" s="69">
        <f t="shared" si="287"/>
        <v>52676.221052631576</v>
      </c>
      <c r="GG102" s="69">
        <f t="shared" si="287"/>
        <v>461823.30526315788</v>
      </c>
      <c r="GH102" s="69">
        <f t="shared" si="287"/>
        <v>386604.69578947371</v>
      </c>
      <c r="GI102" s="69">
        <f t="shared" si="287"/>
        <v>175552.85578947369</v>
      </c>
      <c r="GJ102" s="69">
        <f t="shared" si="287"/>
        <v>109498.85157894737</v>
      </c>
      <c r="GK102" s="69">
        <f t="shared" si="287"/>
        <v>320379.5336842105</v>
      </c>
      <c r="GL102" s="69">
        <f t="shared" si="287"/>
        <v>7330.4631578947365</v>
      </c>
      <c r="GM102" s="69">
        <f t="shared" si="287"/>
        <v>999366.39936842106</v>
      </c>
      <c r="GN102" s="69">
        <f t="shared" si="287"/>
        <v>1363804.9002105263</v>
      </c>
      <c r="GO102" s="69">
        <f t="shared" si="287"/>
        <v>622661.10694736836</v>
      </c>
      <c r="GP102" s="69">
        <f t="shared" si="287"/>
        <v>387574.22578947374</v>
      </c>
      <c r="GQ102" s="69">
        <f t="shared" si="287"/>
        <v>1887824.0723157895</v>
      </c>
      <c r="GR102" s="69">
        <f t="shared" ref="GR102:JC102" si="288">AVERAGE(GR3:GR97)</f>
        <v>79456.010526315789</v>
      </c>
      <c r="GS102" s="69">
        <f t="shared" si="288"/>
        <v>4341320.315157895</v>
      </c>
      <c r="GT102" s="69">
        <f t="shared" si="288"/>
        <v>648773.33410526323</v>
      </c>
      <c r="GU102" s="69">
        <f t="shared" si="288"/>
        <v>108864.44273684209</v>
      </c>
      <c r="GV102" s="69">
        <f t="shared" si="288"/>
        <v>68247.913789473678</v>
      </c>
      <c r="GW102" s="69">
        <f t="shared" si="288"/>
        <v>660806.70936842111</v>
      </c>
      <c r="GX102" s="69">
        <f t="shared" si="288"/>
        <v>346539.69915789476</v>
      </c>
      <c r="GY102" s="69">
        <f t="shared" si="288"/>
        <v>1833232.0937894736</v>
      </c>
      <c r="GZ102" s="69">
        <f t="shared" si="288"/>
        <v>1346303.0844210526</v>
      </c>
      <c r="HA102" s="69">
        <f t="shared" si="288"/>
        <v>388434.1402105263</v>
      </c>
      <c r="HB102" s="69">
        <f t="shared" si="288"/>
        <v>190795.62452631578</v>
      </c>
      <c r="HC102" s="69">
        <f t="shared" si="288"/>
        <v>410302.3192631579</v>
      </c>
      <c r="HD102" s="69">
        <f t="shared" si="288"/>
        <v>476222.06947368424</v>
      </c>
      <c r="HE102" s="69">
        <f t="shared" si="288"/>
        <v>2812057.2417894737</v>
      </c>
      <c r="HF102" s="69">
        <f t="shared" si="288"/>
        <v>254214.30663157895</v>
      </c>
      <c r="HG102" s="69">
        <f t="shared" si="288"/>
        <v>62169.027578947367</v>
      </c>
      <c r="HH102" s="69">
        <f t="shared" si="288"/>
        <v>22235.089578947365</v>
      </c>
      <c r="HI102" s="69">
        <f t="shared" si="288"/>
        <v>71510.923578947375</v>
      </c>
      <c r="HJ102" s="69">
        <f t="shared" si="288"/>
        <v>1214036.0649473683</v>
      </c>
      <c r="HK102" s="69">
        <f t="shared" si="288"/>
        <v>1624165.4022105262</v>
      </c>
      <c r="HL102" s="69">
        <f t="shared" si="288"/>
        <v>41961.051368421053</v>
      </c>
      <c r="HM102" s="69">
        <f t="shared" si="288"/>
        <v>32899.310421052636</v>
      </c>
      <c r="HN102" s="69">
        <f t="shared" si="288"/>
        <v>13367.103894736843</v>
      </c>
      <c r="HO102" s="69">
        <f t="shared" si="288"/>
        <v>161186.28168421052</v>
      </c>
      <c r="HP102" s="69">
        <f t="shared" si="288"/>
        <v>35311.501578947369</v>
      </c>
      <c r="HQ102" s="69">
        <f t="shared" si="288"/>
        <v>284725.25189473684</v>
      </c>
      <c r="HR102" s="69">
        <f t="shared" si="288"/>
        <v>1372465.9695789474</v>
      </c>
      <c r="HS102" s="69">
        <f t="shared" si="288"/>
        <v>225716.56315789474</v>
      </c>
      <c r="HT102" s="69">
        <f t="shared" si="288"/>
        <v>99003.257894736846</v>
      </c>
      <c r="HU102" s="69">
        <f t="shared" si="288"/>
        <v>639330.49357894738</v>
      </c>
      <c r="HV102" s="69">
        <f t="shared" si="288"/>
        <v>6960576.3412631582</v>
      </c>
      <c r="HW102" s="69">
        <f t="shared" si="288"/>
        <v>9297092.6195789482</v>
      </c>
      <c r="HX102" s="69">
        <f t="shared" si="288"/>
        <v>61040.520000000004</v>
      </c>
      <c r="HY102" s="69">
        <f t="shared" si="288"/>
        <v>6426.3610526315797</v>
      </c>
      <c r="HZ102" s="69">
        <f t="shared" si="288"/>
        <v>4188.8136842105259</v>
      </c>
      <c r="IA102" s="69">
        <f t="shared" si="288"/>
        <v>5440.2315789473687</v>
      </c>
      <c r="IB102" s="69">
        <f t="shared" si="288"/>
        <v>209682.05852631581</v>
      </c>
      <c r="IC102" s="69">
        <f t="shared" si="288"/>
        <v>286777.98484210524</v>
      </c>
      <c r="ID102" s="69">
        <f t="shared" si="288"/>
        <v>67286.064631578949</v>
      </c>
      <c r="IE102" s="69">
        <f t="shared" si="288"/>
        <v>30230.465789473685</v>
      </c>
      <c r="IF102" s="69">
        <f t="shared" si="288"/>
        <v>25079.298421052634</v>
      </c>
      <c r="IG102" s="69">
        <f t="shared" si="288"/>
        <v>80778.0027368421</v>
      </c>
      <c r="IH102" s="69">
        <f t="shared" si="288"/>
        <v>1049807.2970526316</v>
      </c>
      <c r="II102" s="69">
        <f t="shared" si="288"/>
        <v>1253181.1285263158</v>
      </c>
      <c r="IJ102" s="69">
        <f t="shared" si="288"/>
        <v>100675.51663157895</v>
      </c>
      <c r="IK102" s="69">
        <f t="shared" si="288"/>
        <v>14628.119999999999</v>
      </c>
      <c r="IL102" s="69">
        <f t="shared" si="288"/>
        <v>11107.336736842106</v>
      </c>
      <c r="IM102" s="69">
        <f t="shared" si="288"/>
        <v>153473.27926315789</v>
      </c>
      <c r="IN102" s="69">
        <f t="shared" si="288"/>
        <v>565720.59284210531</v>
      </c>
      <c r="IO102" s="69">
        <f t="shared" si="288"/>
        <v>845604.8394736842</v>
      </c>
      <c r="IP102" s="69">
        <f t="shared" si="288"/>
        <v>12149.893617021276</v>
      </c>
      <c r="IQ102" s="69">
        <f t="shared" si="288"/>
        <v>4617.4784210526313</v>
      </c>
      <c r="IR102" s="69">
        <f t="shared" si="288"/>
        <v>3782.6421052631581</v>
      </c>
      <c r="IS102" s="69">
        <f t="shared" si="288"/>
        <v>18922.321578947369</v>
      </c>
      <c r="IT102" s="69">
        <f t="shared" si="288"/>
        <v>415157.2585263158</v>
      </c>
      <c r="IU102" s="69">
        <f t="shared" si="288"/>
        <v>454501.69484210532</v>
      </c>
      <c r="IV102" s="69">
        <f t="shared" si="288"/>
        <v>1122321.9912631579</v>
      </c>
      <c r="IW102" s="69">
        <f t="shared" si="288"/>
        <v>252714.35557894738</v>
      </c>
      <c r="IX102" s="69">
        <f t="shared" si="288"/>
        <v>104029.35094736842</v>
      </c>
      <c r="IY102" s="69">
        <f t="shared" si="288"/>
        <v>602669.18642105267</v>
      </c>
      <c r="IZ102" s="69">
        <f t="shared" si="288"/>
        <v>3380739.8346315785</v>
      </c>
      <c r="JA102" s="69">
        <f t="shared" si="288"/>
        <v>5462474.726631579</v>
      </c>
      <c r="JB102" s="69">
        <f t="shared" si="288"/>
        <v>16252551.202315791</v>
      </c>
      <c r="JC102" s="69">
        <f t="shared" si="288"/>
        <v>5224471.6856842106</v>
      </c>
      <c r="JD102" s="69">
        <f t="shared" ref="JD102:JS102" si="289">AVERAGE(JD3:JD97)</f>
        <v>2605730.3668421051</v>
      </c>
      <c r="JE102" s="69">
        <f t="shared" si="289"/>
        <v>13941734.292526316</v>
      </c>
      <c r="JF102" s="69">
        <f t="shared" si="289"/>
        <v>22950287.811157893</v>
      </c>
      <c r="JG102" s="69">
        <f t="shared" si="289"/>
        <v>60974775.351157904</v>
      </c>
      <c r="JH102" s="69">
        <f t="shared" si="289"/>
        <v>33548.010526315789</v>
      </c>
      <c r="JI102" s="69">
        <f t="shared" si="289"/>
        <v>7615.6</v>
      </c>
      <c r="JJ102" s="69">
        <f t="shared" si="289"/>
        <v>1015.1684210526316</v>
      </c>
      <c r="JK102" s="69">
        <f t="shared" si="289"/>
        <v>1088.0736842105264</v>
      </c>
      <c r="JL102" s="69">
        <f t="shared" si="289"/>
        <v>727304.27368421049</v>
      </c>
      <c r="JM102" s="69">
        <f t="shared" si="289"/>
        <v>770571.12631578953</v>
      </c>
      <c r="JN102" s="69">
        <f t="shared" si="289"/>
        <v>16472854.781263158</v>
      </c>
      <c r="JO102" s="69">
        <f t="shared" si="289"/>
        <v>5305798.1383157894</v>
      </c>
      <c r="JP102" s="69">
        <f t="shared" si="289"/>
        <v>2648800.1036842107</v>
      </c>
      <c r="JQ102" s="69">
        <f t="shared" si="289"/>
        <v>13479941.050421052</v>
      </c>
      <c r="JR102" s="69">
        <f t="shared" si="289"/>
        <v>24586422.021684211</v>
      </c>
      <c r="JS102" s="69">
        <f t="shared" si="289"/>
        <v>62493816.088000007</v>
      </c>
    </row>
    <row r="103" spans="1:361" x14ac:dyDescent="0.15">
      <c r="A103" s="67" t="s">
        <v>596</v>
      </c>
      <c r="B103" s="68"/>
      <c r="G103" s="69">
        <f>MEDIAN(G3:G97)</f>
        <v>9090.5</v>
      </c>
      <c r="H103" s="69">
        <f t="shared" ref="H103:BS103" si="290">MEDIAN(H3:H97)</f>
        <v>9960.5</v>
      </c>
      <c r="I103" s="69">
        <f t="shared" si="290"/>
        <v>856617575</v>
      </c>
      <c r="J103" s="69">
        <f t="shared" si="290"/>
        <v>835602371</v>
      </c>
      <c r="K103" s="69">
        <f t="shared" si="290"/>
        <v>4107734</v>
      </c>
      <c r="L103" s="69">
        <f t="shared" si="290"/>
        <v>3090899</v>
      </c>
      <c r="M103" s="69">
        <f t="shared" si="290"/>
        <v>36618699</v>
      </c>
      <c r="N103" s="69">
        <f t="shared" si="290"/>
        <v>35279572</v>
      </c>
      <c r="O103" s="69">
        <f t="shared" si="290"/>
        <v>52379518.5</v>
      </c>
      <c r="P103" s="69">
        <f t="shared" si="290"/>
        <v>55096585</v>
      </c>
      <c r="Q103" s="69">
        <f t="shared" si="290"/>
        <v>433350623</v>
      </c>
      <c r="R103" s="69">
        <f t="shared" si="290"/>
        <v>440062166</v>
      </c>
      <c r="S103" s="69">
        <f t="shared" si="290"/>
        <v>622185036</v>
      </c>
      <c r="T103" s="69">
        <f t="shared" si="290"/>
        <v>634495370.5</v>
      </c>
      <c r="U103" s="69">
        <f t="shared" si="290"/>
        <v>19843</v>
      </c>
      <c r="V103" s="69">
        <f t="shared" si="290"/>
        <v>19626</v>
      </c>
      <c r="W103" s="69">
        <f t="shared" si="290"/>
        <v>32859</v>
      </c>
      <c r="X103" s="69">
        <f t="shared" si="290"/>
        <v>32086.5</v>
      </c>
      <c r="Y103" s="69">
        <f t="shared" si="290"/>
        <v>23221</v>
      </c>
      <c r="Z103" s="69">
        <f t="shared" si="290"/>
        <v>22813</v>
      </c>
      <c r="AA103" s="69">
        <f t="shared" si="290"/>
        <v>36946</v>
      </c>
      <c r="AB103" s="69">
        <f t="shared" si="290"/>
        <v>34488</v>
      </c>
      <c r="AC103" s="69">
        <f t="shared" si="290"/>
        <v>8</v>
      </c>
      <c r="AD103" s="69">
        <f t="shared" si="290"/>
        <v>11</v>
      </c>
      <c r="AE103" s="69">
        <f t="shared" si="290"/>
        <v>0</v>
      </c>
      <c r="AF103" s="69">
        <f t="shared" si="290"/>
        <v>4495997.5</v>
      </c>
      <c r="AG103" s="69">
        <f t="shared" si="290"/>
        <v>3324910</v>
      </c>
      <c r="AH103" s="69">
        <f t="shared" si="290"/>
        <v>605429.5</v>
      </c>
      <c r="AI103" s="69">
        <f t="shared" si="290"/>
        <v>284342</v>
      </c>
      <c r="AJ103" s="69">
        <f t="shared" si="290"/>
        <v>575255</v>
      </c>
      <c r="AK103" s="69">
        <f t="shared" si="290"/>
        <v>6</v>
      </c>
      <c r="AL103" s="69">
        <f t="shared" si="290"/>
        <v>517382.5</v>
      </c>
      <c r="AM103" s="69">
        <f t="shared" si="290"/>
        <v>7</v>
      </c>
      <c r="AN103" s="69">
        <f t="shared" si="290"/>
        <v>168896</v>
      </c>
      <c r="AO103" s="69">
        <f t="shared" si="290"/>
        <v>8.5</v>
      </c>
      <c r="AP103" s="69">
        <f t="shared" si="290"/>
        <v>150304.5</v>
      </c>
      <c r="AQ103" s="69">
        <f t="shared" si="290"/>
        <v>9</v>
      </c>
      <c r="AR103" s="69">
        <f t="shared" si="290"/>
        <v>208456.5</v>
      </c>
      <c r="AS103" s="69">
        <f t="shared" si="290"/>
        <v>19.814999999999998</v>
      </c>
      <c r="AT103" s="69">
        <f t="shared" si="290"/>
        <v>171862</v>
      </c>
      <c r="AU103" s="69">
        <f t="shared" si="290"/>
        <v>22</v>
      </c>
      <c r="AV103" s="69">
        <f t="shared" si="290"/>
        <v>78083</v>
      </c>
      <c r="AW103" s="69">
        <f t="shared" si="290"/>
        <v>15.04</v>
      </c>
      <c r="AX103" s="69">
        <f t="shared" si="290"/>
        <v>65063</v>
      </c>
      <c r="AY103" s="69">
        <f t="shared" si="290"/>
        <v>18</v>
      </c>
      <c r="AZ103" s="69">
        <f t="shared" si="290"/>
        <v>6392258</v>
      </c>
      <c r="BA103" s="69">
        <f t="shared" si="290"/>
        <v>1124939</v>
      </c>
      <c r="BB103" s="69">
        <f t="shared" si="290"/>
        <v>63736</v>
      </c>
      <c r="BC103" s="69">
        <f t="shared" si="290"/>
        <v>174496</v>
      </c>
      <c r="BD103" s="69">
        <f t="shared" si="290"/>
        <v>0</v>
      </c>
      <c r="BE103" s="69">
        <f t="shared" si="290"/>
        <v>10466489</v>
      </c>
      <c r="BF103" s="69">
        <f t="shared" si="290"/>
        <v>0</v>
      </c>
      <c r="BG103" s="69">
        <f t="shared" si="290"/>
        <v>0</v>
      </c>
      <c r="BH103" s="69">
        <f t="shared" si="290"/>
        <v>0</v>
      </c>
      <c r="BI103" s="69">
        <f t="shared" si="290"/>
        <v>0</v>
      </c>
      <c r="BJ103" s="69">
        <f t="shared" si="290"/>
        <v>1519708</v>
      </c>
      <c r="BK103" s="69">
        <f t="shared" si="290"/>
        <v>3068485</v>
      </c>
      <c r="BL103" s="69">
        <f t="shared" si="290"/>
        <v>450000</v>
      </c>
      <c r="BM103" s="69">
        <f t="shared" si="290"/>
        <v>85000</v>
      </c>
      <c r="BN103" s="69">
        <f t="shared" si="290"/>
        <v>0</v>
      </c>
      <c r="BO103" s="69">
        <f t="shared" si="290"/>
        <v>12500</v>
      </c>
      <c r="BP103" s="69">
        <f t="shared" si="290"/>
        <v>0</v>
      </c>
      <c r="BQ103" s="69">
        <f t="shared" si="290"/>
        <v>720409</v>
      </c>
      <c r="BR103" s="69">
        <f t="shared" si="290"/>
        <v>1202834</v>
      </c>
      <c r="BS103" s="69">
        <f t="shared" si="290"/>
        <v>294279</v>
      </c>
      <c r="BT103" s="69">
        <f t="shared" ref="BT103:EE103" si="291">MEDIAN(BT3:BT97)</f>
        <v>42296</v>
      </c>
      <c r="BU103" s="69">
        <f t="shared" si="291"/>
        <v>384269</v>
      </c>
      <c r="BV103" s="69">
        <f t="shared" si="291"/>
        <v>2291668</v>
      </c>
      <c r="BW103" s="69">
        <f t="shared" si="291"/>
        <v>9850337</v>
      </c>
      <c r="BX103" s="69">
        <f t="shared" si="291"/>
        <v>0</v>
      </c>
      <c r="BY103" s="69">
        <f t="shared" si="291"/>
        <v>0</v>
      </c>
      <c r="BZ103" s="69">
        <f t="shared" si="291"/>
        <v>0</v>
      </c>
      <c r="CA103" s="69">
        <f t="shared" si="291"/>
        <v>0</v>
      </c>
      <c r="CB103" s="69">
        <f t="shared" si="291"/>
        <v>0</v>
      </c>
      <c r="CC103" s="69">
        <f t="shared" si="291"/>
        <v>0</v>
      </c>
      <c r="CD103" s="69">
        <f t="shared" si="291"/>
        <v>0</v>
      </c>
      <c r="CE103" s="69">
        <f t="shared" si="291"/>
        <v>0</v>
      </c>
      <c r="CF103" s="69">
        <f t="shared" si="291"/>
        <v>0</v>
      </c>
      <c r="CG103" s="69">
        <f t="shared" si="291"/>
        <v>0</v>
      </c>
      <c r="CH103" s="69">
        <f t="shared" si="291"/>
        <v>0</v>
      </c>
      <c r="CI103" s="69">
        <f t="shared" si="291"/>
        <v>0</v>
      </c>
      <c r="CJ103" s="69">
        <f t="shared" si="291"/>
        <v>0</v>
      </c>
      <c r="CK103" s="69">
        <f t="shared" si="291"/>
        <v>0</v>
      </c>
      <c r="CL103" s="69">
        <f t="shared" si="291"/>
        <v>0</v>
      </c>
      <c r="CM103" s="69">
        <f t="shared" si="291"/>
        <v>0</v>
      </c>
      <c r="CN103" s="69">
        <f t="shared" si="291"/>
        <v>969044</v>
      </c>
      <c r="CO103" s="69">
        <f t="shared" si="291"/>
        <v>3039303</v>
      </c>
      <c r="CP103" s="69">
        <f t="shared" si="291"/>
        <v>0</v>
      </c>
      <c r="CQ103" s="69">
        <f t="shared" si="291"/>
        <v>0</v>
      </c>
      <c r="CR103" s="69">
        <f t="shared" si="291"/>
        <v>0</v>
      </c>
      <c r="CS103" s="69">
        <f t="shared" si="291"/>
        <v>0</v>
      </c>
      <c r="CT103" s="69">
        <f t="shared" si="291"/>
        <v>0</v>
      </c>
      <c r="CU103" s="69">
        <f t="shared" si="291"/>
        <v>57230</v>
      </c>
      <c r="CV103" s="69">
        <f t="shared" si="291"/>
        <v>4266447</v>
      </c>
      <c r="CW103" s="69">
        <f t="shared" si="291"/>
        <v>2524872</v>
      </c>
      <c r="CX103" s="69">
        <f t="shared" si="291"/>
        <v>0</v>
      </c>
      <c r="CY103" s="69">
        <f t="shared" si="291"/>
        <v>29011</v>
      </c>
      <c r="CZ103" s="69">
        <f t="shared" si="291"/>
        <v>1752018</v>
      </c>
      <c r="DA103" s="69">
        <f t="shared" si="291"/>
        <v>11584048</v>
      </c>
      <c r="DB103" s="69">
        <f t="shared" si="291"/>
        <v>0</v>
      </c>
      <c r="DC103" s="69">
        <f t="shared" si="291"/>
        <v>0</v>
      </c>
      <c r="DD103" s="69">
        <f t="shared" si="291"/>
        <v>0</v>
      </c>
      <c r="DE103" s="69">
        <f t="shared" si="291"/>
        <v>0</v>
      </c>
      <c r="DF103" s="69">
        <f t="shared" si="291"/>
        <v>0</v>
      </c>
      <c r="DG103" s="69">
        <f t="shared" si="291"/>
        <v>0</v>
      </c>
      <c r="DH103" s="69">
        <f t="shared" si="291"/>
        <v>320515</v>
      </c>
      <c r="DI103" s="69">
        <f t="shared" si="291"/>
        <v>48363</v>
      </c>
      <c r="DJ103" s="69">
        <f t="shared" si="291"/>
        <v>6499</v>
      </c>
      <c r="DK103" s="69">
        <f t="shared" si="291"/>
        <v>23837</v>
      </c>
      <c r="DL103" s="69">
        <f t="shared" si="291"/>
        <v>115505.5</v>
      </c>
      <c r="DM103" s="69">
        <f t="shared" si="291"/>
        <v>984893</v>
      </c>
      <c r="DN103" s="69">
        <f t="shared" si="291"/>
        <v>0</v>
      </c>
      <c r="DO103" s="69">
        <f t="shared" si="291"/>
        <v>0</v>
      </c>
      <c r="DP103" s="69">
        <f t="shared" si="291"/>
        <v>0</v>
      </c>
      <c r="DQ103" s="69">
        <f t="shared" si="291"/>
        <v>0</v>
      </c>
      <c r="DR103" s="69">
        <f t="shared" si="291"/>
        <v>1390231</v>
      </c>
      <c r="DS103" s="69">
        <f t="shared" si="291"/>
        <v>2733096</v>
      </c>
      <c r="DT103" s="69">
        <f t="shared" si="291"/>
        <v>1449</v>
      </c>
      <c r="DU103" s="69">
        <f t="shared" si="291"/>
        <v>0</v>
      </c>
      <c r="DV103" s="69">
        <f t="shared" si="291"/>
        <v>0</v>
      </c>
      <c r="DW103" s="69">
        <f t="shared" si="291"/>
        <v>8436</v>
      </c>
      <c r="DX103" s="69">
        <f t="shared" si="291"/>
        <v>0</v>
      </c>
      <c r="DY103" s="69">
        <f t="shared" si="291"/>
        <v>73961</v>
      </c>
      <c r="DZ103" s="69">
        <f t="shared" si="291"/>
        <v>2284</v>
      </c>
      <c r="EA103" s="69">
        <f t="shared" si="291"/>
        <v>0</v>
      </c>
      <c r="EB103" s="69">
        <f t="shared" si="291"/>
        <v>0</v>
      </c>
      <c r="EC103" s="69">
        <f t="shared" si="291"/>
        <v>10934</v>
      </c>
      <c r="ED103" s="69">
        <f t="shared" si="291"/>
        <v>125807</v>
      </c>
      <c r="EE103" s="69">
        <f t="shared" si="291"/>
        <v>239682</v>
      </c>
      <c r="EF103" s="69">
        <f t="shared" ref="EF103:GQ103" si="292">MEDIAN(EF3:EF97)</f>
        <v>11840</v>
      </c>
      <c r="EG103" s="69">
        <f t="shared" si="292"/>
        <v>495</v>
      </c>
      <c r="EH103" s="69">
        <f t="shared" si="292"/>
        <v>99</v>
      </c>
      <c r="EI103" s="69">
        <f t="shared" si="292"/>
        <v>52022</v>
      </c>
      <c r="EJ103" s="69">
        <f t="shared" si="292"/>
        <v>644068</v>
      </c>
      <c r="EK103" s="69">
        <f t="shared" si="292"/>
        <v>844733</v>
      </c>
      <c r="EL103" s="69">
        <f t="shared" si="292"/>
        <v>22561154</v>
      </c>
      <c r="EM103" s="69">
        <f t="shared" si="292"/>
        <v>6013750</v>
      </c>
      <c r="EN103" s="69">
        <f t="shared" si="292"/>
        <v>749519</v>
      </c>
      <c r="EO103" s="69">
        <f t="shared" si="292"/>
        <v>3908839</v>
      </c>
      <c r="EP103" s="69">
        <f t="shared" si="292"/>
        <v>20740817</v>
      </c>
      <c r="EQ103" s="69">
        <f t="shared" si="292"/>
        <v>62275111</v>
      </c>
      <c r="ER103" s="69">
        <f t="shared" si="292"/>
        <v>2693930</v>
      </c>
      <c r="ES103" s="69">
        <f t="shared" si="292"/>
        <v>432340</v>
      </c>
      <c r="ET103" s="69">
        <f t="shared" si="292"/>
        <v>453514</v>
      </c>
      <c r="EU103" s="69">
        <f t="shared" si="292"/>
        <v>3996819</v>
      </c>
      <c r="EV103" s="69">
        <f t="shared" si="292"/>
        <v>210957</v>
      </c>
      <c r="EW103" s="69">
        <f t="shared" si="292"/>
        <v>8054581</v>
      </c>
      <c r="EX103" s="69">
        <f t="shared" si="292"/>
        <v>750000</v>
      </c>
      <c r="EY103" s="69">
        <f t="shared" si="292"/>
        <v>390000</v>
      </c>
      <c r="EZ103" s="69">
        <f t="shared" si="292"/>
        <v>50000</v>
      </c>
      <c r="FA103" s="69">
        <f t="shared" si="292"/>
        <v>41848</v>
      </c>
      <c r="FB103" s="69">
        <f t="shared" si="292"/>
        <v>0</v>
      </c>
      <c r="FC103" s="69">
        <f t="shared" si="292"/>
        <v>1329412</v>
      </c>
      <c r="FD103" s="69">
        <f t="shared" si="292"/>
        <v>4414537</v>
      </c>
      <c r="FE103" s="69">
        <f t="shared" si="292"/>
        <v>1892043</v>
      </c>
      <c r="FF103" s="69">
        <f t="shared" si="292"/>
        <v>807078</v>
      </c>
      <c r="FG103" s="69">
        <f t="shared" si="292"/>
        <v>3042413</v>
      </c>
      <c r="FH103" s="69">
        <f t="shared" si="292"/>
        <v>0</v>
      </c>
      <c r="FI103" s="69">
        <f t="shared" si="292"/>
        <v>10785235</v>
      </c>
      <c r="FJ103" s="69">
        <f t="shared" si="292"/>
        <v>0</v>
      </c>
      <c r="FK103" s="69">
        <f t="shared" si="292"/>
        <v>0</v>
      </c>
      <c r="FL103" s="69">
        <f t="shared" si="292"/>
        <v>0</v>
      </c>
      <c r="FM103" s="69">
        <f t="shared" si="292"/>
        <v>0</v>
      </c>
      <c r="FN103" s="69">
        <f t="shared" si="292"/>
        <v>0</v>
      </c>
      <c r="FO103" s="69">
        <f t="shared" si="292"/>
        <v>0</v>
      </c>
      <c r="FP103" s="69">
        <f t="shared" si="292"/>
        <v>704726</v>
      </c>
      <c r="FQ103" s="69">
        <f t="shared" si="292"/>
        <v>239016</v>
      </c>
      <c r="FR103" s="69">
        <f t="shared" si="292"/>
        <v>147808</v>
      </c>
      <c r="FS103" s="69">
        <f t="shared" si="292"/>
        <v>197220</v>
      </c>
      <c r="FT103" s="69">
        <f t="shared" si="292"/>
        <v>6778489</v>
      </c>
      <c r="FU103" s="69">
        <f t="shared" si="292"/>
        <v>9871630</v>
      </c>
      <c r="FV103" s="69">
        <f t="shared" si="292"/>
        <v>0</v>
      </c>
      <c r="FW103" s="69">
        <f t="shared" si="292"/>
        <v>0</v>
      </c>
      <c r="FX103" s="69">
        <f t="shared" si="292"/>
        <v>0</v>
      </c>
      <c r="FY103" s="69">
        <f t="shared" si="292"/>
        <v>0</v>
      </c>
      <c r="FZ103" s="69">
        <f t="shared" si="292"/>
        <v>0</v>
      </c>
      <c r="GA103" s="69">
        <f t="shared" si="292"/>
        <v>0</v>
      </c>
      <c r="GB103" s="69">
        <f t="shared" si="292"/>
        <v>0</v>
      </c>
      <c r="GC103" s="69">
        <f t="shared" si="292"/>
        <v>0</v>
      </c>
      <c r="GD103" s="69">
        <f t="shared" si="292"/>
        <v>0</v>
      </c>
      <c r="GE103" s="69">
        <f t="shared" si="292"/>
        <v>0</v>
      </c>
      <c r="GF103" s="69">
        <f t="shared" si="292"/>
        <v>0</v>
      </c>
      <c r="GG103" s="69">
        <f t="shared" si="292"/>
        <v>105190</v>
      </c>
      <c r="GH103" s="69">
        <f t="shared" si="292"/>
        <v>303474</v>
      </c>
      <c r="GI103" s="69">
        <f t="shared" si="292"/>
        <v>142999</v>
      </c>
      <c r="GJ103" s="69">
        <f t="shared" si="292"/>
        <v>105038</v>
      </c>
      <c r="GK103" s="69">
        <f t="shared" si="292"/>
        <v>302001</v>
      </c>
      <c r="GL103" s="69">
        <f t="shared" si="292"/>
        <v>0</v>
      </c>
      <c r="GM103" s="69">
        <f t="shared" si="292"/>
        <v>900818</v>
      </c>
      <c r="GN103" s="69">
        <f t="shared" si="292"/>
        <v>1157646</v>
      </c>
      <c r="GO103" s="69">
        <f t="shared" si="292"/>
        <v>474063</v>
      </c>
      <c r="GP103" s="69">
        <f t="shared" si="292"/>
        <v>346722</v>
      </c>
      <c r="GQ103" s="69">
        <f t="shared" si="292"/>
        <v>1759286</v>
      </c>
      <c r="GR103" s="69">
        <f t="shared" ref="GR103:JC103" si="293">MEDIAN(GR3:GR97)</f>
        <v>3772</v>
      </c>
      <c r="GS103" s="69">
        <f t="shared" si="293"/>
        <v>4033237</v>
      </c>
      <c r="GT103" s="69">
        <f t="shared" si="293"/>
        <v>552498</v>
      </c>
      <c r="GU103" s="69">
        <f t="shared" si="293"/>
        <v>77242</v>
      </c>
      <c r="GV103" s="69">
        <f t="shared" si="293"/>
        <v>46891</v>
      </c>
      <c r="GW103" s="69">
        <f t="shared" si="293"/>
        <v>463575</v>
      </c>
      <c r="GX103" s="69">
        <f t="shared" si="293"/>
        <v>186042</v>
      </c>
      <c r="GY103" s="69">
        <f t="shared" si="293"/>
        <v>1501653</v>
      </c>
      <c r="GZ103" s="69">
        <f t="shared" si="293"/>
        <v>890083</v>
      </c>
      <c r="HA103" s="69">
        <f t="shared" si="293"/>
        <v>330276</v>
      </c>
      <c r="HB103" s="69">
        <f t="shared" si="293"/>
        <v>159002</v>
      </c>
      <c r="HC103" s="69">
        <f t="shared" si="293"/>
        <v>308041</v>
      </c>
      <c r="HD103" s="69">
        <f t="shared" si="293"/>
        <v>91955</v>
      </c>
      <c r="HE103" s="69">
        <f t="shared" si="293"/>
        <v>1992949</v>
      </c>
      <c r="HF103" s="69">
        <f t="shared" si="293"/>
        <v>35969</v>
      </c>
      <c r="HG103" s="69">
        <f t="shared" si="293"/>
        <v>11646</v>
      </c>
      <c r="HH103" s="69">
        <f t="shared" si="293"/>
        <v>4439</v>
      </c>
      <c r="HI103" s="69">
        <f t="shared" si="293"/>
        <v>13586</v>
      </c>
      <c r="HJ103" s="69">
        <f t="shared" si="293"/>
        <v>929501</v>
      </c>
      <c r="HK103" s="69">
        <f t="shared" si="293"/>
        <v>1264377</v>
      </c>
      <c r="HL103" s="69">
        <f t="shared" si="293"/>
        <v>0</v>
      </c>
      <c r="HM103" s="69">
        <f t="shared" si="293"/>
        <v>0</v>
      </c>
      <c r="HN103" s="69">
        <f t="shared" si="293"/>
        <v>0</v>
      </c>
      <c r="HO103" s="69">
        <f t="shared" si="293"/>
        <v>0</v>
      </c>
      <c r="HP103" s="69">
        <f t="shared" si="293"/>
        <v>0</v>
      </c>
      <c r="HQ103" s="69">
        <f t="shared" si="293"/>
        <v>11663</v>
      </c>
      <c r="HR103" s="69">
        <f t="shared" si="293"/>
        <v>236472</v>
      </c>
      <c r="HS103" s="69">
        <f t="shared" si="293"/>
        <v>19330</v>
      </c>
      <c r="HT103" s="69">
        <f t="shared" si="293"/>
        <v>10168</v>
      </c>
      <c r="HU103" s="69">
        <f t="shared" si="293"/>
        <v>137076</v>
      </c>
      <c r="HV103" s="69">
        <f t="shared" si="293"/>
        <v>3748337</v>
      </c>
      <c r="HW103" s="69">
        <f t="shared" si="293"/>
        <v>5939807</v>
      </c>
      <c r="HX103" s="69">
        <f t="shared" si="293"/>
        <v>0</v>
      </c>
      <c r="HY103" s="69">
        <f t="shared" si="293"/>
        <v>0</v>
      </c>
      <c r="HZ103" s="69">
        <f t="shared" si="293"/>
        <v>0</v>
      </c>
      <c r="IA103" s="69">
        <f t="shared" si="293"/>
        <v>0</v>
      </c>
      <c r="IB103" s="69">
        <f t="shared" si="293"/>
        <v>111267</v>
      </c>
      <c r="IC103" s="69">
        <f t="shared" si="293"/>
        <v>168633</v>
      </c>
      <c r="ID103" s="69">
        <f t="shared" si="293"/>
        <v>0</v>
      </c>
      <c r="IE103" s="69">
        <f t="shared" si="293"/>
        <v>0</v>
      </c>
      <c r="IF103" s="69">
        <f t="shared" si="293"/>
        <v>0</v>
      </c>
      <c r="IG103" s="69">
        <f t="shared" si="293"/>
        <v>0</v>
      </c>
      <c r="IH103" s="69">
        <f t="shared" si="293"/>
        <v>0</v>
      </c>
      <c r="II103" s="69">
        <f t="shared" si="293"/>
        <v>57230</v>
      </c>
      <c r="IJ103" s="69">
        <f t="shared" si="293"/>
        <v>19620</v>
      </c>
      <c r="IK103" s="69">
        <f t="shared" si="293"/>
        <v>3876</v>
      </c>
      <c r="IL103" s="69">
        <f t="shared" si="293"/>
        <v>825</v>
      </c>
      <c r="IM103" s="69">
        <f t="shared" si="293"/>
        <v>4980</v>
      </c>
      <c r="IN103" s="69">
        <f t="shared" si="293"/>
        <v>457616</v>
      </c>
      <c r="IO103" s="69">
        <f t="shared" si="293"/>
        <v>725239</v>
      </c>
      <c r="IP103" s="69">
        <f t="shared" si="293"/>
        <v>2470</v>
      </c>
      <c r="IQ103" s="69">
        <f t="shared" si="293"/>
        <v>1215</v>
      </c>
      <c r="IR103" s="69">
        <f t="shared" si="293"/>
        <v>1008</v>
      </c>
      <c r="IS103" s="69">
        <f t="shared" si="293"/>
        <v>9520</v>
      </c>
      <c r="IT103" s="69">
        <f t="shared" si="293"/>
        <v>123985</v>
      </c>
      <c r="IU103" s="69">
        <f t="shared" si="293"/>
        <v>186445</v>
      </c>
      <c r="IV103" s="69">
        <f t="shared" si="293"/>
        <v>477559</v>
      </c>
      <c r="IW103" s="69">
        <f t="shared" si="293"/>
        <v>123974</v>
      </c>
      <c r="IX103" s="69">
        <f t="shared" si="293"/>
        <v>78158</v>
      </c>
      <c r="IY103" s="69">
        <f t="shared" si="293"/>
        <v>336318</v>
      </c>
      <c r="IZ103" s="69">
        <f t="shared" si="293"/>
        <v>2368012</v>
      </c>
      <c r="JA103" s="69">
        <f t="shared" si="293"/>
        <v>3944609</v>
      </c>
      <c r="JB103" s="69">
        <f t="shared" si="293"/>
        <v>14461262</v>
      </c>
      <c r="JC103" s="69">
        <f t="shared" si="293"/>
        <v>4703352</v>
      </c>
      <c r="JD103" s="69">
        <f t="shared" ref="JD103:JS103" si="294">MEDIAN(JD3:JD97)</f>
        <v>2720613</v>
      </c>
      <c r="JE103" s="69">
        <f t="shared" si="294"/>
        <v>11585587</v>
      </c>
      <c r="JF103" s="69">
        <f t="shared" si="294"/>
        <v>18648105</v>
      </c>
      <c r="JG103" s="69">
        <f t="shared" si="294"/>
        <v>54388802</v>
      </c>
      <c r="JH103" s="69">
        <f t="shared" si="294"/>
        <v>0</v>
      </c>
      <c r="JI103" s="69">
        <f t="shared" si="294"/>
        <v>0</v>
      </c>
      <c r="JJ103" s="69">
        <f t="shared" si="294"/>
        <v>0</v>
      </c>
      <c r="JK103" s="69">
        <f t="shared" si="294"/>
        <v>0</v>
      </c>
      <c r="JL103" s="69">
        <f t="shared" si="294"/>
        <v>0</v>
      </c>
      <c r="JM103" s="69">
        <f t="shared" si="294"/>
        <v>0</v>
      </c>
      <c r="JN103" s="69">
        <f t="shared" si="294"/>
        <v>14844644</v>
      </c>
      <c r="JO103" s="69">
        <f t="shared" si="294"/>
        <v>4743432</v>
      </c>
      <c r="JP103" s="69">
        <f t="shared" si="294"/>
        <v>2731294</v>
      </c>
      <c r="JQ103" s="69">
        <f t="shared" si="294"/>
        <v>11664268</v>
      </c>
      <c r="JR103" s="69">
        <f t="shared" si="294"/>
        <v>20428117</v>
      </c>
      <c r="JS103" s="69">
        <f t="shared" si="294"/>
        <v>64303100</v>
      </c>
    </row>
    <row r="104" spans="1:361" x14ac:dyDescent="0.15">
      <c r="A104" s="67" t="s">
        <v>597</v>
      </c>
      <c r="B104" s="68"/>
      <c r="G104" s="69">
        <f>MODE(G3:G97)</f>
        <v>14595</v>
      </c>
      <c r="H104" s="69">
        <f t="shared" ref="H104:BS104" si="295">MODE(H3:H97)</f>
        <v>11381</v>
      </c>
      <c r="I104" s="69">
        <f t="shared" si="295"/>
        <v>1070723175</v>
      </c>
      <c r="J104" s="69">
        <f t="shared" si="295"/>
        <v>1030723369</v>
      </c>
      <c r="K104" s="69">
        <f t="shared" si="295"/>
        <v>0</v>
      </c>
      <c r="L104" s="69">
        <f t="shared" si="295"/>
        <v>0</v>
      </c>
      <c r="M104" s="69">
        <f t="shared" si="295"/>
        <v>41774321</v>
      </c>
      <c r="N104" s="69">
        <f t="shared" si="295"/>
        <v>35753363</v>
      </c>
      <c r="O104" s="69">
        <f t="shared" si="295"/>
        <v>0</v>
      </c>
      <c r="P104" s="69">
        <f t="shared" si="295"/>
        <v>0</v>
      </c>
      <c r="Q104" s="69">
        <f t="shared" si="295"/>
        <v>483507369</v>
      </c>
      <c r="R104" s="69">
        <f t="shared" si="295"/>
        <v>467433966</v>
      </c>
      <c r="S104" s="69" t="e">
        <f t="shared" si="295"/>
        <v>#N/A</v>
      </c>
      <c r="T104" s="69">
        <f t="shared" si="295"/>
        <v>794672497</v>
      </c>
      <c r="U104" s="69">
        <f t="shared" si="295"/>
        <v>23568</v>
      </c>
      <c r="V104" s="69">
        <f t="shared" si="295"/>
        <v>16247</v>
      </c>
      <c r="W104" s="69">
        <f t="shared" si="295"/>
        <v>29040</v>
      </c>
      <c r="X104" s="69">
        <f t="shared" si="295"/>
        <v>28359</v>
      </c>
      <c r="Y104" s="69">
        <f t="shared" si="295"/>
        <v>18920</v>
      </c>
      <c r="Z104" s="69">
        <f t="shared" si="295"/>
        <v>18920</v>
      </c>
      <c r="AA104" s="69">
        <f t="shared" si="295"/>
        <v>31470</v>
      </c>
      <c r="AB104" s="69">
        <f t="shared" si="295"/>
        <v>31030</v>
      </c>
      <c r="AC104" s="69">
        <f t="shared" si="295"/>
        <v>7</v>
      </c>
      <c r="AD104" s="69">
        <f t="shared" si="295"/>
        <v>10</v>
      </c>
      <c r="AE104" s="69">
        <f t="shared" si="295"/>
        <v>0</v>
      </c>
      <c r="AF104" s="69">
        <f t="shared" si="295"/>
        <v>3781851</v>
      </c>
      <c r="AG104" s="69">
        <f t="shared" si="295"/>
        <v>3324910</v>
      </c>
      <c r="AH104" s="69">
        <f t="shared" si="295"/>
        <v>1006720</v>
      </c>
      <c r="AI104" s="69">
        <f t="shared" si="295"/>
        <v>394075</v>
      </c>
      <c r="AJ104" s="69">
        <f t="shared" si="295"/>
        <v>929849</v>
      </c>
      <c r="AK104" s="69">
        <f t="shared" si="295"/>
        <v>6</v>
      </c>
      <c r="AL104" s="69">
        <f t="shared" si="295"/>
        <v>836864</v>
      </c>
      <c r="AM104" s="69">
        <f t="shared" si="295"/>
        <v>7</v>
      </c>
      <c r="AN104" s="69">
        <f t="shared" si="295"/>
        <v>212254</v>
      </c>
      <c r="AO104" s="69">
        <f t="shared" si="295"/>
        <v>9</v>
      </c>
      <c r="AP104" s="69">
        <f t="shared" si="295"/>
        <v>200462</v>
      </c>
      <c r="AQ104" s="69">
        <f t="shared" si="295"/>
        <v>9</v>
      </c>
      <c r="AR104" s="69">
        <f t="shared" si="295"/>
        <v>226153</v>
      </c>
      <c r="AS104" s="69">
        <f t="shared" si="295"/>
        <v>20</v>
      </c>
      <c r="AT104" s="69">
        <f t="shared" si="295"/>
        <v>197884</v>
      </c>
      <c r="AU104" s="69">
        <f t="shared" si="295"/>
        <v>20</v>
      </c>
      <c r="AV104" s="69">
        <f t="shared" si="295"/>
        <v>89889</v>
      </c>
      <c r="AW104" s="69">
        <f t="shared" si="295"/>
        <v>17</v>
      </c>
      <c r="AX104" s="69">
        <f t="shared" si="295"/>
        <v>78653</v>
      </c>
      <c r="AY104" s="69">
        <f t="shared" si="295"/>
        <v>20</v>
      </c>
      <c r="AZ104" s="69">
        <f t="shared" si="295"/>
        <v>10278389</v>
      </c>
      <c r="BA104" s="69">
        <f t="shared" si="295"/>
        <v>3381031</v>
      </c>
      <c r="BB104" s="69">
        <f t="shared" si="295"/>
        <v>525253</v>
      </c>
      <c r="BC104" s="69">
        <f t="shared" si="295"/>
        <v>233491</v>
      </c>
      <c r="BD104" s="69">
        <f t="shared" si="295"/>
        <v>0</v>
      </c>
      <c r="BE104" s="69">
        <f t="shared" si="295"/>
        <v>14418164</v>
      </c>
      <c r="BF104" s="69">
        <f t="shared" si="295"/>
        <v>0</v>
      </c>
      <c r="BG104" s="69">
        <f t="shared" si="295"/>
        <v>0</v>
      </c>
      <c r="BH104" s="69">
        <f t="shared" si="295"/>
        <v>0</v>
      </c>
      <c r="BI104" s="69">
        <f t="shared" si="295"/>
        <v>0</v>
      </c>
      <c r="BJ104" s="69">
        <f t="shared" si="295"/>
        <v>0</v>
      </c>
      <c r="BK104" s="69">
        <f t="shared" si="295"/>
        <v>0</v>
      </c>
      <c r="BL104" s="69">
        <f t="shared" si="295"/>
        <v>0</v>
      </c>
      <c r="BM104" s="69">
        <f t="shared" si="295"/>
        <v>0</v>
      </c>
      <c r="BN104" s="69">
        <f t="shared" si="295"/>
        <v>0</v>
      </c>
      <c r="BO104" s="69">
        <f t="shared" si="295"/>
        <v>0</v>
      </c>
      <c r="BP104" s="69">
        <f t="shared" si="295"/>
        <v>0</v>
      </c>
      <c r="BQ104" s="69">
        <f t="shared" si="295"/>
        <v>250000</v>
      </c>
      <c r="BR104" s="69">
        <f t="shared" si="295"/>
        <v>0</v>
      </c>
      <c r="BS104" s="69">
        <f t="shared" si="295"/>
        <v>0</v>
      </c>
      <c r="BT104" s="69">
        <f t="shared" ref="BT104:EE104" si="296">MODE(BT3:BT97)</f>
        <v>0</v>
      </c>
      <c r="BU104" s="69">
        <f t="shared" si="296"/>
        <v>0</v>
      </c>
      <c r="BV104" s="69">
        <f t="shared" si="296"/>
        <v>0</v>
      </c>
      <c r="BW104" s="69" t="e">
        <f t="shared" si="296"/>
        <v>#N/A</v>
      </c>
      <c r="BX104" s="69">
        <f t="shared" si="296"/>
        <v>0</v>
      </c>
      <c r="BY104" s="69">
        <f t="shared" si="296"/>
        <v>0</v>
      </c>
      <c r="BZ104" s="69">
        <f t="shared" si="296"/>
        <v>0</v>
      </c>
      <c r="CA104" s="69">
        <f t="shared" si="296"/>
        <v>0</v>
      </c>
      <c r="CB104" s="69">
        <f t="shared" si="296"/>
        <v>0</v>
      </c>
      <c r="CC104" s="69">
        <f t="shared" si="296"/>
        <v>0</v>
      </c>
      <c r="CD104" s="69">
        <f t="shared" si="296"/>
        <v>0</v>
      </c>
      <c r="CE104" s="69">
        <f t="shared" si="296"/>
        <v>0</v>
      </c>
      <c r="CF104" s="69">
        <f t="shared" si="296"/>
        <v>0</v>
      </c>
      <c r="CG104" s="69">
        <f t="shared" si="296"/>
        <v>0</v>
      </c>
      <c r="CH104" s="69">
        <f t="shared" si="296"/>
        <v>0</v>
      </c>
      <c r="CI104" s="69">
        <f t="shared" si="296"/>
        <v>0</v>
      </c>
      <c r="CJ104" s="69">
        <f t="shared" si="296"/>
        <v>0</v>
      </c>
      <c r="CK104" s="69">
        <f t="shared" si="296"/>
        <v>0</v>
      </c>
      <c r="CL104" s="69">
        <f t="shared" si="296"/>
        <v>0</v>
      </c>
      <c r="CM104" s="69">
        <f t="shared" si="296"/>
        <v>0</v>
      </c>
      <c r="CN104" s="69">
        <f t="shared" si="296"/>
        <v>0</v>
      </c>
      <c r="CO104" s="69">
        <f t="shared" si="296"/>
        <v>0</v>
      </c>
      <c r="CP104" s="69">
        <f t="shared" si="296"/>
        <v>0</v>
      </c>
      <c r="CQ104" s="69">
        <f t="shared" si="296"/>
        <v>0</v>
      </c>
      <c r="CR104" s="69">
        <f t="shared" si="296"/>
        <v>0</v>
      </c>
      <c r="CS104" s="69">
        <f t="shared" si="296"/>
        <v>0</v>
      </c>
      <c r="CT104" s="69">
        <f t="shared" si="296"/>
        <v>0</v>
      </c>
      <c r="CU104" s="69">
        <f t="shared" si="296"/>
        <v>0</v>
      </c>
      <c r="CV104" s="69">
        <f t="shared" si="296"/>
        <v>0</v>
      </c>
      <c r="CW104" s="69">
        <f t="shared" si="296"/>
        <v>0</v>
      </c>
      <c r="CX104" s="69">
        <f t="shared" si="296"/>
        <v>0</v>
      </c>
      <c r="CY104" s="69">
        <f t="shared" si="296"/>
        <v>0</v>
      </c>
      <c r="CZ104" s="69">
        <f t="shared" si="296"/>
        <v>0</v>
      </c>
      <c r="DA104" s="69">
        <f t="shared" si="296"/>
        <v>24376696</v>
      </c>
      <c r="DB104" s="69">
        <f t="shared" si="296"/>
        <v>0</v>
      </c>
      <c r="DC104" s="69">
        <f t="shared" si="296"/>
        <v>0</v>
      </c>
      <c r="DD104" s="69">
        <f t="shared" si="296"/>
        <v>0</v>
      </c>
      <c r="DE104" s="69">
        <f t="shared" si="296"/>
        <v>0</v>
      </c>
      <c r="DF104" s="69">
        <f t="shared" si="296"/>
        <v>0</v>
      </c>
      <c r="DG104" s="69">
        <f t="shared" si="296"/>
        <v>0</v>
      </c>
      <c r="DH104" s="69">
        <f t="shared" si="296"/>
        <v>0</v>
      </c>
      <c r="DI104" s="69">
        <f t="shared" si="296"/>
        <v>0</v>
      </c>
      <c r="DJ104" s="69">
        <f t="shared" si="296"/>
        <v>0</v>
      </c>
      <c r="DK104" s="69">
        <f t="shared" si="296"/>
        <v>0</v>
      </c>
      <c r="DL104" s="69">
        <f t="shared" si="296"/>
        <v>0</v>
      </c>
      <c r="DM104" s="69">
        <f t="shared" si="296"/>
        <v>1582286</v>
      </c>
      <c r="DN104" s="69">
        <f t="shared" si="296"/>
        <v>0</v>
      </c>
      <c r="DO104" s="69">
        <f t="shared" si="296"/>
        <v>0</v>
      </c>
      <c r="DP104" s="69">
        <f t="shared" si="296"/>
        <v>0</v>
      </c>
      <c r="DQ104" s="69">
        <f t="shared" si="296"/>
        <v>0</v>
      </c>
      <c r="DR104" s="69">
        <f t="shared" si="296"/>
        <v>0</v>
      </c>
      <c r="DS104" s="69">
        <f t="shared" si="296"/>
        <v>862547</v>
      </c>
      <c r="DT104" s="69">
        <f t="shared" si="296"/>
        <v>0</v>
      </c>
      <c r="DU104" s="69">
        <f t="shared" si="296"/>
        <v>0</v>
      </c>
      <c r="DV104" s="69">
        <f t="shared" si="296"/>
        <v>0</v>
      </c>
      <c r="DW104" s="69">
        <f t="shared" si="296"/>
        <v>0</v>
      </c>
      <c r="DX104" s="69">
        <f t="shared" si="296"/>
        <v>0</v>
      </c>
      <c r="DY104" s="69">
        <f t="shared" si="296"/>
        <v>0</v>
      </c>
      <c r="DZ104" s="69">
        <f t="shared" si="296"/>
        <v>0</v>
      </c>
      <c r="EA104" s="69">
        <f t="shared" si="296"/>
        <v>0</v>
      </c>
      <c r="EB104" s="69">
        <f t="shared" si="296"/>
        <v>0</v>
      </c>
      <c r="EC104" s="69">
        <f t="shared" si="296"/>
        <v>0</v>
      </c>
      <c r="ED104" s="69">
        <f t="shared" si="296"/>
        <v>0</v>
      </c>
      <c r="EE104" s="69">
        <f t="shared" si="296"/>
        <v>0</v>
      </c>
      <c r="EF104" s="69">
        <f t="shared" ref="EF104:GQ104" si="297">MODE(EF3:EF97)</f>
        <v>0</v>
      </c>
      <c r="EG104" s="69">
        <f t="shared" si="297"/>
        <v>0</v>
      </c>
      <c r="EH104" s="69">
        <f t="shared" si="297"/>
        <v>0</v>
      </c>
      <c r="EI104" s="69">
        <f t="shared" si="297"/>
        <v>0</v>
      </c>
      <c r="EJ104" s="69">
        <f t="shared" si="297"/>
        <v>1756693</v>
      </c>
      <c r="EK104" s="69">
        <f t="shared" si="297"/>
        <v>3210040</v>
      </c>
      <c r="EL104" s="69">
        <f t="shared" si="297"/>
        <v>30968258</v>
      </c>
      <c r="EM104" s="69">
        <f t="shared" si="297"/>
        <v>9586993</v>
      </c>
      <c r="EN104" s="69">
        <f t="shared" si="297"/>
        <v>842935</v>
      </c>
      <c r="EO104" s="69">
        <f t="shared" si="297"/>
        <v>2015474</v>
      </c>
      <c r="EP104" s="69">
        <f t="shared" si="297"/>
        <v>24756721</v>
      </c>
      <c r="EQ104" s="69">
        <f t="shared" si="297"/>
        <v>68170381</v>
      </c>
      <c r="ER104" s="69">
        <f t="shared" si="297"/>
        <v>2614392</v>
      </c>
      <c r="ES104" s="69">
        <f t="shared" si="297"/>
        <v>396815</v>
      </c>
      <c r="ET104" s="69">
        <f t="shared" si="297"/>
        <v>401388</v>
      </c>
      <c r="EU104" s="69">
        <f t="shared" si="297"/>
        <v>3694166</v>
      </c>
      <c r="EV104" s="69">
        <f t="shared" si="297"/>
        <v>0</v>
      </c>
      <c r="EW104" s="69">
        <f t="shared" si="297"/>
        <v>7231338</v>
      </c>
      <c r="EX104" s="69">
        <f t="shared" si="297"/>
        <v>550000</v>
      </c>
      <c r="EY104" s="69">
        <f t="shared" si="297"/>
        <v>78000</v>
      </c>
      <c r="EZ104" s="69">
        <f t="shared" si="297"/>
        <v>4000</v>
      </c>
      <c r="FA104" s="69">
        <f t="shared" si="297"/>
        <v>0</v>
      </c>
      <c r="FB104" s="69">
        <f t="shared" si="297"/>
        <v>0</v>
      </c>
      <c r="FC104" s="69">
        <f t="shared" si="297"/>
        <v>847829</v>
      </c>
      <c r="FD104" s="69">
        <f t="shared" si="297"/>
        <v>4558908</v>
      </c>
      <c r="FE104" s="69">
        <f t="shared" si="297"/>
        <v>2778588</v>
      </c>
      <c r="FF104" s="69">
        <f t="shared" si="297"/>
        <v>1139297</v>
      </c>
      <c r="FG104" s="69">
        <f t="shared" si="297"/>
        <v>3042413</v>
      </c>
      <c r="FH104" s="69">
        <f t="shared" si="297"/>
        <v>0</v>
      </c>
      <c r="FI104" s="69">
        <f t="shared" si="297"/>
        <v>11519206</v>
      </c>
      <c r="FJ104" s="69">
        <f t="shared" si="297"/>
        <v>0</v>
      </c>
      <c r="FK104" s="69">
        <f t="shared" si="297"/>
        <v>0</v>
      </c>
      <c r="FL104" s="69">
        <f t="shared" si="297"/>
        <v>0</v>
      </c>
      <c r="FM104" s="69">
        <f t="shared" si="297"/>
        <v>0</v>
      </c>
      <c r="FN104" s="69">
        <f t="shared" si="297"/>
        <v>0</v>
      </c>
      <c r="FO104" s="69">
        <f t="shared" si="297"/>
        <v>0</v>
      </c>
      <c r="FP104" s="69">
        <f t="shared" si="297"/>
        <v>0</v>
      </c>
      <c r="FQ104" s="69">
        <f t="shared" si="297"/>
        <v>0</v>
      </c>
      <c r="FR104" s="69">
        <f t="shared" si="297"/>
        <v>0</v>
      </c>
      <c r="FS104" s="69">
        <f t="shared" si="297"/>
        <v>0</v>
      </c>
      <c r="FT104" s="69">
        <f t="shared" si="297"/>
        <v>6591631</v>
      </c>
      <c r="FU104" s="69">
        <f t="shared" si="297"/>
        <v>9871630</v>
      </c>
      <c r="FV104" s="69">
        <f t="shared" si="297"/>
        <v>0</v>
      </c>
      <c r="FW104" s="69">
        <f t="shared" si="297"/>
        <v>0</v>
      </c>
      <c r="FX104" s="69">
        <f t="shared" si="297"/>
        <v>0</v>
      </c>
      <c r="FY104" s="69">
        <f t="shared" si="297"/>
        <v>0</v>
      </c>
      <c r="FZ104" s="69">
        <f t="shared" si="297"/>
        <v>0</v>
      </c>
      <c r="GA104" s="69">
        <f t="shared" si="297"/>
        <v>0</v>
      </c>
      <c r="GB104" s="69">
        <f t="shared" si="297"/>
        <v>0</v>
      </c>
      <c r="GC104" s="69">
        <f t="shared" si="297"/>
        <v>0</v>
      </c>
      <c r="GD104" s="69">
        <f t="shared" si="297"/>
        <v>0</v>
      </c>
      <c r="GE104" s="69">
        <f t="shared" si="297"/>
        <v>0</v>
      </c>
      <c r="GF104" s="69">
        <f t="shared" si="297"/>
        <v>0</v>
      </c>
      <c r="GG104" s="69">
        <f t="shared" si="297"/>
        <v>0</v>
      </c>
      <c r="GH104" s="69">
        <f t="shared" si="297"/>
        <v>644213</v>
      </c>
      <c r="GI104" s="69">
        <f t="shared" si="297"/>
        <v>248273</v>
      </c>
      <c r="GJ104" s="69">
        <f t="shared" si="297"/>
        <v>107501</v>
      </c>
      <c r="GK104" s="69">
        <f t="shared" si="297"/>
        <v>400808</v>
      </c>
      <c r="GL104" s="69">
        <f t="shared" si="297"/>
        <v>0</v>
      </c>
      <c r="GM104" s="69">
        <f t="shared" si="297"/>
        <v>1400795</v>
      </c>
      <c r="GN104" s="69">
        <f t="shared" si="297"/>
        <v>949255</v>
      </c>
      <c r="GO104" s="69">
        <f t="shared" si="297"/>
        <v>1060061</v>
      </c>
      <c r="GP104" s="69">
        <f t="shared" si="297"/>
        <v>744327</v>
      </c>
      <c r="GQ104" s="69">
        <f t="shared" si="297"/>
        <v>2123338</v>
      </c>
      <c r="GR104" s="69">
        <f t="shared" ref="GR104:JC104" si="298">MODE(GR3:GR97)</f>
        <v>0</v>
      </c>
      <c r="GS104" s="69">
        <f t="shared" si="298"/>
        <v>4876981</v>
      </c>
      <c r="GT104" s="69">
        <f t="shared" si="298"/>
        <v>903080</v>
      </c>
      <c r="GU104" s="69">
        <f t="shared" si="298"/>
        <v>143821</v>
      </c>
      <c r="GV104" s="69">
        <f t="shared" si="298"/>
        <v>113894</v>
      </c>
      <c r="GW104" s="69">
        <f t="shared" si="298"/>
        <v>437939</v>
      </c>
      <c r="GX104" s="69">
        <f t="shared" si="298"/>
        <v>0</v>
      </c>
      <c r="GY104" s="69">
        <f t="shared" si="298"/>
        <v>1847995</v>
      </c>
      <c r="GZ104" s="69">
        <f t="shared" si="298"/>
        <v>0</v>
      </c>
      <c r="HA104" s="69">
        <f t="shared" si="298"/>
        <v>0</v>
      </c>
      <c r="HB104" s="69">
        <f t="shared" si="298"/>
        <v>0</v>
      </c>
      <c r="HC104" s="69">
        <f t="shared" si="298"/>
        <v>0</v>
      </c>
      <c r="HD104" s="69">
        <f t="shared" si="298"/>
        <v>0</v>
      </c>
      <c r="HE104" s="69">
        <f t="shared" si="298"/>
        <v>2293178</v>
      </c>
      <c r="HF104" s="69">
        <f t="shared" si="298"/>
        <v>0</v>
      </c>
      <c r="HG104" s="69">
        <f t="shared" si="298"/>
        <v>0</v>
      </c>
      <c r="HH104" s="69">
        <f t="shared" si="298"/>
        <v>0</v>
      </c>
      <c r="HI104" s="69">
        <f t="shared" si="298"/>
        <v>0</v>
      </c>
      <c r="HJ104" s="69">
        <f t="shared" si="298"/>
        <v>1687305</v>
      </c>
      <c r="HK104" s="69">
        <f t="shared" si="298"/>
        <v>2156532</v>
      </c>
      <c r="HL104" s="69">
        <f t="shared" si="298"/>
        <v>0</v>
      </c>
      <c r="HM104" s="69">
        <f t="shared" si="298"/>
        <v>0</v>
      </c>
      <c r="HN104" s="69">
        <f t="shared" si="298"/>
        <v>0</v>
      </c>
      <c r="HO104" s="69">
        <f t="shared" si="298"/>
        <v>0</v>
      </c>
      <c r="HP104" s="69">
        <f t="shared" si="298"/>
        <v>0</v>
      </c>
      <c r="HQ104" s="69">
        <f t="shared" si="298"/>
        <v>0</v>
      </c>
      <c r="HR104" s="69">
        <f t="shared" si="298"/>
        <v>0</v>
      </c>
      <c r="HS104" s="69">
        <f t="shared" si="298"/>
        <v>0</v>
      </c>
      <c r="HT104" s="69">
        <f t="shared" si="298"/>
        <v>0</v>
      </c>
      <c r="HU104" s="69">
        <f t="shared" si="298"/>
        <v>0</v>
      </c>
      <c r="HV104" s="69">
        <f t="shared" si="298"/>
        <v>16676803</v>
      </c>
      <c r="HW104" s="69">
        <f t="shared" si="298"/>
        <v>18783277</v>
      </c>
      <c r="HX104" s="69">
        <f t="shared" si="298"/>
        <v>0</v>
      </c>
      <c r="HY104" s="69">
        <f t="shared" si="298"/>
        <v>0</v>
      </c>
      <c r="HZ104" s="69">
        <f t="shared" si="298"/>
        <v>0</v>
      </c>
      <c r="IA104" s="69">
        <f t="shared" si="298"/>
        <v>0</v>
      </c>
      <c r="IB104" s="69">
        <f t="shared" si="298"/>
        <v>0</v>
      </c>
      <c r="IC104" s="69">
        <f t="shared" si="298"/>
        <v>0</v>
      </c>
      <c r="ID104" s="69">
        <f t="shared" si="298"/>
        <v>0</v>
      </c>
      <c r="IE104" s="69">
        <f t="shared" si="298"/>
        <v>0</v>
      </c>
      <c r="IF104" s="69">
        <f t="shared" si="298"/>
        <v>0</v>
      </c>
      <c r="IG104" s="69">
        <f t="shared" si="298"/>
        <v>0</v>
      </c>
      <c r="IH104" s="69">
        <f t="shared" si="298"/>
        <v>0</v>
      </c>
      <c r="II104" s="69">
        <f t="shared" si="298"/>
        <v>0</v>
      </c>
      <c r="IJ104" s="69">
        <f t="shared" si="298"/>
        <v>0</v>
      </c>
      <c r="IK104" s="69">
        <f t="shared" si="298"/>
        <v>0</v>
      </c>
      <c r="IL104" s="69">
        <f t="shared" si="298"/>
        <v>0</v>
      </c>
      <c r="IM104" s="69">
        <f t="shared" si="298"/>
        <v>0</v>
      </c>
      <c r="IN104" s="69">
        <f t="shared" si="298"/>
        <v>0</v>
      </c>
      <c r="IO104" s="69">
        <f t="shared" si="298"/>
        <v>454789</v>
      </c>
      <c r="IP104" s="69">
        <f t="shared" si="298"/>
        <v>0</v>
      </c>
      <c r="IQ104" s="69">
        <f t="shared" si="298"/>
        <v>0</v>
      </c>
      <c r="IR104" s="69">
        <f t="shared" si="298"/>
        <v>0</v>
      </c>
      <c r="IS104" s="69">
        <f t="shared" si="298"/>
        <v>0</v>
      </c>
      <c r="IT104" s="69">
        <f t="shared" si="298"/>
        <v>0</v>
      </c>
      <c r="IU104" s="69">
        <f t="shared" si="298"/>
        <v>1645752</v>
      </c>
      <c r="IV104" s="69">
        <f t="shared" si="298"/>
        <v>0</v>
      </c>
      <c r="IW104" s="69">
        <f t="shared" si="298"/>
        <v>0</v>
      </c>
      <c r="IX104" s="69">
        <f t="shared" si="298"/>
        <v>0</v>
      </c>
      <c r="IY104" s="69">
        <f t="shared" si="298"/>
        <v>0</v>
      </c>
      <c r="IZ104" s="69">
        <f t="shared" si="298"/>
        <v>0</v>
      </c>
      <c r="JA104" s="69">
        <f t="shared" si="298"/>
        <v>4539970</v>
      </c>
      <c r="JB104" s="69" t="e">
        <f t="shared" si="298"/>
        <v>#N/A</v>
      </c>
      <c r="JC104" s="69" t="e">
        <f t="shared" si="298"/>
        <v>#N/A</v>
      </c>
      <c r="JD104" s="69" t="e">
        <f t="shared" ref="JD104:JS104" si="299">MODE(JD3:JD97)</f>
        <v>#N/A</v>
      </c>
      <c r="JE104" s="69" t="e">
        <f t="shared" si="299"/>
        <v>#N/A</v>
      </c>
      <c r="JF104" s="69" t="e">
        <f t="shared" si="299"/>
        <v>#N/A</v>
      </c>
      <c r="JG104" s="69" t="e">
        <f t="shared" si="299"/>
        <v>#N/A</v>
      </c>
      <c r="JH104" s="69">
        <f t="shared" si="299"/>
        <v>0</v>
      </c>
      <c r="JI104" s="69">
        <f t="shared" si="299"/>
        <v>0</v>
      </c>
      <c r="JJ104" s="69">
        <f t="shared" si="299"/>
        <v>0</v>
      </c>
      <c r="JK104" s="69">
        <f t="shared" si="299"/>
        <v>0</v>
      </c>
      <c r="JL104" s="69">
        <f t="shared" si="299"/>
        <v>0</v>
      </c>
      <c r="JM104" s="69">
        <f t="shared" si="299"/>
        <v>0</v>
      </c>
      <c r="JN104" s="69">
        <f t="shared" si="299"/>
        <v>14461262</v>
      </c>
      <c r="JO104" s="69">
        <f t="shared" si="299"/>
        <v>6069136</v>
      </c>
      <c r="JP104" s="69">
        <f t="shared" si="299"/>
        <v>3530903</v>
      </c>
      <c r="JQ104" s="69">
        <f t="shared" si="299"/>
        <v>13165404</v>
      </c>
      <c r="JR104" s="69">
        <f t="shared" si="299"/>
        <v>30741007</v>
      </c>
      <c r="JS104" s="69">
        <f t="shared" si="299"/>
        <v>67967712</v>
      </c>
    </row>
    <row r="105" spans="1:361" x14ac:dyDescent="0.15">
      <c r="A105" s="85" t="s">
        <v>598</v>
      </c>
      <c r="B105" s="71"/>
      <c r="C105" s="71"/>
      <c r="D105" s="71"/>
      <c r="E105" s="71"/>
      <c r="F105" s="71"/>
      <c r="G105" s="69">
        <f>STDEV(G3:G97)</f>
        <v>4345.9052219017403</v>
      </c>
      <c r="H105" s="69">
        <f t="shared" ref="H105:BS105" si="300">STDEV(H3:H97)</f>
        <v>4035.3434222449619</v>
      </c>
      <c r="I105" s="69">
        <f t="shared" si="300"/>
        <v>1125255584.2007432</v>
      </c>
      <c r="J105" s="69">
        <f t="shared" si="300"/>
        <v>1068108605.7396564</v>
      </c>
      <c r="K105" s="69">
        <f t="shared" si="300"/>
        <v>5090023.2784376899</v>
      </c>
      <c r="L105" s="69">
        <f t="shared" si="300"/>
        <v>4378404.0399654284</v>
      </c>
      <c r="M105" s="69">
        <f t="shared" si="300"/>
        <v>43725878.4671195</v>
      </c>
      <c r="N105" s="69">
        <f t="shared" si="300"/>
        <v>59373961.499056816</v>
      </c>
      <c r="O105" s="69">
        <f t="shared" si="300"/>
        <v>63099580.916068055</v>
      </c>
      <c r="P105" s="69">
        <f t="shared" si="300"/>
        <v>58618403.345436536</v>
      </c>
      <c r="Q105" s="69">
        <f t="shared" si="300"/>
        <v>550360553.83885038</v>
      </c>
      <c r="R105" s="69">
        <f t="shared" si="300"/>
        <v>532619881.35021234</v>
      </c>
      <c r="S105" s="69">
        <f t="shared" si="300"/>
        <v>734255112.17475975</v>
      </c>
      <c r="T105" s="69">
        <f t="shared" si="300"/>
        <v>751244582.28524327</v>
      </c>
      <c r="U105" s="69">
        <f t="shared" si="300"/>
        <v>3328.646909363305</v>
      </c>
      <c r="V105" s="69">
        <f t="shared" si="300"/>
        <v>4575.6236759180701</v>
      </c>
      <c r="W105" s="69">
        <f t="shared" si="300"/>
        <v>6402.3654536702015</v>
      </c>
      <c r="X105" s="69">
        <f t="shared" si="300"/>
        <v>6174.4356079186537</v>
      </c>
      <c r="Y105" s="69">
        <f t="shared" si="300"/>
        <v>3078.192125251303</v>
      </c>
      <c r="Z105" s="69">
        <f t="shared" si="300"/>
        <v>3022.6677535215854</v>
      </c>
      <c r="AA105" s="69">
        <f t="shared" si="300"/>
        <v>6075.7927468189846</v>
      </c>
      <c r="AB105" s="69">
        <f t="shared" si="300"/>
        <v>6090.6049639883659</v>
      </c>
      <c r="AC105" s="69">
        <f t="shared" si="300"/>
        <v>1.9469799711661926</v>
      </c>
      <c r="AD105" s="69">
        <f t="shared" si="300"/>
        <v>1.6428623361433532</v>
      </c>
      <c r="AE105" s="69">
        <f t="shared" si="300"/>
        <v>0.30503812235806582</v>
      </c>
      <c r="AF105" s="69">
        <f t="shared" si="300"/>
        <v>1620485.8602447349</v>
      </c>
      <c r="AG105" s="69">
        <f t="shared" si="300"/>
        <v>1430926.1034340826</v>
      </c>
      <c r="AH105" s="69">
        <f t="shared" si="300"/>
        <v>403046.6810327429</v>
      </c>
      <c r="AI105" s="69">
        <f t="shared" si="300"/>
        <v>174835.66983020358</v>
      </c>
      <c r="AJ105" s="69">
        <f t="shared" si="300"/>
        <v>383884.70141422638</v>
      </c>
      <c r="AK105" s="69">
        <f t="shared" si="300"/>
        <v>1.8393481855851141</v>
      </c>
      <c r="AL105" s="69">
        <f t="shared" si="300"/>
        <v>339279.49410319451</v>
      </c>
      <c r="AM105" s="69">
        <f t="shared" si="300"/>
        <v>2.0777716023328163</v>
      </c>
      <c r="AN105" s="69">
        <f t="shared" si="300"/>
        <v>70670.874032774169</v>
      </c>
      <c r="AO105" s="69">
        <f t="shared" si="300"/>
        <v>1.7435513466419665</v>
      </c>
      <c r="AP105" s="69">
        <f t="shared" si="300"/>
        <v>63894.495804523263</v>
      </c>
      <c r="AQ105" s="69">
        <f t="shared" si="300"/>
        <v>1.9475728356244906</v>
      </c>
      <c r="AR105" s="69">
        <f t="shared" si="300"/>
        <v>92368.185557860328</v>
      </c>
      <c r="AS105" s="69">
        <f t="shared" si="300"/>
        <v>4.2074914758500404</v>
      </c>
      <c r="AT105" s="69">
        <f t="shared" si="300"/>
        <v>70159.167711342205</v>
      </c>
      <c r="AU105" s="69">
        <f t="shared" si="300"/>
        <v>5.1346537530339447</v>
      </c>
      <c r="AV105" s="69">
        <f t="shared" si="300"/>
        <v>21484.455714900731</v>
      </c>
      <c r="AW105" s="69">
        <f t="shared" si="300"/>
        <v>4.1225860337284805</v>
      </c>
      <c r="AX105" s="69">
        <f t="shared" si="300"/>
        <v>19516.461349183282</v>
      </c>
      <c r="AY105" s="69">
        <f t="shared" si="300"/>
        <v>4.9000114652468501</v>
      </c>
      <c r="AZ105" s="69">
        <f t="shared" si="300"/>
        <v>10931141.281513056</v>
      </c>
      <c r="BA105" s="69">
        <f t="shared" si="300"/>
        <v>3260824.61771345</v>
      </c>
      <c r="BB105" s="69">
        <f t="shared" si="300"/>
        <v>245116.9967648733</v>
      </c>
      <c r="BC105" s="69">
        <f t="shared" si="300"/>
        <v>967616.19616162975</v>
      </c>
      <c r="BD105" s="69">
        <f t="shared" si="300"/>
        <v>1524795.4902346302</v>
      </c>
      <c r="BE105" s="69">
        <f t="shared" si="300"/>
        <v>13384067.818027059</v>
      </c>
      <c r="BF105" s="69">
        <f t="shared" si="300"/>
        <v>1201489.1905798244</v>
      </c>
      <c r="BG105" s="69">
        <f t="shared" si="300"/>
        <v>331030.96764987259</v>
      </c>
      <c r="BH105" s="69">
        <f t="shared" si="300"/>
        <v>369348.25016572908</v>
      </c>
      <c r="BI105" s="69">
        <f t="shared" si="300"/>
        <v>1670957.4512854882</v>
      </c>
      <c r="BJ105" s="69">
        <f t="shared" si="300"/>
        <v>5042169.3407539856</v>
      </c>
      <c r="BK105" s="69">
        <f t="shared" si="300"/>
        <v>5445422.2848077072</v>
      </c>
      <c r="BL105" s="69">
        <f t="shared" si="300"/>
        <v>811711.01563598157</v>
      </c>
      <c r="BM105" s="69">
        <f t="shared" si="300"/>
        <v>122571.60270372542</v>
      </c>
      <c r="BN105" s="69">
        <f t="shared" si="300"/>
        <v>12909.871480186717</v>
      </c>
      <c r="BO105" s="69">
        <f t="shared" si="300"/>
        <v>35964.366043487629</v>
      </c>
      <c r="BP105" s="69">
        <f t="shared" si="300"/>
        <v>0</v>
      </c>
      <c r="BQ105" s="69">
        <f t="shared" si="300"/>
        <v>848554.95130761329</v>
      </c>
      <c r="BR105" s="69">
        <f t="shared" si="300"/>
        <v>13278232.59061655</v>
      </c>
      <c r="BS105" s="69">
        <f t="shared" si="300"/>
        <v>2407790.084778876</v>
      </c>
      <c r="BT105" s="69">
        <f t="shared" ref="BT105:EE105" si="301">STDEV(BT3:BT97)</f>
        <v>268835.78711559932</v>
      </c>
      <c r="BU105" s="69">
        <f t="shared" si="301"/>
        <v>2120216.7690024041</v>
      </c>
      <c r="BV105" s="69">
        <f t="shared" si="301"/>
        <v>6951015.9580349363</v>
      </c>
      <c r="BW105" s="69">
        <f t="shared" si="301"/>
        <v>16974808.760733213</v>
      </c>
      <c r="BX105" s="69">
        <f t="shared" si="301"/>
        <v>375808.2616098682</v>
      </c>
      <c r="BY105" s="69">
        <f t="shared" si="301"/>
        <v>159980.11171862067</v>
      </c>
      <c r="BZ105" s="69">
        <f t="shared" si="301"/>
        <v>53222.757685809731</v>
      </c>
      <c r="CA105" s="69">
        <f t="shared" si="301"/>
        <v>84363.015985413935</v>
      </c>
      <c r="CB105" s="69">
        <f t="shared" si="301"/>
        <v>468830.71955950011</v>
      </c>
      <c r="CC105" s="69">
        <f t="shared" si="301"/>
        <v>783931.82218567899</v>
      </c>
      <c r="CD105" s="69">
        <f t="shared" si="301"/>
        <v>110350.3207723979</v>
      </c>
      <c r="CE105" s="69">
        <f t="shared" si="301"/>
        <v>20069.822916672856</v>
      </c>
      <c r="CF105" s="69">
        <f t="shared" si="301"/>
        <v>39464.308522930653</v>
      </c>
      <c r="CG105" s="69">
        <f t="shared" si="301"/>
        <v>184970.17895524719</v>
      </c>
      <c r="CH105" s="69">
        <f t="shared" si="301"/>
        <v>953230.96142196213</v>
      </c>
      <c r="CI105" s="69">
        <f t="shared" si="301"/>
        <v>1038012.2861091618</v>
      </c>
      <c r="CJ105" s="69">
        <f t="shared" si="301"/>
        <v>903129.49959709041</v>
      </c>
      <c r="CK105" s="69">
        <f t="shared" si="301"/>
        <v>359891.27935768478</v>
      </c>
      <c r="CL105" s="69">
        <f t="shared" si="301"/>
        <v>340315.29774794541</v>
      </c>
      <c r="CM105" s="69">
        <f t="shared" si="301"/>
        <v>1905832.0854269655</v>
      </c>
      <c r="CN105" s="69">
        <f t="shared" si="301"/>
        <v>4944806.3091629585</v>
      </c>
      <c r="CO105" s="69">
        <f t="shared" si="301"/>
        <v>5761537.8403087668</v>
      </c>
      <c r="CP105" s="69">
        <f t="shared" si="301"/>
        <v>245883.78493652231</v>
      </c>
      <c r="CQ105" s="69">
        <f t="shared" si="301"/>
        <v>129323.50173669425</v>
      </c>
      <c r="CR105" s="69">
        <f t="shared" si="301"/>
        <v>119145.15930443443</v>
      </c>
      <c r="CS105" s="69">
        <f t="shared" si="301"/>
        <v>301238.36900963791</v>
      </c>
      <c r="CT105" s="69">
        <f t="shared" si="301"/>
        <v>1686367.2299868481</v>
      </c>
      <c r="CU105" s="69">
        <f t="shared" si="301"/>
        <v>1859351.618844653</v>
      </c>
      <c r="CV105" s="69">
        <f t="shared" si="301"/>
        <v>7621476.9380479893</v>
      </c>
      <c r="CW105" s="69">
        <f t="shared" si="301"/>
        <v>2939705.3305847263</v>
      </c>
      <c r="CX105" s="69">
        <f t="shared" si="301"/>
        <v>88836.237693819712</v>
      </c>
      <c r="CY105" s="69">
        <f t="shared" si="301"/>
        <v>402397.07961041183</v>
      </c>
      <c r="CZ105" s="69">
        <f t="shared" si="301"/>
        <v>2552328.9396947036</v>
      </c>
      <c r="DA105" s="69">
        <f t="shared" si="301"/>
        <v>10518273.69666958</v>
      </c>
      <c r="DB105" s="69">
        <f t="shared" si="301"/>
        <v>1847164.1132301898</v>
      </c>
      <c r="DC105" s="69">
        <f t="shared" si="301"/>
        <v>628986.14659238269</v>
      </c>
      <c r="DD105" s="69">
        <f t="shared" si="301"/>
        <v>118101.19705104901</v>
      </c>
      <c r="DE105" s="69">
        <f t="shared" si="301"/>
        <v>30414.979317743553</v>
      </c>
      <c r="DF105" s="69">
        <f t="shared" si="301"/>
        <v>2106716.3223307459</v>
      </c>
      <c r="DG105" s="69">
        <f t="shared" si="301"/>
        <v>3091143.5897767455</v>
      </c>
      <c r="DH105" s="69">
        <f t="shared" si="301"/>
        <v>1057440.5751028822</v>
      </c>
      <c r="DI105" s="69">
        <f t="shared" si="301"/>
        <v>256459.25773412845</v>
      </c>
      <c r="DJ105" s="69">
        <f t="shared" si="301"/>
        <v>32400.526464049766</v>
      </c>
      <c r="DK105" s="69">
        <f t="shared" si="301"/>
        <v>137134.52717296768</v>
      </c>
      <c r="DL105" s="69">
        <f t="shared" si="301"/>
        <v>746988.38695691491</v>
      </c>
      <c r="DM105" s="69">
        <f t="shared" si="301"/>
        <v>1678910.5741480512</v>
      </c>
      <c r="DN105" s="69">
        <f t="shared" si="301"/>
        <v>3029274.0463199667</v>
      </c>
      <c r="DO105" s="69">
        <f t="shared" si="301"/>
        <v>584204.48343016498</v>
      </c>
      <c r="DP105" s="69">
        <f t="shared" si="301"/>
        <v>148561.2188099963</v>
      </c>
      <c r="DQ105" s="69">
        <f t="shared" si="301"/>
        <v>404017.77906910249</v>
      </c>
      <c r="DR105" s="69">
        <f t="shared" si="301"/>
        <v>3923203.4750155285</v>
      </c>
      <c r="DS105" s="69">
        <f t="shared" si="301"/>
        <v>5286509.0300501557</v>
      </c>
      <c r="DT105" s="69">
        <f t="shared" si="301"/>
        <v>124362.64701201458</v>
      </c>
      <c r="DU105" s="69">
        <f t="shared" si="301"/>
        <v>122836.68219943164</v>
      </c>
      <c r="DV105" s="69">
        <f t="shared" si="301"/>
        <v>47292.544349967226</v>
      </c>
      <c r="DW105" s="69">
        <f t="shared" si="301"/>
        <v>684213.11749721027</v>
      </c>
      <c r="DX105" s="69">
        <f t="shared" si="301"/>
        <v>163947.45902432731</v>
      </c>
      <c r="DY105" s="69">
        <f t="shared" si="301"/>
        <v>945544.32035851339</v>
      </c>
      <c r="DZ105" s="69">
        <f t="shared" si="301"/>
        <v>304079.91774033301</v>
      </c>
      <c r="EA105" s="69">
        <f t="shared" si="301"/>
        <v>65625.370350826459</v>
      </c>
      <c r="EB105" s="69">
        <f t="shared" si="301"/>
        <v>44302.443026970504</v>
      </c>
      <c r="EC105" s="69">
        <f t="shared" si="301"/>
        <v>701311.81718402205</v>
      </c>
      <c r="ED105" s="69">
        <f t="shared" si="301"/>
        <v>2047401.3837659103</v>
      </c>
      <c r="EE105" s="69">
        <f t="shared" si="301"/>
        <v>2499207.881174115</v>
      </c>
      <c r="EF105" s="69">
        <f t="shared" ref="EF105:GQ105" si="302">STDEV(EF3:EF97)</f>
        <v>952846.82914030319</v>
      </c>
      <c r="EG105" s="69">
        <f t="shared" si="302"/>
        <v>255106.10141400242</v>
      </c>
      <c r="EH105" s="69">
        <f t="shared" si="302"/>
        <v>42358.123644829197</v>
      </c>
      <c r="EI105" s="69">
        <f t="shared" si="302"/>
        <v>211417.46714364472</v>
      </c>
      <c r="EJ105" s="69">
        <f t="shared" si="302"/>
        <v>1721759.961016166</v>
      </c>
      <c r="EK105" s="69">
        <f t="shared" si="302"/>
        <v>2131260.8462087298</v>
      </c>
      <c r="EL105" s="69">
        <f t="shared" si="302"/>
        <v>28882238.663105283</v>
      </c>
      <c r="EM105" s="69">
        <f t="shared" si="302"/>
        <v>7185546.5076329643</v>
      </c>
      <c r="EN105" s="69">
        <f t="shared" si="302"/>
        <v>758281.6185103507</v>
      </c>
      <c r="EO105" s="69">
        <f t="shared" si="302"/>
        <v>3822429.2221547584</v>
      </c>
      <c r="EP105" s="69">
        <f t="shared" si="302"/>
        <v>11680213.881605888</v>
      </c>
      <c r="EQ105" s="69">
        <f t="shared" si="302"/>
        <v>39613493.79695037</v>
      </c>
      <c r="ER105" s="69">
        <f t="shared" si="302"/>
        <v>793535.25706261606</v>
      </c>
      <c r="ES105" s="69">
        <f t="shared" si="302"/>
        <v>109701.27462918026</v>
      </c>
      <c r="ET105" s="69">
        <f t="shared" si="302"/>
        <v>121150.09924691707</v>
      </c>
      <c r="EU105" s="69">
        <f t="shared" si="302"/>
        <v>2127788.4072574978</v>
      </c>
      <c r="EV105" s="69">
        <f t="shared" si="302"/>
        <v>662846.10690299724</v>
      </c>
      <c r="EW105" s="69">
        <f t="shared" si="302"/>
        <v>2968305.5277747842</v>
      </c>
      <c r="EX105" s="69">
        <f t="shared" si="302"/>
        <v>912648.36275539419</v>
      </c>
      <c r="EY105" s="69">
        <f t="shared" si="302"/>
        <v>276038.09455996688</v>
      </c>
      <c r="EZ105" s="69">
        <f t="shared" si="302"/>
        <v>54989.368151492119</v>
      </c>
      <c r="FA105" s="69">
        <f t="shared" si="302"/>
        <v>131313.29613957726</v>
      </c>
      <c r="FB105" s="69">
        <f t="shared" si="302"/>
        <v>63347.286559272768</v>
      </c>
      <c r="FC105" s="69">
        <f t="shared" si="302"/>
        <v>1246102.6728603877</v>
      </c>
      <c r="FD105" s="69">
        <f t="shared" si="302"/>
        <v>2833940.6504873158</v>
      </c>
      <c r="FE105" s="69">
        <f t="shared" si="302"/>
        <v>1369398.592960859</v>
      </c>
      <c r="FF105" s="69">
        <f t="shared" si="302"/>
        <v>456893.19561795337</v>
      </c>
      <c r="FG105" s="69">
        <f t="shared" si="302"/>
        <v>1930318.09988133</v>
      </c>
      <c r="FH105" s="69">
        <f t="shared" si="302"/>
        <v>15769.742470675577</v>
      </c>
      <c r="FI105" s="69">
        <f t="shared" si="302"/>
        <v>6008545.7846477097</v>
      </c>
      <c r="FJ105" s="69">
        <f t="shared" si="302"/>
        <v>375480.80025120231</v>
      </c>
      <c r="FK105" s="69">
        <f t="shared" si="302"/>
        <v>162205.72456743362</v>
      </c>
      <c r="FL105" s="69">
        <f t="shared" si="302"/>
        <v>53175.992926122773</v>
      </c>
      <c r="FM105" s="69">
        <f t="shared" si="302"/>
        <v>82565.695769715938</v>
      </c>
      <c r="FN105" s="69">
        <f t="shared" si="302"/>
        <v>0</v>
      </c>
      <c r="FO105" s="69">
        <f t="shared" si="302"/>
        <v>606600.75652044709</v>
      </c>
      <c r="FP105" s="69">
        <f t="shared" si="302"/>
        <v>801508.42195086798</v>
      </c>
      <c r="FQ105" s="69">
        <f t="shared" si="302"/>
        <v>224314.9439081251</v>
      </c>
      <c r="FR105" s="69">
        <f t="shared" si="302"/>
        <v>117985.79152773283</v>
      </c>
      <c r="FS105" s="69">
        <f t="shared" si="302"/>
        <v>426624.5621037953</v>
      </c>
      <c r="FT105" s="69">
        <f t="shared" si="302"/>
        <v>5874514.187358126</v>
      </c>
      <c r="FU105" s="69">
        <f t="shared" si="302"/>
        <v>6940281.9684223477</v>
      </c>
      <c r="FV105" s="69">
        <f t="shared" si="302"/>
        <v>5621.7990408956284</v>
      </c>
      <c r="FW105" s="69">
        <f t="shared" si="302"/>
        <v>1070.0336778197839</v>
      </c>
      <c r="FX105" s="69">
        <f t="shared" si="302"/>
        <v>825.62910527965425</v>
      </c>
      <c r="FY105" s="69">
        <f t="shared" si="302"/>
        <v>2663.1516157656947</v>
      </c>
      <c r="FZ105" s="69">
        <f t="shared" si="302"/>
        <v>34497.668830188471</v>
      </c>
      <c r="GA105" s="69">
        <f t="shared" si="302"/>
        <v>40604.771836222259</v>
      </c>
      <c r="GB105" s="69">
        <f t="shared" si="302"/>
        <v>541566.22430204577</v>
      </c>
      <c r="GC105" s="69">
        <f t="shared" si="302"/>
        <v>377488.42311925697</v>
      </c>
      <c r="GD105" s="69">
        <f t="shared" si="302"/>
        <v>71182.803019829938</v>
      </c>
      <c r="GE105" s="69">
        <f t="shared" si="302"/>
        <v>429380.8597243735</v>
      </c>
      <c r="GF105" s="69">
        <f t="shared" si="302"/>
        <v>161327.10375416133</v>
      </c>
      <c r="GG105" s="69">
        <f t="shared" si="302"/>
        <v>874245.84578897385</v>
      </c>
      <c r="GH105" s="69">
        <f t="shared" si="302"/>
        <v>242943.48441751112</v>
      </c>
      <c r="GI105" s="69">
        <f t="shared" si="302"/>
        <v>120263.13220947278</v>
      </c>
      <c r="GJ105" s="69">
        <f t="shared" si="302"/>
        <v>59623.345093222524</v>
      </c>
      <c r="GK105" s="69">
        <f t="shared" si="302"/>
        <v>200395.24306821893</v>
      </c>
      <c r="GL105" s="69">
        <f t="shared" si="302"/>
        <v>21149.188176064985</v>
      </c>
      <c r="GM105" s="69">
        <f t="shared" si="302"/>
        <v>547138.53532683197</v>
      </c>
      <c r="GN105" s="69">
        <f t="shared" si="302"/>
        <v>744578.93644728279</v>
      </c>
      <c r="GO105" s="69">
        <f t="shared" si="302"/>
        <v>414061.03207489836</v>
      </c>
      <c r="GP105" s="69">
        <f t="shared" si="302"/>
        <v>224100.30127848327</v>
      </c>
      <c r="GQ105" s="69">
        <f t="shared" si="302"/>
        <v>1082389.2875427182</v>
      </c>
      <c r="GR105" s="69">
        <f t="shared" ref="GR105:JC105" si="303">STDEV(GR3:GR97)</f>
        <v>173304.1669454895</v>
      </c>
      <c r="GS105" s="69">
        <f t="shared" si="303"/>
        <v>2161515.5037955213</v>
      </c>
      <c r="GT105" s="69">
        <f t="shared" si="303"/>
        <v>423952.83452099346</v>
      </c>
      <c r="GU105" s="69">
        <f t="shared" si="303"/>
        <v>99192.143674953302</v>
      </c>
      <c r="GV105" s="69">
        <f t="shared" si="303"/>
        <v>52456.156963069159</v>
      </c>
      <c r="GW105" s="69">
        <f t="shared" si="303"/>
        <v>483804.59833176812</v>
      </c>
      <c r="GX105" s="69">
        <f t="shared" si="303"/>
        <v>489872.17091729247</v>
      </c>
      <c r="GY105" s="69">
        <f t="shared" si="303"/>
        <v>1162766.7322038354</v>
      </c>
      <c r="GZ105" s="69">
        <f t="shared" si="303"/>
        <v>1517173.3845963969</v>
      </c>
      <c r="HA105" s="69">
        <f t="shared" si="303"/>
        <v>330525.87429511239</v>
      </c>
      <c r="HB105" s="69">
        <f t="shared" si="303"/>
        <v>147106.85576669846</v>
      </c>
      <c r="HC105" s="69">
        <f t="shared" si="303"/>
        <v>392052.37143900822</v>
      </c>
      <c r="HD105" s="69">
        <f t="shared" si="303"/>
        <v>1400806.1000280438</v>
      </c>
      <c r="HE105" s="69">
        <f t="shared" si="303"/>
        <v>2717719.1547553823</v>
      </c>
      <c r="HF105" s="69">
        <f t="shared" si="303"/>
        <v>777085.04869459721</v>
      </c>
      <c r="HG105" s="69">
        <f t="shared" si="303"/>
        <v>144251.9192346129</v>
      </c>
      <c r="HH105" s="69">
        <f t="shared" si="303"/>
        <v>40985.970467496918</v>
      </c>
      <c r="HI105" s="69">
        <f t="shared" si="303"/>
        <v>130505.97083389794</v>
      </c>
      <c r="HJ105" s="69">
        <f t="shared" si="303"/>
        <v>1005668.629310767</v>
      </c>
      <c r="HK105" s="69">
        <f t="shared" si="303"/>
        <v>1422417.3440834235</v>
      </c>
      <c r="HL105" s="69">
        <f t="shared" si="303"/>
        <v>95677.469605747639</v>
      </c>
      <c r="HM105" s="69">
        <f t="shared" si="303"/>
        <v>71823.888214654085</v>
      </c>
      <c r="HN105" s="69">
        <f t="shared" si="303"/>
        <v>31358.213365219526</v>
      </c>
      <c r="HO105" s="69">
        <f t="shared" si="303"/>
        <v>340563.28669222689</v>
      </c>
      <c r="HP105" s="69">
        <f t="shared" si="303"/>
        <v>119560.44553838199</v>
      </c>
      <c r="HQ105" s="69">
        <f t="shared" si="303"/>
        <v>515918.11956111708</v>
      </c>
      <c r="HR105" s="69">
        <f t="shared" si="303"/>
        <v>2523185.227421619</v>
      </c>
      <c r="HS105" s="69">
        <f t="shared" si="303"/>
        <v>579578.79853941768</v>
      </c>
      <c r="HT105" s="69">
        <f t="shared" si="303"/>
        <v>229453.21078258078</v>
      </c>
      <c r="HU105" s="69">
        <f t="shared" si="303"/>
        <v>1285803.5474999174</v>
      </c>
      <c r="HV105" s="69">
        <f t="shared" si="303"/>
        <v>7664058.2759796474</v>
      </c>
      <c r="HW105" s="69">
        <f t="shared" si="303"/>
        <v>9334571.7464302685</v>
      </c>
      <c r="HX105" s="69">
        <f t="shared" si="303"/>
        <v>174290.3138897329</v>
      </c>
      <c r="HY105" s="69">
        <f t="shared" si="303"/>
        <v>26017.47401543201</v>
      </c>
      <c r="HZ105" s="69">
        <f t="shared" si="303"/>
        <v>14688.481217488516</v>
      </c>
      <c r="IA105" s="69">
        <f t="shared" si="303"/>
        <v>25445.043105640994</v>
      </c>
      <c r="IB105" s="69">
        <f t="shared" si="303"/>
        <v>272678.86501824402</v>
      </c>
      <c r="IC105" s="69">
        <f t="shared" si="303"/>
        <v>322861.81975845748</v>
      </c>
      <c r="ID105" s="69">
        <f t="shared" si="303"/>
        <v>245895.81242880825</v>
      </c>
      <c r="IE105" s="69">
        <f t="shared" si="303"/>
        <v>129385.31500421076</v>
      </c>
      <c r="IF105" s="69">
        <f t="shared" si="303"/>
        <v>119159.17161994592</v>
      </c>
      <c r="IG105" s="69">
        <f t="shared" si="303"/>
        <v>301143.3870018624</v>
      </c>
      <c r="IH105" s="69">
        <f t="shared" si="303"/>
        <v>1681298.3327131718</v>
      </c>
      <c r="II105" s="69">
        <f t="shared" si="303"/>
        <v>1859351.6411004064</v>
      </c>
      <c r="IJ105" s="69">
        <f t="shared" si="303"/>
        <v>166832.61791146753</v>
      </c>
      <c r="IK105" s="69">
        <f t="shared" si="303"/>
        <v>22486.366118963844</v>
      </c>
      <c r="IL105" s="69">
        <f t="shared" si="303"/>
        <v>17727.757576337823</v>
      </c>
      <c r="IM105" s="69">
        <f t="shared" si="303"/>
        <v>310589.16808099707</v>
      </c>
      <c r="IN105" s="69">
        <f t="shared" si="303"/>
        <v>470275.48568263045</v>
      </c>
      <c r="IO105" s="69">
        <f t="shared" si="303"/>
        <v>557778.99610971438</v>
      </c>
      <c r="IP105" s="69">
        <f t="shared" si="303"/>
        <v>34706.759879645921</v>
      </c>
      <c r="IQ105" s="69">
        <f t="shared" si="303"/>
        <v>15554.491123575397</v>
      </c>
      <c r="IR105" s="69">
        <f t="shared" si="303"/>
        <v>12289.647721796906</v>
      </c>
      <c r="IS105" s="69">
        <f t="shared" si="303"/>
        <v>24884.641912184332</v>
      </c>
      <c r="IT105" s="69">
        <f t="shared" si="303"/>
        <v>835105.49514316057</v>
      </c>
      <c r="IU105" s="69">
        <f t="shared" si="303"/>
        <v>842361.04718578944</v>
      </c>
      <c r="IV105" s="69">
        <f t="shared" si="303"/>
        <v>1958184.5829328452</v>
      </c>
      <c r="IW105" s="69">
        <f t="shared" si="303"/>
        <v>588885.63361953502</v>
      </c>
      <c r="IX105" s="69">
        <f t="shared" si="303"/>
        <v>102646.0281660653</v>
      </c>
      <c r="IY105" s="69">
        <f t="shared" si="303"/>
        <v>859662.36776862503</v>
      </c>
      <c r="IZ105" s="69">
        <f t="shared" si="303"/>
        <v>3159081.683813266</v>
      </c>
      <c r="JA105" s="69">
        <f t="shared" si="303"/>
        <v>5364364.1536182296</v>
      </c>
      <c r="JB105" s="69">
        <f t="shared" si="303"/>
        <v>9839963.9078683648</v>
      </c>
      <c r="JC105" s="69">
        <f t="shared" si="303"/>
        <v>3262318.6077486607</v>
      </c>
      <c r="JD105" s="69">
        <f t="shared" ref="JD105:JS105" si="304">STDEV(JD3:JD97)</f>
        <v>1200729.4843104298</v>
      </c>
      <c r="JE105" s="69">
        <f t="shared" si="304"/>
        <v>9196184.9009116683</v>
      </c>
      <c r="JF105" s="69">
        <f t="shared" si="304"/>
        <v>16199887.777853779</v>
      </c>
      <c r="JG105" s="69">
        <f t="shared" si="304"/>
        <v>34717585.975072563</v>
      </c>
      <c r="JH105" s="69">
        <f t="shared" si="304"/>
        <v>220265.94252888527</v>
      </c>
      <c r="JI105" s="69">
        <f t="shared" si="304"/>
        <v>69548.548621440947</v>
      </c>
      <c r="JJ105" s="69">
        <f t="shared" si="304"/>
        <v>6966.8445216147793</v>
      </c>
      <c r="JK105" s="69">
        <f t="shared" si="304"/>
        <v>12825.92471739231</v>
      </c>
      <c r="JL105" s="69">
        <f t="shared" si="304"/>
        <v>1881523.283330407</v>
      </c>
      <c r="JM105" s="69">
        <f t="shared" si="304"/>
        <v>1900106.853738843</v>
      </c>
      <c r="JN105" s="69">
        <f t="shared" si="304"/>
        <v>9708795.4879415277</v>
      </c>
      <c r="JO105" s="69">
        <f t="shared" si="304"/>
        <v>3223857.2804347682</v>
      </c>
      <c r="JP105" s="69">
        <f t="shared" si="304"/>
        <v>1173249.7823121445</v>
      </c>
      <c r="JQ105" s="69">
        <f t="shared" si="304"/>
        <v>7267042.0512352865</v>
      </c>
      <c r="JR105" s="69">
        <f t="shared" si="304"/>
        <v>17166260.992615949</v>
      </c>
      <c r="JS105" s="69">
        <f t="shared" si="304"/>
        <v>35282752.931176282</v>
      </c>
    </row>
    <row r="106" spans="1:361" x14ac:dyDescent="0.15">
      <c r="A106" s="67" t="s">
        <v>599</v>
      </c>
      <c r="B106" s="68"/>
      <c r="G106" s="86">
        <f>COUNTIF(G3:G97,"="&amp;0)</f>
        <v>0</v>
      </c>
      <c r="H106" s="86">
        <f t="shared" ref="H106:BS106" si="305">COUNTIF(H3:H97,"="&amp;0)</f>
        <v>0</v>
      </c>
      <c r="I106" s="86">
        <f t="shared" si="305"/>
        <v>0</v>
      </c>
      <c r="J106" s="86">
        <f t="shared" si="305"/>
        <v>0</v>
      </c>
      <c r="K106" s="86">
        <f t="shared" si="305"/>
        <v>9</v>
      </c>
      <c r="L106" s="86">
        <f t="shared" si="305"/>
        <v>9</v>
      </c>
      <c r="M106" s="86">
        <f t="shared" si="305"/>
        <v>0</v>
      </c>
      <c r="N106" s="86">
        <f t="shared" si="305"/>
        <v>0</v>
      </c>
      <c r="O106" s="86">
        <f t="shared" si="305"/>
        <v>9</v>
      </c>
      <c r="P106" s="86">
        <f t="shared" si="305"/>
        <v>9</v>
      </c>
      <c r="Q106" s="86">
        <f t="shared" si="305"/>
        <v>0</v>
      </c>
      <c r="R106" s="86">
        <f t="shared" si="305"/>
        <v>0</v>
      </c>
      <c r="S106" s="86">
        <f t="shared" si="305"/>
        <v>0</v>
      </c>
      <c r="T106" s="86">
        <f t="shared" si="305"/>
        <v>0</v>
      </c>
      <c r="U106" s="86">
        <f t="shared" si="305"/>
        <v>0</v>
      </c>
      <c r="V106" s="86">
        <f t="shared" si="305"/>
        <v>0</v>
      </c>
      <c r="W106" s="86">
        <f t="shared" si="305"/>
        <v>0</v>
      </c>
      <c r="X106" s="86">
        <f t="shared" si="305"/>
        <v>0</v>
      </c>
      <c r="Y106" s="86">
        <f t="shared" si="305"/>
        <v>0</v>
      </c>
      <c r="Z106" s="86">
        <f t="shared" si="305"/>
        <v>0</v>
      </c>
      <c r="AA106" s="86">
        <f t="shared" si="305"/>
        <v>0</v>
      </c>
      <c r="AB106" s="86">
        <f t="shared" si="305"/>
        <v>0</v>
      </c>
      <c r="AC106" s="86">
        <f t="shared" si="305"/>
        <v>0</v>
      </c>
      <c r="AD106" s="86">
        <f t="shared" si="305"/>
        <v>0</v>
      </c>
      <c r="AE106" s="86">
        <f t="shared" si="305"/>
        <v>86</v>
      </c>
      <c r="AF106" s="86">
        <f t="shared" si="305"/>
        <v>0</v>
      </c>
      <c r="AG106" s="86">
        <f t="shared" si="305"/>
        <v>0</v>
      </c>
      <c r="AH106" s="86">
        <f t="shared" si="305"/>
        <v>0</v>
      </c>
      <c r="AI106" s="86">
        <f t="shared" si="305"/>
        <v>0</v>
      </c>
      <c r="AJ106" s="86">
        <f t="shared" si="305"/>
        <v>0</v>
      </c>
      <c r="AK106" s="86">
        <f t="shared" si="305"/>
        <v>0</v>
      </c>
      <c r="AL106" s="86">
        <f t="shared" si="305"/>
        <v>0</v>
      </c>
      <c r="AM106" s="86">
        <f t="shared" si="305"/>
        <v>0</v>
      </c>
      <c r="AN106" s="86">
        <f t="shared" si="305"/>
        <v>0</v>
      </c>
      <c r="AO106" s="86">
        <f t="shared" si="305"/>
        <v>0</v>
      </c>
      <c r="AP106" s="86">
        <f t="shared" si="305"/>
        <v>0</v>
      </c>
      <c r="AQ106" s="86">
        <f t="shared" si="305"/>
        <v>0</v>
      </c>
      <c r="AR106" s="86">
        <f t="shared" si="305"/>
        <v>0</v>
      </c>
      <c r="AS106" s="86">
        <f t="shared" si="305"/>
        <v>0</v>
      </c>
      <c r="AT106" s="86">
        <f t="shared" si="305"/>
        <v>0</v>
      </c>
      <c r="AU106" s="86">
        <f t="shared" si="305"/>
        <v>0</v>
      </c>
      <c r="AV106" s="86">
        <f t="shared" si="305"/>
        <v>0</v>
      </c>
      <c r="AW106" s="86">
        <f t="shared" si="305"/>
        <v>0</v>
      </c>
      <c r="AX106" s="86">
        <f t="shared" si="305"/>
        <v>0</v>
      </c>
      <c r="AY106" s="86">
        <f t="shared" si="305"/>
        <v>0</v>
      </c>
      <c r="AZ106" s="86">
        <f t="shared" si="305"/>
        <v>0</v>
      </c>
      <c r="BA106" s="86">
        <f t="shared" si="305"/>
        <v>0</v>
      </c>
      <c r="BB106" s="86">
        <f t="shared" si="305"/>
        <v>1</v>
      </c>
      <c r="BC106" s="86">
        <f t="shared" si="305"/>
        <v>2</v>
      </c>
      <c r="BD106" s="86">
        <f t="shared" si="305"/>
        <v>48</v>
      </c>
      <c r="BE106" s="86">
        <f t="shared" si="305"/>
        <v>0</v>
      </c>
      <c r="BF106" s="86">
        <f t="shared" si="305"/>
        <v>78</v>
      </c>
      <c r="BG106" s="86">
        <f t="shared" si="305"/>
        <v>79</v>
      </c>
      <c r="BH106" s="86">
        <f t="shared" si="305"/>
        <v>74</v>
      </c>
      <c r="BI106" s="86">
        <f t="shared" si="305"/>
        <v>73</v>
      </c>
      <c r="BJ106" s="86">
        <f t="shared" si="305"/>
        <v>38</v>
      </c>
      <c r="BK106" s="86">
        <f t="shared" si="305"/>
        <v>25</v>
      </c>
      <c r="BL106" s="86">
        <f t="shared" si="305"/>
        <v>10</v>
      </c>
      <c r="BM106" s="86">
        <f t="shared" si="305"/>
        <v>32</v>
      </c>
      <c r="BN106" s="86">
        <f t="shared" si="305"/>
        <v>67</v>
      </c>
      <c r="BO106" s="86">
        <f t="shared" si="305"/>
        <v>14</v>
      </c>
      <c r="BP106" s="86">
        <f t="shared" si="305"/>
        <v>95</v>
      </c>
      <c r="BQ106" s="86">
        <f t="shared" si="305"/>
        <v>1</v>
      </c>
      <c r="BR106" s="86">
        <f t="shared" si="305"/>
        <v>4</v>
      </c>
      <c r="BS106" s="86">
        <f t="shared" si="305"/>
        <v>4</v>
      </c>
      <c r="BT106" s="86">
        <f t="shared" ref="BT106:EE106" si="306">COUNTIF(BT3:BT97,"="&amp;0)</f>
        <v>9</v>
      </c>
      <c r="BU106" s="86">
        <f t="shared" si="306"/>
        <v>4</v>
      </c>
      <c r="BV106" s="86">
        <f t="shared" si="306"/>
        <v>4</v>
      </c>
      <c r="BW106" s="86">
        <f t="shared" si="306"/>
        <v>1</v>
      </c>
      <c r="BX106" s="86">
        <f t="shared" si="306"/>
        <v>69</v>
      </c>
      <c r="BY106" s="86">
        <f t="shared" si="306"/>
        <v>70</v>
      </c>
      <c r="BZ106" s="86">
        <f t="shared" si="306"/>
        <v>73</v>
      </c>
      <c r="CA106" s="86">
        <f t="shared" si="306"/>
        <v>71</v>
      </c>
      <c r="CB106" s="86">
        <f t="shared" si="306"/>
        <v>76</v>
      </c>
      <c r="CC106" s="86">
        <f t="shared" si="306"/>
        <v>67</v>
      </c>
      <c r="CD106" s="86">
        <f t="shared" si="306"/>
        <v>91</v>
      </c>
      <c r="CE106" s="86">
        <f t="shared" si="306"/>
        <v>92</v>
      </c>
      <c r="CF106" s="86">
        <f t="shared" si="306"/>
        <v>92</v>
      </c>
      <c r="CG106" s="86">
        <f t="shared" si="306"/>
        <v>89</v>
      </c>
      <c r="CH106" s="86">
        <f t="shared" si="306"/>
        <v>83</v>
      </c>
      <c r="CI106" s="86">
        <f t="shared" si="306"/>
        <v>80</v>
      </c>
      <c r="CJ106" s="86">
        <f t="shared" si="306"/>
        <v>57</v>
      </c>
      <c r="CK106" s="86">
        <f t="shared" si="306"/>
        <v>62</v>
      </c>
      <c r="CL106" s="86">
        <f t="shared" si="306"/>
        <v>54</v>
      </c>
      <c r="CM106" s="86">
        <f t="shared" si="306"/>
        <v>51</v>
      </c>
      <c r="CN106" s="86">
        <f t="shared" si="306"/>
        <v>28</v>
      </c>
      <c r="CO106" s="86">
        <f t="shared" si="306"/>
        <v>23</v>
      </c>
      <c r="CP106" s="86">
        <f t="shared" si="306"/>
        <v>84</v>
      </c>
      <c r="CQ106" s="86">
        <f t="shared" si="306"/>
        <v>83</v>
      </c>
      <c r="CR106" s="86">
        <f t="shared" si="306"/>
        <v>85</v>
      </c>
      <c r="CS106" s="86">
        <f t="shared" si="306"/>
        <v>85</v>
      </c>
      <c r="CT106" s="86">
        <f t="shared" si="306"/>
        <v>48</v>
      </c>
      <c r="CU106" s="86">
        <f t="shared" si="306"/>
        <v>45</v>
      </c>
      <c r="CV106" s="86">
        <f t="shared" si="306"/>
        <v>15</v>
      </c>
      <c r="CW106" s="86">
        <f t="shared" si="306"/>
        <v>19</v>
      </c>
      <c r="CX106" s="86">
        <f t="shared" si="306"/>
        <v>50</v>
      </c>
      <c r="CY106" s="86">
        <f t="shared" si="306"/>
        <v>32</v>
      </c>
      <c r="CZ106" s="86">
        <f t="shared" si="306"/>
        <v>6</v>
      </c>
      <c r="DA106" s="86">
        <f t="shared" si="306"/>
        <v>0</v>
      </c>
      <c r="DB106" s="86">
        <f t="shared" si="306"/>
        <v>75</v>
      </c>
      <c r="DC106" s="86">
        <f t="shared" si="306"/>
        <v>78</v>
      </c>
      <c r="DD106" s="86">
        <f t="shared" si="306"/>
        <v>87</v>
      </c>
      <c r="DE106" s="86">
        <f t="shared" si="306"/>
        <v>89</v>
      </c>
      <c r="DF106" s="86">
        <f t="shared" si="306"/>
        <v>61</v>
      </c>
      <c r="DG106" s="86">
        <f t="shared" si="306"/>
        <v>50</v>
      </c>
      <c r="DH106" s="86">
        <f t="shared" si="306"/>
        <v>11</v>
      </c>
      <c r="DI106" s="86">
        <f t="shared" si="306"/>
        <v>19</v>
      </c>
      <c r="DJ106" s="86">
        <f t="shared" si="306"/>
        <v>30</v>
      </c>
      <c r="DK106" s="86">
        <f t="shared" si="306"/>
        <v>21</v>
      </c>
      <c r="DL106" s="86">
        <f t="shared" si="306"/>
        <v>14</v>
      </c>
      <c r="DM106" s="86">
        <f t="shared" si="306"/>
        <v>1</v>
      </c>
      <c r="DN106" s="86">
        <f t="shared" si="306"/>
        <v>48</v>
      </c>
      <c r="DO106" s="86">
        <f t="shared" si="306"/>
        <v>52</v>
      </c>
      <c r="DP106" s="86">
        <f t="shared" si="306"/>
        <v>60</v>
      </c>
      <c r="DQ106" s="86">
        <f t="shared" si="306"/>
        <v>51</v>
      </c>
      <c r="DR106" s="86">
        <f t="shared" si="306"/>
        <v>5</v>
      </c>
      <c r="DS106" s="86">
        <f t="shared" si="306"/>
        <v>0</v>
      </c>
      <c r="DT106" s="86">
        <f t="shared" si="306"/>
        <v>46</v>
      </c>
      <c r="DU106" s="86">
        <f t="shared" si="306"/>
        <v>52</v>
      </c>
      <c r="DV106" s="86">
        <f t="shared" si="306"/>
        <v>53</v>
      </c>
      <c r="DW106" s="86">
        <f t="shared" si="306"/>
        <v>46</v>
      </c>
      <c r="DX106" s="86">
        <f t="shared" si="306"/>
        <v>55</v>
      </c>
      <c r="DY106" s="86">
        <f t="shared" si="306"/>
        <v>37</v>
      </c>
      <c r="DZ106" s="86">
        <f t="shared" si="306"/>
        <v>41</v>
      </c>
      <c r="EA106" s="86">
        <f t="shared" si="306"/>
        <v>49</v>
      </c>
      <c r="EB106" s="86">
        <f t="shared" si="306"/>
        <v>54</v>
      </c>
      <c r="EC106" s="86">
        <f t="shared" si="306"/>
        <v>38</v>
      </c>
      <c r="ED106" s="86">
        <f t="shared" si="306"/>
        <v>16</v>
      </c>
      <c r="EE106" s="86">
        <f t="shared" si="306"/>
        <v>10</v>
      </c>
      <c r="EF106" s="86">
        <f t="shared" ref="EF106:GQ106" si="307">COUNTIF(EF3:EF97,"="&amp;0)</f>
        <v>26</v>
      </c>
      <c r="EG106" s="86">
        <f t="shared" si="307"/>
        <v>41</v>
      </c>
      <c r="EH106" s="86">
        <f t="shared" si="307"/>
        <v>46</v>
      </c>
      <c r="EI106" s="86">
        <f t="shared" si="307"/>
        <v>17</v>
      </c>
      <c r="EJ106" s="86">
        <f t="shared" si="307"/>
        <v>1</v>
      </c>
      <c r="EK106" s="86">
        <f t="shared" si="307"/>
        <v>1</v>
      </c>
      <c r="EL106" s="86">
        <f t="shared" si="307"/>
        <v>0</v>
      </c>
      <c r="EM106" s="86">
        <f t="shared" si="307"/>
        <v>0</v>
      </c>
      <c r="EN106" s="86">
        <f t="shared" si="307"/>
        <v>0</v>
      </c>
      <c r="EO106" s="86">
        <f t="shared" si="307"/>
        <v>0</v>
      </c>
      <c r="EP106" s="86">
        <f t="shared" si="307"/>
        <v>0</v>
      </c>
      <c r="EQ106" s="86">
        <f t="shared" si="307"/>
        <v>0</v>
      </c>
      <c r="ER106" s="86">
        <f t="shared" si="307"/>
        <v>0</v>
      </c>
      <c r="ES106" s="86">
        <f t="shared" si="307"/>
        <v>0</v>
      </c>
      <c r="ET106" s="86">
        <f t="shared" si="307"/>
        <v>0</v>
      </c>
      <c r="EU106" s="86">
        <f t="shared" si="307"/>
        <v>0</v>
      </c>
      <c r="EV106" s="86">
        <f t="shared" si="307"/>
        <v>17</v>
      </c>
      <c r="EW106" s="86">
        <f t="shared" si="307"/>
        <v>0</v>
      </c>
      <c r="EX106" s="86">
        <f t="shared" si="307"/>
        <v>1</v>
      </c>
      <c r="EY106" s="86">
        <f t="shared" si="307"/>
        <v>1</v>
      </c>
      <c r="EZ106" s="86">
        <f t="shared" si="307"/>
        <v>4</v>
      </c>
      <c r="FA106" s="86">
        <f t="shared" si="307"/>
        <v>5</v>
      </c>
      <c r="FB106" s="86">
        <f t="shared" si="307"/>
        <v>91</v>
      </c>
      <c r="FC106" s="86">
        <f t="shared" si="307"/>
        <v>0</v>
      </c>
      <c r="FD106" s="86">
        <f t="shared" si="307"/>
        <v>0</v>
      </c>
      <c r="FE106" s="86">
        <f t="shared" si="307"/>
        <v>0</v>
      </c>
      <c r="FF106" s="86">
        <f t="shared" si="307"/>
        <v>0</v>
      </c>
      <c r="FG106" s="86">
        <f t="shared" si="307"/>
        <v>0</v>
      </c>
      <c r="FH106" s="86">
        <f t="shared" si="307"/>
        <v>91</v>
      </c>
      <c r="FI106" s="86">
        <f t="shared" si="307"/>
        <v>0</v>
      </c>
      <c r="FJ106" s="86">
        <f t="shared" si="307"/>
        <v>68</v>
      </c>
      <c r="FK106" s="86">
        <f t="shared" si="307"/>
        <v>69</v>
      </c>
      <c r="FL106" s="86">
        <f t="shared" si="307"/>
        <v>73</v>
      </c>
      <c r="FM106" s="86">
        <f t="shared" si="307"/>
        <v>71</v>
      </c>
      <c r="FN106" s="86">
        <f t="shared" si="307"/>
        <v>94</v>
      </c>
      <c r="FO106" s="86">
        <f t="shared" si="307"/>
        <v>66</v>
      </c>
      <c r="FP106" s="86">
        <f t="shared" si="307"/>
        <v>4</v>
      </c>
      <c r="FQ106" s="86">
        <f t="shared" si="307"/>
        <v>6</v>
      </c>
      <c r="FR106" s="86">
        <f t="shared" si="307"/>
        <v>8</v>
      </c>
      <c r="FS106" s="86">
        <f t="shared" si="307"/>
        <v>11</v>
      </c>
      <c r="FT106" s="86">
        <f t="shared" si="307"/>
        <v>0</v>
      </c>
      <c r="FU106" s="86">
        <f t="shared" si="307"/>
        <v>0</v>
      </c>
      <c r="FV106" s="86">
        <f t="shared" si="307"/>
        <v>82</v>
      </c>
      <c r="FW106" s="86">
        <f t="shared" si="307"/>
        <v>88</v>
      </c>
      <c r="FX106" s="86">
        <f t="shared" si="307"/>
        <v>89</v>
      </c>
      <c r="FY106" s="86">
        <f t="shared" si="307"/>
        <v>88</v>
      </c>
      <c r="FZ106" s="86">
        <f t="shared" si="307"/>
        <v>76</v>
      </c>
      <c r="GA106" s="86">
        <f t="shared" si="307"/>
        <v>76</v>
      </c>
      <c r="GB106" s="86">
        <f t="shared" si="307"/>
        <v>57</v>
      </c>
      <c r="GC106" s="86">
        <f t="shared" si="307"/>
        <v>71</v>
      </c>
      <c r="GD106" s="86">
        <f t="shared" si="307"/>
        <v>76</v>
      </c>
      <c r="GE106" s="86">
        <f t="shared" si="307"/>
        <v>66</v>
      </c>
      <c r="GF106" s="86">
        <f t="shared" si="307"/>
        <v>67</v>
      </c>
      <c r="GG106" s="86">
        <f t="shared" si="307"/>
        <v>39</v>
      </c>
      <c r="GH106" s="86">
        <f t="shared" si="307"/>
        <v>0</v>
      </c>
      <c r="GI106" s="86">
        <f t="shared" si="307"/>
        <v>0</v>
      </c>
      <c r="GJ106" s="86">
        <f t="shared" si="307"/>
        <v>0</v>
      </c>
      <c r="GK106" s="86">
        <f t="shared" si="307"/>
        <v>0</v>
      </c>
      <c r="GL106" s="86">
        <f t="shared" si="307"/>
        <v>63</v>
      </c>
      <c r="GM106" s="86">
        <f t="shared" si="307"/>
        <v>0</v>
      </c>
      <c r="GN106" s="86">
        <f t="shared" si="307"/>
        <v>0</v>
      </c>
      <c r="GO106" s="86">
        <f t="shared" si="307"/>
        <v>0</v>
      </c>
      <c r="GP106" s="86">
        <f t="shared" si="307"/>
        <v>0</v>
      </c>
      <c r="GQ106" s="86">
        <f t="shared" si="307"/>
        <v>0</v>
      </c>
      <c r="GR106" s="86">
        <f t="shared" ref="GR106:JC106" si="308">COUNTIF(GR3:GR97,"="&amp;0)</f>
        <v>44</v>
      </c>
      <c r="GS106" s="86">
        <f t="shared" si="308"/>
        <v>0</v>
      </c>
      <c r="GT106" s="86">
        <f t="shared" si="308"/>
        <v>0</v>
      </c>
      <c r="GU106" s="86">
        <f t="shared" si="308"/>
        <v>0</v>
      </c>
      <c r="GV106" s="86">
        <f t="shared" si="308"/>
        <v>0</v>
      </c>
      <c r="GW106" s="86">
        <f t="shared" si="308"/>
        <v>0</v>
      </c>
      <c r="GX106" s="86">
        <f t="shared" si="308"/>
        <v>20</v>
      </c>
      <c r="GY106" s="86">
        <f t="shared" si="308"/>
        <v>0</v>
      </c>
      <c r="GZ106" s="86">
        <f t="shared" si="308"/>
        <v>3</v>
      </c>
      <c r="HA106" s="86">
        <f t="shared" si="308"/>
        <v>2</v>
      </c>
      <c r="HB106" s="86">
        <f t="shared" si="308"/>
        <v>3</v>
      </c>
      <c r="HC106" s="86">
        <f t="shared" si="308"/>
        <v>2</v>
      </c>
      <c r="HD106" s="86">
        <f t="shared" si="308"/>
        <v>32</v>
      </c>
      <c r="HE106" s="86">
        <f t="shared" si="308"/>
        <v>0</v>
      </c>
      <c r="HF106" s="86">
        <f t="shared" si="308"/>
        <v>26</v>
      </c>
      <c r="HG106" s="86">
        <f t="shared" si="308"/>
        <v>31</v>
      </c>
      <c r="HH106" s="86">
        <f t="shared" si="308"/>
        <v>34</v>
      </c>
      <c r="HI106" s="86">
        <f t="shared" si="308"/>
        <v>25</v>
      </c>
      <c r="HJ106" s="86">
        <f t="shared" si="308"/>
        <v>1</v>
      </c>
      <c r="HK106" s="86">
        <f t="shared" si="308"/>
        <v>0</v>
      </c>
      <c r="HL106" s="86">
        <f t="shared" si="308"/>
        <v>53</v>
      </c>
      <c r="HM106" s="86">
        <f t="shared" si="308"/>
        <v>60</v>
      </c>
      <c r="HN106" s="86">
        <f t="shared" si="308"/>
        <v>58</v>
      </c>
      <c r="HO106" s="86">
        <f t="shared" si="308"/>
        <v>53</v>
      </c>
      <c r="HP106" s="86">
        <f t="shared" si="308"/>
        <v>60</v>
      </c>
      <c r="HQ106" s="86">
        <f t="shared" si="308"/>
        <v>45</v>
      </c>
      <c r="HR106" s="86">
        <f t="shared" si="308"/>
        <v>10</v>
      </c>
      <c r="HS106" s="86">
        <f t="shared" si="308"/>
        <v>18</v>
      </c>
      <c r="HT106" s="86">
        <f t="shared" si="308"/>
        <v>18</v>
      </c>
      <c r="HU106" s="86">
        <f t="shared" si="308"/>
        <v>9</v>
      </c>
      <c r="HV106" s="86">
        <f t="shared" si="308"/>
        <v>2</v>
      </c>
      <c r="HW106" s="86">
        <f t="shared" si="308"/>
        <v>0</v>
      </c>
      <c r="HX106" s="86">
        <f t="shared" si="308"/>
        <v>74</v>
      </c>
      <c r="HY106" s="86">
        <f t="shared" si="308"/>
        <v>81</v>
      </c>
      <c r="HZ106" s="86">
        <f t="shared" si="308"/>
        <v>81</v>
      </c>
      <c r="IA106" s="86">
        <f t="shared" si="308"/>
        <v>87</v>
      </c>
      <c r="IB106" s="86">
        <f t="shared" si="308"/>
        <v>15</v>
      </c>
      <c r="IC106" s="86">
        <f t="shared" si="308"/>
        <v>10</v>
      </c>
      <c r="ID106" s="86">
        <f t="shared" si="308"/>
        <v>83</v>
      </c>
      <c r="IE106" s="86">
        <f t="shared" si="308"/>
        <v>82</v>
      </c>
      <c r="IF106" s="86">
        <f t="shared" si="308"/>
        <v>84</v>
      </c>
      <c r="IG106" s="86">
        <f t="shared" si="308"/>
        <v>84</v>
      </c>
      <c r="IH106" s="86">
        <f t="shared" si="308"/>
        <v>48</v>
      </c>
      <c r="II106" s="86">
        <f t="shared" si="308"/>
        <v>45</v>
      </c>
      <c r="IJ106" s="86">
        <f t="shared" si="308"/>
        <v>35</v>
      </c>
      <c r="IK106" s="86">
        <f t="shared" si="308"/>
        <v>38</v>
      </c>
      <c r="IL106" s="86">
        <f t="shared" si="308"/>
        <v>45</v>
      </c>
      <c r="IM106" s="86">
        <f t="shared" si="308"/>
        <v>35</v>
      </c>
      <c r="IN106" s="86">
        <f t="shared" si="308"/>
        <v>6</v>
      </c>
      <c r="IO106" s="86">
        <f t="shared" si="308"/>
        <v>0</v>
      </c>
      <c r="IP106" s="86">
        <f t="shared" si="308"/>
        <v>13</v>
      </c>
      <c r="IQ106" s="86">
        <f t="shared" si="308"/>
        <v>10</v>
      </c>
      <c r="IR106" s="86">
        <f t="shared" si="308"/>
        <v>12</v>
      </c>
      <c r="IS106" s="86">
        <f t="shared" si="308"/>
        <v>3</v>
      </c>
      <c r="IT106" s="86">
        <f t="shared" si="308"/>
        <v>3</v>
      </c>
      <c r="IU106" s="86">
        <f t="shared" si="308"/>
        <v>0</v>
      </c>
      <c r="IV106" s="86">
        <f t="shared" si="308"/>
        <v>4</v>
      </c>
      <c r="IW106" s="86">
        <f t="shared" si="308"/>
        <v>4</v>
      </c>
      <c r="IX106" s="86">
        <f t="shared" si="308"/>
        <v>4</v>
      </c>
      <c r="IY106" s="86">
        <f t="shared" si="308"/>
        <v>4</v>
      </c>
      <c r="IZ106" s="86">
        <f t="shared" si="308"/>
        <v>2</v>
      </c>
      <c r="JA106" s="86">
        <f t="shared" si="308"/>
        <v>0</v>
      </c>
      <c r="JB106" s="86">
        <f t="shared" si="308"/>
        <v>0</v>
      </c>
      <c r="JC106" s="86">
        <f t="shared" si="308"/>
        <v>0</v>
      </c>
      <c r="JD106" s="86">
        <f t="shared" ref="JD106:JS106" si="309">COUNTIF(JD3:JD97,"="&amp;0)</f>
        <v>0</v>
      </c>
      <c r="JE106" s="86">
        <f t="shared" si="309"/>
        <v>0</v>
      </c>
      <c r="JF106" s="86">
        <f t="shared" si="309"/>
        <v>1</v>
      </c>
      <c r="JG106" s="86">
        <f t="shared" si="309"/>
        <v>0</v>
      </c>
      <c r="JH106" s="86">
        <f t="shared" si="309"/>
        <v>92</v>
      </c>
      <c r="JI106" s="86">
        <f t="shared" si="309"/>
        <v>91</v>
      </c>
      <c r="JJ106" s="86">
        <f t="shared" si="309"/>
        <v>93</v>
      </c>
      <c r="JK106" s="86">
        <f t="shared" si="309"/>
        <v>93</v>
      </c>
      <c r="JL106" s="86">
        <f t="shared" si="309"/>
        <v>70</v>
      </c>
      <c r="JM106" s="86">
        <f t="shared" si="309"/>
        <v>70</v>
      </c>
      <c r="JN106" s="86">
        <f t="shared" si="309"/>
        <v>0</v>
      </c>
      <c r="JO106" s="86">
        <f t="shared" si="309"/>
        <v>0</v>
      </c>
      <c r="JP106" s="86">
        <f t="shared" si="309"/>
        <v>0</v>
      </c>
      <c r="JQ106" s="86">
        <f t="shared" si="309"/>
        <v>0</v>
      </c>
      <c r="JR106" s="86">
        <f t="shared" si="309"/>
        <v>0</v>
      </c>
      <c r="JS106" s="86">
        <f t="shared" si="309"/>
        <v>0</v>
      </c>
    </row>
  </sheetData>
  <sortState ref="A3:JS97">
    <sortCondition ref="A3:A97"/>
  </sortState>
  <conditionalFormatting sqref="GZ75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California</vt:lpstr>
      <vt:lpstr>Illinois</vt:lpstr>
      <vt:lpstr>Texas</vt:lpstr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2018-04-11T17:24:13Z</dcterms:modified>
</cp:coreProperties>
</file>