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les.russell/Desktop/Thesis Data/Final Data CSVs/"/>
    </mc:Choice>
  </mc:AlternateContent>
  <xr:revisionPtr revIDLastSave="0" documentId="8_{5181820F-358D-544C-9E05-0C015631355A}" xr6:coauthVersionLast="34" xr6:coauthVersionMax="34" xr10:uidLastSave="{00000000-0000-0000-0000-000000000000}"/>
  <bookViews>
    <workbookView xWindow="280" yWindow="460" windowWidth="33320" windowHeight="20540" tabRatio="500" xr2:uid="{00000000-000D-0000-FFFF-FFFF00000000}"/>
  </bookViews>
  <sheets>
    <sheet name="Corrected" sheetId="1" r:id="rId1"/>
    <sheet name="NOTES" sheetId="5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96" i="1" l="1"/>
  <c r="BD97" i="1"/>
  <c r="BD98" i="1"/>
  <c r="BD99" i="1"/>
  <c r="BD100" i="1"/>
  <c r="BD101" i="1"/>
  <c r="BD102" i="1"/>
  <c r="IV69" i="1" l="1"/>
  <c r="IW69" i="1" s="1"/>
  <c r="A150" i="5"/>
  <c r="E115" i="5"/>
  <c r="H115" i="5" s="1"/>
  <c r="I115" i="5"/>
  <c r="G115" i="5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68" i="1"/>
  <c r="AG97" i="1" s="1"/>
  <c r="AH96" i="1"/>
  <c r="AI96" i="1"/>
  <c r="AJ7" i="1"/>
  <c r="AJ11" i="1"/>
  <c r="AJ12" i="1"/>
  <c r="AJ13" i="1"/>
  <c r="AJ15" i="1"/>
  <c r="AJ21" i="1"/>
  <c r="AJ25" i="1"/>
  <c r="AJ68" i="1"/>
  <c r="AJ75" i="1"/>
  <c r="AJ77" i="1"/>
  <c r="AJ86" i="1"/>
  <c r="AJ85" i="1"/>
  <c r="AK96" i="1"/>
  <c r="AL7" i="1"/>
  <c r="AL11" i="1"/>
  <c r="AL12" i="1"/>
  <c r="AL13" i="1"/>
  <c r="AL15" i="1"/>
  <c r="AL21" i="1"/>
  <c r="AL25" i="1"/>
  <c r="AL68" i="1"/>
  <c r="AL75" i="1"/>
  <c r="AL77" i="1"/>
  <c r="AL86" i="1"/>
  <c r="AL85" i="1"/>
  <c r="AM96" i="1"/>
  <c r="AN7" i="1"/>
  <c r="AN11" i="1"/>
  <c r="AN12" i="1"/>
  <c r="AN13" i="1"/>
  <c r="AN15" i="1"/>
  <c r="AN21" i="1"/>
  <c r="AN25" i="1"/>
  <c r="AN68" i="1"/>
  <c r="AN75" i="1"/>
  <c r="AN77" i="1"/>
  <c r="AN86" i="1"/>
  <c r="AN85" i="1"/>
  <c r="AO96" i="1"/>
  <c r="AP7" i="1"/>
  <c r="AP11" i="1"/>
  <c r="AP12" i="1"/>
  <c r="AP13" i="1"/>
  <c r="AP15" i="1"/>
  <c r="AP21" i="1"/>
  <c r="AP25" i="1"/>
  <c r="AP68" i="1"/>
  <c r="AP75" i="1"/>
  <c r="AP77" i="1"/>
  <c r="AP86" i="1"/>
  <c r="AP85" i="1"/>
  <c r="AQ96" i="1"/>
  <c r="AR7" i="1"/>
  <c r="AR11" i="1"/>
  <c r="AR12" i="1"/>
  <c r="AR13" i="1"/>
  <c r="AR15" i="1"/>
  <c r="AR21" i="1"/>
  <c r="AR25" i="1"/>
  <c r="AR68" i="1"/>
  <c r="AR75" i="1"/>
  <c r="AR77" i="1"/>
  <c r="AR86" i="1"/>
  <c r="AR85" i="1"/>
  <c r="AS96" i="1"/>
  <c r="AT7" i="1"/>
  <c r="AT11" i="1"/>
  <c r="AT12" i="1"/>
  <c r="AT13" i="1"/>
  <c r="AT15" i="1"/>
  <c r="AT21" i="1"/>
  <c r="AT25" i="1"/>
  <c r="AT68" i="1"/>
  <c r="AT75" i="1"/>
  <c r="AT77" i="1"/>
  <c r="AT86" i="1"/>
  <c r="AT85" i="1"/>
  <c r="AU96" i="1"/>
  <c r="AV7" i="1"/>
  <c r="AV11" i="1"/>
  <c r="AV12" i="1"/>
  <c r="AV13" i="1"/>
  <c r="AV15" i="1"/>
  <c r="AV21" i="1"/>
  <c r="AV25" i="1"/>
  <c r="AV68" i="1"/>
  <c r="AV75" i="1"/>
  <c r="AV77" i="1"/>
  <c r="AV86" i="1"/>
  <c r="AV85" i="1"/>
  <c r="AW96" i="1"/>
  <c r="AX7" i="1"/>
  <c r="AX11" i="1"/>
  <c r="AX12" i="1"/>
  <c r="AX13" i="1"/>
  <c r="AX15" i="1"/>
  <c r="AX21" i="1"/>
  <c r="AX25" i="1"/>
  <c r="AX68" i="1"/>
  <c r="AX75" i="1"/>
  <c r="AX77" i="1"/>
  <c r="AX86" i="1"/>
  <c r="AX85" i="1"/>
  <c r="AY96" i="1"/>
  <c r="AZ96" i="1"/>
  <c r="HF68" i="1"/>
  <c r="HG68" i="1" s="1"/>
  <c r="BA96" i="1"/>
  <c r="BB11" i="1"/>
  <c r="BC96" i="1"/>
  <c r="BE96" i="1"/>
  <c r="BF96" i="1"/>
  <c r="BG96" i="1"/>
  <c r="BH11" i="1"/>
  <c r="BH12" i="1"/>
  <c r="BH13" i="1"/>
  <c r="ID13" i="1" s="1"/>
  <c r="IE13" i="1" s="1"/>
  <c r="BH15" i="1"/>
  <c r="ID15" i="1" s="1"/>
  <c r="IE15" i="1" s="1"/>
  <c r="BH21" i="1"/>
  <c r="ID21" i="1" s="1"/>
  <c r="IE21" i="1" s="1"/>
  <c r="BH61" i="1"/>
  <c r="ID61" i="1" s="1"/>
  <c r="IE61" i="1" s="1"/>
  <c r="BH86" i="1"/>
  <c r="ID86" i="1" s="1"/>
  <c r="IE86" i="1" s="1"/>
  <c r="BH85" i="1"/>
  <c r="ID85" i="1" s="1"/>
  <c r="IE85" i="1" s="1"/>
  <c r="BI96" i="1"/>
  <c r="BJ96" i="1"/>
  <c r="BK96" i="1"/>
  <c r="BL96" i="1"/>
  <c r="BM96" i="1"/>
  <c r="BN7" i="1"/>
  <c r="IF7" i="1" s="1"/>
  <c r="IG7" i="1" s="1"/>
  <c r="BN13" i="1"/>
  <c r="IF13" i="1" s="1"/>
  <c r="IG13" i="1" s="1"/>
  <c r="BN15" i="1"/>
  <c r="IF15" i="1" s="1"/>
  <c r="IG15" i="1" s="1"/>
  <c r="BN21" i="1"/>
  <c r="BN61" i="1"/>
  <c r="BN68" i="1"/>
  <c r="IF68" i="1" s="1"/>
  <c r="IG68" i="1" s="1"/>
  <c r="BN85" i="1"/>
  <c r="IF85" i="1" s="1"/>
  <c r="IG85" i="1" s="1"/>
  <c r="BN87" i="1"/>
  <c r="IF87" i="1" s="1"/>
  <c r="IG87" i="1" s="1"/>
  <c r="BO96" i="1"/>
  <c r="BP96" i="1"/>
  <c r="BQ96" i="1"/>
  <c r="BR96" i="1"/>
  <c r="BS96" i="1"/>
  <c r="BT7" i="1"/>
  <c r="IH7" i="1" s="1"/>
  <c r="II7" i="1" s="1"/>
  <c r="BT11" i="1"/>
  <c r="IH11" i="1" s="1"/>
  <c r="II11" i="1" s="1"/>
  <c r="BT13" i="1"/>
  <c r="IH13" i="1" s="1"/>
  <c r="II13" i="1" s="1"/>
  <c r="BT15" i="1"/>
  <c r="IH15" i="1" s="1"/>
  <c r="II15" i="1" s="1"/>
  <c r="BT21" i="1"/>
  <c r="IH21" i="1" s="1"/>
  <c r="II21" i="1" s="1"/>
  <c r="BT25" i="1"/>
  <c r="IH25" i="1" s="1"/>
  <c r="II25" i="1" s="1"/>
  <c r="BT61" i="1"/>
  <c r="BT68" i="1"/>
  <c r="BT85" i="1"/>
  <c r="IH85" i="1" s="1"/>
  <c r="II85" i="1" s="1"/>
  <c r="BT87" i="1"/>
  <c r="IH87" i="1" s="1"/>
  <c r="II87" i="1" s="1"/>
  <c r="BU96" i="1"/>
  <c r="BV96" i="1"/>
  <c r="BW61" i="1"/>
  <c r="BW96" i="1" s="1"/>
  <c r="BX61" i="1"/>
  <c r="BY61" i="1"/>
  <c r="BY96" i="1" s="1"/>
  <c r="BZ7" i="1"/>
  <c r="BZ11" i="1"/>
  <c r="IJ11" i="1" s="1"/>
  <c r="IK11" i="1" s="1"/>
  <c r="BZ12" i="1"/>
  <c r="IJ12" i="1" s="1"/>
  <c r="IK12" i="1" s="1"/>
  <c r="BZ13" i="1"/>
  <c r="IJ13" i="1" s="1"/>
  <c r="IK13" i="1" s="1"/>
  <c r="BZ15" i="1"/>
  <c r="IJ15" i="1" s="1"/>
  <c r="IK15" i="1" s="1"/>
  <c r="BZ21" i="1"/>
  <c r="IJ21" i="1" s="1"/>
  <c r="IK21" i="1" s="1"/>
  <c r="BZ25" i="1"/>
  <c r="IJ25" i="1" s="1"/>
  <c r="IK25" i="1" s="1"/>
  <c r="BZ68" i="1"/>
  <c r="BZ86" i="1"/>
  <c r="BZ85" i="1"/>
  <c r="IJ85" i="1" s="1"/>
  <c r="IK85" i="1" s="1"/>
  <c r="BZ87" i="1"/>
  <c r="IJ87" i="1" s="1"/>
  <c r="IK87" i="1" s="1"/>
  <c r="CA61" i="1"/>
  <c r="CA96" i="1" s="1"/>
  <c r="CB61" i="1"/>
  <c r="CB96" i="1" s="1"/>
  <c r="CC96" i="1"/>
  <c r="CD96" i="1"/>
  <c r="CE96" i="1"/>
  <c r="CF7" i="1"/>
  <c r="CF11" i="1"/>
  <c r="IL11" i="1" s="1"/>
  <c r="IM11" i="1" s="1"/>
  <c r="CF13" i="1"/>
  <c r="IL13" i="1" s="1"/>
  <c r="IM13" i="1" s="1"/>
  <c r="CF15" i="1"/>
  <c r="IL15" i="1" s="1"/>
  <c r="IM15" i="1" s="1"/>
  <c r="CF21" i="1"/>
  <c r="IL21" i="1" s="1"/>
  <c r="IM21" i="1" s="1"/>
  <c r="CF25" i="1"/>
  <c r="IL25" i="1" s="1"/>
  <c r="IM25" i="1" s="1"/>
  <c r="CF61" i="1"/>
  <c r="CF85" i="1"/>
  <c r="CF87" i="1"/>
  <c r="CG96" i="1"/>
  <c r="CH96" i="1"/>
  <c r="CI96" i="1"/>
  <c r="CJ96" i="1"/>
  <c r="CK96" i="1"/>
  <c r="CL7" i="1"/>
  <c r="IN7" i="1" s="1"/>
  <c r="IO7" i="1" s="1"/>
  <c r="CL11" i="1"/>
  <c r="CL12" i="1"/>
  <c r="CL13" i="1"/>
  <c r="IN13" i="1" s="1"/>
  <c r="IO13" i="1" s="1"/>
  <c r="CL21" i="1"/>
  <c r="CL25" i="1"/>
  <c r="IN25" i="1" s="1"/>
  <c r="IO25" i="1" s="1"/>
  <c r="CL61" i="1"/>
  <c r="IN61" i="1" s="1"/>
  <c r="IO61" i="1" s="1"/>
  <c r="CL68" i="1"/>
  <c r="IN68" i="1" s="1"/>
  <c r="IO68" i="1" s="1"/>
  <c r="CL86" i="1"/>
  <c r="IN86" i="1" s="1"/>
  <c r="IO86" i="1" s="1"/>
  <c r="CL85" i="1"/>
  <c r="CL87" i="1"/>
  <c r="IN87" i="1" s="1"/>
  <c r="IO87" i="1" s="1"/>
  <c r="CM96" i="1"/>
  <c r="CN96" i="1"/>
  <c r="CO7" i="1"/>
  <c r="CO11" i="1"/>
  <c r="CO12" i="1"/>
  <c r="CO13" i="1"/>
  <c r="CO15" i="1"/>
  <c r="CO21" i="1"/>
  <c r="CO25" i="1"/>
  <c r="CO61" i="1"/>
  <c r="CO86" i="1"/>
  <c r="CO85" i="1"/>
  <c r="CP7" i="1"/>
  <c r="CP11" i="1"/>
  <c r="CP12" i="1"/>
  <c r="CP13" i="1"/>
  <c r="CP15" i="1"/>
  <c r="CP21" i="1"/>
  <c r="CP25" i="1"/>
  <c r="CP61" i="1"/>
  <c r="CP86" i="1"/>
  <c r="CP85" i="1"/>
  <c r="CQ7" i="1"/>
  <c r="CQ11" i="1"/>
  <c r="CQ12" i="1"/>
  <c r="CQ13" i="1"/>
  <c r="CQ15" i="1"/>
  <c r="CQ21" i="1"/>
  <c r="CQ25" i="1"/>
  <c r="CQ61" i="1"/>
  <c r="CQ86" i="1"/>
  <c r="CQ85" i="1"/>
  <c r="CR87" i="1"/>
  <c r="IP87" i="1" s="1"/>
  <c r="IQ87" i="1" s="1"/>
  <c r="CS7" i="1"/>
  <c r="CS68" i="1"/>
  <c r="CS102" i="1" s="1"/>
  <c r="CT96" i="1"/>
  <c r="CU7" i="1"/>
  <c r="CU102" i="1" s="1"/>
  <c r="CU85" i="1"/>
  <c r="CV7" i="1"/>
  <c r="CV13" i="1"/>
  <c r="CV85" i="1"/>
  <c r="CV100" i="1" s="1"/>
  <c r="CW7" i="1"/>
  <c r="CW13" i="1"/>
  <c r="CW85" i="1"/>
  <c r="CY7" i="1"/>
  <c r="CY96" i="1" s="1"/>
  <c r="CZ96" i="1"/>
  <c r="DA96" i="1"/>
  <c r="DB96" i="1"/>
  <c r="DC96" i="1"/>
  <c r="DD7" i="1"/>
  <c r="DD11" i="1"/>
  <c r="IT11" i="1" s="1"/>
  <c r="IU11" i="1" s="1"/>
  <c r="DD12" i="1"/>
  <c r="IT12" i="1" s="1"/>
  <c r="IU12" i="1" s="1"/>
  <c r="DD15" i="1"/>
  <c r="IT15" i="1" s="1"/>
  <c r="IU15" i="1" s="1"/>
  <c r="DD21" i="1"/>
  <c r="IT21" i="1" s="1"/>
  <c r="IU21" i="1" s="1"/>
  <c r="DD25" i="1"/>
  <c r="DD61" i="1"/>
  <c r="IT61" i="1" s="1"/>
  <c r="IU61" i="1" s="1"/>
  <c r="DD68" i="1"/>
  <c r="IT68" i="1" s="1"/>
  <c r="IU68" i="1" s="1"/>
  <c r="DD86" i="1"/>
  <c r="IT86" i="1" s="1"/>
  <c r="IU86" i="1" s="1"/>
  <c r="DD85" i="1"/>
  <c r="IT85" i="1" s="1"/>
  <c r="IU85" i="1" s="1"/>
  <c r="DD87" i="1"/>
  <c r="IT87" i="1" s="1"/>
  <c r="IU87" i="1" s="1"/>
  <c r="DE7" i="1"/>
  <c r="DE96" i="1" s="1"/>
  <c r="DF96" i="1"/>
  <c r="DG96" i="1"/>
  <c r="DH96" i="1"/>
  <c r="DI96" i="1"/>
  <c r="DJ7" i="1"/>
  <c r="DJ85" i="1"/>
  <c r="DJ101" i="1" s="1"/>
  <c r="DK96" i="1"/>
  <c r="DL7" i="1"/>
  <c r="DL96" i="1" s="1"/>
  <c r="DM96" i="1"/>
  <c r="DN96" i="1"/>
  <c r="DO96" i="1"/>
  <c r="DP13" i="1"/>
  <c r="IX13" i="1" s="1"/>
  <c r="IY13" i="1" s="1"/>
  <c r="DP25" i="1"/>
  <c r="IX25" i="1" s="1"/>
  <c r="IY25" i="1" s="1"/>
  <c r="DP86" i="1"/>
  <c r="IX86" i="1" s="1"/>
  <c r="IY86" i="1" s="1"/>
  <c r="DP87" i="1"/>
  <c r="IX87" i="1" s="1"/>
  <c r="IY87" i="1" s="1"/>
  <c r="DQ96" i="1"/>
  <c r="DR96" i="1"/>
  <c r="DS96" i="1"/>
  <c r="DT96" i="1"/>
  <c r="DU96" i="1"/>
  <c r="DV7" i="1"/>
  <c r="IZ7" i="1" s="1"/>
  <c r="JA7" i="1" s="1"/>
  <c r="DV11" i="1"/>
  <c r="IZ11" i="1" s="1"/>
  <c r="JA11" i="1" s="1"/>
  <c r="DV12" i="1"/>
  <c r="IZ12" i="1" s="1"/>
  <c r="JA12" i="1" s="1"/>
  <c r="DV13" i="1"/>
  <c r="DV15" i="1"/>
  <c r="IZ15" i="1" s="1"/>
  <c r="JA15" i="1" s="1"/>
  <c r="DV21" i="1"/>
  <c r="DV25" i="1"/>
  <c r="IZ25" i="1" s="1"/>
  <c r="JA25" i="1" s="1"/>
  <c r="DV61" i="1"/>
  <c r="IZ61" i="1" s="1"/>
  <c r="JA61" i="1" s="1"/>
  <c r="DV67" i="1"/>
  <c r="IZ67" i="1" s="1"/>
  <c r="JA67" i="1" s="1"/>
  <c r="DV68" i="1"/>
  <c r="IZ68" i="1" s="1"/>
  <c r="JA68" i="1" s="1"/>
  <c r="DV86" i="1"/>
  <c r="IZ86" i="1" s="1"/>
  <c r="JA86" i="1" s="1"/>
  <c r="DV85" i="1"/>
  <c r="IZ85" i="1" s="1"/>
  <c r="JA85" i="1" s="1"/>
  <c r="DV87" i="1"/>
  <c r="IZ87" i="1" s="1"/>
  <c r="JA87" i="1" s="1"/>
  <c r="DW96" i="1"/>
  <c r="DX96" i="1"/>
  <c r="DY96" i="1"/>
  <c r="DZ96" i="1"/>
  <c r="EA96" i="1"/>
  <c r="EB7" i="1"/>
  <c r="JB7" i="1" s="1"/>
  <c r="JC7" i="1" s="1"/>
  <c r="EB11" i="1"/>
  <c r="JB11" i="1" s="1"/>
  <c r="JC11" i="1" s="1"/>
  <c r="EB12" i="1"/>
  <c r="JB12" i="1" s="1"/>
  <c r="JC12" i="1" s="1"/>
  <c r="EB13" i="1"/>
  <c r="JB13" i="1" s="1"/>
  <c r="JC13" i="1" s="1"/>
  <c r="EB15" i="1"/>
  <c r="EB21" i="1"/>
  <c r="JB21" i="1" s="1"/>
  <c r="JC21" i="1" s="1"/>
  <c r="EB25" i="1"/>
  <c r="JB25" i="1" s="1"/>
  <c r="JC25" i="1" s="1"/>
  <c r="EB61" i="1"/>
  <c r="JB61" i="1" s="1"/>
  <c r="JC61" i="1" s="1"/>
  <c r="EB67" i="1"/>
  <c r="JB67" i="1" s="1"/>
  <c r="JC67" i="1" s="1"/>
  <c r="EB68" i="1"/>
  <c r="JB68" i="1" s="1"/>
  <c r="JC68" i="1" s="1"/>
  <c r="EB86" i="1"/>
  <c r="JB86" i="1" s="1"/>
  <c r="JC86" i="1" s="1"/>
  <c r="EB85" i="1"/>
  <c r="JB85" i="1" s="1"/>
  <c r="JC85" i="1" s="1"/>
  <c r="EB87" i="1"/>
  <c r="JB87" i="1" s="1"/>
  <c r="JC87" i="1" s="1"/>
  <c r="EC96" i="1"/>
  <c r="ED96" i="1"/>
  <c r="EE96" i="1"/>
  <c r="EF96" i="1"/>
  <c r="EG96" i="1"/>
  <c r="EH7" i="1"/>
  <c r="JD7" i="1" s="1"/>
  <c r="JE7" i="1" s="1"/>
  <c r="EH11" i="1"/>
  <c r="EH12" i="1"/>
  <c r="JD12" i="1" s="1"/>
  <c r="JE12" i="1" s="1"/>
  <c r="EH13" i="1"/>
  <c r="JD13" i="1" s="1"/>
  <c r="JE13" i="1" s="1"/>
  <c r="EH15" i="1"/>
  <c r="JD15" i="1" s="1"/>
  <c r="JE15" i="1" s="1"/>
  <c r="EH21" i="1"/>
  <c r="JD21" i="1" s="1"/>
  <c r="JE21" i="1" s="1"/>
  <c r="EH25" i="1"/>
  <c r="JD25" i="1" s="1"/>
  <c r="JE25" i="1" s="1"/>
  <c r="EH61" i="1"/>
  <c r="JD61" i="1" s="1"/>
  <c r="JE61" i="1" s="1"/>
  <c r="EH67" i="1"/>
  <c r="JD67" i="1" s="1"/>
  <c r="JE67" i="1" s="1"/>
  <c r="EH68" i="1"/>
  <c r="JD68" i="1" s="1"/>
  <c r="JE68" i="1" s="1"/>
  <c r="EH86" i="1"/>
  <c r="EH85" i="1"/>
  <c r="JD85" i="1" s="1"/>
  <c r="JE85" i="1" s="1"/>
  <c r="EH87" i="1"/>
  <c r="JD87" i="1" s="1"/>
  <c r="JE87" i="1" s="1"/>
  <c r="EI86" i="1"/>
  <c r="EI96" i="1" s="1"/>
  <c r="EJ96" i="1"/>
  <c r="EK96" i="1"/>
  <c r="EL96" i="1"/>
  <c r="EM96" i="1"/>
  <c r="EN7" i="1"/>
  <c r="EN11" i="1"/>
  <c r="JF11" i="1" s="1"/>
  <c r="JG11" i="1" s="1"/>
  <c r="EN12" i="1"/>
  <c r="JF12" i="1" s="1"/>
  <c r="JG12" i="1" s="1"/>
  <c r="EN13" i="1"/>
  <c r="JF13" i="1" s="1"/>
  <c r="JG13" i="1" s="1"/>
  <c r="EN15" i="1"/>
  <c r="JF15" i="1" s="1"/>
  <c r="JG15" i="1" s="1"/>
  <c r="EN21" i="1"/>
  <c r="EN25" i="1"/>
  <c r="JF25" i="1" s="1"/>
  <c r="JG25" i="1" s="1"/>
  <c r="EN61" i="1"/>
  <c r="JF61" i="1" s="1"/>
  <c r="JG61" i="1" s="1"/>
  <c r="EN67" i="1"/>
  <c r="JF67" i="1" s="1"/>
  <c r="JG67" i="1" s="1"/>
  <c r="EN68" i="1"/>
  <c r="JF68" i="1" s="1"/>
  <c r="JG68" i="1" s="1"/>
  <c r="EN86" i="1"/>
  <c r="JF86" i="1" s="1"/>
  <c r="JG86" i="1" s="1"/>
  <c r="EN85" i="1"/>
  <c r="JF85" i="1" s="1"/>
  <c r="JG85" i="1" s="1"/>
  <c r="EN87" i="1"/>
  <c r="JF87" i="1" s="1"/>
  <c r="JG87" i="1" s="1"/>
  <c r="EO96" i="1"/>
  <c r="EP96" i="1"/>
  <c r="EQ96" i="1"/>
  <c r="ER96" i="1"/>
  <c r="ES96" i="1"/>
  <c r="ET7" i="1"/>
  <c r="JH7" i="1" s="1"/>
  <c r="JI7" i="1" s="1"/>
  <c r="ET11" i="1"/>
  <c r="JH11" i="1" s="1"/>
  <c r="JI11" i="1" s="1"/>
  <c r="ET15" i="1"/>
  <c r="JH15" i="1" s="1"/>
  <c r="JI15" i="1" s="1"/>
  <c r="ET21" i="1"/>
  <c r="JH21" i="1" s="1"/>
  <c r="JI21" i="1" s="1"/>
  <c r="ET25" i="1"/>
  <c r="JH25" i="1" s="1"/>
  <c r="JI25" i="1" s="1"/>
  <c r="ET61" i="1"/>
  <c r="JH61" i="1" s="1"/>
  <c r="JI61" i="1" s="1"/>
  <c r="ET67" i="1"/>
  <c r="JH67" i="1" s="1"/>
  <c r="JI67" i="1" s="1"/>
  <c r="ET68" i="1"/>
  <c r="JH68" i="1" s="1"/>
  <c r="JI68" i="1" s="1"/>
  <c r="ET86" i="1"/>
  <c r="JH86" i="1" s="1"/>
  <c r="JI86" i="1" s="1"/>
  <c r="ET85" i="1"/>
  <c r="JH85" i="1" s="1"/>
  <c r="JI85" i="1" s="1"/>
  <c r="ET87" i="1"/>
  <c r="JH87" i="1" s="1"/>
  <c r="JI87" i="1" s="1"/>
  <c r="EU96" i="1"/>
  <c r="EV96" i="1"/>
  <c r="EW96" i="1"/>
  <c r="EX96" i="1"/>
  <c r="EY96" i="1"/>
  <c r="EZ11" i="1"/>
  <c r="JJ11" i="1" s="1"/>
  <c r="JK11" i="1" s="1"/>
  <c r="EZ12" i="1"/>
  <c r="JJ12" i="1" s="1"/>
  <c r="JK12" i="1" s="1"/>
  <c r="EZ13" i="1"/>
  <c r="JJ13" i="1" s="1"/>
  <c r="JK13" i="1" s="1"/>
  <c r="EZ21" i="1"/>
  <c r="JJ21" i="1" s="1"/>
  <c r="JK21" i="1" s="1"/>
  <c r="EZ61" i="1"/>
  <c r="JJ61" i="1" s="1"/>
  <c r="JK61" i="1" s="1"/>
  <c r="EZ67" i="1"/>
  <c r="JJ67" i="1" s="1"/>
  <c r="JK67" i="1" s="1"/>
  <c r="EZ85" i="1"/>
  <c r="FA96" i="1"/>
  <c r="FB96" i="1"/>
  <c r="FC96" i="1"/>
  <c r="FD96" i="1"/>
  <c r="FE96" i="1"/>
  <c r="FF7" i="1"/>
  <c r="JL7" i="1" s="1"/>
  <c r="JM7" i="1" s="1"/>
  <c r="FF11" i="1"/>
  <c r="FF15" i="1"/>
  <c r="JL15" i="1" s="1"/>
  <c r="JM15" i="1" s="1"/>
  <c r="FF21" i="1"/>
  <c r="FF25" i="1"/>
  <c r="JL25" i="1" s="1"/>
  <c r="JM25" i="1" s="1"/>
  <c r="FF61" i="1"/>
  <c r="JL61" i="1" s="1"/>
  <c r="JM61" i="1" s="1"/>
  <c r="FF67" i="1"/>
  <c r="JL67" i="1" s="1"/>
  <c r="JM67" i="1" s="1"/>
  <c r="FF68" i="1"/>
  <c r="JL68" i="1" s="1"/>
  <c r="JM68" i="1" s="1"/>
  <c r="FF86" i="1"/>
  <c r="JL86" i="1" s="1"/>
  <c r="JM86" i="1" s="1"/>
  <c r="FF85" i="1"/>
  <c r="FF87" i="1"/>
  <c r="JL87" i="1" s="1"/>
  <c r="JM87" i="1" s="1"/>
  <c r="FG96" i="1"/>
  <c r="FH96" i="1"/>
  <c r="FI96" i="1"/>
  <c r="FJ96" i="1"/>
  <c r="FK96" i="1"/>
  <c r="FL25" i="1"/>
  <c r="JN25" i="1" s="1"/>
  <c r="JO25" i="1" s="1"/>
  <c r="FL61" i="1"/>
  <c r="FL86" i="1"/>
  <c r="JN86" i="1" s="1"/>
  <c r="JO86" i="1" s="1"/>
  <c r="FL85" i="1"/>
  <c r="JN85" i="1" s="1"/>
  <c r="JO85" i="1" s="1"/>
  <c r="FM96" i="1"/>
  <c r="FN96" i="1"/>
  <c r="FO96" i="1"/>
  <c r="FP96" i="1"/>
  <c r="FQ96" i="1"/>
  <c r="FR21" i="1"/>
  <c r="JP21" i="1" s="1"/>
  <c r="JQ21" i="1" s="1"/>
  <c r="FR61" i="1"/>
  <c r="JP61" i="1" s="1"/>
  <c r="JQ61" i="1" s="1"/>
  <c r="FR85" i="1"/>
  <c r="JP85" i="1" s="1"/>
  <c r="JQ85" i="1" s="1"/>
  <c r="FS96" i="1"/>
  <c r="FT96" i="1"/>
  <c r="FU96" i="1"/>
  <c r="FV96" i="1"/>
  <c r="FW96" i="1"/>
  <c r="FX7" i="1"/>
  <c r="JR7" i="1" s="1"/>
  <c r="JS7" i="1" s="1"/>
  <c r="FX11" i="1"/>
  <c r="JR11" i="1" s="1"/>
  <c r="JS11" i="1" s="1"/>
  <c r="FX15" i="1"/>
  <c r="JR15" i="1" s="1"/>
  <c r="JS15" i="1" s="1"/>
  <c r="FX21" i="1"/>
  <c r="JR21" i="1" s="1"/>
  <c r="JS21" i="1" s="1"/>
  <c r="FX25" i="1"/>
  <c r="JR25" i="1" s="1"/>
  <c r="JS25" i="1" s="1"/>
  <c r="FX61" i="1"/>
  <c r="JR61" i="1" s="1"/>
  <c r="JS61" i="1" s="1"/>
  <c r="FX67" i="1"/>
  <c r="JR67" i="1" s="1"/>
  <c r="JS67" i="1" s="1"/>
  <c r="FX86" i="1"/>
  <c r="JR86" i="1" s="1"/>
  <c r="JS86" i="1" s="1"/>
  <c r="FX85" i="1"/>
  <c r="JR85" i="1" s="1"/>
  <c r="JS85" i="1" s="1"/>
  <c r="FX87" i="1"/>
  <c r="JR87" i="1" s="1"/>
  <c r="JS87" i="1" s="1"/>
  <c r="FY96" i="1"/>
  <c r="FZ96" i="1"/>
  <c r="GA96" i="1"/>
  <c r="GB96" i="1"/>
  <c r="GC96" i="1"/>
  <c r="GD7" i="1"/>
  <c r="JT7" i="1" s="1"/>
  <c r="JU7" i="1" s="1"/>
  <c r="GD11" i="1"/>
  <c r="GD13" i="1"/>
  <c r="JT13" i="1" s="1"/>
  <c r="JU13" i="1" s="1"/>
  <c r="GD15" i="1"/>
  <c r="JT15" i="1" s="1"/>
  <c r="JU15" i="1" s="1"/>
  <c r="GD21" i="1"/>
  <c r="JT21" i="1" s="1"/>
  <c r="JU21" i="1" s="1"/>
  <c r="GD25" i="1"/>
  <c r="JT25" i="1" s="1"/>
  <c r="JU25" i="1" s="1"/>
  <c r="GD61" i="1"/>
  <c r="JT61" i="1" s="1"/>
  <c r="JU61" i="1" s="1"/>
  <c r="GD67" i="1"/>
  <c r="JT67" i="1" s="1"/>
  <c r="JU67" i="1" s="1"/>
  <c r="GD68" i="1"/>
  <c r="JT68" i="1" s="1"/>
  <c r="JU68" i="1" s="1"/>
  <c r="GD86" i="1"/>
  <c r="JT86" i="1" s="1"/>
  <c r="JU86" i="1" s="1"/>
  <c r="GD85" i="1"/>
  <c r="JT85" i="1" s="1"/>
  <c r="JU85" i="1" s="1"/>
  <c r="GD87" i="1"/>
  <c r="JT87" i="1" s="1"/>
  <c r="JU87" i="1" s="1"/>
  <c r="GE96" i="1"/>
  <c r="GF96" i="1"/>
  <c r="GG96" i="1"/>
  <c r="GH96" i="1"/>
  <c r="GI96" i="1"/>
  <c r="GJ7" i="1"/>
  <c r="JV7" i="1" s="1"/>
  <c r="JW7" i="1" s="1"/>
  <c r="GJ11" i="1"/>
  <c r="JV11" i="1" s="1"/>
  <c r="JW11" i="1" s="1"/>
  <c r="GJ12" i="1"/>
  <c r="JV12" i="1" s="1"/>
  <c r="JW12" i="1" s="1"/>
  <c r="GJ13" i="1"/>
  <c r="JV13" i="1" s="1"/>
  <c r="JW13" i="1" s="1"/>
  <c r="GJ15" i="1"/>
  <c r="JV15" i="1" s="1"/>
  <c r="JW15" i="1" s="1"/>
  <c r="GJ21" i="1"/>
  <c r="JV21" i="1" s="1"/>
  <c r="JW21" i="1" s="1"/>
  <c r="GJ25" i="1"/>
  <c r="JV25" i="1" s="1"/>
  <c r="JW25" i="1" s="1"/>
  <c r="GJ61" i="1"/>
  <c r="JV61" i="1" s="1"/>
  <c r="JW61" i="1" s="1"/>
  <c r="GJ67" i="1"/>
  <c r="GJ68" i="1"/>
  <c r="JV68" i="1" s="1"/>
  <c r="JW68" i="1" s="1"/>
  <c r="GJ86" i="1"/>
  <c r="JV86" i="1" s="1"/>
  <c r="JW86" i="1" s="1"/>
  <c r="GJ85" i="1"/>
  <c r="JV85" i="1" s="1"/>
  <c r="JW85" i="1" s="1"/>
  <c r="GJ87" i="1"/>
  <c r="JV87" i="1" s="1"/>
  <c r="JW87" i="1" s="1"/>
  <c r="GK96" i="1"/>
  <c r="GL96" i="1"/>
  <c r="GM96" i="1"/>
  <c r="GN96" i="1"/>
  <c r="GO96" i="1"/>
  <c r="GP7" i="1"/>
  <c r="GP11" i="1"/>
  <c r="JX11" i="1" s="1"/>
  <c r="JY11" i="1" s="1"/>
  <c r="GP12" i="1"/>
  <c r="JX12" i="1" s="1"/>
  <c r="JY12" i="1" s="1"/>
  <c r="GP13" i="1"/>
  <c r="JX13" i="1" s="1"/>
  <c r="JY13" i="1" s="1"/>
  <c r="GP15" i="1"/>
  <c r="JX15" i="1" s="1"/>
  <c r="JY15" i="1" s="1"/>
  <c r="GP21" i="1"/>
  <c r="JX21" i="1" s="1"/>
  <c r="JY21" i="1" s="1"/>
  <c r="GP25" i="1"/>
  <c r="JX25" i="1" s="1"/>
  <c r="JY25" i="1" s="1"/>
  <c r="GP61" i="1"/>
  <c r="GP67" i="1"/>
  <c r="GP68" i="1"/>
  <c r="JX68" i="1" s="1"/>
  <c r="JY68" i="1" s="1"/>
  <c r="GP86" i="1"/>
  <c r="JX86" i="1" s="1"/>
  <c r="JY86" i="1" s="1"/>
  <c r="GP85" i="1"/>
  <c r="JX85" i="1" s="1"/>
  <c r="JY85" i="1" s="1"/>
  <c r="GP87" i="1"/>
  <c r="JX87" i="1" s="1"/>
  <c r="JY87" i="1" s="1"/>
  <c r="GQ96" i="1"/>
  <c r="GR96" i="1"/>
  <c r="GS96" i="1"/>
  <c r="GT96" i="1"/>
  <c r="GU96" i="1"/>
  <c r="GV96" i="1"/>
  <c r="GW96" i="1"/>
  <c r="GX96" i="1"/>
  <c r="GY96" i="1"/>
  <c r="GZ96" i="1"/>
  <c r="HA96" i="1"/>
  <c r="HB15" i="1"/>
  <c r="KB15" i="1" s="1"/>
  <c r="KC15" i="1" s="1"/>
  <c r="HB25" i="1"/>
  <c r="HB61" i="1"/>
  <c r="HB67" i="1"/>
  <c r="KB67" i="1" s="1"/>
  <c r="KC67" i="1" s="1"/>
  <c r="HB68" i="1"/>
  <c r="KB68" i="1" s="1"/>
  <c r="KC68" i="1" s="1"/>
  <c r="HB86" i="1"/>
  <c r="KB86" i="1" s="1"/>
  <c r="KC86" i="1" s="1"/>
  <c r="HB85" i="1"/>
  <c r="HB87" i="1"/>
  <c r="KB87" i="1" s="1"/>
  <c r="KC87" i="1" s="1"/>
  <c r="HC25" i="1"/>
  <c r="HC96" i="1" s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H97" i="1"/>
  <c r="AI97" i="1"/>
  <c r="AK97" i="1"/>
  <c r="AM97" i="1"/>
  <c r="AO97" i="1"/>
  <c r="AQ97" i="1"/>
  <c r="AS97" i="1"/>
  <c r="AU97" i="1"/>
  <c r="AW97" i="1"/>
  <c r="AY97" i="1"/>
  <c r="AZ97" i="1"/>
  <c r="BA97" i="1"/>
  <c r="BC97" i="1"/>
  <c r="BE97" i="1"/>
  <c r="BF97" i="1"/>
  <c r="BG97" i="1"/>
  <c r="BI97" i="1"/>
  <c r="BJ97" i="1"/>
  <c r="BK97" i="1"/>
  <c r="BL97" i="1"/>
  <c r="BM97" i="1"/>
  <c r="BO97" i="1"/>
  <c r="BP97" i="1"/>
  <c r="BQ97" i="1"/>
  <c r="BR97" i="1"/>
  <c r="BS97" i="1"/>
  <c r="BU97" i="1"/>
  <c r="BV97" i="1"/>
  <c r="CC97" i="1"/>
  <c r="CD97" i="1"/>
  <c r="CE97" i="1"/>
  <c r="CG97" i="1"/>
  <c r="CH97" i="1"/>
  <c r="CI97" i="1"/>
  <c r="CJ97" i="1"/>
  <c r="CK97" i="1"/>
  <c r="CM97" i="1"/>
  <c r="CN97" i="1"/>
  <c r="CT97" i="1"/>
  <c r="CZ97" i="1"/>
  <c r="DA97" i="1"/>
  <c r="DB97" i="1"/>
  <c r="DC97" i="1"/>
  <c r="DF97" i="1"/>
  <c r="DG97" i="1"/>
  <c r="DH97" i="1"/>
  <c r="DI97" i="1"/>
  <c r="DK97" i="1"/>
  <c r="DM97" i="1"/>
  <c r="DN97" i="1"/>
  <c r="DO97" i="1"/>
  <c r="DQ97" i="1"/>
  <c r="DR97" i="1"/>
  <c r="DS97" i="1"/>
  <c r="DT97" i="1"/>
  <c r="DU97" i="1"/>
  <c r="DW97" i="1"/>
  <c r="DX97" i="1"/>
  <c r="DY97" i="1"/>
  <c r="DZ97" i="1"/>
  <c r="EA97" i="1"/>
  <c r="EC97" i="1"/>
  <c r="ED97" i="1"/>
  <c r="EE97" i="1"/>
  <c r="EF97" i="1"/>
  <c r="EG97" i="1"/>
  <c r="EJ97" i="1"/>
  <c r="EK97" i="1"/>
  <c r="EL97" i="1"/>
  <c r="EM97" i="1"/>
  <c r="EO97" i="1"/>
  <c r="EP97" i="1"/>
  <c r="EQ97" i="1"/>
  <c r="ER97" i="1"/>
  <c r="ES97" i="1"/>
  <c r="EU97" i="1"/>
  <c r="EV97" i="1"/>
  <c r="EW97" i="1"/>
  <c r="EX97" i="1"/>
  <c r="EY97" i="1"/>
  <c r="FA97" i="1"/>
  <c r="FB97" i="1"/>
  <c r="FC97" i="1"/>
  <c r="FD97" i="1"/>
  <c r="FE97" i="1"/>
  <c r="FG97" i="1"/>
  <c r="FH97" i="1"/>
  <c r="FI97" i="1"/>
  <c r="FJ97" i="1"/>
  <c r="FK97" i="1"/>
  <c r="FM97" i="1"/>
  <c r="FN97" i="1"/>
  <c r="FO97" i="1"/>
  <c r="FP97" i="1"/>
  <c r="FQ97" i="1"/>
  <c r="FS97" i="1"/>
  <c r="FT97" i="1"/>
  <c r="FU97" i="1"/>
  <c r="FV97" i="1"/>
  <c r="FW97" i="1"/>
  <c r="FY97" i="1"/>
  <c r="FZ97" i="1"/>
  <c r="GA97" i="1"/>
  <c r="GB97" i="1"/>
  <c r="GC97" i="1"/>
  <c r="GE97" i="1"/>
  <c r="GF97" i="1"/>
  <c r="GG97" i="1"/>
  <c r="GH97" i="1"/>
  <c r="GI97" i="1"/>
  <c r="GK97" i="1"/>
  <c r="GL97" i="1"/>
  <c r="GM97" i="1"/>
  <c r="GN97" i="1"/>
  <c r="GO97" i="1"/>
  <c r="GQ97" i="1"/>
  <c r="GR97" i="1"/>
  <c r="GS97" i="1"/>
  <c r="GT97" i="1"/>
  <c r="GU97" i="1"/>
  <c r="GV97" i="1"/>
  <c r="GW97" i="1"/>
  <c r="GX97" i="1"/>
  <c r="GY97" i="1"/>
  <c r="GZ97" i="1"/>
  <c r="HA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H98" i="1"/>
  <c r="AI98" i="1"/>
  <c r="AK98" i="1"/>
  <c r="AM98" i="1"/>
  <c r="AO98" i="1"/>
  <c r="AQ98" i="1"/>
  <c r="AS98" i="1"/>
  <c r="AU98" i="1"/>
  <c r="AW98" i="1"/>
  <c r="AY98" i="1"/>
  <c r="AZ98" i="1"/>
  <c r="BA98" i="1"/>
  <c r="BC98" i="1"/>
  <c r="BE98" i="1"/>
  <c r="BF98" i="1"/>
  <c r="BG98" i="1"/>
  <c r="BI98" i="1"/>
  <c r="BJ98" i="1"/>
  <c r="BK98" i="1"/>
  <c r="BL98" i="1"/>
  <c r="BM98" i="1"/>
  <c r="BO98" i="1"/>
  <c r="BP98" i="1"/>
  <c r="BQ98" i="1"/>
  <c r="BR98" i="1"/>
  <c r="BS98" i="1"/>
  <c r="BU98" i="1"/>
  <c r="BV98" i="1"/>
  <c r="CC98" i="1"/>
  <c r="CD98" i="1"/>
  <c r="CE98" i="1"/>
  <c r="CG98" i="1"/>
  <c r="CH98" i="1"/>
  <c r="CI98" i="1"/>
  <c r="CJ98" i="1"/>
  <c r="CK98" i="1"/>
  <c r="CM98" i="1"/>
  <c r="CN98" i="1"/>
  <c r="CT98" i="1"/>
  <c r="CZ98" i="1"/>
  <c r="DA98" i="1"/>
  <c r="DB98" i="1"/>
  <c r="DC98" i="1"/>
  <c r="DF98" i="1"/>
  <c r="DG98" i="1"/>
  <c r="DH98" i="1"/>
  <c r="DI98" i="1"/>
  <c r="DK98" i="1"/>
  <c r="DM98" i="1"/>
  <c r="DN98" i="1"/>
  <c r="DO98" i="1"/>
  <c r="DQ98" i="1"/>
  <c r="DR98" i="1"/>
  <c r="DS98" i="1"/>
  <c r="DT98" i="1"/>
  <c r="DU98" i="1"/>
  <c r="DW98" i="1"/>
  <c r="DX98" i="1"/>
  <c r="DY98" i="1"/>
  <c r="DZ98" i="1"/>
  <c r="EA98" i="1"/>
  <c r="EC98" i="1"/>
  <c r="ED98" i="1"/>
  <c r="EE98" i="1"/>
  <c r="EF98" i="1"/>
  <c r="EG98" i="1"/>
  <c r="EJ98" i="1"/>
  <c r="EK98" i="1"/>
  <c r="EL98" i="1"/>
  <c r="EM98" i="1"/>
  <c r="EO98" i="1"/>
  <c r="EP98" i="1"/>
  <c r="EQ98" i="1"/>
  <c r="ER98" i="1"/>
  <c r="ES98" i="1"/>
  <c r="EU98" i="1"/>
  <c r="EV98" i="1"/>
  <c r="EW98" i="1"/>
  <c r="EX98" i="1"/>
  <c r="EY98" i="1"/>
  <c r="FA98" i="1"/>
  <c r="FB98" i="1"/>
  <c r="FC98" i="1"/>
  <c r="FD98" i="1"/>
  <c r="FE98" i="1"/>
  <c r="FG98" i="1"/>
  <c r="FH98" i="1"/>
  <c r="FI98" i="1"/>
  <c r="FJ98" i="1"/>
  <c r="FK98" i="1"/>
  <c r="FM98" i="1"/>
  <c r="FN98" i="1"/>
  <c r="FO98" i="1"/>
  <c r="FP98" i="1"/>
  <c r="FQ98" i="1"/>
  <c r="FS98" i="1"/>
  <c r="FT98" i="1"/>
  <c r="FU98" i="1"/>
  <c r="FV98" i="1"/>
  <c r="FW98" i="1"/>
  <c r="FY98" i="1"/>
  <c r="FZ98" i="1"/>
  <c r="GA98" i="1"/>
  <c r="GB98" i="1"/>
  <c r="GC98" i="1"/>
  <c r="GE98" i="1"/>
  <c r="GF98" i="1"/>
  <c r="GG98" i="1"/>
  <c r="GH98" i="1"/>
  <c r="GI98" i="1"/>
  <c r="GK98" i="1"/>
  <c r="GL98" i="1"/>
  <c r="GM98" i="1"/>
  <c r="GN98" i="1"/>
  <c r="GO98" i="1"/>
  <c r="GQ98" i="1"/>
  <c r="GR98" i="1"/>
  <c r="GS98" i="1"/>
  <c r="GT98" i="1"/>
  <c r="GU98" i="1"/>
  <c r="GV98" i="1"/>
  <c r="GW98" i="1"/>
  <c r="GX98" i="1"/>
  <c r="GY98" i="1"/>
  <c r="GZ98" i="1"/>
  <c r="HA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H99" i="1"/>
  <c r="AI99" i="1"/>
  <c r="AK99" i="1"/>
  <c r="AM99" i="1"/>
  <c r="AO99" i="1"/>
  <c r="AQ99" i="1"/>
  <c r="AS99" i="1"/>
  <c r="AU99" i="1"/>
  <c r="AW99" i="1"/>
  <c r="AY99" i="1"/>
  <c r="AZ99" i="1"/>
  <c r="BA99" i="1"/>
  <c r="BC99" i="1"/>
  <c r="BE99" i="1"/>
  <c r="BF99" i="1"/>
  <c r="BG99" i="1"/>
  <c r="BI99" i="1"/>
  <c r="BJ99" i="1"/>
  <c r="BK99" i="1"/>
  <c r="BL99" i="1"/>
  <c r="BM99" i="1"/>
  <c r="BO99" i="1"/>
  <c r="BP99" i="1"/>
  <c r="BQ99" i="1"/>
  <c r="BR99" i="1"/>
  <c r="BS99" i="1"/>
  <c r="BU99" i="1"/>
  <c r="BV99" i="1"/>
  <c r="BY99" i="1"/>
  <c r="CC99" i="1"/>
  <c r="CD99" i="1"/>
  <c r="CE99" i="1"/>
  <c r="CG99" i="1"/>
  <c r="CH99" i="1"/>
  <c r="CI99" i="1"/>
  <c r="CJ99" i="1"/>
  <c r="CK99" i="1"/>
  <c r="CM99" i="1"/>
  <c r="CN99" i="1"/>
  <c r="CT99" i="1"/>
  <c r="CZ99" i="1"/>
  <c r="DA99" i="1"/>
  <c r="DB99" i="1"/>
  <c r="DC99" i="1"/>
  <c r="DF99" i="1"/>
  <c r="DG99" i="1"/>
  <c r="DH99" i="1"/>
  <c r="DI99" i="1"/>
  <c r="DK99" i="1"/>
  <c r="DM99" i="1"/>
  <c r="DN99" i="1"/>
  <c r="DO99" i="1"/>
  <c r="DQ99" i="1"/>
  <c r="DR99" i="1"/>
  <c r="DS99" i="1"/>
  <c r="DT99" i="1"/>
  <c r="DU99" i="1"/>
  <c r="DW99" i="1"/>
  <c r="DX99" i="1"/>
  <c r="DY99" i="1"/>
  <c r="DZ99" i="1"/>
  <c r="EA99" i="1"/>
  <c r="EC99" i="1"/>
  <c r="ED99" i="1"/>
  <c r="EE99" i="1"/>
  <c r="EF99" i="1"/>
  <c r="EG99" i="1"/>
  <c r="EJ99" i="1"/>
  <c r="EK99" i="1"/>
  <c r="EL99" i="1"/>
  <c r="EM99" i="1"/>
  <c r="EO99" i="1"/>
  <c r="EP99" i="1"/>
  <c r="EQ99" i="1"/>
  <c r="ER99" i="1"/>
  <c r="ES99" i="1"/>
  <c r="EU99" i="1"/>
  <c r="EV99" i="1"/>
  <c r="EW99" i="1"/>
  <c r="EX99" i="1"/>
  <c r="EY99" i="1"/>
  <c r="FA99" i="1"/>
  <c r="FB99" i="1"/>
  <c r="FC99" i="1"/>
  <c r="FD99" i="1"/>
  <c r="FE99" i="1"/>
  <c r="FG99" i="1"/>
  <c r="FH99" i="1"/>
  <c r="FI99" i="1"/>
  <c r="FJ99" i="1"/>
  <c r="FK99" i="1"/>
  <c r="FM99" i="1"/>
  <c r="FN99" i="1"/>
  <c r="FO99" i="1"/>
  <c r="FP99" i="1"/>
  <c r="FQ99" i="1"/>
  <c r="FS99" i="1"/>
  <c r="FT99" i="1"/>
  <c r="FU99" i="1"/>
  <c r="FV99" i="1"/>
  <c r="FW99" i="1"/>
  <c r="FY99" i="1"/>
  <c r="FZ99" i="1"/>
  <c r="GA99" i="1"/>
  <c r="GB99" i="1"/>
  <c r="GC99" i="1"/>
  <c r="GE99" i="1"/>
  <c r="GF99" i="1"/>
  <c r="GG99" i="1"/>
  <c r="GH99" i="1"/>
  <c r="GI99" i="1"/>
  <c r="GK99" i="1"/>
  <c r="GL99" i="1"/>
  <c r="GM99" i="1"/>
  <c r="GN99" i="1"/>
  <c r="GO99" i="1"/>
  <c r="GQ99" i="1"/>
  <c r="GR99" i="1"/>
  <c r="GS99" i="1"/>
  <c r="GT99" i="1"/>
  <c r="GU99" i="1"/>
  <c r="GV99" i="1"/>
  <c r="GW99" i="1"/>
  <c r="GX99" i="1"/>
  <c r="GY99" i="1"/>
  <c r="GZ99" i="1"/>
  <c r="HA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H100" i="1"/>
  <c r="AI100" i="1"/>
  <c r="AK100" i="1"/>
  <c r="AM100" i="1"/>
  <c r="AO100" i="1"/>
  <c r="AQ100" i="1"/>
  <c r="AS100" i="1"/>
  <c r="AU100" i="1"/>
  <c r="AW100" i="1"/>
  <c r="AY100" i="1"/>
  <c r="AZ100" i="1"/>
  <c r="BA100" i="1"/>
  <c r="BC100" i="1"/>
  <c r="BE100" i="1"/>
  <c r="BF100" i="1"/>
  <c r="BG100" i="1"/>
  <c r="BI100" i="1"/>
  <c r="BJ100" i="1"/>
  <c r="BK100" i="1"/>
  <c r="BL100" i="1"/>
  <c r="BM100" i="1"/>
  <c r="BO100" i="1"/>
  <c r="BP100" i="1"/>
  <c r="BQ100" i="1"/>
  <c r="BR100" i="1"/>
  <c r="BS100" i="1"/>
  <c r="BU100" i="1"/>
  <c r="BV100" i="1"/>
  <c r="BY100" i="1"/>
  <c r="CC100" i="1"/>
  <c r="CD100" i="1"/>
  <c r="CE100" i="1"/>
  <c r="CG100" i="1"/>
  <c r="CH100" i="1"/>
  <c r="CI100" i="1"/>
  <c r="CJ100" i="1"/>
  <c r="CK100" i="1"/>
  <c r="CM100" i="1"/>
  <c r="CN100" i="1"/>
  <c r="CT100" i="1"/>
  <c r="CZ100" i="1"/>
  <c r="DA100" i="1"/>
  <c r="DB100" i="1"/>
  <c r="DC100" i="1"/>
  <c r="DF100" i="1"/>
  <c r="DG100" i="1"/>
  <c r="DH100" i="1"/>
  <c r="DI100" i="1"/>
  <c r="DK100" i="1"/>
  <c r="DM100" i="1"/>
  <c r="DN100" i="1"/>
  <c r="DO100" i="1"/>
  <c r="DQ100" i="1"/>
  <c r="DR100" i="1"/>
  <c r="DS100" i="1"/>
  <c r="DT100" i="1"/>
  <c r="DU100" i="1"/>
  <c r="DW100" i="1"/>
  <c r="DX100" i="1"/>
  <c r="DY100" i="1"/>
  <c r="DZ100" i="1"/>
  <c r="EA100" i="1"/>
  <c r="EC100" i="1"/>
  <c r="ED100" i="1"/>
  <c r="EE100" i="1"/>
  <c r="EF100" i="1"/>
  <c r="EG100" i="1"/>
  <c r="EJ100" i="1"/>
  <c r="EK100" i="1"/>
  <c r="EL100" i="1"/>
  <c r="EM100" i="1"/>
  <c r="EO100" i="1"/>
  <c r="EP100" i="1"/>
  <c r="EQ100" i="1"/>
  <c r="ER100" i="1"/>
  <c r="ES100" i="1"/>
  <c r="EU100" i="1"/>
  <c r="EV100" i="1"/>
  <c r="EW100" i="1"/>
  <c r="EX100" i="1"/>
  <c r="EY100" i="1"/>
  <c r="FA100" i="1"/>
  <c r="FB100" i="1"/>
  <c r="FC100" i="1"/>
  <c r="FD100" i="1"/>
  <c r="FE100" i="1"/>
  <c r="FG100" i="1"/>
  <c r="FH100" i="1"/>
  <c r="FI100" i="1"/>
  <c r="FJ100" i="1"/>
  <c r="FK100" i="1"/>
  <c r="FM100" i="1"/>
  <c r="FN100" i="1"/>
  <c r="FO100" i="1"/>
  <c r="FP100" i="1"/>
  <c r="FQ100" i="1"/>
  <c r="FS100" i="1"/>
  <c r="FT100" i="1"/>
  <c r="FU100" i="1"/>
  <c r="FV100" i="1"/>
  <c r="FW100" i="1"/>
  <c r="FY100" i="1"/>
  <c r="FZ100" i="1"/>
  <c r="GA100" i="1"/>
  <c r="GB100" i="1"/>
  <c r="GC100" i="1"/>
  <c r="GE100" i="1"/>
  <c r="GF100" i="1"/>
  <c r="GG100" i="1"/>
  <c r="GH100" i="1"/>
  <c r="GI100" i="1"/>
  <c r="GK100" i="1"/>
  <c r="GL100" i="1"/>
  <c r="GM100" i="1"/>
  <c r="GN100" i="1"/>
  <c r="GO100" i="1"/>
  <c r="GQ100" i="1"/>
  <c r="GR100" i="1"/>
  <c r="GS100" i="1"/>
  <c r="GT100" i="1"/>
  <c r="GU100" i="1"/>
  <c r="GV100" i="1"/>
  <c r="GW100" i="1"/>
  <c r="GX100" i="1"/>
  <c r="GY100" i="1"/>
  <c r="GZ100" i="1"/>
  <c r="HA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H101" i="1"/>
  <c r="AI101" i="1"/>
  <c r="AK101" i="1"/>
  <c r="AM101" i="1"/>
  <c r="AO101" i="1"/>
  <c r="AQ101" i="1"/>
  <c r="AS101" i="1"/>
  <c r="AU101" i="1"/>
  <c r="AW101" i="1"/>
  <c r="AY101" i="1"/>
  <c r="AZ101" i="1"/>
  <c r="BA101" i="1"/>
  <c r="BC101" i="1"/>
  <c r="BE101" i="1"/>
  <c r="BF101" i="1"/>
  <c r="BG101" i="1"/>
  <c r="BI101" i="1"/>
  <c r="BJ101" i="1"/>
  <c r="BK101" i="1"/>
  <c r="BL101" i="1"/>
  <c r="BM101" i="1"/>
  <c r="BO101" i="1"/>
  <c r="BP101" i="1"/>
  <c r="BQ101" i="1"/>
  <c r="BR101" i="1"/>
  <c r="BS101" i="1"/>
  <c r="BU101" i="1"/>
  <c r="BV101" i="1"/>
  <c r="BY101" i="1"/>
  <c r="CC101" i="1"/>
  <c r="CD101" i="1"/>
  <c r="CE101" i="1"/>
  <c r="CG101" i="1"/>
  <c r="CH101" i="1"/>
  <c r="CI101" i="1"/>
  <c r="CJ101" i="1"/>
  <c r="CK101" i="1"/>
  <c r="CM101" i="1"/>
  <c r="CN101" i="1"/>
  <c r="CT101" i="1"/>
  <c r="CZ101" i="1"/>
  <c r="DA101" i="1"/>
  <c r="DB101" i="1"/>
  <c r="DC101" i="1"/>
  <c r="DF101" i="1"/>
  <c r="DG101" i="1"/>
  <c r="DH101" i="1"/>
  <c r="DI101" i="1"/>
  <c r="DK101" i="1"/>
  <c r="DL101" i="1"/>
  <c r="DM101" i="1"/>
  <c r="DN101" i="1"/>
  <c r="DO101" i="1"/>
  <c r="DQ101" i="1"/>
  <c r="DR101" i="1"/>
  <c r="DS101" i="1"/>
  <c r="DT101" i="1"/>
  <c r="DU101" i="1"/>
  <c r="DW101" i="1"/>
  <c r="DX101" i="1"/>
  <c r="DY101" i="1"/>
  <c r="DZ101" i="1"/>
  <c r="EA101" i="1"/>
  <c r="EC101" i="1"/>
  <c r="ED101" i="1"/>
  <c r="EE101" i="1"/>
  <c r="EF101" i="1"/>
  <c r="EG101" i="1"/>
  <c r="EJ101" i="1"/>
  <c r="EK101" i="1"/>
  <c r="EL101" i="1"/>
  <c r="EM101" i="1"/>
  <c r="EO101" i="1"/>
  <c r="EP101" i="1"/>
  <c r="EQ101" i="1"/>
  <c r="ER101" i="1"/>
  <c r="ES101" i="1"/>
  <c r="EU101" i="1"/>
  <c r="EV101" i="1"/>
  <c r="EW101" i="1"/>
  <c r="EX101" i="1"/>
  <c r="EY101" i="1"/>
  <c r="FA101" i="1"/>
  <c r="FB101" i="1"/>
  <c r="FC101" i="1"/>
  <c r="FD101" i="1"/>
  <c r="FE101" i="1"/>
  <c r="FG101" i="1"/>
  <c r="FH101" i="1"/>
  <c r="FI101" i="1"/>
  <c r="FJ101" i="1"/>
  <c r="FK101" i="1"/>
  <c r="FM101" i="1"/>
  <c r="FN101" i="1"/>
  <c r="FO101" i="1"/>
  <c r="FP101" i="1"/>
  <c r="FQ101" i="1"/>
  <c r="FS101" i="1"/>
  <c r="FT101" i="1"/>
  <c r="FU101" i="1"/>
  <c r="FV101" i="1"/>
  <c r="FW101" i="1"/>
  <c r="FY101" i="1"/>
  <c r="FZ101" i="1"/>
  <c r="GA101" i="1"/>
  <c r="GB101" i="1"/>
  <c r="GC101" i="1"/>
  <c r="GE101" i="1"/>
  <c r="GF101" i="1"/>
  <c r="GG101" i="1"/>
  <c r="GH101" i="1"/>
  <c r="GI101" i="1"/>
  <c r="GK101" i="1"/>
  <c r="GL101" i="1"/>
  <c r="GM101" i="1"/>
  <c r="GN101" i="1"/>
  <c r="GO101" i="1"/>
  <c r="GQ101" i="1"/>
  <c r="GR101" i="1"/>
  <c r="GS101" i="1"/>
  <c r="GT101" i="1"/>
  <c r="GU101" i="1"/>
  <c r="GV101" i="1"/>
  <c r="GW101" i="1"/>
  <c r="GX101" i="1"/>
  <c r="GY101" i="1"/>
  <c r="GZ101" i="1"/>
  <c r="HA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H102" i="1"/>
  <c r="AI102" i="1"/>
  <c r="AK102" i="1"/>
  <c r="AM102" i="1"/>
  <c r="AO102" i="1"/>
  <c r="AQ102" i="1"/>
  <c r="AS102" i="1"/>
  <c r="AU102" i="1"/>
  <c r="AW102" i="1"/>
  <c r="AY102" i="1"/>
  <c r="AZ102" i="1"/>
  <c r="BA102" i="1"/>
  <c r="BC102" i="1"/>
  <c r="BE102" i="1"/>
  <c r="BF102" i="1"/>
  <c r="BG102" i="1"/>
  <c r="BI102" i="1"/>
  <c r="BJ102" i="1"/>
  <c r="BK102" i="1"/>
  <c r="BL102" i="1"/>
  <c r="BM102" i="1"/>
  <c r="BO102" i="1"/>
  <c r="BP102" i="1"/>
  <c r="BQ102" i="1"/>
  <c r="BR102" i="1"/>
  <c r="BS102" i="1"/>
  <c r="BU102" i="1"/>
  <c r="BV102" i="1"/>
  <c r="BY102" i="1"/>
  <c r="CC102" i="1"/>
  <c r="CD102" i="1"/>
  <c r="CE102" i="1"/>
  <c r="CG102" i="1"/>
  <c r="CH102" i="1"/>
  <c r="CI102" i="1"/>
  <c r="CJ102" i="1"/>
  <c r="CK102" i="1"/>
  <c r="CM102" i="1"/>
  <c r="CN102" i="1"/>
  <c r="CT102" i="1"/>
  <c r="CZ102" i="1"/>
  <c r="DA102" i="1"/>
  <c r="DB102" i="1"/>
  <c r="DC102" i="1"/>
  <c r="DF102" i="1"/>
  <c r="DG102" i="1"/>
  <c r="DH102" i="1"/>
  <c r="DI102" i="1"/>
  <c r="DK102" i="1"/>
  <c r="DM102" i="1"/>
  <c r="DN102" i="1"/>
  <c r="DO102" i="1"/>
  <c r="DQ102" i="1"/>
  <c r="DR102" i="1"/>
  <c r="DS102" i="1"/>
  <c r="DT102" i="1"/>
  <c r="DU102" i="1"/>
  <c r="DW102" i="1"/>
  <c r="DX102" i="1"/>
  <c r="DY102" i="1"/>
  <c r="DZ102" i="1"/>
  <c r="EA102" i="1"/>
  <c r="EC102" i="1"/>
  <c r="ED102" i="1"/>
  <c r="EE102" i="1"/>
  <c r="EF102" i="1"/>
  <c r="EG102" i="1"/>
  <c r="EJ102" i="1"/>
  <c r="EK102" i="1"/>
  <c r="EL102" i="1"/>
  <c r="EM102" i="1"/>
  <c r="EO102" i="1"/>
  <c r="EP102" i="1"/>
  <c r="EQ102" i="1"/>
  <c r="ER102" i="1"/>
  <c r="ES102" i="1"/>
  <c r="EU102" i="1"/>
  <c r="EV102" i="1"/>
  <c r="EW102" i="1"/>
  <c r="EX102" i="1"/>
  <c r="EY102" i="1"/>
  <c r="FA102" i="1"/>
  <c r="FB102" i="1"/>
  <c r="FC102" i="1"/>
  <c r="FD102" i="1"/>
  <c r="FE102" i="1"/>
  <c r="FG102" i="1"/>
  <c r="FH102" i="1"/>
  <c r="FI102" i="1"/>
  <c r="FJ102" i="1"/>
  <c r="FK102" i="1"/>
  <c r="FM102" i="1"/>
  <c r="FN102" i="1"/>
  <c r="FO102" i="1"/>
  <c r="FP102" i="1"/>
  <c r="FQ102" i="1"/>
  <c r="FS102" i="1"/>
  <c r="FT102" i="1"/>
  <c r="FU102" i="1"/>
  <c r="FV102" i="1"/>
  <c r="FW102" i="1"/>
  <c r="FY102" i="1"/>
  <c r="FZ102" i="1"/>
  <c r="GA102" i="1"/>
  <c r="GB102" i="1"/>
  <c r="GC102" i="1"/>
  <c r="GE102" i="1"/>
  <c r="GF102" i="1"/>
  <c r="GG102" i="1"/>
  <c r="GH102" i="1"/>
  <c r="GI102" i="1"/>
  <c r="GK102" i="1"/>
  <c r="GL102" i="1"/>
  <c r="GM102" i="1"/>
  <c r="GN102" i="1"/>
  <c r="GO102" i="1"/>
  <c r="GQ102" i="1"/>
  <c r="GR102" i="1"/>
  <c r="GS102" i="1"/>
  <c r="GT102" i="1"/>
  <c r="GU102" i="1"/>
  <c r="GV102" i="1"/>
  <c r="GW102" i="1"/>
  <c r="GX102" i="1"/>
  <c r="GY102" i="1"/>
  <c r="GZ102" i="1"/>
  <c r="HA102" i="1"/>
  <c r="G101" i="1"/>
  <c r="G99" i="1"/>
  <c r="G97" i="1"/>
  <c r="G96" i="1"/>
  <c r="G102" i="1"/>
  <c r="G100" i="1"/>
  <c r="G98" i="1"/>
  <c r="HF93" i="1"/>
  <c r="HG93" i="1" s="1"/>
  <c r="HH93" i="1"/>
  <c r="HI93" i="1" s="1"/>
  <c r="HJ93" i="1"/>
  <c r="HK93" i="1" s="1"/>
  <c r="HL93" i="1"/>
  <c r="HM93" i="1" s="1"/>
  <c r="HN93" i="1"/>
  <c r="HO93" i="1" s="1"/>
  <c r="HP93" i="1"/>
  <c r="HQ93" i="1" s="1"/>
  <c r="HR93" i="1"/>
  <c r="HS93" i="1" s="1"/>
  <c r="HT93" i="1"/>
  <c r="HU93" i="1" s="1"/>
  <c r="HV93" i="1"/>
  <c r="HW93" i="1" s="1"/>
  <c r="HX93" i="1"/>
  <c r="HY93" i="1" s="1"/>
  <c r="HZ93" i="1"/>
  <c r="IA93" i="1" s="1"/>
  <c r="IB93" i="1"/>
  <c r="IC93" i="1" s="1"/>
  <c r="ID93" i="1"/>
  <c r="IE93" i="1" s="1"/>
  <c r="IF93" i="1"/>
  <c r="IG93" i="1" s="1"/>
  <c r="IH93" i="1"/>
  <c r="II93" i="1" s="1"/>
  <c r="IJ93" i="1"/>
  <c r="IK93" i="1" s="1"/>
  <c r="IL93" i="1"/>
  <c r="IM93" i="1" s="1"/>
  <c r="IN93" i="1"/>
  <c r="IO93" i="1" s="1"/>
  <c r="IP93" i="1"/>
  <c r="IQ93" i="1" s="1"/>
  <c r="IR93" i="1"/>
  <c r="IS93" i="1" s="1"/>
  <c r="IT93" i="1"/>
  <c r="IU93" i="1" s="1"/>
  <c r="IX93" i="1"/>
  <c r="IY93" i="1" s="1"/>
  <c r="IZ93" i="1"/>
  <c r="JA93" i="1" s="1"/>
  <c r="JD93" i="1"/>
  <c r="JE93" i="1" s="1"/>
  <c r="JF93" i="1"/>
  <c r="JG93" i="1" s="1"/>
  <c r="JH93" i="1"/>
  <c r="JI93" i="1" s="1"/>
  <c r="JJ93" i="1"/>
  <c r="JK93" i="1" s="1"/>
  <c r="JL93" i="1"/>
  <c r="JM93" i="1" s="1"/>
  <c r="JN93" i="1"/>
  <c r="JO93" i="1" s="1"/>
  <c r="JP93" i="1"/>
  <c r="JQ93" i="1" s="1"/>
  <c r="JR93" i="1"/>
  <c r="JS93" i="1" s="1"/>
  <c r="JT93" i="1"/>
  <c r="JU93" i="1" s="1"/>
  <c r="JV93" i="1"/>
  <c r="JW93" i="1" s="1"/>
  <c r="JX93" i="1"/>
  <c r="JY93" i="1" s="1"/>
  <c r="JZ93" i="1"/>
  <c r="KA93" i="1" s="1"/>
  <c r="KB93" i="1"/>
  <c r="KC93" i="1" s="1"/>
  <c r="KB81" i="1"/>
  <c r="KC81" i="1" s="1"/>
  <c r="IB75" i="1"/>
  <c r="IC75" i="1" s="1"/>
  <c r="HV74" i="1"/>
  <c r="HW74" i="1" s="1"/>
  <c r="HN74" i="1"/>
  <c r="HO74" i="1" s="1"/>
  <c r="HJ73" i="1"/>
  <c r="HK73" i="1" s="1"/>
  <c r="JR72" i="1"/>
  <c r="JS72" i="1" s="1"/>
  <c r="JB69" i="1"/>
  <c r="JC69" i="1" s="1"/>
  <c r="IJ69" i="1"/>
  <c r="IK69" i="1" s="1"/>
  <c r="IH69" i="1"/>
  <c r="II69" i="1" s="1"/>
  <c r="JV56" i="1"/>
  <c r="JW56" i="1" s="1"/>
  <c r="JN55" i="1"/>
  <c r="JO55" i="1" s="1"/>
  <c r="JF55" i="1"/>
  <c r="JG55" i="1" s="1"/>
  <c r="JR51" i="1"/>
  <c r="JS51" i="1" s="1"/>
  <c r="JN51" i="1"/>
  <c r="JO51" i="1" s="1"/>
  <c r="JB51" i="1"/>
  <c r="JC51" i="1" s="1"/>
  <c r="IN51" i="1"/>
  <c r="IO51" i="1" s="1"/>
  <c r="IJ51" i="1"/>
  <c r="IK51" i="1" s="1"/>
  <c r="IF51" i="1"/>
  <c r="IG51" i="1" s="1"/>
  <c r="ID51" i="1"/>
  <c r="IE51" i="1" s="1"/>
  <c r="HZ51" i="1"/>
  <c r="IA51" i="1" s="1"/>
  <c r="HX51" i="1"/>
  <c r="HY51" i="1" s="1"/>
  <c r="HV51" i="1"/>
  <c r="HW51" i="1" s="1"/>
  <c r="HL51" i="1"/>
  <c r="HM51" i="1" s="1"/>
  <c r="HJ51" i="1"/>
  <c r="HK51" i="1" s="1"/>
  <c r="HH51" i="1"/>
  <c r="HI51" i="1" s="1"/>
  <c r="HF51" i="1"/>
  <c r="HG51" i="1" s="1"/>
  <c r="JJ42" i="1"/>
  <c r="JK42" i="1" s="1"/>
  <c r="JH42" i="1"/>
  <c r="JI42" i="1" s="1"/>
  <c r="JF42" i="1"/>
  <c r="JG42" i="1" s="1"/>
  <c r="JT36" i="1"/>
  <c r="JU36" i="1" s="1"/>
  <c r="HF36" i="1"/>
  <c r="HG36" i="1" s="1"/>
  <c r="KB45" i="1"/>
  <c r="KC45" i="1" s="1"/>
  <c r="HX45" i="1"/>
  <c r="HY45" i="1" s="1"/>
  <c r="HL45" i="1"/>
  <c r="HM45" i="1" s="1"/>
  <c r="HJ45" i="1"/>
  <c r="HK45" i="1" s="1"/>
  <c r="KB4" i="1"/>
  <c r="KC4" i="1" s="1"/>
  <c r="KB5" i="1"/>
  <c r="KC5" i="1" s="1"/>
  <c r="KB6" i="1"/>
  <c r="KC6" i="1" s="1"/>
  <c r="KB7" i="1"/>
  <c r="KC7" i="1" s="1"/>
  <c r="KB8" i="1"/>
  <c r="KC8" i="1" s="1"/>
  <c r="KB9" i="1"/>
  <c r="KC9" i="1" s="1"/>
  <c r="KB10" i="1"/>
  <c r="KC10" i="1" s="1"/>
  <c r="KB11" i="1"/>
  <c r="KC11" i="1" s="1"/>
  <c r="KB12" i="1"/>
  <c r="KC12" i="1" s="1"/>
  <c r="KB13" i="1"/>
  <c r="KC13" i="1" s="1"/>
  <c r="KB14" i="1"/>
  <c r="KC14" i="1" s="1"/>
  <c r="KB16" i="1"/>
  <c r="KC16" i="1" s="1"/>
  <c r="KB17" i="1"/>
  <c r="KC17" i="1" s="1"/>
  <c r="KB18" i="1"/>
  <c r="KC18" i="1" s="1"/>
  <c r="KB19" i="1"/>
  <c r="KC19" i="1" s="1"/>
  <c r="KB20" i="1"/>
  <c r="KC20" i="1" s="1"/>
  <c r="KB21" i="1"/>
  <c r="KC21" i="1" s="1"/>
  <c r="KB22" i="1"/>
  <c r="KC22" i="1" s="1"/>
  <c r="KB23" i="1"/>
  <c r="KC23" i="1" s="1"/>
  <c r="KB24" i="1"/>
  <c r="KC24" i="1" s="1"/>
  <c r="KB26" i="1"/>
  <c r="KC26" i="1" s="1"/>
  <c r="KB27" i="1"/>
  <c r="KC27" i="1" s="1"/>
  <c r="KB28" i="1"/>
  <c r="KC28" i="1" s="1"/>
  <c r="KB29" i="1"/>
  <c r="KC29" i="1" s="1"/>
  <c r="KB30" i="1"/>
  <c r="KC30" i="1" s="1"/>
  <c r="KB31" i="1"/>
  <c r="KC31" i="1" s="1"/>
  <c r="KB32" i="1"/>
  <c r="KC32" i="1" s="1"/>
  <c r="KB33" i="1"/>
  <c r="KC33" i="1" s="1"/>
  <c r="KB34" i="1"/>
  <c r="KC34" i="1" s="1"/>
  <c r="KB35" i="1"/>
  <c r="KC35" i="1" s="1"/>
  <c r="KB36" i="1"/>
  <c r="KC36" i="1" s="1"/>
  <c r="KB37" i="1"/>
  <c r="KC37" i="1" s="1"/>
  <c r="KB38" i="1"/>
  <c r="KC38" i="1" s="1"/>
  <c r="KB39" i="1"/>
  <c r="KC39" i="1" s="1"/>
  <c r="KB40" i="1"/>
  <c r="KC40" i="1" s="1"/>
  <c r="KB41" i="1"/>
  <c r="KC41" i="1" s="1"/>
  <c r="KB42" i="1"/>
  <c r="KC42" i="1" s="1"/>
  <c r="KB43" i="1"/>
  <c r="KC43" i="1" s="1"/>
  <c r="KB44" i="1"/>
  <c r="KC44" i="1" s="1"/>
  <c r="KB46" i="1"/>
  <c r="KC46" i="1" s="1"/>
  <c r="KB47" i="1"/>
  <c r="KC47" i="1" s="1"/>
  <c r="KB48" i="1"/>
  <c r="KC48" i="1" s="1"/>
  <c r="KB49" i="1"/>
  <c r="KC49" i="1" s="1"/>
  <c r="KB50" i="1"/>
  <c r="KC50" i="1" s="1"/>
  <c r="KB51" i="1"/>
  <c r="KC51" i="1" s="1"/>
  <c r="KB52" i="1"/>
  <c r="KC52" i="1" s="1"/>
  <c r="KB53" i="1"/>
  <c r="KC53" i="1" s="1"/>
  <c r="KB54" i="1"/>
  <c r="KC54" i="1" s="1"/>
  <c r="KB55" i="1"/>
  <c r="KC55" i="1" s="1"/>
  <c r="KB56" i="1"/>
  <c r="KC56" i="1" s="1"/>
  <c r="KB57" i="1"/>
  <c r="KC57" i="1" s="1"/>
  <c r="KB58" i="1"/>
  <c r="KC58" i="1" s="1"/>
  <c r="KB59" i="1"/>
  <c r="KC59" i="1" s="1"/>
  <c r="KB60" i="1"/>
  <c r="KC60" i="1" s="1"/>
  <c r="KB62" i="1"/>
  <c r="KC62" i="1" s="1"/>
  <c r="KB63" i="1"/>
  <c r="KC63" i="1" s="1"/>
  <c r="KB64" i="1"/>
  <c r="KC64" i="1" s="1"/>
  <c r="KB65" i="1"/>
  <c r="KC65" i="1" s="1"/>
  <c r="KB66" i="1"/>
  <c r="KC66" i="1" s="1"/>
  <c r="KB69" i="1"/>
  <c r="KC69" i="1" s="1"/>
  <c r="KB70" i="1"/>
  <c r="KC70" i="1" s="1"/>
  <c r="KB71" i="1"/>
  <c r="KC71" i="1" s="1"/>
  <c r="KB72" i="1"/>
  <c r="KC72" i="1" s="1"/>
  <c r="KB73" i="1"/>
  <c r="KC73" i="1" s="1"/>
  <c r="KB74" i="1"/>
  <c r="KC74" i="1" s="1"/>
  <c r="KB75" i="1"/>
  <c r="KC75" i="1" s="1"/>
  <c r="KB76" i="1"/>
  <c r="KC76" i="1" s="1"/>
  <c r="KB77" i="1"/>
  <c r="KC77" i="1" s="1"/>
  <c r="KB78" i="1"/>
  <c r="KC78" i="1" s="1"/>
  <c r="KB79" i="1"/>
  <c r="KC79" i="1" s="1"/>
  <c r="KB80" i="1"/>
  <c r="KC80" i="1" s="1"/>
  <c r="KB82" i="1"/>
  <c r="KC82" i="1" s="1"/>
  <c r="KB83" i="1"/>
  <c r="KC83" i="1" s="1"/>
  <c r="KB84" i="1"/>
  <c r="KC84" i="1" s="1"/>
  <c r="KB88" i="1"/>
  <c r="KC88" i="1" s="1"/>
  <c r="KB89" i="1"/>
  <c r="KC89" i="1" s="1"/>
  <c r="KB90" i="1"/>
  <c r="KC90" i="1" s="1"/>
  <c r="KB91" i="1"/>
  <c r="KC91" i="1" s="1"/>
  <c r="KB92" i="1"/>
  <c r="KC92" i="1" s="1"/>
  <c r="KB3" i="1"/>
  <c r="KC3" i="1" s="1"/>
  <c r="JZ4" i="1"/>
  <c r="KA4" i="1" s="1"/>
  <c r="JZ5" i="1"/>
  <c r="KA5" i="1" s="1"/>
  <c r="JZ6" i="1"/>
  <c r="KA6" i="1" s="1"/>
  <c r="JZ7" i="1"/>
  <c r="KA7" i="1" s="1"/>
  <c r="JZ8" i="1"/>
  <c r="KA8" i="1" s="1"/>
  <c r="JZ9" i="1"/>
  <c r="KA9" i="1" s="1"/>
  <c r="JZ10" i="1"/>
  <c r="KA10" i="1" s="1"/>
  <c r="JZ11" i="1"/>
  <c r="KA11" i="1" s="1"/>
  <c r="JZ12" i="1"/>
  <c r="KA12" i="1" s="1"/>
  <c r="JZ13" i="1"/>
  <c r="KA13" i="1" s="1"/>
  <c r="JZ14" i="1"/>
  <c r="KA14" i="1" s="1"/>
  <c r="JZ15" i="1"/>
  <c r="KA15" i="1" s="1"/>
  <c r="JZ16" i="1"/>
  <c r="KA16" i="1" s="1"/>
  <c r="JZ17" i="1"/>
  <c r="KA17" i="1" s="1"/>
  <c r="JZ18" i="1"/>
  <c r="KA18" i="1" s="1"/>
  <c r="JZ19" i="1"/>
  <c r="KA19" i="1" s="1"/>
  <c r="JZ20" i="1"/>
  <c r="KA20" i="1" s="1"/>
  <c r="JZ21" i="1"/>
  <c r="KA21" i="1" s="1"/>
  <c r="JZ22" i="1"/>
  <c r="KA22" i="1" s="1"/>
  <c r="JZ23" i="1"/>
  <c r="KA23" i="1" s="1"/>
  <c r="JZ24" i="1"/>
  <c r="KA24" i="1" s="1"/>
  <c r="JZ25" i="1"/>
  <c r="KA25" i="1" s="1"/>
  <c r="JZ26" i="1"/>
  <c r="KA26" i="1" s="1"/>
  <c r="JZ27" i="1"/>
  <c r="KA27" i="1" s="1"/>
  <c r="JZ28" i="1"/>
  <c r="KA28" i="1" s="1"/>
  <c r="JZ29" i="1"/>
  <c r="KA29" i="1" s="1"/>
  <c r="JZ30" i="1"/>
  <c r="KA30" i="1" s="1"/>
  <c r="JZ31" i="1"/>
  <c r="KA31" i="1" s="1"/>
  <c r="JZ32" i="1"/>
  <c r="KA32" i="1" s="1"/>
  <c r="JZ33" i="1"/>
  <c r="KA33" i="1" s="1"/>
  <c r="JZ34" i="1"/>
  <c r="KA34" i="1" s="1"/>
  <c r="JZ35" i="1"/>
  <c r="KA35" i="1" s="1"/>
  <c r="JZ36" i="1"/>
  <c r="KA36" i="1" s="1"/>
  <c r="JZ37" i="1"/>
  <c r="KA37" i="1" s="1"/>
  <c r="JZ38" i="1"/>
  <c r="KA38" i="1" s="1"/>
  <c r="JZ39" i="1"/>
  <c r="KA39" i="1" s="1"/>
  <c r="JZ40" i="1"/>
  <c r="KA40" i="1" s="1"/>
  <c r="JZ41" i="1"/>
  <c r="KA41" i="1" s="1"/>
  <c r="JZ42" i="1"/>
  <c r="KA42" i="1" s="1"/>
  <c r="JZ43" i="1"/>
  <c r="KA43" i="1" s="1"/>
  <c r="JZ44" i="1"/>
  <c r="KA44" i="1" s="1"/>
  <c r="JZ45" i="1"/>
  <c r="KA45" i="1" s="1"/>
  <c r="JZ46" i="1"/>
  <c r="KA46" i="1" s="1"/>
  <c r="JZ47" i="1"/>
  <c r="KA47" i="1" s="1"/>
  <c r="JZ48" i="1"/>
  <c r="KA48" i="1" s="1"/>
  <c r="JZ49" i="1"/>
  <c r="KA49" i="1" s="1"/>
  <c r="JZ50" i="1"/>
  <c r="KA50" i="1" s="1"/>
  <c r="JZ51" i="1"/>
  <c r="KA51" i="1" s="1"/>
  <c r="JZ52" i="1"/>
  <c r="KA52" i="1" s="1"/>
  <c r="JZ53" i="1"/>
  <c r="KA53" i="1" s="1"/>
  <c r="JZ54" i="1"/>
  <c r="KA54" i="1" s="1"/>
  <c r="JZ55" i="1"/>
  <c r="KA55" i="1" s="1"/>
  <c r="JZ56" i="1"/>
  <c r="KA56" i="1" s="1"/>
  <c r="JZ57" i="1"/>
  <c r="KA57" i="1" s="1"/>
  <c r="JZ58" i="1"/>
  <c r="KA58" i="1" s="1"/>
  <c r="JZ59" i="1"/>
  <c r="KA59" i="1" s="1"/>
  <c r="JZ60" i="1"/>
  <c r="KA60" i="1" s="1"/>
  <c r="JZ61" i="1"/>
  <c r="KA61" i="1" s="1"/>
  <c r="JZ62" i="1"/>
  <c r="KA62" i="1" s="1"/>
  <c r="JZ63" i="1"/>
  <c r="KA63" i="1" s="1"/>
  <c r="JZ64" i="1"/>
  <c r="KA64" i="1" s="1"/>
  <c r="JZ65" i="1"/>
  <c r="KA65" i="1" s="1"/>
  <c r="JZ66" i="1"/>
  <c r="KA66" i="1" s="1"/>
  <c r="JZ67" i="1"/>
  <c r="KA67" i="1" s="1"/>
  <c r="JZ68" i="1"/>
  <c r="KA68" i="1" s="1"/>
  <c r="JZ69" i="1"/>
  <c r="KA69" i="1" s="1"/>
  <c r="JZ70" i="1"/>
  <c r="KA70" i="1" s="1"/>
  <c r="JZ71" i="1"/>
  <c r="KA71" i="1" s="1"/>
  <c r="JZ72" i="1"/>
  <c r="KA72" i="1" s="1"/>
  <c r="JZ73" i="1"/>
  <c r="KA73" i="1" s="1"/>
  <c r="JZ74" i="1"/>
  <c r="KA74" i="1" s="1"/>
  <c r="JZ75" i="1"/>
  <c r="KA75" i="1" s="1"/>
  <c r="JZ76" i="1"/>
  <c r="KA76" i="1" s="1"/>
  <c r="JZ77" i="1"/>
  <c r="KA77" i="1" s="1"/>
  <c r="JZ78" i="1"/>
  <c r="KA78" i="1" s="1"/>
  <c r="JZ79" i="1"/>
  <c r="KA79" i="1" s="1"/>
  <c r="JZ80" i="1"/>
  <c r="KA80" i="1" s="1"/>
  <c r="JZ81" i="1"/>
  <c r="KA81" i="1" s="1"/>
  <c r="JZ82" i="1"/>
  <c r="KA82" i="1" s="1"/>
  <c r="JZ83" i="1"/>
  <c r="KA83" i="1" s="1"/>
  <c r="JZ84" i="1"/>
  <c r="KA84" i="1" s="1"/>
  <c r="JZ85" i="1"/>
  <c r="KA85" i="1" s="1"/>
  <c r="JZ86" i="1"/>
  <c r="KA86" i="1" s="1"/>
  <c r="JZ87" i="1"/>
  <c r="KA87" i="1" s="1"/>
  <c r="JZ88" i="1"/>
  <c r="KA88" i="1" s="1"/>
  <c r="JZ89" i="1"/>
  <c r="KA89" i="1" s="1"/>
  <c r="JZ90" i="1"/>
  <c r="KA90" i="1" s="1"/>
  <c r="JZ91" i="1"/>
  <c r="KA91" i="1" s="1"/>
  <c r="JZ92" i="1"/>
  <c r="KA92" i="1" s="1"/>
  <c r="JZ3" i="1"/>
  <c r="KA3" i="1" s="1"/>
  <c r="JX4" i="1"/>
  <c r="JY4" i="1" s="1"/>
  <c r="JX5" i="1"/>
  <c r="JY5" i="1" s="1"/>
  <c r="JX6" i="1"/>
  <c r="JY6" i="1" s="1"/>
  <c r="JX8" i="1"/>
  <c r="JY8" i="1" s="1"/>
  <c r="JX9" i="1"/>
  <c r="JY9" i="1" s="1"/>
  <c r="JX10" i="1"/>
  <c r="JY10" i="1" s="1"/>
  <c r="JX14" i="1"/>
  <c r="JY14" i="1" s="1"/>
  <c r="JX16" i="1"/>
  <c r="JY16" i="1" s="1"/>
  <c r="JX17" i="1"/>
  <c r="JY17" i="1" s="1"/>
  <c r="JX18" i="1"/>
  <c r="JY18" i="1" s="1"/>
  <c r="JX19" i="1"/>
  <c r="JY19" i="1" s="1"/>
  <c r="JX20" i="1"/>
  <c r="JY20" i="1" s="1"/>
  <c r="JX22" i="1"/>
  <c r="JY22" i="1" s="1"/>
  <c r="JX23" i="1"/>
  <c r="JY23" i="1" s="1"/>
  <c r="JX24" i="1"/>
  <c r="JY24" i="1" s="1"/>
  <c r="JX26" i="1"/>
  <c r="JY26" i="1" s="1"/>
  <c r="JX27" i="1"/>
  <c r="JY27" i="1" s="1"/>
  <c r="JX28" i="1"/>
  <c r="JY28" i="1" s="1"/>
  <c r="JX29" i="1"/>
  <c r="JY29" i="1" s="1"/>
  <c r="JX30" i="1"/>
  <c r="JY30" i="1" s="1"/>
  <c r="JX31" i="1"/>
  <c r="JY31" i="1" s="1"/>
  <c r="JX32" i="1"/>
  <c r="JY32" i="1" s="1"/>
  <c r="JX33" i="1"/>
  <c r="JY33" i="1" s="1"/>
  <c r="JX34" i="1"/>
  <c r="JY34" i="1" s="1"/>
  <c r="JX35" i="1"/>
  <c r="JY35" i="1" s="1"/>
  <c r="JX36" i="1"/>
  <c r="JY36" i="1" s="1"/>
  <c r="JX37" i="1"/>
  <c r="JY37" i="1" s="1"/>
  <c r="JX38" i="1"/>
  <c r="JY38" i="1" s="1"/>
  <c r="JX39" i="1"/>
  <c r="JY39" i="1" s="1"/>
  <c r="JX40" i="1"/>
  <c r="JY40" i="1" s="1"/>
  <c r="JX41" i="1"/>
  <c r="JY41" i="1" s="1"/>
  <c r="JX42" i="1"/>
  <c r="JY42" i="1" s="1"/>
  <c r="JX43" i="1"/>
  <c r="JY43" i="1" s="1"/>
  <c r="JX44" i="1"/>
  <c r="JY44" i="1" s="1"/>
  <c r="JX45" i="1"/>
  <c r="JY45" i="1" s="1"/>
  <c r="JX46" i="1"/>
  <c r="JY46" i="1" s="1"/>
  <c r="JX47" i="1"/>
  <c r="JY47" i="1" s="1"/>
  <c r="JX48" i="1"/>
  <c r="JY48" i="1" s="1"/>
  <c r="JX49" i="1"/>
  <c r="JY49" i="1" s="1"/>
  <c r="JX50" i="1"/>
  <c r="JY50" i="1" s="1"/>
  <c r="JX51" i="1"/>
  <c r="JY51" i="1" s="1"/>
  <c r="JX52" i="1"/>
  <c r="JY52" i="1" s="1"/>
  <c r="JX53" i="1"/>
  <c r="JY53" i="1" s="1"/>
  <c r="JX54" i="1"/>
  <c r="JY54" i="1" s="1"/>
  <c r="JX55" i="1"/>
  <c r="JY55" i="1" s="1"/>
  <c r="JX56" i="1"/>
  <c r="JY56" i="1" s="1"/>
  <c r="JX57" i="1"/>
  <c r="JY57" i="1" s="1"/>
  <c r="JX58" i="1"/>
  <c r="JY58" i="1" s="1"/>
  <c r="JX59" i="1"/>
  <c r="JY59" i="1" s="1"/>
  <c r="JX60" i="1"/>
  <c r="JY60" i="1" s="1"/>
  <c r="JX61" i="1"/>
  <c r="JY61" i="1" s="1"/>
  <c r="JX62" i="1"/>
  <c r="JY62" i="1" s="1"/>
  <c r="JX63" i="1"/>
  <c r="JY63" i="1" s="1"/>
  <c r="JX64" i="1"/>
  <c r="JY64" i="1" s="1"/>
  <c r="JX65" i="1"/>
  <c r="JY65" i="1" s="1"/>
  <c r="JX66" i="1"/>
  <c r="JY66" i="1" s="1"/>
  <c r="JX67" i="1"/>
  <c r="JY67" i="1" s="1"/>
  <c r="JX69" i="1"/>
  <c r="JY69" i="1" s="1"/>
  <c r="JX70" i="1"/>
  <c r="JY70" i="1" s="1"/>
  <c r="JX71" i="1"/>
  <c r="JY71" i="1" s="1"/>
  <c r="JX72" i="1"/>
  <c r="JY72" i="1" s="1"/>
  <c r="JX73" i="1"/>
  <c r="JY73" i="1" s="1"/>
  <c r="JX74" i="1"/>
  <c r="JY74" i="1" s="1"/>
  <c r="JX75" i="1"/>
  <c r="JY75" i="1" s="1"/>
  <c r="JX76" i="1"/>
  <c r="JY76" i="1" s="1"/>
  <c r="JX77" i="1"/>
  <c r="JY77" i="1" s="1"/>
  <c r="JX78" i="1"/>
  <c r="JY78" i="1" s="1"/>
  <c r="JX79" i="1"/>
  <c r="JY79" i="1" s="1"/>
  <c r="JX80" i="1"/>
  <c r="JY80" i="1" s="1"/>
  <c r="JX81" i="1"/>
  <c r="JY81" i="1" s="1"/>
  <c r="JX82" i="1"/>
  <c r="JY82" i="1" s="1"/>
  <c r="JX83" i="1"/>
  <c r="JY83" i="1" s="1"/>
  <c r="JX84" i="1"/>
  <c r="JY84" i="1" s="1"/>
  <c r="JX88" i="1"/>
  <c r="JY88" i="1" s="1"/>
  <c r="JX89" i="1"/>
  <c r="JY89" i="1" s="1"/>
  <c r="JX90" i="1"/>
  <c r="JY90" i="1" s="1"/>
  <c r="JX91" i="1"/>
  <c r="JY91" i="1" s="1"/>
  <c r="JX92" i="1"/>
  <c r="JY92" i="1" s="1"/>
  <c r="JX3" i="1"/>
  <c r="JY3" i="1" s="1"/>
  <c r="JV4" i="1"/>
  <c r="JW4" i="1" s="1"/>
  <c r="JV5" i="1"/>
  <c r="JW5" i="1" s="1"/>
  <c r="JV6" i="1"/>
  <c r="JW6" i="1" s="1"/>
  <c r="JV8" i="1"/>
  <c r="JW8" i="1" s="1"/>
  <c r="JV9" i="1"/>
  <c r="JW9" i="1" s="1"/>
  <c r="JV10" i="1"/>
  <c r="JW10" i="1" s="1"/>
  <c r="JV14" i="1"/>
  <c r="JW14" i="1" s="1"/>
  <c r="JV16" i="1"/>
  <c r="JW16" i="1" s="1"/>
  <c r="JV17" i="1"/>
  <c r="JW17" i="1" s="1"/>
  <c r="JV18" i="1"/>
  <c r="JW18" i="1" s="1"/>
  <c r="JV19" i="1"/>
  <c r="JW19" i="1" s="1"/>
  <c r="JV20" i="1"/>
  <c r="JW20" i="1" s="1"/>
  <c r="JV22" i="1"/>
  <c r="JW22" i="1" s="1"/>
  <c r="JV23" i="1"/>
  <c r="JW23" i="1" s="1"/>
  <c r="JV24" i="1"/>
  <c r="JW24" i="1" s="1"/>
  <c r="JV26" i="1"/>
  <c r="JW26" i="1" s="1"/>
  <c r="JV27" i="1"/>
  <c r="JW27" i="1" s="1"/>
  <c r="JV28" i="1"/>
  <c r="JW28" i="1" s="1"/>
  <c r="JV29" i="1"/>
  <c r="JW29" i="1" s="1"/>
  <c r="JV30" i="1"/>
  <c r="JW30" i="1" s="1"/>
  <c r="JV31" i="1"/>
  <c r="JW31" i="1" s="1"/>
  <c r="JV32" i="1"/>
  <c r="JW32" i="1" s="1"/>
  <c r="JV33" i="1"/>
  <c r="JW33" i="1" s="1"/>
  <c r="JV34" i="1"/>
  <c r="JW34" i="1" s="1"/>
  <c r="JV35" i="1"/>
  <c r="JW35" i="1" s="1"/>
  <c r="JV36" i="1"/>
  <c r="JW36" i="1" s="1"/>
  <c r="JV37" i="1"/>
  <c r="JW37" i="1" s="1"/>
  <c r="JV38" i="1"/>
  <c r="JW38" i="1" s="1"/>
  <c r="JV39" i="1"/>
  <c r="JW39" i="1" s="1"/>
  <c r="JV40" i="1"/>
  <c r="JW40" i="1" s="1"/>
  <c r="JV41" i="1"/>
  <c r="JW41" i="1" s="1"/>
  <c r="JV42" i="1"/>
  <c r="JW42" i="1" s="1"/>
  <c r="JV43" i="1"/>
  <c r="JW43" i="1" s="1"/>
  <c r="JV44" i="1"/>
  <c r="JW44" i="1" s="1"/>
  <c r="JV45" i="1"/>
  <c r="JW45" i="1" s="1"/>
  <c r="JV46" i="1"/>
  <c r="JW46" i="1" s="1"/>
  <c r="JV47" i="1"/>
  <c r="JW47" i="1" s="1"/>
  <c r="JV48" i="1"/>
  <c r="JW48" i="1" s="1"/>
  <c r="JV49" i="1"/>
  <c r="JW49" i="1" s="1"/>
  <c r="JV50" i="1"/>
  <c r="JW50" i="1" s="1"/>
  <c r="JV51" i="1"/>
  <c r="JW51" i="1" s="1"/>
  <c r="JV52" i="1"/>
  <c r="JW52" i="1" s="1"/>
  <c r="JV53" i="1"/>
  <c r="JW53" i="1" s="1"/>
  <c r="JV54" i="1"/>
  <c r="JW54" i="1" s="1"/>
  <c r="JV55" i="1"/>
  <c r="JW55" i="1" s="1"/>
  <c r="JV57" i="1"/>
  <c r="JW57" i="1" s="1"/>
  <c r="JV58" i="1"/>
  <c r="JW58" i="1" s="1"/>
  <c r="JV59" i="1"/>
  <c r="JW59" i="1" s="1"/>
  <c r="JV60" i="1"/>
  <c r="JW60" i="1" s="1"/>
  <c r="JV62" i="1"/>
  <c r="JW62" i="1" s="1"/>
  <c r="JV63" i="1"/>
  <c r="JW63" i="1" s="1"/>
  <c r="JV64" i="1"/>
  <c r="JW64" i="1" s="1"/>
  <c r="JV65" i="1"/>
  <c r="JW65" i="1" s="1"/>
  <c r="JV66" i="1"/>
  <c r="JW66" i="1" s="1"/>
  <c r="JV67" i="1"/>
  <c r="JW67" i="1" s="1"/>
  <c r="JV69" i="1"/>
  <c r="JW69" i="1" s="1"/>
  <c r="JV70" i="1"/>
  <c r="JW70" i="1" s="1"/>
  <c r="JV71" i="1"/>
  <c r="JW71" i="1" s="1"/>
  <c r="JV72" i="1"/>
  <c r="JW72" i="1" s="1"/>
  <c r="JV73" i="1"/>
  <c r="JW73" i="1" s="1"/>
  <c r="JV74" i="1"/>
  <c r="JW74" i="1" s="1"/>
  <c r="JV75" i="1"/>
  <c r="JW75" i="1" s="1"/>
  <c r="JV76" i="1"/>
  <c r="JW76" i="1" s="1"/>
  <c r="JV77" i="1"/>
  <c r="JW77" i="1" s="1"/>
  <c r="JV78" i="1"/>
  <c r="JW78" i="1" s="1"/>
  <c r="JV79" i="1"/>
  <c r="JW79" i="1" s="1"/>
  <c r="JV80" i="1"/>
  <c r="JW80" i="1" s="1"/>
  <c r="JV81" i="1"/>
  <c r="JW81" i="1" s="1"/>
  <c r="JV82" i="1"/>
  <c r="JW82" i="1" s="1"/>
  <c r="JV83" i="1"/>
  <c r="JW83" i="1" s="1"/>
  <c r="JV84" i="1"/>
  <c r="JW84" i="1" s="1"/>
  <c r="JV88" i="1"/>
  <c r="JW88" i="1" s="1"/>
  <c r="JV89" i="1"/>
  <c r="JW89" i="1" s="1"/>
  <c r="JV90" i="1"/>
  <c r="JW90" i="1" s="1"/>
  <c r="JV91" i="1"/>
  <c r="JW91" i="1" s="1"/>
  <c r="JV92" i="1"/>
  <c r="JW92" i="1" s="1"/>
  <c r="JV3" i="1"/>
  <c r="JW3" i="1" s="1"/>
  <c r="JT4" i="1"/>
  <c r="JU4" i="1" s="1"/>
  <c r="JT5" i="1"/>
  <c r="JU5" i="1" s="1"/>
  <c r="JT6" i="1"/>
  <c r="JU6" i="1" s="1"/>
  <c r="JT8" i="1"/>
  <c r="JU8" i="1" s="1"/>
  <c r="JT9" i="1"/>
  <c r="JU9" i="1" s="1"/>
  <c r="JT10" i="1"/>
  <c r="JU10" i="1" s="1"/>
  <c r="JT12" i="1"/>
  <c r="JU12" i="1" s="1"/>
  <c r="JT14" i="1"/>
  <c r="JU14" i="1" s="1"/>
  <c r="JT16" i="1"/>
  <c r="JU16" i="1" s="1"/>
  <c r="JT17" i="1"/>
  <c r="JU17" i="1" s="1"/>
  <c r="JT18" i="1"/>
  <c r="JU18" i="1" s="1"/>
  <c r="JT19" i="1"/>
  <c r="JU19" i="1" s="1"/>
  <c r="JT20" i="1"/>
  <c r="JU20" i="1" s="1"/>
  <c r="JT22" i="1"/>
  <c r="JU22" i="1" s="1"/>
  <c r="JT23" i="1"/>
  <c r="JU23" i="1" s="1"/>
  <c r="JT24" i="1"/>
  <c r="JU24" i="1" s="1"/>
  <c r="JT26" i="1"/>
  <c r="JU26" i="1" s="1"/>
  <c r="JT27" i="1"/>
  <c r="JU27" i="1" s="1"/>
  <c r="JT28" i="1"/>
  <c r="JU28" i="1" s="1"/>
  <c r="JT29" i="1"/>
  <c r="JU29" i="1" s="1"/>
  <c r="JT30" i="1"/>
  <c r="JU30" i="1" s="1"/>
  <c r="JT31" i="1"/>
  <c r="JU31" i="1" s="1"/>
  <c r="JT32" i="1"/>
  <c r="JU32" i="1" s="1"/>
  <c r="JT33" i="1"/>
  <c r="JU33" i="1" s="1"/>
  <c r="JT34" i="1"/>
  <c r="JU34" i="1" s="1"/>
  <c r="JT35" i="1"/>
  <c r="JU35" i="1" s="1"/>
  <c r="JT37" i="1"/>
  <c r="JU37" i="1" s="1"/>
  <c r="JT38" i="1"/>
  <c r="JU38" i="1" s="1"/>
  <c r="JT39" i="1"/>
  <c r="JU39" i="1" s="1"/>
  <c r="JT40" i="1"/>
  <c r="JU40" i="1" s="1"/>
  <c r="JT41" i="1"/>
  <c r="JU41" i="1" s="1"/>
  <c r="JT42" i="1"/>
  <c r="JU42" i="1" s="1"/>
  <c r="JT43" i="1"/>
  <c r="JU43" i="1" s="1"/>
  <c r="JT44" i="1"/>
  <c r="JU44" i="1" s="1"/>
  <c r="JT45" i="1"/>
  <c r="JU45" i="1" s="1"/>
  <c r="JT46" i="1"/>
  <c r="JU46" i="1" s="1"/>
  <c r="JT47" i="1"/>
  <c r="JU47" i="1" s="1"/>
  <c r="JT48" i="1"/>
  <c r="JU48" i="1" s="1"/>
  <c r="JT49" i="1"/>
  <c r="JU49" i="1" s="1"/>
  <c r="JT50" i="1"/>
  <c r="JU50" i="1" s="1"/>
  <c r="JT51" i="1"/>
  <c r="JU51" i="1" s="1"/>
  <c r="JT52" i="1"/>
  <c r="JU52" i="1" s="1"/>
  <c r="JT53" i="1"/>
  <c r="JU53" i="1" s="1"/>
  <c r="JT54" i="1"/>
  <c r="JU54" i="1" s="1"/>
  <c r="JT55" i="1"/>
  <c r="JU55" i="1" s="1"/>
  <c r="JT56" i="1"/>
  <c r="JU56" i="1" s="1"/>
  <c r="JT57" i="1"/>
  <c r="JU57" i="1" s="1"/>
  <c r="JT58" i="1"/>
  <c r="JU58" i="1" s="1"/>
  <c r="JT59" i="1"/>
  <c r="JU59" i="1" s="1"/>
  <c r="JT60" i="1"/>
  <c r="JU60" i="1" s="1"/>
  <c r="JT63" i="1"/>
  <c r="JU63" i="1" s="1"/>
  <c r="JT64" i="1"/>
  <c r="JU64" i="1" s="1"/>
  <c r="JT65" i="1"/>
  <c r="JU65" i="1" s="1"/>
  <c r="JT66" i="1"/>
  <c r="JU66" i="1" s="1"/>
  <c r="JT69" i="1"/>
  <c r="JU69" i="1" s="1"/>
  <c r="JT70" i="1"/>
  <c r="JU70" i="1" s="1"/>
  <c r="JT71" i="1"/>
  <c r="JU71" i="1" s="1"/>
  <c r="JT72" i="1"/>
  <c r="JU72" i="1" s="1"/>
  <c r="JT73" i="1"/>
  <c r="JU73" i="1" s="1"/>
  <c r="JT74" i="1"/>
  <c r="JU74" i="1" s="1"/>
  <c r="JT75" i="1"/>
  <c r="JU75" i="1" s="1"/>
  <c r="JT76" i="1"/>
  <c r="JU76" i="1" s="1"/>
  <c r="JT77" i="1"/>
  <c r="JU77" i="1" s="1"/>
  <c r="JT78" i="1"/>
  <c r="JU78" i="1" s="1"/>
  <c r="JT79" i="1"/>
  <c r="JU79" i="1" s="1"/>
  <c r="JT80" i="1"/>
  <c r="JU80" i="1" s="1"/>
  <c r="JT81" i="1"/>
  <c r="JU81" i="1" s="1"/>
  <c r="JT82" i="1"/>
  <c r="JU82" i="1" s="1"/>
  <c r="JT83" i="1"/>
  <c r="JU83" i="1" s="1"/>
  <c r="JT84" i="1"/>
  <c r="JU84" i="1" s="1"/>
  <c r="JT88" i="1"/>
  <c r="JU88" i="1" s="1"/>
  <c r="JT89" i="1"/>
  <c r="JU89" i="1" s="1"/>
  <c r="JT90" i="1"/>
  <c r="JU90" i="1" s="1"/>
  <c r="JT91" i="1"/>
  <c r="JU91" i="1" s="1"/>
  <c r="JT92" i="1"/>
  <c r="JU92" i="1" s="1"/>
  <c r="JT3" i="1"/>
  <c r="JU3" i="1" s="1"/>
  <c r="JR4" i="1"/>
  <c r="JS4" i="1" s="1"/>
  <c r="JR5" i="1"/>
  <c r="JS5" i="1" s="1"/>
  <c r="JR6" i="1"/>
  <c r="JS6" i="1" s="1"/>
  <c r="JR8" i="1"/>
  <c r="JS8" i="1" s="1"/>
  <c r="JR9" i="1"/>
  <c r="JS9" i="1" s="1"/>
  <c r="JR10" i="1"/>
  <c r="JS10" i="1" s="1"/>
  <c r="JR12" i="1"/>
  <c r="JS12" i="1" s="1"/>
  <c r="JR13" i="1"/>
  <c r="JS13" i="1" s="1"/>
  <c r="JR14" i="1"/>
  <c r="JS14" i="1" s="1"/>
  <c r="JR16" i="1"/>
  <c r="JS16" i="1" s="1"/>
  <c r="JR17" i="1"/>
  <c r="JS17" i="1" s="1"/>
  <c r="JR18" i="1"/>
  <c r="JS18" i="1" s="1"/>
  <c r="JR19" i="1"/>
  <c r="JS19" i="1" s="1"/>
  <c r="JR20" i="1"/>
  <c r="JS20" i="1" s="1"/>
  <c r="JR22" i="1"/>
  <c r="JS22" i="1" s="1"/>
  <c r="JR23" i="1"/>
  <c r="JS23" i="1" s="1"/>
  <c r="JR24" i="1"/>
  <c r="JS24" i="1" s="1"/>
  <c r="JR26" i="1"/>
  <c r="JS26" i="1" s="1"/>
  <c r="JR27" i="1"/>
  <c r="JS27" i="1" s="1"/>
  <c r="JR28" i="1"/>
  <c r="JS28" i="1" s="1"/>
  <c r="JR29" i="1"/>
  <c r="JS29" i="1" s="1"/>
  <c r="JR30" i="1"/>
  <c r="JS30" i="1" s="1"/>
  <c r="JR31" i="1"/>
  <c r="JS31" i="1" s="1"/>
  <c r="JR32" i="1"/>
  <c r="JS32" i="1" s="1"/>
  <c r="JR33" i="1"/>
  <c r="JS33" i="1" s="1"/>
  <c r="JR34" i="1"/>
  <c r="JS34" i="1" s="1"/>
  <c r="JR35" i="1"/>
  <c r="JS35" i="1" s="1"/>
  <c r="JR36" i="1"/>
  <c r="JS36" i="1" s="1"/>
  <c r="JR37" i="1"/>
  <c r="JS37" i="1" s="1"/>
  <c r="JR38" i="1"/>
  <c r="JS38" i="1" s="1"/>
  <c r="JR39" i="1"/>
  <c r="JS39" i="1" s="1"/>
  <c r="JR40" i="1"/>
  <c r="JS40" i="1" s="1"/>
  <c r="JR41" i="1"/>
  <c r="JS41" i="1" s="1"/>
  <c r="JR42" i="1"/>
  <c r="JS42" i="1" s="1"/>
  <c r="JR43" i="1"/>
  <c r="JS43" i="1" s="1"/>
  <c r="JR44" i="1"/>
  <c r="JS44" i="1" s="1"/>
  <c r="JR45" i="1"/>
  <c r="JS45" i="1" s="1"/>
  <c r="JR46" i="1"/>
  <c r="JS46" i="1" s="1"/>
  <c r="JR47" i="1"/>
  <c r="JS47" i="1" s="1"/>
  <c r="JR48" i="1"/>
  <c r="JS48" i="1" s="1"/>
  <c r="JR49" i="1"/>
  <c r="JS49" i="1" s="1"/>
  <c r="JR50" i="1"/>
  <c r="JS50" i="1" s="1"/>
  <c r="JR52" i="1"/>
  <c r="JS52" i="1" s="1"/>
  <c r="JR53" i="1"/>
  <c r="JS53" i="1" s="1"/>
  <c r="JR54" i="1"/>
  <c r="JS54" i="1" s="1"/>
  <c r="JR55" i="1"/>
  <c r="JS55" i="1" s="1"/>
  <c r="JR56" i="1"/>
  <c r="JS56" i="1" s="1"/>
  <c r="JR57" i="1"/>
  <c r="JS57" i="1" s="1"/>
  <c r="JR58" i="1"/>
  <c r="JS58" i="1" s="1"/>
  <c r="JR59" i="1"/>
  <c r="JS59" i="1" s="1"/>
  <c r="JR60" i="1"/>
  <c r="JS60" i="1" s="1"/>
  <c r="JR62" i="1"/>
  <c r="JS62" i="1" s="1"/>
  <c r="JR63" i="1"/>
  <c r="JS63" i="1" s="1"/>
  <c r="JR64" i="1"/>
  <c r="JS64" i="1" s="1"/>
  <c r="JR65" i="1"/>
  <c r="JS65" i="1" s="1"/>
  <c r="JR66" i="1"/>
  <c r="JS66" i="1" s="1"/>
  <c r="JR68" i="1"/>
  <c r="JS68" i="1" s="1"/>
  <c r="JR69" i="1"/>
  <c r="JS69" i="1" s="1"/>
  <c r="JR70" i="1"/>
  <c r="JS70" i="1" s="1"/>
  <c r="JR71" i="1"/>
  <c r="JS71" i="1" s="1"/>
  <c r="JR73" i="1"/>
  <c r="JS73" i="1" s="1"/>
  <c r="JR74" i="1"/>
  <c r="JS74" i="1" s="1"/>
  <c r="JR75" i="1"/>
  <c r="JS75" i="1" s="1"/>
  <c r="JR76" i="1"/>
  <c r="JS76" i="1" s="1"/>
  <c r="JR77" i="1"/>
  <c r="JS77" i="1" s="1"/>
  <c r="JR78" i="1"/>
  <c r="JS78" i="1" s="1"/>
  <c r="JR79" i="1"/>
  <c r="JS79" i="1" s="1"/>
  <c r="JR80" i="1"/>
  <c r="JS80" i="1" s="1"/>
  <c r="JR81" i="1"/>
  <c r="JS81" i="1" s="1"/>
  <c r="JR82" i="1"/>
  <c r="JS82" i="1" s="1"/>
  <c r="JR83" i="1"/>
  <c r="JS83" i="1" s="1"/>
  <c r="JR84" i="1"/>
  <c r="JS84" i="1" s="1"/>
  <c r="JR88" i="1"/>
  <c r="JS88" i="1" s="1"/>
  <c r="JR89" i="1"/>
  <c r="JS89" i="1" s="1"/>
  <c r="JR90" i="1"/>
  <c r="JS90" i="1" s="1"/>
  <c r="JR91" i="1"/>
  <c r="JS91" i="1" s="1"/>
  <c r="JR92" i="1"/>
  <c r="JS92" i="1" s="1"/>
  <c r="JR3" i="1"/>
  <c r="JS3" i="1" s="1"/>
  <c r="JP4" i="1"/>
  <c r="JQ4" i="1" s="1"/>
  <c r="JP5" i="1"/>
  <c r="JQ5" i="1" s="1"/>
  <c r="JP6" i="1"/>
  <c r="JQ6" i="1" s="1"/>
  <c r="JP7" i="1"/>
  <c r="JQ7" i="1" s="1"/>
  <c r="JP8" i="1"/>
  <c r="JQ8" i="1" s="1"/>
  <c r="JP9" i="1"/>
  <c r="JQ9" i="1" s="1"/>
  <c r="JP10" i="1"/>
  <c r="JQ10" i="1" s="1"/>
  <c r="JP11" i="1"/>
  <c r="JQ11" i="1" s="1"/>
  <c r="JP12" i="1"/>
  <c r="JQ12" i="1" s="1"/>
  <c r="JP13" i="1"/>
  <c r="JQ13" i="1" s="1"/>
  <c r="JP14" i="1"/>
  <c r="JQ14" i="1" s="1"/>
  <c r="JP15" i="1"/>
  <c r="JQ15" i="1" s="1"/>
  <c r="JP16" i="1"/>
  <c r="JQ16" i="1" s="1"/>
  <c r="JP17" i="1"/>
  <c r="JQ17" i="1" s="1"/>
  <c r="JP18" i="1"/>
  <c r="JQ18" i="1" s="1"/>
  <c r="JP19" i="1"/>
  <c r="JQ19" i="1" s="1"/>
  <c r="JP20" i="1"/>
  <c r="JQ20" i="1" s="1"/>
  <c r="JP22" i="1"/>
  <c r="JQ22" i="1" s="1"/>
  <c r="JP23" i="1"/>
  <c r="JQ23" i="1" s="1"/>
  <c r="JP24" i="1"/>
  <c r="JQ24" i="1" s="1"/>
  <c r="JP25" i="1"/>
  <c r="JQ25" i="1" s="1"/>
  <c r="JP26" i="1"/>
  <c r="JQ26" i="1" s="1"/>
  <c r="JP27" i="1"/>
  <c r="JQ27" i="1" s="1"/>
  <c r="JP28" i="1"/>
  <c r="JQ28" i="1" s="1"/>
  <c r="JP29" i="1"/>
  <c r="JQ29" i="1" s="1"/>
  <c r="JP30" i="1"/>
  <c r="JQ30" i="1" s="1"/>
  <c r="JP31" i="1"/>
  <c r="JQ31" i="1" s="1"/>
  <c r="JP32" i="1"/>
  <c r="JQ32" i="1" s="1"/>
  <c r="JP33" i="1"/>
  <c r="JQ33" i="1" s="1"/>
  <c r="JP34" i="1"/>
  <c r="JQ34" i="1" s="1"/>
  <c r="JP35" i="1"/>
  <c r="JQ35" i="1" s="1"/>
  <c r="JP36" i="1"/>
  <c r="JQ36" i="1" s="1"/>
  <c r="JP37" i="1"/>
  <c r="JQ37" i="1" s="1"/>
  <c r="JP38" i="1"/>
  <c r="JQ38" i="1" s="1"/>
  <c r="JP39" i="1"/>
  <c r="JQ39" i="1" s="1"/>
  <c r="JP40" i="1"/>
  <c r="JQ40" i="1" s="1"/>
  <c r="JP41" i="1"/>
  <c r="JQ41" i="1" s="1"/>
  <c r="JP42" i="1"/>
  <c r="JQ42" i="1" s="1"/>
  <c r="JP43" i="1"/>
  <c r="JQ43" i="1" s="1"/>
  <c r="JP44" i="1"/>
  <c r="JQ44" i="1" s="1"/>
  <c r="JP45" i="1"/>
  <c r="JQ45" i="1" s="1"/>
  <c r="JP46" i="1"/>
  <c r="JQ46" i="1" s="1"/>
  <c r="JP47" i="1"/>
  <c r="JQ47" i="1" s="1"/>
  <c r="JP48" i="1"/>
  <c r="JQ48" i="1" s="1"/>
  <c r="JP49" i="1"/>
  <c r="JQ49" i="1" s="1"/>
  <c r="JP50" i="1"/>
  <c r="JQ50" i="1" s="1"/>
  <c r="JP51" i="1"/>
  <c r="JQ51" i="1" s="1"/>
  <c r="JP52" i="1"/>
  <c r="JQ52" i="1" s="1"/>
  <c r="JP53" i="1"/>
  <c r="JQ53" i="1" s="1"/>
  <c r="JP54" i="1"/>
  <c r="JQ54" i="1" s="1"/>
  <c r="JP55" i="1"/>
  <c r="JQ55" i="1" s="1"/>
  <c r="JP56" i="1"/>
  <c r="JQ56" i="1" s="1"/>
  <c r="JP57" i="1"/>
  <c r="JQ57" i="1" s="1"/>
  <c r="JP58" i="1"/>
  <c r="JQ58" i="1" s="1"/>
  <c r="JP59" i="1"/>
  <c r="JQ59" i="1" s="1"/>
  <c r="JP60" i="1"/>
  <c r="JQ60" i="1" s="1"/>
  <c r="JP62" i="1"/>
  <c r="JQ62" i="1" s="1"/>
  <c r="JP63" i="1"/>
  <c r="JQ63" i="1" s="1"/>
  <c r="JP64" i="1"/>
  <c r="JQ64" i="1" s="1"/>
  <c r="JP65" i="1"/>
  <c r="JQ65" i="1" s="1"/>
  <c r="JP66" i="1"/>
  <c r="JQ66" i="1" s="1"/>
  <c r="JP67" i="1"/>
  <c r="JQ67" i="1" s="1"/>
  <c r="JP68" i="1"/>
  <c r="JQ68" i="1" s="1"/>
  <c r="JP69" i="1"/>
  <c r="JQ69" i="1" s="1"/>
  <c r="JP70" i="1"/>
  <c r="JQ70" i="1" s="1"/>
  <c r="JP71" i="1"/>
  <c r="JQ71" i="1" s="1"/>
  <c r="JP72" i="1"/>
  <c r="JQ72" i="1" s="1"/>
  <c r="JP73" i="1"/>
  <c r="JQ73" i="1" s="1"/>
  <c r="JP74" i="1"/>
  <c r="JQ74" i="1" s="1"/>
  <c r="JP75" i="1"/>
  <c r="JQ75" i="1" s="1"/>
  <c r="JP76" i="1"/>
  <c r="JQ76" i="1" s="1"/>
  <c r="JP77" i="1"/>
  <c r="JQ77" i="1" s="1"/>
  <c r="JP78" i="1"/>
  <c r="JQ78" i="1" s="1"/>
  <c r="JP79" i="1"/>
  <c r="JQ79" i="1" s="1"/>
  <c r="JP80" i="1"/>
  <c r="JQ80" i="1" s="1"/>
  <c r="JP81" i="1"/>
  <c r="JQ81" i="1" s="1"/>
  <c r="JP82" i="1"/>
  <c r="JQ82" i="1" s="1"/>
  <c r="JP83" i="1"/>
  <c r="JQ83" i="1" s="1"/>
  <c r="JP84" i="1"/>
  <c r="JQ84" i="1" s="1"/>
  <c r="JP86" i="1"/>
  <c r="JQ86" i="1" s="1"/>
  <c r="JP87" i="1"/>
  <c r="JQ87" i="1" s="1"/>
  <c r="JP88" i="1"/>
  <c r="JQ88" i="1" s="1"/>
  <c r="JP89" i="1"/>
  <c r="JQ89" i="1" s="1"/>
  <c r="JP90" i="1"/>
  <c r="JQ90" i="1" s="1"/>
  <c r="JP91" i="1"/>
  <c r="JQ91" i="1" s="1"/>
  <c r="JP92" i="1"/>
  <c r="JQ92" i="1" s="1"/>
  <c r="JP3" i="1"/>
  <c r="JQ3" i="1" s="1"/>
  <c r="JN4" i="1"/>
  <c r="JO4" i="1" s="1"/>
  <c r="JN5" i="1"/>
  <c r="JO5" i="1" s="1"/>
  <c r="JN6" i="1"/>
  <c r="JO6" i="1" s="1"/>
  <c r="JN7" i="1"/>
  <c r="JO7" i="1" s="1"/>
  <c r="JN8" i="1"/>
  <c r="JO8" i="1" s="1"/>
  <c r="JN9" i="1"/>
  <c r="JO9" i="1" s="1"/>
  <c r="JN10" i="1"/>
  <c r="JO10" i="1" s="1"/>
  <c r="JN11" i="1"/>
  <c r="JO11" i="1" s="1"/>
  <c r="JN12" i="1"/>
  <c r="JO12" i="1" s="1"/>
  <c r="JN13" i="1"/>
  <c r="JO13" i="1" s="1"/>
  <c r="JN14" i="1"/>
  <c r="JO14" i="1" s="1"/>
  <c r="JN15" i="1"/>
  <c r="JO15" i="1" s="1"/>
  <c r="JN16" i="1"/>
  <c r="JO16" i="1" s="1"/>
  <c r="JN17" i="1"/>
  <c r="JO17" i="1" s="1"/>
  <c r="JN18" i="1"/>
  <c r="JO18" i="1" s="1"/>
  <c r="JN19" i="1"/>
  <c r="JO19" i="1" s="1"/>
  <c r="JN20" i="1"/>
  <c r="JO20" i="1" s="1"/>
  <c r="JN21" i="1"/>
  <c r="JO21" i="1" s="1"/>
  <c r="JN22" i="1"/>
  <c r="JO22" i="1" s="1"/>
  <c r="JN23" i="1"/>
  <c r="JO23" i="1" s="1"/>
  <c r="JN24" i="1"/>
  <c r="JO24" i="1" s="1"/>
  <c r="JN26" i="1"/>
  <c r="JO26" i="1" s="1"/>
  <c r="JN27" i="1"/>
  <c r="JO27" i="1" s="1"/>
  <c r="JN28" i="1"/>
  <c r="JO28" i="1" s="1"/>
  <c r="JN29" i="1"/>
  <c r="JO29" i="1" s="1"/>
  <c r="JN30" i="1"/>
  <c r="JO30" i="1" s="1"/>
  <c r="JN31" i="1"/>
  <c r="JO31" i="1" s="1"/>
  <c r="JN32" i="1"/>
  <c r="JO32" i="1" s="1"/>
  <c r="JN33" i="1"/>
  <c r="JO33" i="1" s="1"/>
  <c r="JN34" i="1"/>
  <c r="JO34" i="1" s="1"/>
  <c r="JN35" i="1"/>
  <c r="JO35" i="1" s="1"/>
  <c r="JN36" i="1"/>
  <c r="JO36" i="1" s="1"/>
  <c r="JN37" i="1"/>
  <c r="JO37" i="1" s="1"/>
  <c r="JN38" i="1"/>
  <c r="JO38" i="1" s="1"/>
  <c r="JN39" i="1"/>
  <c r="JO39" i="1" s="1"/>
  <c r="JN40" i="1"/>
  <c r="JO40" i="1" s="1"/>
  <c r="JN41" i="1"/>
  <c r="JO41" i="1" s="1"/>
  <c r="JN42" i="1"/>
  <c r="JO42" i="1" s="1"/>
  <c r="JN43" i="1"/>
  <c r="JO43" i="1" s="1"/>
  <c r="JN44" i="1"/>
  <c r="JO44" i="1" s="1"/>
  <c r="JN45" i="1"/>
  <c r="JO45" i="1" s="1"/>
  <c r="JN46" i="1"/>
  <c r="JO46" i="1" s="1"/>
  <c r="JN47" i="1"/>
  <c r="JO47" i="1" s="1"/>
  <c r="JN48" i="1"/>
  <c r="JO48" i="1" s="1"/>
  <c r="JN49" i="1"/>
  <c r="JO49" i="1" s="1"/>
  <c r="JN50" i="1"/>
  <c r="JO50" i="1" s="1"/>
  <c r="JN52" i="1"/>
  <c r="JO52" i="1" s="1"/>
  <c r="JN53" i="1"/>
  <c r="JO53" i="1" s="1"/>
  <c r="JN54" i="1"/>
  <c r="JO54" i="1" s="1"/>
  <c r="JN56" i="1"/>
  <c r="JO56" i="1" s="1"/>
  <c r="JN57" i="1"/>
  <c r="JO57" i="1" s="1"/>
  <c r="JN58" i="1"/>
  <c r="JO58" i="1" s="1"/>
  <c r="JN59" i="1"/>
  <c r="JO59" i="1" s="1"/>
  <c r="JN60" i="1"/>
  <c r="JO60" i="1" s="1"/>
  <c r="JN62" i="1"/>
  <c r="JO62" i="1" s="1"/>
  <c r="JN63" i="1"/>
  <c r="JO63" i="1" s="1"/>
  <c r="JN64" i="1"/>
  <c r="JO64" i="1" s="1"/>
  <c r="JN65" i="1"/>
  <c r="JO65" i="1" s="1"/>
  <c r="JN66" i="1"/>
  <c r="JO66" i="1" s="1"/>
  <c r="JN67" i="1"/>
  <c r="JO67" i="1" s="1"/>
  <c r="JN68" i="1"/>
  <c r="JO68" i="1" s="1"/>
  <c r="JN69" i="1"/>
  <c r="JO69" i="1" s="1"/>
  <c r="JN70" i="1"/>
  <c r="JO70" i="1" s="1"/>
  <c r="JN71" i="1"/>
  <c r="JO71" i="1" s="1"/>
  <c r="JN72" i="1"/>
  <c r="JO72" i="1" s="1"/>
  <c r="JN73" i="1"/>
  <c r="JO73" i="1" s="1"/>
  <c r="JN74" i="1"/>
  <c r="JO74" i="1" s="1"/>
  <c r="JN75" i="1"/>
  <c r="JO75" i="1" s="1"/>
  <c r="JN76" i="1"/>
  <c r="JO76" i="1" s="1"/>
  <c r="JN77" i="1"/>
  <c r="JO77" i="1" s="1"/>
  <c r="JN78" i="1"/>
  <c r="JO78" i="1" s="1"/>
  <c r="JN79" i="1"/>
  <c r="JO79" i="1" s="1"/>
  <c r="JN80" i="1"/>
  <c r="JO80" i="1" s="1"/>
  <c r="JN81" i="1"/>
  <c r="JO81" i="1" s="1"/>
  <c r="JN82" i="1"/>
  <c r="JO82" i="1" s="1"/>
  <c r="JN83" i="1"/>
  <c r="JO83" i="1" s="1"/>
  <c r="JN84" i="1"/>
  <c r="JO84" i="1" s="1"/>
  <c r="JN87" i="1"/>
  <c r="JO87" i="1" s="1"/>
  <c r="JN88" i="1"/>
  <c r="JO88" i="1" s="1"/>
  <c r="JN89" i="1"/>
  <c r="JO89" i="1" s="1"/>
  <c r="JN90" i="1"/>
  <c r="JO90" i="1" s="1"/>
  <c r="JN91" i="1"/>
  <c r="JO91" i="1" s="1"/>
  <c r="JN92" i="1"/>
  <c r="JO92" i="1" s="1"/>
  <c r="JN3" i="1"/>
  <c r="JO3" i="1" s="1"/>
  <c r="JL4" i="1"/>
  <c r="JM4" i="1" s="1"/>
  <c r="JL5" i="1"/>
  <c r="JM5" i="1" s="1"/>
  <c r="JL6" i="1"/>
  <c r="JM6" i="1" s="1"/>
  <c r="JL8" i="1"/>
  <c r="JM8" i="1" s="1"/>
  <c r="JL9" i="1"/>
  <c r="JM9" i="1" s="1"/>
  <c r="JL10" i="1"/>
  <c r="JM10" i="1" s="1"/>
  <c r="JL12" i="1"/>
  <c r="JM12" i="1" s="1"/>
  <c r="JL13" i="1"/>
  <c r="JM13" i="1" s="1"/>
  <c r="JL14" i="1"/>
  <c r="JM14" i="1" s="1"/>
  <c r="JL16" i="1"/>
  <c r="JM16" i="1" s="1"/>
  <c r="JL17" i="1"/>
  <c r="JM17" i="1" s="1"/>
  <c r="JL18" i="1"/>
  <c r="JM18" i="1" s="1"/>
  <c r="JL19" i="1"/>
  <c r="JM19" i="1" s="1"/>
  <c r="JL20" i="1"/>
  <c r="JM20" i="1" s="1"/>
  <c r="JL21" i="1"/>
  <c r="JM21" i="1" s="1"/>
  <c r="JL22" i="1"/>
  <c r="JM22" i="1" s="1"/>
  <c r="JL23" i="1"/>
  <c r="JM23" i="1" s="1"/>
  <c r="JL24" i="1"/>
  <c r="JM24" i="1" s="1"/>
  <c r="JL26" i="1"/>
  <c r="JM26" i="1" s="1"/>
  <c r="JL27" i="1"/>
  <c r="JM27" i="1" s="1"/>
  <c r="JL28" i="1"/>
  <c r="JM28" i="1" s="1"/>
  <c r="JL29" i="1"/>
  <c r="JM29" i="1" s="1"/>
  <c r="JL30" i="1"/>
  <c r="JM30" i="1" s="1"/>
  <c r="JL31" i="1"/>
  <c r="JM31" i="1" s="1"/>
  <c r="JL32" i="1"/>
  <c r="JM32" i="1" s="1"/>
  <c r="JL33" i="1"/>
  <c r="JM33" i="1" s="1"/>
  <c r="JL34" i="1"/>
  <c r="JM34" i="1" s="1"/>
  <c r="JL35" i="1"/>
  <c r="JM35" i="1" s="1"/>
  <c r="JL36" i="1"/>
  <c r="JM36" i="1" s="1"/>
  <c r="JL37" i="1"/>
  <c r="JM37" i="1" s="1"/>
  <c r="JL38" i="1"/>
  <c r="JM38" i="1" s="1"/>
  <c r="JL39" i="1"/>
  <c r="JM39" i="1" s="1"/>
  <c r="JL40" i="1"/>
  <c r="JM40" i="1" s="1"/>
  <c r="JL41" i="1"/>
  <c r="JM41" i="1" s="1"/>
  <c r="JL42" i="1"/>
  <c r="JM42" i="1" s="1"/>
  <c r="JL43" i="1"/>
  <c r="JM43" i="1" s="1"/>
  <c r="JL44" i="1"/>
  <c r="JM44" i="1" s="1"/>
  <c r="JL45" i="1"/>
  <c r="JM45" i="1" s="1"/>
  <c r="JL46" i="1"/>
  <c r="JM46" i="1" s="1"/>
  <c r="JL47" i="1"/>
  <c r="JM47" i="1" s="1"/>
  <c r="JL48" i="1"/>
  <c r="JM48" i="1" s="1"/>
  <c r="JL49" i="1"/>
  <c r="JM49" i="1" s="1"/>
  <c r="JL50" i="1"/>
  <c r="JM50" i="1" s="1"/>
  <c r="JL51" i="1"/>
  <c r="JM51" i="1" s="1"/>
  <c r="JL52" i="1"/>
  <c r="JM52" i="1" s="1"/>
  <c r="JL53" i="1"/>
  <c r="JM53" i="1" s="1"/>
  <c r="JL54" i="1"/>
  <c r="JM54" i="1" s="1"/>
  <c r="JL55" i="1"/>
  <c r="JM55" i="1" s="1"/>
  <c r="JL56" i="1"/>
  <c r="JM56" i="1" s="1"/>
  <c r="JL57" i="1"/>
  <c r="JM57" i="1" s="1"/>
  <c r="JL58" i="1"/>
  <c r="JM58" i="1" s="1"/>
  <c r="JL59" i="1"/>
  <c r="JM59" i="1" s="1"/>
  <c r="JL60" i="1"/>
  <c r="JM60" i="1" s="1"/>
  <c r="JL62" i="1"/>
  <c r="JM62" i="1" s="1"/>
  <c r="JL63" i="1"/>
  <c r="JM63" i="1" s="1"/>
  <c r="JL64" i="1"/>
  <c r="JM64" i="1" s="1"/>
  <c r="JL65" i="1"/>
  <c r="JM65" i="1" s="1"/>
  <c r="JL66" i="1"/>
  <c r="JM66" i="1" s="1"/>
  <c r="JL69" i="1"/>
  <c r="JM69" i="1" s="1"/>
  <c r="JL70" i="1"/>
  <c r="JM70" i="1" s="1"/>
  <c r="JL71" i="1"/>
  <c r="JM71" i="1" s="1"/>
  <c r="JL72" i="1"/>
  <c r="JM72" i="1" s="1"/>
  <c r="JL73" i="1"/>
  <c r="JM73" i="1" s="1"/>
  <c r="JL74" i="1"/>
  <c r="JM74" i="1" s="1"/>
  <c r="JL75" i="1"/>
  <c r="JM75" i="1" s="1"/>
  <c r="JL76" i="1"/>
  <c r="JM76" i="1" s="1"/>
  <c r="JL77" i="1"/>
  <c r="JM77" i="1" s="1"/>
  <c r="JL78" i="1"/>
  <c r="JM78" i="1" s="1"/>
  <c r="JL79" i="1"/>
  <c r="JM79" i="1" s="1"/>
  <c r="JL80" i="1"/>
  <c r="JM80" i="1" s="1"/>
  <c r="JL81" i="1"/>
  <c r="JM81" i="1" s="1"/>
  <c r="JL82" i="1"/>
  <c r="JM82" i="1" s="1"/>
  <c r="JL83" i="1"/>
  <c r="JM83" i="1" s="1"/>
  <c r="JL84" i="1"/>
  <c r="JM84" i="1" s="1"/>
  <c r="JL85" i="1"/>
  <c r="JM85" i="1" s="1"/>
  <c r="JL88" i="1"/>
  <c r="JM88" i="1" s="1"/>
  <c r="JL89" i="1"/>
  <c r="JM89" i="1" s="1"/>
  <c r="JL90" i="1"/>
  <c r="JM90" i="1" s="1"/>
  <c r="JL91" i="1"/>
  <c r="JM91" i="1" s="1"/>
  <c r="JL92" i="1"/>
  <c r="JM92" i="1" s="1"/>
  <c r="JL3" i="1"/>
  <c r="JM3" i="1" s="1"/>
  <c r="JJ4" i="1"/>
  <c r="JK4" i="1" s="1"/>
  <c r="JJ5" i="1"/>
  <c r="JK5" i="1" s="1"/>
  <c r="JJ6" i="1"/>
  <c r="JK6" i="1" s="1"/>
  <c r="JJ7" i="1"/>
  <c r="JK7" i="1" s="1"/>
  <c r="JJ8" i="1"/>
  <c r="JK8" i="1" s="1"/>
  <c r="JJ9" i="1"/>
  <c r="JK9" i="1" s="1"/>
  <c r="JJ10" i="1"/>
  <c r="JK10" i="1" s="1"/>
  <c r="JJ14" i="1"/>
  <c r="JK14" i="1" s="1"/>
  <c r="JJ15" i="1"/>
  <c r="JK15" i="1" s="1"/>
  <c r="JJ16" i="1"/>
  <c r="JK16" i="1" s="1"/>
  <c r="JJ17" i="1"/>
  <c r="JK17" i="1" s="1"/>
  <c r="JJ18" i="1"/>
  <c r="JK18" i="1" s="1"/>
  <c r="JJ19" i="1"/>
  <c r="JK19" i="1" s="1"/>
  <c r="JJ20" i="1"/>
  <c r="JK20" i="1" s="1"/>
  <c r="JJ22" i="1"/>
  <c r="JK22" i="1" s="1"/>
  <c r="JJ23" i="1"/>
  <c r="JK23" i="1" s="1"/>
  <c r="JJ24" i="1"/>
  <c r="JK24" i="1" s="1"/>
  <c r="JJ25" i="1"/>
  <c r="JK25" i="1" s="1"/>
  <c r="JJ26" i="1"/>
  <c r="JK26" i="1" s="1"/>
  <c r="JJ27" i="1"/>
  <c r="JK27" i="1" s="1"/>
  <c r="JJ28" i="1"/>
  <c r="JK28" i="1" s="1"/>
  <c r="JJ29" i="1"/>
  <c r="JK29" i="1" s="1"/>
  <c r="JJ30" i="1"/>
  <c r="JK30" i="1" s="1"/>
  <c r="JJ31" i="1"/>
  <c r="JK31" i="1" s="1"/>
  <c r="JJ32" i="1"/>
  <c r="JK32" i="1" s="1"/>
  <c r="JJ33" i="1"/>
  <c r="JK33" i="1" s="1"/>
  <c r="JJ34" i="1"/>
  <c r="JK34" i="1" s="1"/>
  <c r="JJ35" i="1"/>
  <c r="JK35" i="1" s="1"/>
  <c r="JJ36" i="1"/>
  <c r="JK36" i="1" s="1"/>
  <c r="JJ37" i="1"/>
  <c r="JK37" i="1" s="1"/>
  <c r="JJ38" i="1"/>
  <c r="JK38" i="1" s="1"/>
  <c r="JJ39" i="1"/>
  <c r="JK39" i="1" s="1"/>
  <c r="JJ40" i="1"/>
  <c r="JK40" i="1" s="1"/>
  <c r="JJ41" i="1"/>
  <c r="JK41" i="1" s="1"/>
  <c r="JJ43" i="1"/>
  <c r="JK43" i="1" s="1"/>
  <c r="JJ44" i="1"/>
  <c r="JK44" i="1" s="1"/>
  <c r="JJ45" i="1"/>
  <c r="JK45" i="1" s="1"/>
  <c r="JJ46" i="1"/>
  <c r="JK46" i="1" s="1"/>
  <c r="JJ47" i="1"/>
  <c r="JK47" i="1" s="1"/>
  <c r="JJ48" i="1"/>
  <c r="JK48" i="1" s="1"/>
  <c r="JJ49" i="1"/>
  <c r="JK49" i="1" s="1"/>
  <c r="JJ50" i="1"/>
  <c r="JK50" i="1" s="1"/>
  <c r="JJ51" i="1"/>
  <c r="JK51" i="1" s="1"/>
  <c r="JJ52" i="1"/>
  <c r="JK52" i="1" s="1"/>
  <c r="JJ53" i="1"/>
  <c r="JK53" i="1" s="1"/>
  <c r="JJ54" i="1"/>
  <c r="JK54" i="1" s="1"/>
  <c r="JJ55" i="1"/>
  <c r="JK55" i="1" s="1"/>
  <c r="JJ56" i="1"/>
  <c r="JK56" i="1" s="1"/>
  <c r="JJ57" i="1"/>
  <c r="JK57" i="1" s="1"/>
  <c r="JJ58" i="1"/>
  <c r="JK58" i="1" s="1"/>
  <c r="JJ59" i="1"/>
  <c r="JK59" i="1" s="1"/>
  <c r="JJ60" i="1"/>
  <c r="JK60" i="1" s="1"/>
  <c r="JJ62" i="1"/>
  <c r="JK62" i="1" s="1"/>
  <c r="JJ63" i="1"/>
  <c r="JK63" i="1" s="1"/>
  <c r="JJ64" i="1"/>
  <c r="JK64" i="1" s="1"/>
  <c r="JJ65" i="1"/>
  <c r="JK65" i="1" s="1"/>
  <c r="JJ66" i="1"/>
  <c r="JK66" i="1" s="1"/>
  <c r="JJ68" i="1"/>
  <c r="JK68" i="1" s="1"/>
  <c r="JJ69" i="1"/>
  <c r="JK69" i="1" s="1"/>
  <c r="JJ70" i="1"/>
  <c r="JK70" i="1" s="1"/>
  <c r="JJ71" i="1"/>
  <c r="JK71" i="1" s="1"/>
  <c r="JJ72" i="1"/>
  <c r="JK72" i="1" s="1"/>
  <c r="JJ73" i="1"/>
  <c r="JK73" i="1" s="1"/>
  <c r="JJ74" i="1"/>
  <c r="JK74" i="1" s="1"/>
  <c r="JJ75" i="1"/>
  <c r="JK75" i="1" s="1"/>
  <c r="JJ76" i="1"/>
  <c r="JK76" i="1" s="1"/>
  <c r="JJ77" i="1"/>
  <c r="JK77" i="1" s="1"/>
  <c r="JJ78" i="1"/>
  <c r="JK78" i="1" s="1"/>
  <c r="JJ79" i="1"/>
  <c r="JK79" i="1" s="1"/>
  <c r="JJ80" i="1"/>
  <c r="JK80" i="1" s="1"/>
  <c r="JJ81" i="1"/>
  <c r="JK81" i="1" s="1"/>
  <c r="JJ82" i="1"/>
  <c r="JK82" i="1" s="1"/>
  <c r="JJ83" i="1"/>
  <c r="JK83" i="1" s="1"/>
  <c r="JJ84" i="1"/>
  <c r="JK84" i="1" s="1"/>
  <c r="JJ85" i="1"/>
  <c r="JK85" i="1" s="1"/>
  <c r="JJ86" i="1"/>
  <c r="JK86" i="1" s="1"/>
  <c r="JJ87" i="1"/>
  <c r="JK87" i="1" s="1"/>
  <c r="JJ88" i="1"/>
  <c r="JK88" i="1" s="1"/>
  <c r="JJ89" i="1"/>
  <c r="JK89" i="1" s="1"/>
  <c r="JJ90" i="1"/>
  <c r="JK90" i="1" s="1"/>
  <c r="JJ91" i="1"/>
  <c r="JK91" i="1" s="1"/>
  <c r="JJ92" i="1"/>
  <c r="JK92" i="1" s="1"/>
  <c r="JJ3" i="1"/>
  <c r="JK3" i="1" s="1"/>
  <c r="JH4" i="1"/>
  <c r="JI4" i="1" s="1"/>
  <c r="JH5" i="1"/>
  <c r="JI5" i="1" s="1"/>
  <c r="JH6" i="1"/>
  <c r="JI6" i="1" s="1"/>
  <c r="JH8" i="1"/>
  <c r="JI8" i="1" s="1"/>
  <c r="JH9" i="1"/>
  <c r="JI9" i="1" s="1"/>
  <c r="JH10" i="1"/>
  <c r="JI10" i="1" s="1"/>
  <c r="JH12" i="1"/>
  <c r="JI12" i="1" s="1"/>
  <c r="JH13" i="1"/>
  <c r="JI13" i="1" s="1"/>
  <c r="JH14" i="1"/>
  <c r="JI14" i="1" s="1"/>
  <c r="JH16" i="1"/>
  <c r="JI16" i="1" s="1"/>
  <c r="JH17" i="1"/>
  <c r="JI17" i="1" s="1"/>
  <c r="JH18" i="1"/>
  <c r="JI18" i="1" s="1"/>
  <c r="JH19" i="1"/>
  <c r="JI19" i="1" s="1"/>
  <c r="JH20" i="1"/>
  <c r="JI20" i="1" s="1"/>
  <c r="JH22" i="1"/>
  <c r="JI22" i="1" s="1"/>
  <c r="JH23" i="1"/>
  <c r="JI23" i="1" s="1"/>
  <c r="JH24" i="1"/>
  <c r="JI24" i="1" s="1"/>
  <c r="JH26" i="1"/>
  <c r="JI26" i="1" s="1"/>
  <c r="JH27" i="1"/>
  <c r="JI27" i="1" s="1"/>
  <c r="JH28" i="1"/>
  <c r="JI28" i="1" s="1"/>
  <c r="JH29" i="1"/>
  <c r="JI29" i="1" s="1"/>
  <c r="JH30" i="1"/>
  <c r="JI30" i="1" s="1"/>
  <c r="JH31" i="1"/>
  <c r="JI31" i="1" s="1"/>
  <c r="JH32" i="1"/>
  <c r="JI32" i="1" s="1"/>
  <c r="JH33" i="1"/>
  <c r="JI33" i="1" s="1"/>
  <c r="JH34" i="1"/>
  <c r="JI34" i="1" s="1"/>
  <c r="JH35" i="1"/>
  <c r="JI35" i="1" s="1"/>
  <c r="JH36" i="1"/>
  <c r="JI36" i="1" s="1"/>
  <c r="JH37" i="1"/>
  <c r="JI37" i="1" s="1"/>
  <c r="JH38" i="1"/>
  <c r="JI38" i="1" s="1"/>
  <c r="JH39" i="1"/>
  <c r="JI39" i="1" s="1"/>
  <c r="JH40" i="1"/>
  <c r="JI40" i="1" s="1"/>
  <c r="JH41" i="1"/>
  <c r="JI41" i="1" s="1"/>
  <c r="JH43" i="1"/>
  <c r="JI43" i="1" s="1"/>
  <c r="JH44" i="1"/>
  <c r="JI44" i="1" s="1"/>
  <c r="JH45" i="1"/>
  <c r="JI45" i="1" s="1"/>
  <c r="JH46" i="1"/>
  <c r="JI46" i="1" s="1"/>
  <c r="JH47" i="1"/>
  <c r="JI47" i="1" s="1"/>
  <c r="JH48" i="1"/>
  <c r="JI48" i="1" s="1"/>
  <c r="JH49" i="1"/>
  <c r="JI49" i="1" s="1"/>
  <c r="JH50" i="1"/>
  <c r="JI50" i="1" s="1"/>
  <c r="JH51" i="1"/>
  <c r="JI51" i="1" s="1"/>
  <c r="JH52" i="1"/>
  <c r="JI52" i="1" s="1"/>
  <c r="JH53" i="1"/>
  <c r="JI53" i="1" s="1"/>
  <c r="JH54" i="1"/>
  <c r="JI54" i="1" s="1"/>
  <c r="JH55" i="1"/>
  <c r="JI55" i="1" s="1"/>
  <c r="JH56" i="1"/>
  <c r="JI56" i="1" s="1"/>
  <c r="JH57" i="1"/>
  <c r="JI57" i="1" s="1"/>
  <c r="JH58" i="1"/>
  <c r="JI58" i="1" s="1"/>
  <c r="JH59" i="1"/>
  <c r="JI59" i="1" s="1"/>
  <c r="JH60" i="1"/>
  <c r="JI60" i="1" s="1"/>
  <c r="JH62" i="1"/>
  <c r="JI62" i="1" s="1"/>
  <c r="JH63" i="1"/>
  <c r="JI63" i="1" s="1"/>
  <c r="JH64" i="1"/>
  <c r="JI64" i="1" s="1"/>
  <c r="JH65" i="1"/>
  <c r="JI65" i="1" s="1"/>
  <c r="JH66" i="1"/>
  <c r="JI66" i="1" s="1"/>
  <c r="JH69" i="1"/>
  <c r="JI69" i="1" s="1"/>
  <c r="JH70" i="1"/>
  <c r="JI70" i="1" s="1"/>
  <c r="JH71" i="1"/>
  <c r="JI71" i="1" s="1"/>
  <c r="JH72" i="1"/>
  <c r="JI72" i="1" s="1"/>
  <c r="JH73" i="1"/>
  <c r="JI73" i="1" s="1"/>
  <c r="JH74" i="1"/>
  <c r="JI74" i="1" s="1"/>
  <c r="JH75" i="1"/>
  <c r="JI75" i="1" s="1"/>
  <c r="JH76" i="1"/>
  <c r="JI76" i="1" s="1"/>
  <c r="JH77" i="1"/>
  <c r="JI77" i="1" s="1"/>
  <c r="JH78" i="1"/>
  <c r="JI78" i="1" s="1"/>
  <c r="JH79" i="1"/>
  <c r="JI79" i="1" s="1"/>
  <c r="JH80" i="1"/>
  <c r="JI80" i="1" s="1"/>
  <c r="JH81" i="1"/>
  <c r="JI81" i="1" s="1"/>
  <c r="JH82" i="1"/>
  <c r="JI82" i="1" s="1"/>
  <c r="JH83" i="1"/>
  <c r="JI83" i="1" s="1"/>
  <c r="JH84" i="1"/>
  <c r="JI84" i="1" s="1"/>
  <c r="JH88" i="1"/>
  <c r="JI88" i="1" s="1"/>
  <c r="JH89" i="1"/>
  <c r="JI89" i="1" s="1"/>
  <c r="JH90" i="1"/>
  <c r="JI90" i="1" s="1"/>
  <c r="JH91" i="1"/>
  <c r="JI91" i="1" s="1"/>
  <c r="JH92" i="1"/>
  <c r="JI92" i="1" s="1"/>
  <c r="JH3" i="1"/>
  <c r="JI3" i="1" s="1"/>
  <c r="JF4" i="1"/>
  <c r="JG4" i="1" s="1"/>
  <c r="JF5" i="1"/>
  <c r="JG5" i="1" s="1"/>
  <c r="JF6" i="1"/>
  <c r="JG6" i="1" s="1"/>
  <c r="JF8" i="1"/>
  <c r="JG8" i="1" s="1"/>
  <c r="JF9" i="1"/>
  <c r="JG9" i="1" s="1"/>
  <c r="JF10" i="1"/>
  <c r="JG10" i="1" s="1"/>
  <c r="JF14" i="1"/>
  <c r="JG14" i="1" s="1"/>
  <c r="JF16" i="1"/>
  <c r="JG16" i="1" s="1"/>
  <c r="JF17" i="1"/>
  <c r="JG17" i="1" s="1"/>
  <c r="JF18" i="1"/>
  <c r="JG18" i="1" s="1"/>
  <c r="JF19" i="1"/>
  <c r="JG19" i="1" s="1"/>
  <c r="JF20" i="1"/>
  <c r="JG20" i="1" s="1"/>
  <c r="JF21" i="1"/>
  <c r="JG21" i="1" s="1"/>
  <c r="JF22" i="1"/>
  <c r="JG22" i="1" s="1"/>
  <c r="JF23" i="1"/>
  <c r="JG23" i="1" s="1"/>
  <c r="JF24" i="1"/>
  <c r="JG24" i="1" s="1"/>
  <c r="JF26" i="1"/>
  <c r="JG26" i="1" s="1"/>
  <c r="JF27" i="1"/>
  <c r="JG27" i="1" s="1"/>
  <c r="JF28" i="1"/>
  <c r="JG28" i="1" s="1"/>
  <c r="JF29" i="1"/>
  <c r="JG29" i="1" s="1"/>
  <c r="JF30" i="1"/>
  <c r="JG30" i="1" s="1"/>
  <c r="JF31" i="1"/>
  <c r="JG31" i="1" s="1"/>
  <c r="JF32" i="1"/>
  <c r="JG32" i="1" s="1"/>
  <c r="JF33" i="1"/>
  <c r="JG33" i="1" s="1"/>
  <c r="JF34" i="1"/>
  <c r="JG34" i="1" s="1"/>
  <c r="JF35" i="1"/>
  <c r="JG35" i="1" s="1"/>
  <c r="JF36" i="1"/>
  <c r="JG36" i="1" s="1"/>
  <c r="JF37" i="1"/>
  <c r="JG37" i="1" s="1"/>
  <c r="JF38" i="1"/>
  <c r="JG38" i="1" s="1"/>
  <c r="JF39" i="1"/>
  <c r="JG39" i="1" s="1"/>
  <c r="JF40" i="1"/>
  <c r="JG40" i="1" s="1"/>
  <c r="JF41" i="1"/>
  <c r="JG41" i="1" s="1"/>
  <c r="JF43" i="1"/>
  <c r="JG43" i="1" s="1"/>
  <c r="JF44" i="1"/>
  <c r="JG44" i="1" s="1"/>
  <c r="JF45" i="1"/>
  <c r="JG45" i="1" s="1"/>
  <c r="JF46" i="1"/>
  <c r="JG46" i="1" s="1"/>
  <c r="JF47" i="1"/>
  <c r="JG47" i="1" s="1"/>
  <c r="JF48" i="1"/>
  <c r="JG48" i="1" s="1"/>
  <c r="JF49" i="1"/>
  <c r="JG49" i="1" s="1"/>
  <c r="JF50" i="1"/>
  <c r="JG50" i="1" s="1"/>
  <c r="JF51" i="1"/>
  <c r="JG51" i="1" s="1"/>
  <c r="JF52" i="1"/>
  <c r="JG52" i="1" s="1"/>
  <c r="JF53" i="1"/>
  <c r="JG53" i="1" s="1"/>
  <c r="JF54" i="1"/>
  <c r="JG54" i="1" s="1"/>
  <c r="JF56" i="1"/>
  <c r="JG56" i="1" s="1"/>
  <c r="JF57" i="1"/>
  <c r="JG57" i="1" s="1"/>
  <c r="JF58" i="1"/>
  <c r="JG58" i="1" s="1"/>
  <c r="JF59" i="1"/>
  <c r="JG59" i="1" s="1"/>
  <c r="JF60" i="1"/>
  <c r="JG60" i="1" s="1"/>
  <c r="JF62" i="1"/>
  <c r="JG62" i="1" s="1"/>
  <c r="JF63" i="1"/>
  <c r="JG63" i="1" s="1"/>
  <c r="JF64" i="1"/>
  <c r="JG64" i="1" s="1"/>
  <c r="JF65" i="1"/>
  <c r="JG65" i="1" s="1"/>
  <c r="JF66" i="1"/>
  <c r="JG66" i="1" s="1"/>
  <c r="JF69" i="1"/>
  <c r="JG69" i="1" s="1"/>
  <c r="JF70" i="1"/>
  <c r="JG70" i="1" s="1"/>
  <c r="JF71" i="1"/>
  <c r="JG71" i="1" s="1"/>
  <c r="JF72" i="1"/>
  <c r="JG72" i="1" s="1"/>
  <c r="JF73" i="1"/>
  <c r="JG73" i="1" s="1"/>
  <c r="JF74" i="1"/>
  <c r="JG74" i="1" s="1"/>
  <c r="JF75" i="1"/>
  <c r="JG75" i="1" s="1"/>
  <c r="JF76" i="1"/>
  <c r="JG76" i="1" s="1"/>
  <c r="JF77" i="1"/>
  <c r="JG77" i="1" s="1"/>
  <c r="JF78" i="1"/>
  <c r="JG78" i="1" s="1"/>
  <c r="JF79" i="1"/>
  <c r="JG79" i="1" s="1"/>
  <c r="JF80" i="1"/>
  <c r="JG80" i="1" s="1"/>
  <c r="JF81" i="1"/>
  <c r="JG81" i="1" s="1"/>
  <c r="JF82" i="1"/>
  <c r="JG82" i="1" s="1"/>
  <c r="JF83" i="1"/>
  <c r="JG83" i="1" s="1"/>
  <c r="JF84" i="1"/>
  <c r="JG84" i="1" s="1"/>
  <c r="JF88" i="1"/>
  <c r="JG88" i="1" s="1"/>
  <c r="JF89" i="1"/>
  <c r="JG89" i="1" s="1"/>
  <c r="JF90" i="1"/>
  <c r="JG90" i="1" s="1"/>
  <c r="JF91" i="1"/>
  <c r="JG91" i="1" s="1"/>
  <c r="JF92" i="1"/>
  <c r="JG92" i="1" s="1"/>
  <c r="JF3" i="1"/>
  <c r="JG3" i="1" s="1"/>
  <c r="JD4" i="1"/>
  <c r="JE4" i="1" s="1"/>
  <c r="JD5" i="1"/>
  <c r="JE5" i="1" s="1"/>
  <c r="JD6" i="1"/>
  <c r="JE6" i="1" s="1"/>
  <c r="JD8" i="1"/>
  <c r="JE8" i="1" s="1"/>
  <c r="JD9" i="1"/>
  <c r="JE9" i="1" s="1"/>
  <c r="JD10" i="1"/>
  <c r="JE10" i="1" s="1"/>
  <c r="JD14" i="1"/>
  <c r="JE14" i="1" s="1"/>
  <c r="JD16" i="1"/>
  <c r="JE16" i="1" s="1"/>
  <c r="JD17" i="1"/>
  <c r="JE17" i="1" s="1"/>
  <c r="JD18" i="1"/>
  <c r="JE18" i="1" s="1"/>
  <c r="JD19" i="1"/>
  <c r="JE19" i="1" s="1"/>
  <c r="JD20" i="1"/>
  <c r="JE20" i="1" s="1"/>
  <c r="JD22" i="1"/>
  <c r="JE22" i="1" s="1"/>
  <c r="JD23" i="1"/>
  <c r="JE23" i="1" s="1"/>
  <c r="JD24" i="1"/>
  <c r="JE24" i="1" s="1"/>
  <c r="JD26" i="1"/>
  <c r="JE26" i="1" s="1"/>
  <c r="JD27" i="1"/>
  <c r="JE27" i="1" s="1"/>
  <c r="JD28" i="1"/>
  <c r="JE28" i="1" s="1"/>
  <c r="JD29" i="1"/>
  <c r="JE29" i="1" s="1"/>
  <c r="JD30" i="1"/>
  <c r="JE30" i="1" s="1"/>
  <c r="JD31" i="1"/>
  <c r="JE31" i="1" s="1"/>
  <c r="JD32" i="1"/>
  <c r="JE32" i="1" s="1"/>
  <c r="JD33" i="1"/>
  <c r="JE33" i="1" s="1"/>
  <c r="JD34" i="1"/>
  <c r="JE34" i="1" s="1"/>
  <c r="JD35" i="1"/>
  <c r="JE35" i="1" s="1"/>
  <c r="JD36" i="1"/>
  <c r="JE36" i="1" s="1"/>
  <c r="JD37" i="1"/>
  <c r="JE37" i="1" s="1"/>
  <c r="JD38" i="1"/>
  <c r="JE38" i="1" s="1"/>
  <c r="JD39" i="1"/>
  <c r="JE39" i="1" s="1"/>
  <c r="JD40" i="1"/>
  <c r="JE40" i="1" s="1"/>
  <c r="JD41" i="1"/>
  <c r="JE41" i="1" s="1"/>
  <c r="JD42" i="1"/>
  <c r="JE42" i="1" s="1"/>
  <c r="JD43" i="1"/>
  <c r="JE43" i="1" s="1"/>
  <c r="JD44" i="1"/>
  <c r="JE44" i="1" s="1"/>
  <c r="JD45" i="1"/>
  <c r="JE45" i="1" s="1"/>
  <c r="JD46" i="1"/>
  <c r="JE46" i="1" s="1"/>
  <c r="JD47" i="1"/>
  <c r="JE47" i="1" s="1"/>
  <c r="JD48" i="1"/>
  <c r="JE48" i="1" s="1"/>
  <c r="JD49" i="1"/>
  <c r="JE49" i="1" s="1"/>
  <c r="JD50" i="1"/>
  <c r="JE50" i="1" s="1"/>
  <c r="JD51" i="1"/>
  <c r="JE51" i="1" s="1"/>
  <c r="JD52" i="1"/>
  <c r="JE52" i="1" s="1"/>
  <c r="JD53" i="1"/>
  <c r="JE53" i="1" s="1"/>
  <c r="JD54" i="1"/>
  <c r="JE54" i="1" s="1"/>
  <c r="JD55" i="1"/>
  <c r="JE55" i="1" s="1"/>
  <c r="JD56" i="1"/>
  <c r="JE56" i="1" s="1"/>
  <c r="JD57" i="1"/>
  <c r="JE57" i="1" s="1"/>
  <c r="JD58" i="1"/>
  <c r="JE58" i="1" s="1"/>
  <c r="JD59" i="1"/>
  <c r="JE59" i="1" s="1"/>
  <c r="JD60" i="1"/>
  <c r="JE60" i="1" s="1"/>
  <c r="JD62" i="1"/>
  <c r="JE62" i="1" s="1"/>
  <c r="JD63" i="1"/>
  <c r="JE63" i="1" s="1"/>
  <c r="JD64" i="1"/>
  <c r="JE64" i="1" s="1"/>
  <c r="JD65" i="1"/>
  <c r="JE65" i="1" s="1"/>
  <c r="JD66" i="1"/>
  <c r="JE66" i="1" s="1"/>
  <c r="JD69" i="1"/>
  <c r="JE69" i="1" s="1"/>
  <c r="JD70" i="1"/>
  <c r="JE70" i="1" s="1"/>
  <c r="JD71" i="1"/>
  <c r="JE71" i="1" s="1"/>
  <c r="JD72" i="1"/>
  <c r="JE72" i="1" s="1"/>
  <c r="JD73" i="1"/>
  <c r="JE73" i="1" s="1"/>
  <c r="JD74" i="1"/>
  <c r="JE74" i="1" s="1"/>
  <c r="JD75" i="1"/>
  <c r="JE75" i="1" s="1"/>
  <c r="JD76" i="1"/>
  <c r="JE76" i="1" s="1"/>
  <c r="JD77" i="1"/>
  <c r="JE77" i="1" s="1"/>
  <c r="JD78" i="1"/>
  <c r="JE78" i="1" s="1"/>
  <c r="JD79" i="1"/>
  <c r="JE79" i="1" s="1"/>
  <c r="JD80" i="1"/>
  <c r="JE80" i="1" s="1"/>
  <c r="JD81" i="1"/>
  <c r="JE81" i="1" s="1"/>
  <c r="JD82" i="1"/>
  <c r="JE82" i="1" s="1"/>
  <c r="JD83" i="1"/>
  <c r="JE83" i="1" s="1"/>
  <c r="JD84" i="1"/>
  <c r="JE84" i="1" s="1"/>
  <c r="JD88" i="1"/>
  <c r="JE88" i="1" s="1"/>
  <c r="JD89" i="1"/>
  <c r="JE89" i="1" s="1"/>
  <c r="JD90" i="1"/>
  <c r="JE90" i="1" s="1"/>
  <c r="JD91" i="1"/>
  <c r="JE91" i="1" s="1"/>
  <c r="JD92" i="1"/>
  <c r="JE92" i="1" s="1"/>
  <c r="JD3" i="1"/>
  <c r="JE3" i="1" s="1"/>
  <c r="JB4" i="1"/>
  <c r="JC4" i="1" s="1"/>
  <c r="JB5" i="1"/>
  <c r="JC5" i="1" s="1"/>
  <c r="JB6" i="1"/>
  <c r="JC6" i="1" s="1"/>
  <c r="JB8" i="1"/>
  <c r="JC8" i="1" s="1"/>
  <c r="JB9" i="1"/>
  <c r="JC9" i="1" s="1"/>
  <c r="JB10" i="1"/>
  <c r="JC10" i="1" s="1"/>
  <c r="JB14" i="1"/>
  <c r="JC14" i="1" s="1"/>
  <c r="JB15" i="1"/>
  <c r="JC15" i="1" s="1"/>
  <c r="JB16" i="1"/>
  <c r="JC16" i="1" s="1"/>
  <c r="JB17" i="1"/>
  <c r="JC17" i="1" s="1"/>
  <c r="JB18" i="1"/>
  <c r="JC18" i="1" s="1"/>
  <c r="JB19" i="1"/>
  <c r="JC19" i="1" s="1"/>
  <c r="JB20" i="1"/>
  <c r="JC20" i="1" s="1"/>
  <c r="JB22" i="1"/>
  <c r="JC22" i="1" s="1"/>
  <c r="JB23" i="1"/>
  <c r="JC23" i="1" s="1"/>
  <c r="JB24" i="1"/>
  <c r="JC24" i="1" s="1"/>
  <c r="JB26" i="1"/>
  <c r="JC26" i="1" s="1"/>
  <c r="JB27" i="1"/>
  <c r="JC27" i="1" s="1"/>
  <c r="JB28" i="1"/>
  <c r="JC28" i="1" s="1"/>
  <c r="JB29" i="1"/>
  <c r="JC29" i="1" s="1"/>
  <c r="JB30" i="1"/>
  <c r="JC30" i="1" s="1"/>
  <c r="JB31" i="1"/>
  <c r="JC31" i="1" s="1"/>
  <c r="JB32" i="1"/>
  <c r="JC32" i="1" s="1"/>
  <c r="JB33" i="1"/>
  <c r="JC33" i="1" s="1"/>
  <c r="JB34" i="1"/>
  <c r="JC34" i="1" s="1"/>
  <c r="JB35" i="1"/>
  <c r="JC35" i="1" s="1"/>
  <c r="JB36" i="1"/>
  <c r="JC36" i="1" s="1"/>
  <c r="JB37" i="1"/>
  <c r="JC37" i="1" s="1"/>
  <c r="JB38" i="1"/>
  <c r="JC38" i="1" s="1"/>
  <c r="JB39" i="1"/>
  <c r="JC39" i="1" s="1"/>
  <c r="JB40" i="1"/>
  <c r="JC40" i="1" s="1"/>
  <c r="JB41" i="1"/>
  <c r="JC41" i="1" s="1"/>
  <c r="JB42" i="1"/>
  <c r="JC42" i="1" s="1"/>
  <c r="JB43" i="1"/>
  <c r="JC43" i="1" s="1"/>
  <c r="JB44" i="1"/>
  <c r="JC44" i="1" s="1"/>
  <c r="JB45" i="1"/>
  <c r="JC45" i="1" s="1"/>
  <c r="JB46" i="1"/>
  <c r="JC46" i="1" s="1"/>
  <c r="JB47" i="1"/>
  <c r="JC47" i="1" s="1"/>
  <c r="JB48" i="1"/>
  <c r="JC48" i="1" s="1"/>
  <c r="JB49" i="1"/>
  <c r="JC49" i="1" s="1"/>
  <c r="JB50" i="1"/>
  <c r="JC50" i="1" s="1"/>
  <c r="JB52" i="1"/>
  <c r="JC52" i="1" s="1"/>
  <c r="JB53" i="1"/>
  <c r="JC53" i="1" s="1"/>
  <c r="JB54" i="1"/>
  <c r="JC54" i="1" s="1"/>
  <c r="JB55" i="1"/>
  <c r="JC55" i="1" s="1"/>
  <c r="JB56" i="1"/>
  <c r="JC56" i="1" s="1"/>
  <c r="JB57" i="1"/>
  <c r="JC57" i="1" s="1"/>
  <c r="JB58" i="1"/>
  <c r="JC58" i="1" s="1"/>
  <c r="JB59" i="1"/>
  <c r="JC59" i="1" s="1"/>
  <c r="JB60" i="1"/>
  <c r="JC60" i="1" s="1"/>
  <c r="JB62" i="1"/>
  <c r="JC62" i="1" s="1"/>
  <c r="JB63" i="1"/>
  <c r="JC63" i="1" s="1"/>
  <c r="JB64" i="1"/>
  <c r="JC64" i="1" s="1"/>
  <c r="JB65" i="1"/>
  <c r="JC65" i="1" s="1"/>
  <c r="JB66" i="1"/>
  <c r="JC66" i="1" s="1"/>
  <c r="JB70" i="1"/>
  <c r="JC70" i="1" s="1"/>
  <c r="JB71" i="1"/>
  <c r="JC71" i="1" s="1"/>
  <c r="JB72" i="1"/>
  <c r="JC72" i="1" s="1"/>
  <c r="JB73" i="1"/>
  <c r="JC73" i="1" s="1"/>
  <c r="JB74" i="1"/>
  <c r="JC74" i="1" s="1"/>
  <c r="JB75" i="1"/>
  <c r="JC75" i="1" s="1"/>
  <c r="JB76" i="1"/>
  <c r="JC76" i="1" s="1"/>
  <c r="JB77" i="1"/>
  <c r="JC77" i="1" s="1"/>
  <c r="JB78" i="1"/>
  <c r="JC78" i="1" s="1"/>
  <c r="JB79" i="1"/>
  <c r="JC79" i="1" s="1"/>
  <c r="JB80" i="1"/>
  <c r="JC80" i="1" s="1"/>
  <c r="JB81" i="1"/>
  <c r="JC81" i="1" s="1"/>
  <c r="JB82" i="1"/>
  <c r="JC82" i="1" s="1"/>
  <c r="JB83" i="1"/>
  <c r="JC83" i="1" s="1"/>
  <c r="JB84" i="1"/>
  <c r="JC84" i="1" s="1"/>
  <c r="JB88" i="1"/>
  <c r="JC88" i="1" s="1"/>
  <c r="JB89" i="1"/>
  <c r="JC89" i="1" s="1"/>
  <c r="JB90" i="1"/>
  <c r="JC90" i="1" s="1"/>
  <c r="JB91" i="1"/>
  <c r="JC91" i="1" s="1"/>
  <c r="JB92" i="1"/>
  <c r="JC92" i="1" s="1"/>
  <c r="JB93" i="1"/>
  <c r="JC93" i="1" s="1"/>
  <c r="JB3" i="1"/>
  <c r="JC3" i="1" s="1"/>
  <c r="IZ4" i="1"/>
  <c r="JA4" i="1" s="1"/>
  <c r="IZ5" i="1"/>
  <c r="JA5" i="1" s="1"/>
  <c r="IZ6" i="1"/>
  <c r="JA6" i="1" s="1"/>
  <c r="IZ8" i="1"/>
  <c r="JA8" i="1" s="1"/>
  <c r="IZ9" i="1"/>
  <c r="JA9" i="1" s="1"/>
  <c r="IZ10" i="1"/>
  <c r="JA10" i="1" s="1"/>
  <c r="IZ13" i="1"/>
  <c r="JA13" i="1" s="1"/>
  <c r="IZ14" i="1"/>
  <c r="JA14" i="1" s="1"/>
  <c r="IZ16" i="1"/>
  <c r="JA16" i="1" s="1"/>
  <c r="IZ17" i="1"/>
  <c r="JA17" i="1" s="1"/>
  <c r="IZ18" i="1"/>
  <c r="JA18" i="1" s="1"/>
  <c r="IZ19" i="1"/>
  <c r="JA19" i="1" s="1"/>
  <c r="IZ20" i="1"/>
  <c r="JA20" i="1" s="1"/>
  <c r="IZ21" i="1"/>
  <c r="JA21" i="1" s="1"/>
  <c r="IZ22" i="1"/>
  <c r="JA22" i="1" s="1"/>
  <c r="IZ23" i="1"/>
  <c r="JA23" i="1" s="1"/>
  <c r="IZ24" i="1"/>
  <c r="JA24" i="1" s="1"/>
  <c r="IZ26" i="1"/>
  <c r="JA26" i="1" s="1"/>
  <c r="IZ27" i="1"/>
  <c r="JA27" i="1" s="1"/>
  <c r="IZ28" i="1"/>
  <c r="JA28" i="1" s="1"/>
  <c r="IZ29" i="1"/>
  <c r="JA29" i="1" s="1"/>
  <c r="IZ30" i="1"/>
  <c r="JA30" i="1" s="1"/>
  <c r="IZ31" i="1"/>
  <c r="JA31" i="1" s="1"/>
  <c r="IZ32" i="1"/>
  <c r="JA32" i="1" s="1"/>
  <c r="IZ33" i="1"/>
  <c r="JA33" i="1" s="1"/>
  <c r="IZ34" i="1"/>
  <c r="JA34" i="1" s="1"/>
  <c r="IZ35" i="1"/>
  <c r="JA35" i="1" s="1"/>
  <c r="IZ36" i="1"/>
  <c r="JA36" i="1" s="1"/>
  <c r="IZ37" i="1"/>
  <c r="JA37" i="1" s="1"/>
  <c r="IZ38" i="1"/>
  <c r="JA38" i="1" s="1"/>
  <c r="IZ39" i="1"/>
  <c r="JA39" i="1" s="1"/>
  <c r="IZ40" i="1"/>
  <c r="JA40" i="1" s="1"/>
  <c r="IZ41" i="1"/>
  <c r="JA41" i="1" s="1"/>
  <c r="IZ42" i="1"/>
  <c r="JA42" i="1" s="1"/>
  <c r="IZ43" i="1"/>
  <c r="JA43" i="1" s="1"/>
  <c r="IZ44" i="1"/>
  <c r="JA44" i="1" s="1"/>
  <c r="IZ45" i="1"/>
  <c r="JA45" i="1" s="1"/>
  <c r="IZ46" i="1"/>
  <c r="JA46" i="1" s="1"/>
  <c r="IZ47" i="1"/>
  <c r="JA47" i="1" s="1"/>
  <c r="IZ48" i="1"/>
  <c r="JA48" i="1" s="1"/>
  <c r="IZ49" i="1"/>
  <c r="JA49" i="1" s="1"/>
  <c r="IZ50" i="1"/>
  <c r="JA50" i="1" s="1"/>
  <c r="IZ51" i="1"/>
  <c r="JA51" i="1" s="1"/>
  <c r="IZ52" i="1"/>
  <c r="JA52" i="1" s="1"/>
  <c r="IZ53" i="1"/>
  <c r="JA53" i="1" s="1"/>
  <c r="IZ54" i="1"/>
  <c r="JA54" i="1" s="1"/>
  <c r="IZ55" i="1"/>
  <c r="JA55" i="1" s="1"/>
  <c r="IZ56" i="1"/>
  <c r="JA56" i="1" s="1"/>
  <c r="IZ57" i="1"/>
  <c r="JA57" i="1" s="1"/>
  <c r="IZ58" i="1"/>
  <c r="JA58" i="1" s="1"/>
  <c r="IZ59" i="1"/>
  <c r="JA59" i="1" s="1"/>
  <c r="IZ60" i="1"/>
  <c r="JA60" i="1" s="1"/>
  <c r="IZ62" i="1"/>
  <c r="JA62" i="1" s="1"/>
  <c r="IZ63" i="1"/>
  <c r="JA63" i="1" s="1"/>
  <c r="IZ64" i="1"/>
  <c r="JA64" i="1" s="1"/>
  <c r="IZ65" i="1"/>
  <c r="JA65" i="1" s="1"/>
  <c r="IZ66" i="1"/>
  <c r="JA66" i="1" s="1"/>
  <c r="IZ69" i="1"/>
  <c r="JA69" i="1" s="1"/>
  <c r="IZ70" i="1"/>
  <c r="JA70" i="1" s="1"/>
  <c r="IZ71" i="1"/>
  <c r="JA71" i="1" s="1"/>
  <c r="IZ72" i="1"/>
  <c r="JA72" i="1" s="1"/>
  <c r="IZ73" i="1"/>
  <c r="JA73" i="1" s="1"/>
  <c r="IZ74" i="1"/>
  <c r="JA74" i="1" s="1"/>
  <c r="IZ75" i="1"/>
  <c r="JA75" i="1" s="1"/>
  <c r="IZ76" i="1"/>
  <c r="JA76" i="1" s="1"/>
  <c r="IZ77" i="1"/>
  <c r="JA77" i="1" s="1"/>
  <c r="IZ78" i="1"/>
  <c r="JA78" i="1" s="1"/>
  <c r="IZ79" i="1"/>
  <c r="JA79" i="1" s="1"/>
  <c r="IZ80" i="1"/>
  <c r="JA80" i="1" s="1"/>
  <c r="IZ81" i="1"/>
  <c r="JA81" i="1" s="1"/>
  <c r="IZ82" i="1"/>
  <c r="JA82" i="1" s="1"/>
  <c r="IZ83" i="1"/>
  <c r="JA83" i="1" s="1"/>
  <c r="IZ84" i="1"/>
  <c r="JA84" i="1" s="1"/>
  <c r="IZ88" i="1"/>
  <c r="JA88" i="1" s="1"/>
  <c r="IZ89" i="1"/>
  <c r="JA89" i="1" s="1"/>
  <c r="IZ90" i="1"/>
  <c r="JA90" i="1" s="1"/>
  <c r="IZ91" i="1"/>
  <c r="JA91" i="1" s="1"/>
  <c r="IZ92" i="1"/>
  <c r="JA92" i="1" s="1"/>
  <c r="IZ3" i="1"/>
  <c r="JA3" i="1" s="1"/>
  <c r="IX4" i="1"/>
  <c r="IY4" i="1" s="1"/>
  <c r="IX5" i="1"/>
  <c r="IY5" i="1" s="1"/>
  <c r="IX6" i="1"/>
  <c r="IY6" i="1" s="1"/>
  <c r="IX7" i="1"/>
  <c r="IY7" i="1" s="1"/>
  <c r="IX8" i="1"/>
  <c r="IY8" i="1" s="1"/>
  <c r="IX9" i="1"/>
  <c r="IY9" i="1" s="1"/>
  <c r="IX10" i="1"/>
  <c r="IY10" i="1" s="1"/>
  <c r="IX11" i="1"/>
  <c r="IY11" i="1" s="1"/>
  <c r="IX12" i="1"/>
  <c r="IY12" i="1" s="1"/>
  <c r="IX14" i="1"/>
  <c r="IY14" i="1" s="1"/>
  <c r="IX15" i="1"/>
  <c r="IY15" i="1" s="1"/>
  <c r="IX16" i="1"/>
  <c r="IY16" i="1" s="1"/>
  <c r="IX17" i="1"/>
  <c r="IY17" i="1" s="1"/>
  <c r="IX18" i="1"/>
  <c r="IY18" i="1" s="1"/>
  <c r="IX19" i="1"/>
  <c r="IY19" i="1" s="1"/>
  <c r="IX20" i="1"/>
  <c r="IY20" i="1" s="1"/>
  <c r="IX21" i="1"/>
  <c r="IY21" i="1" s="1"/>
  <c r="IX22" i="1"/>
  <c r="IY22" i="1" s="1"/>
  <c r="IX23" i="1"/>
  <c r="IY23" i="1" s="1"/>
  <c r="IX24" i="1"/>
  <c r="IY24" i="1" s="1"/>
  <c r="IX26" i="1"/>
  <c r="IY26" i="1" s="1"/>
  <c r="IX27" i="1"/>
  <c r="IY27" i="1" s="1"/>
  <c r="IX28" i="1"/>
  <c r="IY28" i="1" s="1"/>
  <c r="IX29" i="1"/>
  <c r="IY29" i="1" s="1"/>
  <c r="IX30" i="1"/>
  <c r="IY30" i="1" s="1"/>
  <c r="IX31" i="1"/>
  <c r="IY31" i="1" s="1"/>
  <c r="IX32" i="1"/>
  <c r="IY32" i="1" s="1"/>
  <c r="IX33" i="1"/>
  <c r="IY33" i="1" s="1"/>
  <c r="IX34" i="1"/>
  <c r="IY34" i="1" s="1"/>
  <c r="IX35" i="1"/>
  <c r="IY35" i="1" s="1"/>
  <c r="IX36" i="1"/>
  <c r="IY36" i="1" s="1"/>
  <c r="IX37" i="1"/>
  <c r="IY37" i="1" s="1"/>
  <c r="IX38" i="1"/>
  <c r="IY38" i="1" s="1"/>
  <c r="IX39" i="1"/>
  <c r="IY39" i="1" s="1"/>
  <c r="IX40" i="1"/>
  <c r="IY40" i="1" s="1"/>
  <c r="IX41" i="1"/>
  <c r="IY41" i="1" s="1"/>
  <c r="IX42" i="1"/>
  <c r="IY42" i="1" s="1"/>
  <c r="IX43" i="1"/>
  <c r="IY43" i="1" s="1"/>
  <c r="IX44" i="1"/>
  <c r="IY44" i="1" s="1"/>
  <c r="IX45" i="1"/>
  <c r="IY45" i="1" s="1"/>
  <c r="IX46" i="1"/>
  <c r="IY46" i="1" s="1"/>
  <c r="IX47" i="1"/>
  <c r="IY47" i="1" s="1"/>
  <c r="IX48" i="1"/>
  <c r="IY48" i="1" s="1"/>
  <c r="IX49" i="1"/>
  <c r="IY49" i="1" s="1"/>
  <c r="IX50" i="1"/>
  <c r="IY50" i="1" s="1"/>
  <c r="IX51" i="1"/>
  <c r="IY51" i="1" s="1"/>
  <c r="IX52" i="1"/>
  <c r="IY52" i="1" s="1"/>
  <c r="IX53" i="1"/>
  <c r="IY53" i="1" s="1"/>
  <c r="IX54" i="1"/>
  <c r="IY54" i="1" s="1"/>
  <c r="IX55" i="1"/>
  <c r="IY55" i="1" s="1"/>
  <c r="IX56" i="1"/>
  <c r="IY56" i="1" s="1"/>
  <c r="IX57" i="1"/>
  <c r="IY57" i="1" s="1"/>
  <c r="IX58" i="1"/>
  <c r="IY58" i="1" s="1"/>
  <c r="IX59" i="1"/>
  <c r="IY59" i="1" s="1"/>
  <c r="IX60" i="1"/>
  <c r="IY60" i="1" s="1"/>
  <c r="IX61" i="1"/>
  <c r="IY61" i="1" s="1"/>
  <c r="IX62" i="1"/>
  <c r="IY62" i="1" s="1"/>
  <c r="IX63" i="1"/>
  <c r="IY63" i="1" s="1"/>
  <c r="IX64" i="1"/>
  <c r="IY64" i="1" s="1"/>
  <c r="IX65" i="1"/>
  <c r="IY65" i="1" s="1"/>
  <c r="IX66" i="1"/>
  <c r="IY66" i="1" s="1"/>
  <c r="IX67" i="1"/>
  <c r="IY67" i="1" s="1"/>
  <c r="IX68" i="1"/>
  <c r="IY68" i="1" s="1"/>
  <c r="IX69" i="1"/>
  <c r="IY69" i="1" s="1"/>
  <c r="IX70" i="1"/>
  <c r="IY70" i="1" s="1"/>
  <c r="IX71" i="1"/>
  <c r="IY71" i="1" s="1"/>
  <c r="IX72" i="1"/>
  <c r="IY72" i="1" s="1"/>
  <c r="IX73" i="1"/>
  <c r="IY73" i="1" s="1"/>
  <c r="IX74" i="1"/>
  <c r="IY74" i="1" s="1"/>
  <c r="IX75" i="1"/>
  <c r="IY75" i="1" s="1"/>
  <c r="IX76" i="1"/>
  <c r="IY76" i="1" s="1"/>
  <c r="IX77" i="1"/>
  <c r="IY77" i="1" s="1"/>
  <c r="IX78" i="1"/>
  <c r="IY78" i="1" s="1"/>
  <c r="IX79" i="1"/>
  <c r="IY79" i="1" s="1"/>
  <c r="IX80" i="1"/>
  <c r="IY80" i="1" s="1"/>
  <c r="IX81" i="1"/>
  <c r="IY81" i="1" s="1"/>
  <c r="IX82" i="1"/>
  <c r="IY82" i="1" s="1"/>
  <c r="IX83" i="1"/>
  <c r="IY83" i="1" s="1"/>
  <c r="IX84" i="1"/>
  <c r="IY84" i="1" s="1"/>
  <c r="IX85" i="1"/>
  <c r="IY85" i="1" s="1"/>
  <c r="IX88" i="1"/>
  <c r="IY88" i="1" s="1"/>
  <c r="IX89" i="1"/>
  <c r="IY89" i="1" s="1"/>
  <c r="IX90" i="1"/>
  <c r="IY90" i="1" s="1"/>
  <c r="IX91" i="1"/>
  <c r="IY91" i="1" s="1"/>
  <c r="IX92" i="1"/>
  <c r="IY92" i="1" s="1"/>
  <c r="IX3" i="1"/>
  <c r="IY3" i="1" s="1"/>
  <c r="IV4" i="1"/>
  <c r="IW4" i="1" s="1"/>
  <c r="IV5" i="1"/>
  <c r="IW5" i="1" s="1"/>
  <c r="IV6" i="1"/>
  <c r="IW6" i="1" s="1"/>
  <c r="IV8" i="1"/>
  <c r="IW8" i="1" s="1"/>
  <c r="IV9" i="1"/>
  <c r="IW9" i="1" s="1"/>
  <c r="IV10" i="1"/>
  <c r="IW10" i="1" s="1"/>
  <c r="IV11" i="1"/>
  <c r="IW11" i="1" s="1"/>
  <c r="IV12" i="1"/>
  <c r="IW12" i="1" s="1"/>
  <c r="IV14" i="1"/>
  <c r="IW14" i="1" s="1"/>
  <c r="IV15" i="1"/>
  <c r="IW15" i="1" s="1"/>
  <c r="IV16" i="1"/>
  <c r="IW16" i="1" s="1"/>
  <c r="IV17" i="1"/>
  <c r="IW17" i="1" s="1"/>
  <c r="IV18" i="1"/>
  <c r="IW18" i="1" s="1"/>
  <c r="IV19" i="1"/>
  <c r="IW19" i="1" s="1"/>
  <c r="IV20" i="1"/>
  <c r="IW20" i="1" s="1"/>
  <c r="IV21" i="1"/>
  <c r="IW21" i="1" s="1"/>
  <c r="IV22" i="1"/>
  <c r="IW22" i="1" s="1"/>
  <c r="IV23" i="1"/>
  <c r="IW23" i="1" s="1"/>
  <c r="IV24" i="1"/>
  <c r="IW24" i="1" s="1"/>
  <c r="IV25" i="1"/>
  <c r="IW25" i="1" s="1"/>
  <c r="IV26" i="1"/>
  <c r="IW26" i="1" s="1"/>
  <c r="IV27" i="1"/>
  <c r="IW27" i="1" s="1"/>
  <c r="IV28" i="1"/>
  <c r="IW28" i="1" s="1"/>
  <c r="IV29" i="1"/>
  <c r="IW29" i="1" s="1"/>
  <c r="IV30" i="1"/>
  <c r="IW30" i="1" s="1"/>
  <c r="IV31" i="1"/>
  <c r="IW31" i="1" s="1"/>
  <c r="IV32" i="1"/>
  <c r="IW32" i="1" s="1"/>
  <c r="IV33" i="1"/>
  <c r="IW33" i="1" s="1"/>
  <c r="IV34" i="1"/>
  <c r="IW34" i="1" s="1"/>
  <c r="IV35" i="1"/>
  <c r="IW35" i="1" s="1"/>
  <c r="IV36" i="1"/>
  <c r="IW36" i="1" s="1"/>
  <c r="IV37" i="1"/>
  <c r="IW37" i="1" s="1"/>
  <c r="IV38" i="1"/>
  <c r="IW38" i="1" s="1"/>
  <c r="IV39" i="1"/>
  <c r="IW39" i="1" s="1"/>
  <c r="IV40" i="1"/>
  <c r="IW40" i="1" s="1"/>
  <c r="IV41" i="1"/>
  <c r="IW41" i="1" s="1"/>
  <c r="IV42" i="1"/>
  <c r="IW42" i="1" s="1"/>
  <c r="IV43" i="1"/>
  <c r="IW43" i="1" s="1"/>
  <c r="IV44" i="1"/>
  <c r="IW44" i="1" s="1"/>
  <c r="IV45" i="1"/>
  <c r="IW45" i="1" s="1"/>
  <c r="IV46" i="1"/>
  <c r="IW46" i="1" s="1"/>
  <c r="IV47" i="1"/>
  <c r="IW47" i="1" s="1"/>
  <c r="IV48" i="1"/>
  <c r="IW48" i="1" s="1"/>
  <c r="IV49" i="1"/>
  <c r="IW49" i="1" s="1"/>
  <c r="IV50" i="1"/>
  <c r="IW50" i="1" s="1"/>
  <c r="IV51" i="1"/>
  <c r="IW51" i="1" s="1"/>
  <c r="IV52" i="1"/>
  <c r="IW52" i="1" s="1"/>
  <c r="IV53" i="1"/>
  <c r="IW53" i="1" s="1"/>
  <c r="IV54" i="1"/>
  <c r="IW54" i="1" s="1"/>
  <c r="IV55" i="1"/>
  <c r="IW55" i="1" s="1"/>
  <c r="IV56" i="1"/>
  <c r="IW56" i="1" s="1"/>
  <c r="IV57" i="1"/>
  <c r="IW57" i="1" s="1"/>
  <c r="IV58" i="1"/>
  <c r="IW58" i="1" s="1"/>
  <c r="IV59" i="1"/>
  <c r="IW59" i="1" s="1"/>
  <c r="IV60" i="1"/>
  <c r="IW60" i="1" s="1"/>
  <c r="IV61" i="1"/>
  <c r="IW61" i="1" s="1"/>
  <c r="IV62" i="1"/>
  <c r="IW62" i="1" s="1"/>
  <c r="IV63" i="1"/>
  <c r="IW63" i="1" s="1"/>
  <c r="IV64" i="1"/>
  <c r="IW64" i="1" s="1"/>
  <c r="IV65" i="1"/>
  <c r="IW65" i="1" s="1"/>
  <c r="IV66" i="1"/>
  <c r="IW66" i="1" s="1"/>
  <c r="IV67" i="1"/>
  <c r="IW67" i="1" s="1"/>
  <c r="IV68" i="1"/>
  <c r="IW68" i="1" s="1"/>
  <c r="IV70" i="1"/>
  <c r="IW70" i="1" s="1"/>
  <c r="IV71" i="1"/>
  <c r="IW71" i="1" s="1"/>
  <c r="IV72" i="1"/>
  <c r="IW72" i="1" s="1"/>
  <c r="IV73" i="1"/>
  <c r="IW73" i="1" s="1"/>
  <c r="IV74" i="1"/>
  <c r="IW74" i="1" s="1"/>
  <c r="IV75" i="1"/>
  <c r="IW75" i="1" s="1"/>
  <c r="IV76" i="1"/>
  <c r="IW76" i="1" s="1"/>
  <c r="IV77" i="1"/>
  <c r="IW77" i="1" s="1"/>
  <c r="IV78" i="1"/>
  <c r="IW78" i="1" s="1"/>
  <c r="IV79" i="1"/>
  <c r="IW79" i="1" s="1"/>
  <c r="IV80" i="1"/>
  <c r="IW80" i="1" s="1"/>
  <c r="IV81" i="1"/>
  <c r="IW81" i="1" s="1"/>
  <c r="IV82" i="1"/>
  <c r="IW82" i="1" s="1"/>
  <c r="IV83" i="1"/>
  <c r="IW83" i="1" s="1"/>
  <c r="IV84" i="1"/>
  <c r="IW84" i="1" s="1"/>
  <c r="IV86" i="1"/>
  <c r="IW86" i="1" s="1"/>
  <c r="IV87" i="1"/>
  <c r="IW87" i="1" s="1"/>
  <c r="IV88" i="1"/>
  <c r="IW88" i="1" s="1"/>
  <c r="IV89" i="1"/>
  <c r="IW89" i="1" s="1"/>
  <c r="IV90" i="1"/>
  <c r="IW90" i="1" s="1"/>
  <c r="IV91" i="1"/>
  <c r="IW91" i="1" s="1"/>
  <c r="IV92" i="1"/>
  <c r="IW92" i="1" s="1"/>
  <c r="IV93" i="1"/>
  <c r="IW93" i="1" s="1"/>
  <c r="IV3" i="1"/>
  <c r="IW3" i="1" s="1"/>
  <c r="IT4" i="1"/>
  <c r="IU4" i="1" s="1"/>
  <c r="IT5" i="1"/>
  <c r="IU5" i="1" s="1"/>
  <c r="IT6" i="1"/>
  <c r="IU6" i="1" s="1"/>
  <c r="IT8" i="1"/>
  <c r="IU8" i="1" s="1"/>
  <c r="IT9" i="1"/>
  <c r="IU9" i="1" s="1"/>
  <c r="IT10" i="1"/>
  <c r="IU10" i="1" s="1"/>
  <c r="IT13" i="1"/>
  <c r="IU13" i="1" s="1"/>
  <c r="IT14" i="1"/>
  <c r="IU14" i="1" s="1"/>
  <c r="IT16" i="1"/>
  <c r="IU16" i="1" s="1"/>
  <c r="IT17" i="1"/>
  <c r="IU17" i="1" s="1"/>
  <c r="IT18" i="1"/>
  <c r="IU18" i="1" s="1"/>
  <c r="IT19" i="1"/>
  <c r="IU19" i="1" s="1"/>
  <c r="IT20" i="1"/>
  <c r="IU20" i="1" s="1"/>
  <c r="IT22" i="1"/>
  <c r="IU22" i="1" s="1"/>
  <c r="IT23" i="1"/>
  <c r="IU23" i="1" s="1"/>
  <c r="IT24" i="1"/>
  <c r="IU24" i="1" s="1"/>
  <c r="IT25" i="1"/>
  <c r="IU25" i="1" s="1"/>
  <c r="IT26" i="1"/>
  <c r="IU26" i="1" s="1"/>
  <c r="IT27" i="1"/>
  <c r="IU27" i="1" s="1"/>
  <c r="IT28" i="1"/>
  <c r="IU28" i="1" s="1"/>
  <c r="IT29" i="1"/>
  <c r="IU29" i="1" s="1"/>
  <c r="IT30" i="1"/>
  <c r="IU30" i="1" s="1"/>
  <c r="IT31" i="1"/>
  <c r="IU31" i="1" s="1"/>
  <c r="IT32" i="1"/>
  <c r="IU32" i="1" s="1"/>
  <c r="IT33" i="1"/>
  <c r="IU33" i="1" s="1"/>
  <c r="IT34" i="1"/>
  <c r="IU34" i="1" s="1"/>
  <c r="IT35" i="1"/>
  <c r="IU35" i="1" s="1"/>
  <c r="IT36" i="1"/>
  <c r="IU36" i="1" s="1"/>
  <c r="IT37" i="1"/>
  <c r="IU37" i="1" s="1"/>
  <c r="IT38" i="1"/>
  <c r="IU38" i="1" s="1"/>
  <c r="IT39" i="1"/>
  <c r="IU39" i="1" s="1"/>
  <c r="IT40" i="1"/>
  <c r="IU40" i="1" s="1"/>
  <c r="IT41" i="1"/>
  <c r="IU41" i="1" s="1"/>
  <c r="IT42" i="1"/>
  <c r="IU42" i="1" s="1"/>
  <c r="IT43" i="1"/>
  <c r="IU43" i="1" s="1"/>
  <c r="IT44" i="1"/>
  <c r="IU44" i="1" s="1"/>
  <c r="IT45" i="1"/>
  <c r="IU45" i="1" s="1"/>
  <c r="IT46" i="1"/>
  <c r="IU46" i="1" s="1"/>
  <c r="IT47" i="1"/>
  <c r="IU47" i="1" s="1"/>
  <c r="IT48" i="1"/>
  <c r="IU48" i="1" s="1"/>
  <c r="IT49" i="1"/>
  <c r="IU49" i="1" s="1"/>
  <c r="IT50" i="1"/>
  <c r="IU50" i="1" s="1"/>
  <c r="IT51" i="1"/>
  <c r="IU51" i="1" s="1"/>
  <c r="IT52" i="1"/>
  <c r="IU52" i="1" s="1"/>
  <c r="IT53" i="1"/>
  <c r="IU53" i="1" s="1"/>
  <c r="IT54" i="1"/>
  <c r="IU54" i="1" s="1"/>
  <c r="IT55" i="1"/>
  <c r="IU55" i="1" s="1"/>
  <c r="IT56" i="1"/>
  <c r="IU56" i="1" s="1"/>
  <c r="IT57" i="1"/>
  <c r="IU57" i="1" s="1"/>
  <c r="IT58" i="1"/>
  <c r="IU58" i="1" s="1"/>
  <c r="IT59" i="1"/>
  <c r="IU59" i="1" s="1"/>
  <c r="IT60" i="1"/>
  <c r="IU60" i="1" s="1"/>
  <c r="IT62" i="1"/>
  <c r="IU62" i="1" s="1"/>
  <c r="IT63" i="1"/>
  <c r="IU63" i="1" s="1"/>
  <c r="IT64" i="1"/>
  <c r="IU64" i="1" s="1"/>
  <c r="IT65" i="1"/>
  <c r="IU65" i="1" s="1"/>
  <c r="IT66" i="1"/>
  <c r="IU66" i="1" s="1"/>
  <c r="IT67" i="1"/>
  <c r="IU67" i="1" s="1"/>
  <c r="IT69" i="1"/>
  <c r="IU69" i="1" s="1"/>
  <c r="IT70" i="1"/>
  <c r="IU70" i="1" s="1"/>
  <c r="IT71" i="1"/>
  <c r="IU71" i="1" s="1"/>
  <c r="IT72" i="1"/>
  <c r="IU72" i="1" s="1"/>
  <c r="IT73" i="1"/>
  <c r="IU73" i="1" s="1"/>
  <c r="IT74" i="1"/>
  <c r="IU74" i="1" s="1"/>
  <c r="IT75" i="1"/>
  <c r="IU75" i="1" s="1"/>
  <c r="IT76" i="1"/>
  <c r="IU76" i="1" s="1"/>
  <c r="IT77" i="1"/>
  <c r="IU77" i="1" s="1"/>
  <c r="IT78" i="1"/>
  <c r="IU78" i="1" s="1"/>
  <c r="IT79" i="1"/>
  <c r="IU79" i="1" s="1"/>
  <c r="IT80" i="1"/>
  <c r="IU80" i="1" s="1"/>
  <c r="IT81" i="1"/>
  <c r="IU81" i="1" s="1"/>
  <c r="IT82" i="1"/>
  <c r="IU82" i="1" s="1"/>
  <c r="IT83" i="1"/>
  <c r="IU83" i="1" s="1"/>
  <c r="IT84" i="1"/>
  <c r="IU84" i="1" s="1"/>
  <c r="IT88" i="1"/>
  <c r="IU88" i="1" s="1"/>
  <c r="IT89" i="1"/>
  <c r="IU89" i="1" s="1"/>
  <c r="IT90" i="1"/>
  <c r="IU90" i="1" s="1"/>
  <c r="IT91" i="1"/>
  <c r="IU91" i="1" s="1"/>
  <c r="IT92" i="1"/>
  <c r="IU92" i="1" s="1"/>
  <c r="IT3" i="1"/>
  <c r="IU3" i="1" s="1"/>
  <c r="IR4" i="1"/>
  <c r="IS4" i="1" s="1"/>
  <c r="IR5" i="1"/>
  <c r="IS5" i="1" s="1"/>
  <c r="IR6" i="1"/>
  <c r="IS6" i="1" s="1"/>
  <c r="IR8" i="1"/>
  <c r="IS8" i="1" s="1"/>
  <c r="IR9" i="1"/>
  <c r="IS9" i="1" s="1"/>
  <c r="IR10" i="1"/>
  <c r="IS10" i="1" s="1"/>
  <c r="IR11" i="1"/>
  <c r="IS11" i="1" s="1"/>
  <c r="IR12" i="1"/>
  <c r="IS12" i="1" s="1"/>
  <c r="IR14" i="1"/>
  <c r="IS14" i="1" s="1"/>
  <c r="IR15" i="1"/>
  <c r="IS15" i="1" s="1"/>
  <c r="IR16" i="1"/>
  <c r="IS16" i="1" s="1"/>
  <c r="IR17" i="1"/>
  <c r="IS17" i="1" s="1"/>
  <c r="IR18" i="1"/>
  <c r="IS18" i="1" s="1"/>
  <c r="IR19" i="1"/>
  <c r="IS19" i="1" s="1"/>
  <c r="IR20" i="1"/>
  <c r="IS20" i="1" s="1"/>
  <c r="IR21" i="1"/>
  <c r="IS21" i="1" s="1"/>
  <c r="IR22" i="1"/>
  <c r="IS22" i="1" s="1"/>
  <c r="IR23" i="1"/>
  <c r="IS23" i="1" s="1"/>
  <c r="IR24" i="1"/>
  <c r="IS24" i="1" s="1"/>
  <c r="IR25" i="1"/>
  <c r="IS25" i="1" s="1"/>
  <c r="IR26" i="1"/>
  <c r="IS26" i="1" s="1"/>
  <c r="IR27" i="1"/>
  <c r="IS27" i="1" s="1"/>
  <c r="IR28" i="1"/>
  <c r="IS28" i="1" s="1"/>
  <c r="IR29" i="1"/>
  <c r="IS29" i="1" s="1"/>
  <c r="IR30" i="1"/>
  <c r="IS30" i="1" s="1"/>
  <c r="IR31" i="1"/>
  <c r="IS31" i="1" s="1"/>
  <c r="IR32" i="1"/>
  <c r="IS32" i="1" s="1"/>
  <c r="IR33" i="1"/>
  <c r="IS33" i="1" s="1"/>
  <c r="IR34" i="1"/>
  <c r="IS34" i="1" s="1"/>
  <c r="IR35" i="1"/>
  <c r="IS35" i="1" s="1"/>
  <c r="IR36" i="1"/>
  <c r="IS36" i="1" s="1"/>
  <c r="IR37" i="1"/>
  <c r="IS37" i="1" s="1"/>
  <c r="IR38" i="1"/>
  <c r="IS38" i="1" s="1"/>
  <c r="IR39" i="1"/>
  <c r="IS39" i="1" s="1"/>
  <c r="IR40" i="1"/>
  <c r="IS40" i="1" s="1"/>
  <c r="IR41" i="1"/>
  <c r="IS41" i="1" s="1"/>
  <c r="IR42" i="1"/>
  <c r="IS42" i="1" s="1"/>
  <c r="IR43" i="1"/>
  <c r="IS43" i="1" s="1"/>
  <c r="IR44" i="1"/>
  <c r="IS44" i="1" s="1"/>
  <c r="IR45" i="1"/>
  <c r="IS45" i="1" s="1"/>
  <c r="IR46" i="1"/>
  <c r="IS46" i="1" s="1"/>
  <c r="IR47" i="1"/>
  <c r="IS47" i="1" s="1"/>
  <c r="IR48" i="1"/>
  <c r="IS48" i="1" s="1"/>
  <c r="IR49" i="1"/>
  <c r="IS49" i="1" s="1"/>
  <c r="IR50" i="1"/>
  <c r="IS50" i="1" s="1"/>
  <c r="IR51" i="1"/>
  <c r="IS51" i="1" s="1"/>
  <c r="IR52" i="1"/>
  <c r="IS52" i="1" s="1"/>
  <c r="IR53" i="1"/>
  <c r="IS53" i="1" s="1"/>
  <c r="IR54" i="1"/>
  <c r="IS54" i="1" s="1"/>
  <c r="IR55" i="1"/>
  <c r="IS55" i="1" s="1"/>
  <c r="IR56" i="1"/>
  <c r="IS56" i="1" s="1"/>
  <c r="IR57" i="1"/>
  <c r="IS57" i="1" s="1"/>
  <c r="IR58" i="1"/>
  <c r="IS58" i="1" s="1"/>
  <c r="IR59" i="1"/>
  <c r="IS59" i="1" s="1"/>
  <c r="IR60" i="1"/>
  <c r="IS60" i="1" s="1"/>
  <c r="IR61" i="1"/>
  <c r="IS61" i="1" s="1"/>
  <c r="IR62" i="1"/>
  <c r="IS62" i="1" s="1"/>
  <c r="IR63" i="1"/>
  <c r="IS63" i="1" s="1"/>
  <c r="IR64" i="1"/>
  <c r="IS64" i="1" s="1"/>
  <c r="IR65" i="1"/>
  <c r="IS65" i="1" s="1"/>
  <c r="IR66" i="1"/>
  <c r="IS66" i="1" s="1"/>
  <c r="IR67" i="1"/>
  <c r="IS67" i="1" s="1"/>
  <c r="IR68" i="1"/>
  <c r="IS68" i="1" s="1"/>
  <c r="IR69" i="1"/>
  <c r="IS69" i="1" s="1"/>
  <c r="IR70" i="1"/>
  <c r="IS70" i="1" s="1"/>
  <c r="IR71" i="1"/>
  <c r="IS71" i="1" s="1"/>
  <c r="IR72" i="1"/>
  <c r="IS72" i="1" s="1"/>
  <c r="IR73" i="1"/>
  <c r="IS73" i="1" s="1"/>
  <c r="IR74" i="1"/>
  <c r="IS74" i="1" s="1"/>
  <c r="IR75" i="1"/>
  <c r="IS75" i="1" s="1"/>
  <c r="IR76" i="1"/>
  <c r="IS76" i="1" s="1"/>
  <c r="IR77" i="1"/>
  <c r="IS77" i="1" s="1"/>
  <c r="IR78" i="1"/>
  <c r="IS78" i="1" s="1"/>
  <c r="IR79" i="1"/>
  <c r="IS79" i="1" s="1"/>
  <c r="IR80" i="1"/>
  <c r="IS80" i="1" s="1"/>
  <c r="IR81" i="1"/>
  <c r="IS81" i="1" s="1"/>
  <c r="IR82" i="1"/>
  <c r="IS82" i="1" s="1"/>
  <c r="IR83" i="1"/>
  <c r="IS83" i="1" s="1"/>
  <c r="IR84" i="1"/>
  <c r="IS84" i="1" s="1"/>
  <c r="IR86" i="1"/>
  <c r="IS86" i="1" s="1"/>
  <c r="IR87" i="1"/>
  <c r="IS87" i="1" s="1"/>
  <c r="IR88" i="1"/>
  <c r="IS88" i="1" s="1"/>
  <c r="IR89" i="1"/>
  <c r="IS89" i="1" s="1"/>
  <c r="IR90" i="1"/>
  <c r="IS90" i="1" s="1"/>
  <c r="IR91" i="1"/>
  <c r="IS91" i="1" s="1"/>
  <c r="IR92" i="1"/>
  <c r="IS92" i="1" s="1"/>
  <c r="IR3" i="1"/>
  <c r="IS3" i="1" s="1"/>
  <c r="IP4" i="1"/>
  <c r="IQ4" i="1" s="1"/>
  <c r="IP5" i="1"/>
  <c r="IQ5" i="1" s="1"/>
  <c r="IP6" i="1"/>
  <c r="IQ6" i="1" s="1"/>
  <c r="IP8" i="1"/>
  <c r="IQ8" i="1" s="1"/>
  <c r="IP9" i="1"/>
  <c r="IQ9" i="1" s="1"/>
  <c r="IP10" i="1"/>
  <c r="IQ10" i="1" s="1"/>
  <c r="IP14" i="1"/>
  <c r="IQ14" i="1" s="1"/>
  <c r="IP16" i="1"/>
  <c r="IQ16" i="1" s="1"/>
  <c r="IP17" i="1"/>
  <c r="IQ17" i="1" s="1"/>
  <c r="IP18" i="1"/>
  <c r="IQ18" i="1" s="1"/>
  <c r="IP19" i="1"/>
  <c r="IQ19" i="1" s="1"/>
  <c r="IP20" i="1"/>
  <c r="IQ20" i="1" s="1"/>
  <c r="IP22" i="1"/>
  <c r="IQ22" i="1" s="1"/>
  <c r="IP23" i="1"/>
  <c r="IQ23" i="1" s="1"/>
  <c r="IP24" i="1"/>
  <c r="IQ24" i="1" s="1"/>
  <c r="IP26" i="1"/>
  <c r="IQ26" i="1" s="1"/>
  <c r="IP27" i="1"/>
  <c r="IQ27" i="1" s="1"/>
  <c r="IP28" i="1"/>
  <c r="IQ28" i="1" s="1"/>
  <c r="IP29" i="1"/>
  <c r="IQ29" i="1" s="1"/>
  <c r="IP30" i="1"/>
  <c r="IQ30" i="1" s="1"/>
  <c r="IP31" i="1"/>
  <c r="IQ31" i="1" s="1"/>
  <c r="IP32" i="1"/>
  <c r="IQ32" i="1" s="1"/>
  <c r="IP33" i="1"/>
  <c r="IQ33" i="1" s="1"/>
  <c r="IP34" i="1"/>
  <c r="IQ34" i="1" s="1"/>
  <c r="IP35" i="1"/>
  <c r="IQ35" i="1" s="1"/>
  <c r="IP36" i="1"/>
  <c r="IQ36" i="1" s="1"/>
  <c r="IP37" i="1"/>
  <c r="IQ37" i="1" s="1"/>
  <c r="IP38" i="1"/>
  <c r="IQ38" i="1" s="1"/>
  <c r="IP39" i="1"/>
  <c r="IQ39" i="1" s="1"/>
  <c r="IP40" i="1"/>
  <c r="IQ40" i="1" s="1"/>
  <c r="IP41" i="1"/>
  <c r="IQ41" i="1" s="1"/>
  <c r="IP42" i="1"/>
  <c r="IQ42" i="1" s="1"/>
  <c r="IP43" i="1"/>
  <c r="IQ43" i="1" s="1"/>
  <c r="IP44" i="1"/>
  <c r="IQ44" i="1" s="1"/>
  <c r="IP45" i="1"/>
  <c r="IQ45" i="1" s="1"/>
  <c r="IP46" i="1"/>
  <c r="IQ46" i="1" s="1"/>
  <c r="IP47" i="1"/>
  <c r="IQ47" i="1" s="1"/>
  <c r="IP48" i="1"/>
  <c r="IQ48" i="1" s="1"/>
  <c r="IP49" i="1"/>
  <c r="IQ49" i="1" s="1"/>
  <c r="IP50" i="1"/>
  <c r="IQ50" i="1" s="1"/>
  <c r="IP51" i="1"/>
  <c r="IQ51" i="1" s="1"/>
  <c r="IP52" i="1"/>
  <c r="IQ52" i="1" s="1"/>
  <c r="IP53" i="1"/>
  <c r="IQ53" i="1" s="1"/>
  <c r="IP54" i="1"/>
  <c r="IQ54" i="1" s="1"/>
  <c r="IP55" i="1"/>
  <c r="IQ55" i="1" s="1"/>
  <c r="IP56" i="1"/>
  <c r="IQ56" i="1" s="1"/>
  <c r="IP57" i="1"/>
  <c r="IQ57" i="1" s="1"/>
  <c r="IP58" i="1"/>
  <c r="IQ58" i="1" s="1"/>
  <c r="IP59" i="1"/>
  <c r="IQ59" i="1" s="1"/>
  <c r="IP60" i="1"/>
  <c r="IQ60" i="1" s="1"/>
  <c r="IP62" i="1"/>
  <c r="IQ62" i="1" s="1"/>
  <c r="IP63" i="1"/>
  <c r="IQ63" i="1" s="1"/>
  <c r="IP64" i="1"/>
  <c r="IQ64" i="1" s="1"/>
  <c r="IP65" i="1"/>
  <c r="IQ65" i="1" s="1"/>
  <c r="IP66" i="1"/>
  <c r="IQ66" i="1" s="1"/>
  <c r="IP67" i="1"/>
  <c r="IQ67" i="1" s="1"/>
  <c r="IP69" i="1"/>
  <c r="IQ69" i="1" s="1"/>
  <c r="IP70" i="1"/>
  <c r="IQ70" i="1" s="1"/>
  <c r="IP71" i="1"/>
  <c r="IQ71" i="1" s="1"/>
  <c r="IP72" i="1"/>
  <c r="IQ72" i="1" s="1"/>
  <c r="IP73" i="1"/>
  <c r="IQ73" i="1" s="1"/>
  <c r="IP74" i="1"/>
  <c r="IQ74" i="1" s="1"/>
  <c r="IP75" i="1"/>
  <c r="IQ75" i="1" s="1"/>
  <c r="IP76" i="1"/>
  <c r="IQ76" i="1" s="1"/>
  <c r="IP77" i="1"/>
  <c r="IQ77" i="1" s="1"/>
  <c r="IP78" i="1"/>
  <c r="IQ78" i="1" s="1"/>
  <c r="IP79" i="1"/>
  <c r="IQ79" i="1" s="1"/>
  <c r="IP80" i="1"/>
  <c r="IQ80" i="1" s="1"/>
  <c r="IP81" i="1"/>
  <c r="IQ81" i="1" s="1"/>
  <c r="IP82" i="1"/>
  <c r="IQ82" i="1" s="1"/>
  <c r="IP83" i="1"/>
  <c r="IQ83" i="1" s="1"/>
  <c r="IP84" i="1"/>
  <c r="IQ84" i="1" s="1"/>
  <c r="IP88" i="1"/>
  <c r="IQ88" i="1" s="1"/>
  <c r="IP89" i="1"/>
  <c r="IQ89" i="1" s="1"/>
  <c r="IP90" i="1"/>
  <c r="IQ90" i="1" s="1"/>
  <c r="IP91" i="1"/>
  <c r="IQ91" i="1" s="1"/>
  <c r="IP92" i="1"/>
  <c r="IQ92" i="1" s="1"/>
  <c r="IP3" i="1"/>
  <c r="IQ3" i="1" s="1"/>
  <c r="IN4" i="1"/>
  <c r="IO4" i="1" s="1"/>
  <c r="IN5" i="1"/>
  <c r="IO5" i="1" s="1"/>
  <c r="IN6" i="1"/>
  <c r="IO6" i="1" s="1"/>
  <c r="IN8" i="1"/>
  <c r="IO8" i="1" s="1"/>
  <c r="IN9" i="1"/>
  <c r="IO9" i="1" s="1"/>
  <c r="IN10" i="1"/>
  <c r="IO10" i="1" s="1"/>
  <c r="IN11" i="1"/>
  <c r="IO11" i="1" s="1"/>
  <c r="IN14" i="1"/>
  <c r="IO14" i="1" s="1"/>
  <c r="IN15" i="1"/>
  <c r="IO15" i="1" s="1"/>
  <c r="IN16" i="1"/>
  <c r="IO16" i="1" s="1"/>
  <c r="IN17" i="1"/>
  <c r="IO17" i="1" s="1"/>
  <c r="IN18" i="1"/>
  <c r="IO18" i="1" s="1"/>
  <c r="IN19" i="1"/>
  <c r="IO19" i="1" s="1"/>
  <c r="IN20" i="1"/>
  <c r="IO20" i="1" s="1"/>
  <c r="IN21" i="1"/>
  <c r="IO21" i="1" s="1"/>
  <c r="IN22" i="1"/>
  <c r="IO22" i="1" s="1"/>
  <c r="IN23" i="1"/>
  <c r="IO23" i="1" s="1"/>
  <c r="IN24" i="1"/>
  <c r="IO24" i="1" s="1"/>
  <c r="IN26" i="1"/>
  <c r="IO26" i="1" s="1"/>
  <c r="IN27" i="1"/>
  <c r="IO27" i="1" s="1"/>
  <c r="IN28" i="1"/>
  <c r="IO28" i="1" s="1"/>
  <c r="IN29" i="1"/>
  <c r="IO29" i="1" s="1"/>
  <c r="IN30" i="1"/>
  <c r="IO30" i="1" s="1"/>
  <c r="IN31" i="1"/>
  <c r="IO31" i="1" s="1"/>
  <c r="IN32" i="1"/>
  <c r="IO32" i="1" s="1"/>
  <c r="IN33" i="1"/>
  <c r="IO33" i="1" s="1"/>
  <c r="IN34" i="1"/>
  <c r="IO34" i="1" s="1"/>
  <c r="IN35" i="1"/>
  <c r="IO35" i="1" s="1"/>
  <c r="IN36" i="1"/>
  <c r="IO36" i="1" s="1"/>
  <c r="IN37" i="1"/>
  <c r="IO37" i="1" s="1"/>
  <c r="IN38" i="1"/>
  <c r="IO38" i="1" s="1"/>
  <c r="IN39" i="1"/>
  <c r="IO39" i="1" s="1"/>
  <c r="IN40" i="1"/>
  <c r="IO40" i="1" s="1"/>
  <c r="IN41" i="1"/>
  <c r="IO41" i="1" s="1"/>
  <c r="IN42" i="1"/>
  <c r="IO42" i="1" s="1"/>
  <c r="IN43" i="1"/>
  <c r="IO43" i="1" s="1"/>
  <c r="IN44" i="1"/>
  <c r="IO44" i="1" s="1"/>
  <c r="IN45" i="1"/>
  <c r="IO45" i="1" s="1"/>
  <c r="IN46" i="1"/>
  <c r="IO46" i="1" s="1"/>
  <c r="IN47" i="1"/>
  <c r="IO47" i="1" s="1"/>
  <c r="IN48" i="1"/>
  <c r="IO48" i="1" s="1"/>
  <c r="IN49" i="1"/>
  <c r="IO49" i="1" s="1"/>
  <c r="IN50" i="1"/>
  <c r="IO50" i="1" s="1"/>
  <c r="IN52" i="1"/>
  <c r="IO52" i="1" s="1"/>
  <c r="IN53" i="1"/>
  <c r="IO53" i="1" s="1"/>
  <c r="IN54" i="1"/>
  <c r="IO54" i="1" s="1"/>
  <c r="IN55" i="1"/>
  <c r="IO55" i="1" s="1"/>
  <c r="IN56" i="1"/>
  <c r="IO56" i="1" s="1"/>
  <c r="IN57" i="1"/>
  <c r="IO57" i="1" s="1"/>
  <c r="IN58" i="1"/>
  <c r="IO58" i="1" s="1"/>
  <c r="IN59" i="1"/>
  <c r="IO59" i="1" s="1"/>
  <c r="IN60" i="1"/>
  <c r="IO60" i="1" s="1"/>
  <c r="IN62" i="1"/>
  <c r="IO62" i="1" s="1"/>
  <c r="IN63" i="1"/>
  <c r="IO63" i="1" s="1"/>
  <c r="IN64" i="1"/>
  <c r="IO64" i="1" s="1"/>
  <c r="IN65" i="1"/>
  <c r="IO65" i="1" s="1"/>
  <c r="IN66" i="1"/>
  <c r="IO66" i="1" s="1"/>
  <c r="IN67" i="1"/>
  <c r="IO67" i="1" s="1"/>
  <c r="IN69" i="1"/>
  <c r="IO69" i="1" s="1"/>
  <c r="IN70" i="1"/>
  <c r="IO70" i="1" s="1"/>
  <c r="IN71" i="1"/>
  <c r="IO71" i="1" s="1"/>
  <c r="IN72" i="1"/>
  <c r="IO72" i="1" s="1"/>
  <c r="IN73" i="1"/>
  <c r="IO73" i="1" s="1"/>
  <c r="IN74" i="1"/>
  <c r="IO74" i="1" s="1"/>
  <c r="IN75" i="1"/>
  <c r="IO75" i="1" s="1"/>
  <c r="IN76" i="1"/>
  <c r="IO76" i="1" s="1"/>
  <c r="IN77" i="1"/>
  <c r="IO77" i="1" s="1"/>
  <c r="IN78" i="1"/>
  <c r="IO78" i="1" s="1"/>
  <c r="IN79" i="1"/>
  <c r="IO79" i="1" s="1"/>
  <c r="IN80" i="1"/>
  <c r="IO80" i="1" s="1"/>
  <c r="IN81" i="1"/>
  <c r="IO81" i="1" s="1"/>
  <c r="IN82" i="1"/>
  <c r="IO82" i="1" s="1"/>
  <c r="IN83" i="1"/>
  <c r="IO83" i="1" s="1"/>
  <c r="IN84" i="1"/>
  <c r="IO84" i="1" s="1"/>
  <c r="IN85" i="1"/>
  <c r="IO85" i="1" s="1"/>
  <c r="IN88" i="1"/>
  <c r="IO88" i="1" s="1"/>
  <c r="IN89" i="1"/>
  <c r="IO89" i="1" s="1"/>
  <c r="IN90" i="1"/>
  <c r="IO90" i="1" s="1"/>
  <c r="IN91" i="1"/>
  <c r="IO91" i="1" s="1"/>
  <c r="IN92" i="1"/>
  <c r="IO92" i="1" s="1"/>
  <c r="IN3" i="1"/>
  <c r="IO3" i="1" s="1"/>
  <c r="IL4" i="1"/>
  <c r="IM4" i="1" s="1"/>
  <c r="IL5" i="1"/>
  <c r="IM5" i="1" s="1"/>
  <c r="IL6" i="1"/>
  <c r="IM6" i="1" s="1"/>
  <c r="IL7" i="1"/>
  <c r="IM7" i="1" s="1"/>
  <c r="IL8" i="1"/>
  <c r="IM8" i="1" s="1"/>
  <c r="IL9" i="1"/>
  <c r="IM9" i="1" s="1"/>
  <c r="IL10" i="1"/>
  <c r="IM10" i="1" s="1"/>
  <c r="IL12" i="1"/>
  <c r="IM12" i="1" s="1"/>
  <c r="IL14" i="1"/>
  <c r="IM14" i="1" s="1"/>
  <c r="IL16" i="1"/>
  <c r="IM16" i="1" s="1"/>
  <c r="IL17" i="1"/>
  <c r="IM17" i="1" s="1"/>
  <c r="IL18" i="1"/>
  <c r="IM18" i="1" s="1"/>
  <c r="IL19" i="1"/>
  <c r="IM19" i="1" s="1"/>
  <c r="IL20" i="1"/>
  <c r="IM20" i="1" s="1"/>
  <c r="IL22" i="1"/>
  <c r="IM22" i="1" s="1"/>
  <c r="IL23" i="1"/>
  <c r="IM23" i="1" s="1"/>
  <c r="IL24" i="1"/>
  <c r="IM24" i="1" s="1"/>
  <c r="IL26" i="1"/>
  <c r="IM26" i="1" s="1"/>
  <c r="IL27" i="1"/>
  <c r="IM27" i="1" s="1"/>
  <c r="IL28" i="1"/>
  <c r="IM28" i="1" s="1"/>
  <c r="IL29" i="1"/>
  <c r="IM29" i="1" s="1"/>
  <c r="IL30" i="1"/>
  <c r="IM30" i="1" s="1"/>
  <c r="IL31" i="1"/>
  <c r="IM31" i="1" s="1"/>
  <c r="IL32" i="1"/>
  <c r="IM32" i="1" s="1"/>
  <c r="IL33" i="1"/>
  <c r="IM33" i="1" s="1"/>
  <c r="IL34" i="1"/>
  <c r="IM34" i="1" s="1"/>
  <c r="IL35" i="1"/>
  <c r="IM35" i="1" s="1"/>
  <c r="IL36" i="1"/>
  <c r="IM36" i="1" s="1"/>
  <c r="IL37" i="1"/>
  <c r="IM37" i="1" s="1"/>
  <c r="IL38" i="1"/>
  <c r="IM38" i="1" s="1"/>
  <c r="IL39" i="1"/>
  <c r="IM39" i="1" s="1"/>
  <c r="IL40" i="1"/>
  <c r="IM40" i="1" s="1"/>
  <c r="IL41" i="1"/>
  <c r="IM41" i="1" s="1"/>
  <c r="IL42" i="1"/>
  <c r="IM42" i="1" s="1"/>
  <c r="IL43" i="1"/>
  <c r="IM43" i="1" s="1"/>
  <c r="IL44" i="1"/>
  <c r="IM44" i="1" s="1"/>
  <c r="IL45" i="1"/>
  <c r="IM45" i="1" s="1"/>
  <c r="IL46" i="1"/>
  <c r="IM46" i="1" s="1"/>
  <c r="IL47" i="1"/>
  <c r="IM47" i="1" s="1"/>
  <c r="IL48" i="1"/>
  <c r="IM48" i="1" s="1"/>
  <c r="IL49" i="1"/>
  <c r="IM49" i="1" s="1"/>
  <c r="IL50" i="1"/>
  <c r="IM50" i="1" s="1"/>
  <c r="IL51" i="1"/>
  <c r="IM51" i="1" s="1"/>
  <c r="IL52" i="1"/>
  <c r="IM52" i="1" s="1"/>
  <c r="IL53" i="1"/>
  <c r="IM53" i="1" s="1"/>
  <c r="IL54" i="1"/>
  <c r="IM54" i="1" s="1"/>
  <c r="IL55" i="1"/>
  <c r="IM55" i="1" s="1"/>
  <c r="IL56" i="1"/>
  <c r="IM56" i="1" s="1"/>
  <c r="IL57" i="1"/>
  <c r="IM57" i="1" s="1"/>
  <c r="IL58" i="1"/>
  <c r="IM58" i="1" s="1"/>
  <c r="IL59" i="1"/>
  <c r="IM59" i="1" s="1"/>
  <c r="IL60" i="1"/>
  <c r="IM60" i="1" s="1"/>
  <c r="IL61" i="1"/>
  <c r="IM61" i="1" s="1"/>
  <c r="IL62" i="1"/>
  <c r="IM62" i="1" s="1"/>
  <c r="IL63" i="1"/>
  <c r="IM63" i="1" s="1"/>
  <c r="IL64" i="1"/>
  <c r="IM64" i="1" s="1"/>
  <c r="IL65" i="1"/>
  <c r="IM65" i="1" s="1"/>
  <c r="IL66" i="1"/>
  <c r="IM66" i="1" s="1"/>
  <c r="IL67" i="1"/>
  <c r="IM67" i="1" s="1"/>
  <c r="IL68" i="1"/>
  <c r="IM68" i="1" s="1"/>
  <c r="IL69" i="1"/>
  <c r="IM69" i="1" s="1"/>
  <c r="IL70" i="1"/>
  <c r="IM70" i="1" s="1"/>
  <c r="IL71" i="1"/>
  <c r="IM71" i="1" s="1"/>
  <c r="IL72" i="1"/>
  <c r="IM72" i="1" s="1"/>
  <c r="IL73" i="1"/>
  <c r="IM73" i="1" s="1"/>
  <c r="IL74" i="1"/>
  <c r="IM74" i="1" s="1"/>
  <c r="IL75" i="1"/>
  <c r="IM75" i="1" s="1"/>
  <c r="IL76" i="1"/>
  <c r="IM76" i="1" s="1"/>
  <c r="IL77" i="1"/>
  <c r="IM77" i="1" s="1"/>
  <c r="IL78" i="1"/>
  <c r="IM78" i="1" s="1"/>
  <c r="IL79" i="1"/>
  <c r="IM79" i="1" s="1"/>
  <c r="IL80" i="1"/>
  <c r="IM80" i="1" s="1"/>
  <c r="IL81" i="1"/>
  <c r="IM81" i="1" s="1"/>
  <c r="IL82" i="1"/>
  <c r="IM82" i="1" s="1"/>
  <c r="IL83" i="1"/>
  <c r="IM83" i="1" s="1"/>
  <c r="IL84" i="1"/>
  <c r="IM84" i="1" s="1"/>
  <c r="IL85" i="1"/>
  <c r="IM85" i="1" s="1"/>
  <c r="IL86" i="1"/>
  <c r="IM86" i="1" s="1"/>
  <c r="IL87" i="1"/>
  <c r="IM87" i="1" s="1"/>
  <c r="IL88" i="1"/>
  <c r="IM88" i="1" s="1"/>
  <c r="IL89" i="1"/>
  <c r="IM89" i="1" s="1"/>
  <c r="IL90" i="1"/>
  <c r="IM90" i="1" s="1"/>
  <c r="IL91" i="1"/>
  <c r="IM91" i="1" s="1"/>
  <c r="IL92" i="1"/>
  <c r="IM92" i="1" s="1"/>
  <c r="IL3" i="1"/>
  <c r="IM3" i="1" s="1"/>
  <c r="IJ4" i="1"/>
  <c r="IK4" i="1" s="1"/>
  <c r="IJ5" i="1"/>
  <c r="IK5" i="1" s="1"/>
  <c r="IJ6" i="1"/>
  <c r="IK6" i="1" s="1"/>
  <c r="IJ7" i="1"/>
  <c r="IK7" i="1" s="1"/>
  <c r="IJ8" i="1"/>
  <c r="IK8" i="1" s="1"/>
  <c r="IJ9" i="1"/>
  <c r="IK9" i="1" s="1"/>
  <c r="IJ10" i="1"/>
  <c r="IK10" i="1" s="1"/>
  <c r="IJ14" i="1"/>
  <c r="IK14" i="1" s="1"/>
  <c r="IJ16" i="1"/>
  <c r="IK16" i="1" s="1"/>
  <c r="IJ17" i="1"/>
  <c r="IK17" i="1" s="1"/>
  <c r="IJ18" i="1"/>
  <c r="IK18" i="1" s="1"/>
  <c r="IJ19" i="1"/>
  <c r="IK19" i="1" s="1"/>
  <c r="IJ20" i="1"/>
  <c r="IK20" i="1" s="1"/>
  <c r="IJ22" i="1"/>
  <c r="IK22" i="1" s="1"/>
  <c r="IJ23" i="1"/>
  <c r="IK23" i="1" s="1"/>
  <c r="IJ24" i="1"/>
  <c r="IK24" i="1" s="1"/>
  <c r="IJ26" i="1"/>
  <c r="IK26" i="1" s="1"/>
  <c r="IJ27" i="1"/>
  <c r="IK27" i="1" s="1"/>
  <c r="IJ28" i="1"/>
  <c r="IK28" i="1" s="1"/>
  <c r="IJ29" i="1"/>
  <c r="IK29" i="1" s="1"/>
  <c r="IJ30" i="1"/>
  <c r="IK30" i="1" s="1"/>
  <c r="IJ31" i="1"/>
  <c r="IK31" i="1" s="1"/>
  <c r="IJ32" i="1"/>
  <c r="IK32" i="1" s="1"/>
  <c r="IJ33" i="1"/>
  <c r="IK33" i="1" s="1"/>
  <c r="IJ34" i="1"/>
  <c r="IK34" i="1" s="1"/>
  <c r="IJ35" i="1"/>
  <c r="IK35" i="1" s="1"/>
  <c r="IJ36" i="1"/>
  <c r="IK36" i="1" s="1"/>
  <c r="IJ37" i="1"/>
  <c r="IK37" i="1" s="1"/>
  <c r="IJ38" i="1"/>
  <c r="IK38" i="1" s="1"/>
  <c r="IJ39" i="1"/>
  <c r="IK39" i="1" s="1"/>
  <c r="IJ40" i="1"/>
  <c r="IK40" i="1" s="1"/>
  <c r="IJ41" i="1"/>
  <c r="IK41" i="1" s="1"/>
  <c r="IJ42" i="1"/>
  <c r="IK42" i="1" s="1"/>
  <c r="IJ43" i="1"/>
  <c r="IK43" i="1" s="1"/>
  <c r="IJ44" i="1"/>
  <c r="IK44" i="1" s="1"/>
  <c r="IJ45" i="1"/>
  <c r="IK45" i="1" s="1"/>
  <c r="IJ46" i="1"/>
  <c r="IK46" i="1" s="1"/>
  <c r="IJ47" i="1"/>
  <c r="IK47" i="1" s="1"/>
  <c r="IJ48" i="1"/>
  <c r="IK48" i="1" s="1"/>
  <c r="IJ49" i="1"/>
  <c r="IK49" i="1" s="1"/>
  <c r="IJ50" i="1"/>
  <c r="IK50" i="1" s="1"/>
  <c r="IJ52" i="1"/>
  <c r="IK52" i="1" s="1"/>
  <c r="IJ53" i="1"/>
  <c r="IK53" i="1" s="1"/>
  <c r="IJ54" i="1"/>
  <c r="IK54" i="1" s="1"/>
  <c r="IJ55" i="1"/>
  <c r="IK55" i="1" s="1"/>
  <c r="IJ56" i="1"/>
  <c r="IK56" i="1" s="1"/>
  <c r="IJ57" i="1"/>
  <c r="IK57" i="1" s="1"/>
  <c r="IJ58" i="1"/>
  <c r="IK58" i="1" s="1"/>
  <c r="IJ59" i="1"/>
  <c r="IK59" i="1" s="1"/>
  <c r="IJ60" i="1"/>
  <c r="IK60" i="1" s="1"/>
  <c r="IJ62" i="1"/>
  <c r="IK62" i="1" s="1"/>
  <c r="IJ63" i="1"/>
  <c r="IK63" i="1" s="1"/>
  <c r="IJ64" i="1"/>
  <c r="IK64" i="1" s="1"/>
  <c r="IJ65" i="1"/>
  <c r="IK65" i="1" s="1"/>
  <c r="IJ66" i="1"/>
  <c r="IK66" i="1" s="1"/>
  <c r="IJ67" i="1"/>
  <c r="IK67" i="1" s="1"/>
  <c r="IJ68" i="1"/>
  <c r="IK68" i="1" s="1"/>
  <c r="IJ70" i="1"/>
  <c r="IK70" i="1" s="1"/>
  <c r="IJ71" i="1"/>
  <c r="IK71" i="1" s="1"/>
  <c r="IJ72" i="1"/>
  <c r="IK72" i="1" s="1"/>
  <c r="IJ73" i="1"/>
  <c r="IK73" i="1" s="1"/>
  <c r="IJ74" i="1"/>
  <c r="IK74" i="1" s="1"/>
  <c r="IJ75" i="1"/>
  <c r="IK75" i="1" s="1"/>
  <c r="IJ76" i="1"/>
  <c r="IK76" i="1" s="1"/>
  <c r="IJ77" i="1"/>
  <c r="IK77" i="1" s="1"/>
  <c r="IJ78" i="1"/>
  <c r="IK78" i="1" s="1"/>
  <c r="IJ79" i="1"/>
  <c r="IK79" i="1" s="1"/>
  <c r="IJ80" i="1"/>
  <c r="IK80" i="1" s="1"/>
  <c r="IJ81" i="1"/>
  <c r="IK81" i="1" s="1"/>
  <c r="IJ82" i="1"/>
  <c r="IK82" i="1" s="1"/>
  <c r="IJ83" i="1"/>
  <c r="IK83" i="1" s="1"/>
  <c r="IJ84" i="1"/>
  <c r="IK84" i="1" s="1"/>
  <c r="IJ86" i="1"/>
  <c r="IK86" i="1" s="1"/>
  <c r="IJ88" i="1"/>
  <c r="IK88" i="1" s="1"/>
  <c r="IJ89" i="1"/>
  <c r="IK89" i="1" s="1"/>
  <c r="IJ90" i="1"/>
  <c r="IK90" i="1" s="1"/>
  <c r="IJ91" i="1"/>
  <c r="IK91" i="1" s="1"/>
  <c r="IJ92" i="1"/>
  <c r="IK92" i="1" s="1"/>
  <c r="IJ3" i="1"/>
  <c r="IK3" i="1" s="1"/>
  <c r="IH4" i="1"/>
  <c r="II4" i="1" s="1"/>
  <c r="IH5" i="1"/>
  <c r="II5" i="1" s="1"/>
  <c r="IH6" i="1"/>
  <c r="II6" i="1" s="1"/>
  <c r="IH8" i="1"/>
  <c r="II8" i="1" s="1"/>
  <c r="IH9" i="1"/>
  <c r="II9" i="1" s="1"/>
  <c r="IH10" i="1"/>
  <c r="II10" i="1" s="1"/>
  <c r="IH12" i="1"/>
  <c r="II12" i="1" s="1"/>
  <c r="IH14" i="1"/>
  <c r="II14" i="1" s="1"/>
  <c r="IH16" i="1"/>
  <c r="II16" i="1" s="1"/>
  <c r="IH17" i="1"/>
  <c r="II17" i="1" s="1"/>
  <c r="IH18" i="1"/>
  <c r="II18" i="1" s="1"/>
  <c r="IH19" i="1"/>
  <c r="II19" i="1" s="1"/>
  <c r="IH20" i="1"/>
  <c r="II20" i="1" s="1"/>
  <c r="IH22" i="1"/>
  <c r="II22" i="1" s="1"/>
  <c r="IH23" i="1"/>
  <c r="II23" i="1" s="1"/>
  <c r="IH24" i="1"/>
  <c r="II24" i="1" s="1"/>
  <c r="IH26" i="1"/>
  <c r="II26" i="1" s="1"/>
  <c r="IH27" i="1"/>
  <c r="II27" i="1" s="1"/>
  <c r="IH28" i="1"/>
  <c r="II28" i="1" s="1"/>
  <c r="IH29" i="1"/>
  <c r="II29" i="1" s="1"/>
  <c r="IH30" i="1"/>
  <c r="II30" i="1" s="1"/>
  <c r="IH31" i="1"/>
  <c r="II31" i="1" s="1"/>
  <c r="IH32" i="1"/>
  <c r="II32" i="1" s="1"/>
  <c r="IH33" i="1"/>
  <c r="II33" i="1" s="1"/>
  <c r="IH34" i="1"/>
  <c r="II34" i="1" s="1"/>
  <c r="IH35" i="1"/>
  <c r="II35" i="1" s="1"/>
  <c r="IH36" i="1"/>
  <c r="II36" i="1" s="1"/>
  <c r="IH37" i="1"/>
  <c r="II37" i="1" s="1"/>
  <c r="IH38" i="1"/>
  <c r="II38" i="1" s="1"/>
  <c r="IH39" i="1"/>
  <c r="II39" i="1" s="1"/>
  <c r="IH40" i="1"/>
  <c r="II40" i="1" s="1"/>
  <c r="IH41" i="1"/>
  <c r="II41" i="1" s="1"/>
  <c r="IH42" i="1"/>
  <c r="II42" i="1" s="1"/>
  <c r="IH43" i="1"/>
  <c r="II43" i="1" s="1"/>
  <c r="IH44" i="1"/>
  <c r="II44" i="1" s="1"/>
  <c r="IH45" i="1"/>
  <c r="II45" i="1" s="1"/>
  <c r="IH46" i="1"/>
  <c r="II46" i="1" s="1"/>
  <c r="IH47" i="1"/>
  <c r="II47" i="1" s="1"/>
  <c r="IH48" i="1"/>
  <c r="II48" i="1" s="1"/>
  <c r="IH49" i="1"/>
  <c r="II49" i="1" s="1"/>
  <c r="IH50" i="1"/>
  <c r="II50" i="1" s="1"/>
  <c r="IH51" i="1"/>
  <c r="II51" i="1" s="1"/>
  <c r="IH52" i="1"/>
  <c r="II52" i="1" s="1"/>
  <c r="IH53" i="1"/>
  <c r="II53" i="1" s="1"/>
  <c r="IH54" i="1"/>
  <c r="II54" i="1" s="1"/>
  <c r="IH55" i="1"/>
  <c r="II55" i="1" s="1"/>
  <c r="IH56" i="1"/>
  <c r="II56" i="1" s="1"/>
  <c r="IH57" i="1"/>
  <c r="II57" i="1" s="1"/>
  <c r="IH58" i="1"/>
  <c r="II58" i="1" s="1"/>
  <c r="IH59" i="1"/>
  <c r="II59" i="1" s="1"/>
  <c r="IH60" i="1"/>
  <c r="II60" i="1" s="1"/>
  <c r="IH61" i="1"/>
  <c r="II61" i="1" s="1"/>
  <c r="IH62" i="1"/>
  <c r="II62" i="1" s="1"/>
  <c r="IH63" i="1"/>
  <c r="II63" i="1" s="1"/>
  <c r="IH64" i="1"/>
  <c r="II64" i="1" s="1"/>
  <c r="IH65" i="1"/>
  <c r="II65" i="1" s="1"/>
  <c r="IH66" i="1"/>
  <c r="II66" i="1" s="1"/>
  <c r="IH67" i="1"/>
  <c r="II67" i="1" s="1"/>
  <c r="IH68" i="1"/>
  <c r="II68" i="1" s="1"/>
  <c r="IH70" i="1"/>
  <c r="II70" i="1" s="1"/>
  <c r="IH71" i="1"/>
  <c r="II71" i="1" s="1"/>
  <c r="IH72" i="1"/>
  <c r="II72" i="1" s="1"/>
  <c r="IH73" i="1"/>
  <c r="II73" i="1" s="1"/>
  <c r="IH74" i="1"/>
  <c r="II74" i="1" s="1"/>
  <c r="IH75" i="1"/>
  <c r="II75" i="1" s="1"/>
  <c r="IH76" i="1"/>
  <c r="II76" i="1" s="1"/>
  <c r="IH77" i="1"/>
  <c r="II77" i="1" s="1"/>
  <c r="IH78" i="1"/>
  <c r="II78" i="1" s="1"/>
  <c r="IH79" i="1"/>
  <c r="II79" i="1" s="1"/>
  <c r="IH80" i="1"/>
  <c r="II80" i="1" s="1"/>
  <c r="IH81" i="1"/>
  <c r="II81" i="1" s="1"/>
  <c r="IH82" i="1"/>
  <c r="II82" i="1" s="1"/>
  <c r="IH83" i="1"/>
  <c r="II83" i="1" s="1"/>
  <c r="IH84" i="1"/>
  <c r="II84" i="1" s="1"/>
  <c r="IH86" i="1"/>
  <c r="II86" i="1" s="1"/>
  <c r="IH88" i="1"/>
  <c r="II88" i="1" s="1"/>
  <c r="IH89" i="1"/>
  <c r="II89" i="1" s="1"/>
  <c r="IH90" i="1"/>
  <c r="II90" i="1" s="1"/>
  <c r="IH91" i="1"/>
  <c r="II91" i="1" s="1"/>
  <c r="IH92" i="1"/>
  <c r="II92" i="1" s="1"/>
  <c r="IH3" i="1"/>
  <c r="II3" i="1" s="1"/>
  <c r="IF4" i="1"/>
  <c r="IG4" i="1" s="1"/>
  <c r="IF5" i="1"/>
  <c r="IG5" i="1" s="1"/>
  <c r="IF6" i="1"/>
  <c r="IG6" i="1" s="1"/>
  <c r="IF8" i="1"/>
  <c r="IG8" i="1" s="1"/>
  <c r="IF9" i="1"/>
  <c r="IG9" i="1" s="1"/>
  <c r="IF10" i="1"/>
  <c r="IG10" i="1" s="1"/>
  <c r="IF11" i="1"/>
  <c r="IG11" i="1" s="1"/>
  <c r="IF12" i="1"/>
  <c r="IG12" i="1" s="1"/>
  <c r="IF14" i="1"/>
  <c r="IG14" i="1" s="1"/>
  <c r="IF16" i="1"/>
  <c r="IG16" i="1" s="1"/>
  <c r="IF17" i="1"/>
  <c r="IG17" i="1" s="1"/>
  <c r="IF18" i="1"/>
  <c r="IG18" i="1" s="1"/>
  <c r="IF19" i="1"/>
  <c r="IG19" i="1" s="1"/>
  <c r="IF20" i="1"/>
  <c r="IG20" i="1" s="1"/>
  <c r="IF21" i="1"/>
  <c r="IG21" i="1" s="1"/>
  <c r="IF22" i="1"/>
  <c r="IG22" i="1" s="1"/>
  <c r="IF23" i="1"/>
  <c r="IG23" i="1" s="1"/>
  <c r="IF24" i="1"/>
  <c r="IG24" i="1" s="1"/>
  <c r="IF25" i="1"/>
  <c r="IG25" i="1" s="1"/>
  <c r="IF26" i="1"/>
  <c r="IG26" i="1" s="1"/>
  <c r="IF27" i="1"/>
  <c r="IG27" i="1" s="1"/>
  <c r="IF28" i="1"/>
  <c r="IG28" i="1" s="1"/>
  <c r="IF29" i="1"/>
  <c r="IG29" i="1" s="1"/>
  <c r="IF30" i="1"/>
  <c r="IG30" i="1" s="1"/>
  <c r="IF31" i="1"/>
  <c r="IG31" i="1" s="1"/>
  <c r="IF32" i="1"/>
  <c r="IG32" i="1" s="1"/>
  <c r="IF33" i="1"/>
  <c r="IG33" i="1" s="1"/>
  <c r="IF34" i="1"/>
  <c r="IG34" i="1" s="1"/>
  <c r="IF35" i="1"/>
  <c r="IG35" i="1" s="1"/>
  <c r="IF36" i="1"/>
  <c r="IG36" i="1" s="1"/>
  <c r="IF37" i="1"/>
  <c r="IG37" i="1" s="1"/>
  <c r="IF38" i="1"/>
  <c r="IG38" i="1" s="1"/>
  <c r="IF39" i="1"/>
  <c r="IG39" i="1" s="1"/>
  <c r="IF40" i="1"/>
  <c r="IG40" i="1" s="1"/>
  <c r="IF41" i="1"/>
  <c r="IG41" i="1" s="1"/>
  <c r="IF42" i="1"/>
  <c r="IG42" i="1" s="1"/>
  <c r="IF43" i="1"/>
  <c r="IG43" i="1" s="1"/>
  <c r="IF44" i="1"/>
  <c r="IG44" i="1" s="1"/>
  <c r="IF45" i="1"/>
  <c r="IG45" i="1" s="1"/>
  <c r="IF46" i="1"/>
  <c r="IG46" i="1" s="1"/>
  <c r="IF47" i="1"/>
  <c r="IG47" i="1" s="1"/>
  <c r="IF48" i="1"/>
  <c r="IG48" i="1" s="1"/>
  <c r="IF49" i="1"/>
  <c r="IG49" i="1" s="1"/>
  <c r="IF50" i="1"/>
  <c r="IG50" i="1" s="1"/>
  <c r="IF52" i="1"/>
  <c r="IG52" i="1" s="1"/>
  <c r="IF53" i="1"/>
  <c r="IG53" i="1" s="1"/>
  <c r="IF54" i="1"/>
  <c r="IG54" i="1" s="1"/>
  <c r="IF55" i="1"/>
  <c r="IG55" i="1" s="1"/>
  <c r="IF56" i="1"/>
  <c r="IG56" i="1" s="1"/>
  <c r="IF57" i="1"/>
  <c r="IG57" i="1" s="1"/>
  <c r="IF58" i="1"/>
  <c r="IG58" i="1" s="1"/>
  <c r="IF59" i="1"/>
  <c r="IG59" i="1" s="1"/>
  <c r="IF60" i="1"/>
  <c r="IG60" i="1" s="1"/>
  <c r="IF61" i="1"/>
  <c r="IG61" i="1" s="1"/>
  <c r="IF62" i="1"/>
  <c r="IG62" i="1" s="1"/>
  <c r="IF63" i="1"/>
  <c r="IG63" i="1" s="1"/>
  <c r="IF64" i="1"/>
  <c r="IG64" i="1" s="1"/>
  <c r="IF65" i="1"/>
  <c r="IG65" i="1" s="1"/>
  <c r="IF66" i="1"/>
  <c r="IG66" i="1" s="1"/>
  <c r="IF67" i="1"/>
  <c r="IG67" i="1" s="1"/>
  <c r="IF69" i="1"/>
  <c r="IG69" i="1" s="1"/>
  <c r="IF70" i="1"/>
  <c r="IG70" i="1" s="1"/>
  <c r="IF71" i="1"/>
  <c r="IG71" i="1" s="1"/>
  <c r="IF72" i="1"/>
  <c r="IG72" i="1" s="1"/>
  <c r="IF73" i="1"/>
  <c r="IG73" i="1" s="1"/>
  <c r="IF74" i="1"/>
  <c r="IG74" i="1" s="1"/>
  <c r="IF75" i="1"/>
  <c r="IG75" i="1" s="1"/>
  <c r="IF76" i="1"/>
  <c r="IG76" i="1" s="1"/>
  <c r="IF77" i="1"/>
  <c r="IG77" i="1" s="1"/>
  <c r="IF78" i="1"/>
  <c r="IG78" i="1" s="1"/>
  <c r="IF79" i="1"/>
  <c r="IG79" i="1" s="1"/>
  <c r="IF80" i="1"/>
  <c r="IG80" i="1" s="1"/>
  <c r="IF81" i="1"/>
  <c r="IG81" i="1" s="1"/>
  <c r="IF82" i="1"/>
  <c r="IG82" i="1" s="1"/>
  <c r="IF83" i="1"/>
  <c r="IG83" i="1" s="1"/>
  <c r="IF84" i="1"/>
  <c r="IG84" i="1" s="1"/>
  <c r="IF86" i="1"/>
  <c r="IG86" i="1" s="1"/>
  <c r="IF88" i="1"/>
  <c r="IG88" i="1" s="1"/>
  <c r="IF89" i="1"/>
  <c r="IG89" i="1" s="1"/>
  <c r="IF90" i="1"/>
  <c r="IG90" i="1" s="1"/>
  <c r="IF91" i="1"/>
  <c r="IG91" i="1" s="1"/>
  <c r="IF92" i="1"/>
  <c r="IG92" i="1" s="1"/>
  <c r="IF3" i="1"/>
  <c r="IG3" i="1" s="1"/>
  <c r="ID4" i="1"/>
  <c r="IE4" i="1" s="1"/>
  <c r="ID5" i="1"/>
  <c r="IE5" i="1" s="1"/>
  <c r="ID6" i="1"/>
  <c r="IE6" i="1" s="1"/>
  <c r="ID7" i="1"/>
  <c r="IE7" i="1" s="1"/>
  <c r="ID8" i="1"/>
  <c r="IE8" i="1" s="1"/>
  <c r="ID9" i="1"/>
  <c r="IE9" i="1" s="1"/>
  <c r="ID10" i="1"/>
  <c r="IE10" i="1" s="1"/>
  <c r="ID11" i="1"/>
  <c r="IE11" i="1" s="1"/>
  <c r="ID12" i="1"/>
  <c r="IE12" i="1" s="1"/>
  <c r="ID14" i="1"/>
  <c r="IE14" i="1" s="1"/>
  <c r="ID16" i="1"/>
  <c r="IE16" i="1" s="1"/>
  <c r="ID17" i="1"/>
  <c r="IE17" i="1" s="1"/>
  <c r="ID18" i="1"/>
  <c r="IE18" i="1" s="1"/>
  <c r="ID19" i="1"/>
  <c r="IE19" i="1" s="1"/>
  <c r="ID20" i="1"/>
  <c r="IE20" i="1" s="1"/>
  <c r="ID22" i="1"/>
  <c r="IE22" i="1" s="1"/>
  <c r="ID23" i="1"/>
  <c r="IE23" i="1" s="1"/>
  <c r="ID24" i="1"/>
  <c r="IE24" i="1" s="1"/>
  <c r="ID25" i="1"/>
  <c r="IE25" i="1" s="1"/>
  <c r="ID26" i="1"/>
  <c r="IE26" i="1" s="1"/>
  <c r="ID27" i="1"/>
  <c r="IE27" i="1" s="1"/>
  <c r="ID28" i="1"/>
  <c r="IE28" i="1" s="1"/>
  <c r="ID29" i="1"/>
  <c r="IE29" i="1" s="1"/>
  <c r="ID30" i="1"/>
  <c r="IE30" i="1" s="1"/>
  <c r="ID31" i="1"/>
  <c r="IE31" i="1" s="1"/>
  <c r="ID32" i="1"/>
  <c r="IE32" i="1" s="1"/>
  <c r="ID33" i="1"/>
  <c r="IE33" i="1" s="1"/>
  <c r="ID34" i="1"/>
  <c r="IE34" i="1" s="1"/>
  <c r="ID35" i="1"/>
  <c r="IE35" i="1" s="1"/>
  <c r="ID36" i="1"/>
  <c r="IE36" i="1" s="1"/>
  <c r="ID37" i="1"/>
  <c r="IE37" i="1" s="1"/>
  <c r="ID38" i="1"/>
  <c r="IE38" i="1" s="1"/>
  <c r="ID39" i="1"/>
  <c r="IE39" i="1" s="1"/>
  <c r="ID40" i="1"/>
  <c r="IE40" i="1" s="1"/>
  <c r="ID41" i="1"/>
  <c r="IE41" i="1" s="1"/>
  <c r="ID42" i="1"/>
  <c r="IE42" i="1" s="1"/>
  <c r="ID43" i="1"/>
  <c r="IE43" i="1" s="1"/>
  <c r="ID44" i="1"/>
  <c r="IE44" i="1" s="1"/>
  <c r="ID45" i="1"/>
  <c r="IE45" i="1" s="1"/>
  <c r="ID46" i="1"/>
  <c r="IE46" i="1" s="1"/>
  <c r="ID47" i="1"/>
  <c r="IE47" i="1" s="1"/>
  <c r="ID48" i="1"/>
  <c r="IE48" i="1" s="1"/>
  <c r="ID49" i="1"/>
  <c r="IE49" i="1" s="1"/>
  <c r="ID50" i="1"/>
  <c r="IE50" i="1" s="1"/>
  <c r="ID52" i="1"/>
  <c r="IE52" i="1" s="1"/>
  <c r="ID53" i="1"/>
  <c r="IE53" i="1" s="1"/>
  <c r="ID54" i="1"/>
  <c r="IE54" i="1" s="1"/>
  <c r="ID55" i="1"/>
  <c r="IE55" i="1" s="1"/>
  <c r="ID56" i="1"/>
  <c r="IE56" i="1" s="1"/>
  <c r="ID57" i="1"/>
  <c r="IE57" i="1" s="1"/>
  <c r="ID58" i="1"/>
  <c r="IE58" i="1" s="1"/>
  <c r="ID59" i="1"/>
  <c r="IE59" i="1" s="1"/>
  <c r="ID60" i="1"/>
  <c r="IE60" i="1" s="1"/>
  <c r="ID63" i="1"/>
  <c r="IE63" i="1" s="1"/>
  <c r="ID64" i="1"/>
  <c r="IE64" i="1" s="1"/>
  <c r="ID65" i="1"/>
  <c r="IE65" i="1" s="1"/>
  <c r="ID66" i="1"/>
  <c r="IE66" i="1" s="1"/>
  <c r="ID67" i="1"/>
  <c r="IE67" i="1" s="1"/>
  <c r="ID68" i="1"/>
  <c r="IE68" i="1" s="1"/>
  <c r="ID69" i="1"/>
  <c r="IE69" i="1" s="1"/>
  <c r="ID70" i="1"/>
  <c r="IE70" i="1" s="1"/>
  <c r="ID71" i="1"/>
  <c r="IE71" i="1" s="1"/>
  <c r="ID72" i="1"/>
  <c r="IE72" i="1" s="1"/>
  <c r="ID73" i="1"/>
  <c r="IE73" i="1" s="1"/>
  <c r="ID74" i="1"/>
  <c r="IE74" i="1" s="1"/>
  <c r="ID75" i="1"/>
  <c r="IE75" i="1" s="1"/>
  <c r="ID76" i="1"/>
  <c r="IE76" i="1" s="1"/>
  <c r="ID77" i="1"/>
  <c r="IE77" i="1" s="1"/>
  <c r="ID78" i="1"/>
  <c r="IE78" i="1" s="1"/>
  <c r="ID79" i="1"/>
  <c r="IE79" i="1" s="1"/>
  <c r="ID80" i="1"/>
  <c r="IE80" i="1" s="1"/>
  <c r="ID81" i="1"/>
  <c r="IE81" i="1" s="1"/>
  <c r="ID82" i="1"/>
  <c r="IE82" i="1" s="1"/>
  <c r="ID83" i="1"/>
  <c r="IE83" i="1" s="1"/>
  <c r="ID84" i="1"/>
  <c r="IE84" i="1" s="1"/>
  <c r="ID87" i="1"/>
  <c r="IE87" i="1" s="1"/>
  <c r="ID88" i="1"/>
  <c r="IE88" i="1" s="1"/>
  <c r="ID89" i="1"/>
  <c r="IE89" i="1" s="1"/>
  <c r="ID90" i="1"/>
  <c r="IE90" i="1" s="1"/>
  <c r="ID91" i="1"/>
  <c r="IE91" i="1" s="1"/>
  <c r="ID92" i="1"/>
  <c r="IE92" i="1" s="1"/>
  <c r="ID3" i="1"/>
  <c r="IE3" i="1" s="1"/>
  <c r="IB4" i="1"/>
  <c r="IC4" i="1" s="1"/>
  <c r="IB5" i="1"/>
  <c r="IC5" i="1" s="1"/>
  <c r="IB6" i="1"/>
  <c r="IC6" i="1" s="1"/>
  <c r="IB7" i="1"/>
  <c r="IC7" i="1" s="1"/>
  <c r="IB8" i="1"/>
  <c r="IC8" i="1" s="1"/>
  <c r="IB9" i="1"/>
  <c r="IC9" i="1" s="1"/>
  <c r="IB10" i="1"/>
  <c r="IC10" i="1" s="1"/>
  <c r="IB11" i="1"/>
  <c r="IC11" i="1" s="1"/>
  <c r="IB12" i="1"/>
  <c r="IC12" i="1" s="1"/>
  <c r="IB13" i="1"/>
  <c r="IC13" i="1" s="1"/>
  <c r="IB14" i="1"/>
  <c r="IC14" i="1" s="1"/>
  <c r="IB15" i="1"/>
  <c r="IC15" i="1" s="1"/>
  <c r="IB16" i="1"/>
  <c r="IC16" i="1" s="1"/>
  <c r="IB17" i="1"/>
  <c r="IC17" i="1" s="1"/>
  <c r="IB18" i="1"/>
  <c r="IC18" i="1" s="1"/>
  <c r="IB19" i="1"/>
  <c r="IC19" i="1" s="1"/>
  <c r="IB20" i="1"/>
  <c r="IC20" i="1" s="1"/>
  <c r="IB21" i="1"/>
  <c r="IC21" i="1" s="1"/>
  <c r="IB22" i="1"/>
  <c r="IC22" i="1" s="1"/>
  <c r="IB23" i="1"/>
  <c r="IC23" i="1" s="1"/>
  <c r="IB24" i="1"/>
  <c r="IC24" i="1" s="1"/>
  <c r="IB25" i="1"/>
  <c r="IC25" i="1" s="1"/>
  <c r="IB26" i="1"/>
  <c r="IC26" i="1" s="1"/>
  <c r="IB27" i="1"/>
  <c r="IC27" i="1" s="1"/>
  <c r="IB28" i="1"/>
  <c r="IC28" i="1" s="1"/>
  <c r="IB29" i="1"/>
  <c r="IC29" i="1" s="1"/>
  <c r="IB30" i="1"/>
  <c r="IC30" i="1" s="1"/>
  <c r="IB31" i="1"/>
  <c r="IC31" i="1" s="1"/>
  <c r="IB32" i="1"/>
  <c r="IC32" i="1" s="1"/>
  <c r="IB33" i="1"/>
  <c r="IC33" i="1" s="1"/>
  <c r="IB34" i="1"/>
  <c r="IC34" i="1" s="1"/>
  <c r="IB35" i="1"/>
  <c r="IC35" i="1" s="1"/>
  <c r="IB36" i="1"/>
  <c r="IC36" i="1" s="1"/>
  <c r="IB37" i="1"/>
  <c r="IC37" i="1" s="1"/>
  <c r="IB38" i="1"/>
  <c r="IC38" i="1" s="1"/>
  <c r="IB39" i="1"/>
  <c r="IC39" i="1" s="1"/>
  <c r="IB40" i="1"/>
  <c r="IC40" i="1" s="1"/>
  <c r="IB41" i="1"/>
  <c r="IC41" i="1" s="1"/>
  <c r="IB42" i="1"/>
  <c r="IC42" i="1" s="1"/>
  <c r="IB43" i="1"/>
  <c r="IC43" i="1" s="1"/>
  <c r="IB44" i="1"/>
  <c r="IC44" i="1" s="1"/>
  <c r="IB45" i="1"/>
  <c r="IC45" i="1" s="1"/>
  <c r="IB46" i="1"/>
  <c r="IC46" i="1" s="1"/>
  <c r="IB47" i="1"/>
  <c r="IC47" i="1" s="1"/>
  <c r="IB48" i="1"/>
  <c r="IC48" i="1" s="1"/>
  <c r="IB49" i="1"/>
  <c r="IC49" i="1" s="1"/>
  <c r="IB50" i="1"/>
  <c r="IC50" i="1" s="1"/>
  <c r="IB51" i="1"/>
  <c r="IC51" i="1" s="1"/>
  <c r="IB52" i="1"/>
  <c r="IC52" i="1" s="1"/>
  <c r="IB53" i="1"/>
  <c r="IC53" i="1" s="1"/>
  <c r="IB54" i="1"/>
  <c r="IC54" i="1" s="1"/>
  <c r="IB55" i="1"/>
  <c r="IC55" i="1" s="1"/>
  <c r="IB56" i="1"/>
  <c r="IC56" i="1" s="1"/>
  <c r="IB57" i="1"/>
  <c r="IC57" i="1" s="1"/>
  <c r="IB58" i="1"/>
  <c r="IC58" i="1" s="1"/>
  <c r="IB59" i="1"/>
  <c r="IC59" i="1" s="1"/>
  <c r="IB60" i="1"/>
  <c r="IC60" i="1" s="1"/>
  <c r="IB61" i="1"/>
  <c r="IC61" i="1" s="1"/>
  <c r="IB62" i="1"/>
  <c r="IC62" i="1" s="1"/>
  <c r="IB63" i="1"/>
  <c r="IC63" i="1" s="1"/>
  <c r="IB64" i="1"/>
  <c r="IC64" i="1" s="1"/>
  <c r="IB65" i="1"/>
  <c r="IC65" i="1" s="1"/>
  <c r="IB66" i="1"/>
  <c r="IC66" i="1" s="1"/>
  <c r="IB67" i="1"/>
  <c r="IC67" i="1" s="1"/>
  <c r="IB68" i="1"/>
  <c r="IC68" i="1" s="1"/>
  <c r="IB69" i="1"/>
  <c r="IC69" i="1" s="1"/>
  <c r="IB70" i="1"/>
  <c r="IC70" i="1" s="1"/>
  <c r="IB71" i="1"/>
  <c r="IC71" i="1" s="1"/>
  <c r="IB72" i="1"/>
  <c r="IC72" i="1" s="1"/>
  <c r="IB73" i="1"/>
  <c r="IC73" i="1" s="1"/>
  <c r="IB74" i="1"/>
  <c r="IC74" i="1" s="1"/>
  <c r="IB76" i="1"/>
  <c r="IC76" i="1" s="1"/>
  <c r="IB77" i="1"/>
  <c r="IC77" i="1" s="1"/>
  <c r="IB78" i="1"/>
  <c r="IC78" i="1" s="1"/>
  <c r="IB79" i="1"/>
  <c r="IC79" i="1" s="1"/>
  <c r="IB80" i="1"/>
  <c r="IC80" i="1" s="1"/>
  <c r="IB81" i="1"/>
  <c r="IC81" i="1" s="1"/>
  <c r="IB82" i="1"/>
  <c r="IC82" i="1" s="1"/>
  <c r="IB83" i="1"/>
  <c r="IC83" i="1" s="1"/>
  <c r="IB84" i="1"/>
  <c r="IC84" i="1" s="1"/>
  <c r="IB85" i="1"/>
  <c r="IC85" i="1" s="1"/>
  <c r="IB86" i="1"/>
  <c r="IC86" i="1" s="1"/>
  <c r="IB87" i="1"/>
  <c r="IC87" i="1" s="1"/>
  <c r="IB88" i="1"/>
  <c r="IC88" i="1" s="1"/>
  <c r="IB89" i="1"/>
  <c r="IC89" i="1" s="1"/>
  <c r="IB90" i="1"/>
  <c r="IC90" i="1" s="1"/>
  <c r="IB91" i="1"/>
  <c r="IC91" i="1" s="1"/>
  <c r="IB92" i="1"/>
  <c r="IC92" i="1" s="1"/>
  <c r="IB3" i="1"/>
  <c r="IC3" i="1" s="1"/>
  <c r="HZ4" i="1"/>
  <c r="IA4" i="1" s="1"/>
  <c r="HZ5" i="1"/>
  <c r="IA5" i="1" s="1"/>
  <c r="HZ6" i="1"/>
  <c r="IA6" i="1" s="1"/>
  <c r="HZ7" i="1"/>
  <c r="IA7" i="1" s="1"/>
  <c r="HZ8" i="1"/>
  <c r="IA8" i="1" s="1"/>
  <c r="HZ9" i="1"/>
  <c r="IA9" i="1" s="1"/>
  <c r="HZ10" i="1"/>
  <c r="IA10" i="1" s="1"/>
  <c r="HZ11" i="1"/>
  <c r="IA11" i="1" s="1"/>
  <c r="HZ12" i="1"/>
  <c r="IA12" i="1" s="1"/>
  <c r="HZ13" i="1"/>
  <c r="IA13" i="1" s="1"/>
  <c r="HZ14" i="1"/>
  <c r="IA14" i="1" s="1"/>
  <c r="HZ15" i="1"/>
  <c r="IA15" i="1" s="1"/>
  <c r="HZ16" i="1"/>
  <c r="IA16" i="1" s="1"/>
  <c r="HZ17" i="1"/>
  <c r="IA17" i="1" s="1"/>
  <c r="HZ18" i="1"/>
  <c r="IA18" i="1" s="1"/>
  <c r="HZ19" i="1"/>
  <c r="IA19" i="1" s="1"/>
  <c r="HZ20" i="1"/>
  <c r="IA20" i="1" s="1"/>
  <c r="HZ21" i="1"/>
  <c r="IA21" i="1" s="1"/>
  <c r="HZ22" i="1"/>
  <c r="IA22" i="1" s="1"/>
  <c r="HZ23" i="1"/>
  <c r="IA23" i="1" s="1"/>
  <c r="HZ24" i="1"/>
  <c r="IA24" i="1" s="1"/>
  <c r="HZ25" i="1"/>
  <c r="IA25" i="1" s="1"/>
  <c r="HZ26" i="1"/>
  <c r="IA26" i="1" s="1"/>
  <c r="HZ27" i="1"/>
  <c r="IA27" i="1" s="1"/>
  <c r="HZ28" i="1"/>
  <c r="IA28" i="1" s="1"/>
  <c r="HZ29" i="1"/>
  <c r="IA29" i="1" s="1"/>
  <c r="HZ30" i="1"/>
  <c r="IA30" i="1" s="1"/>
  <c r="HZ31" i="1"/>
  <c r="IA31" i="1" s="1"/>
  <c r="HZ32" i="1"/>
  <c r="IA32" i="1" s="1"/>
  <c r="HZ33" i="1"/>
  <c r="IA33" i="1" s="1"/>
  <c r="HZ34" i="1"/>
  <c r="IA34" i="1" s="1"/>
  <c r="HZ35" i="1"/>
  <c r="IA35" i="1" s="1"/>
  <c r="HZ36" i="1"/>
  <c r="IA36" i="1" s="1"/>
  <c r="HZ37" i="1"/>
  <c r="IA37" i="1" s="1"/>
  <c r="HZ38" i="1"/>
  <c r="IA38" i="1" s="1"/>
  <c r="HZ39" i="1"/>
  <c r="IA39" i="1" s="1"/>
  <c r="HZ40" i="1"/>
  <c r="IA40" i="1" s="1"/>
  <c r="HZ41" i="1"/>
  <c r="IA41" i="1" s="1"/>
  <c r="HZ42" i="1"/>
  <c r="IA42" i="1" s="1"/>
  <c r="HZ43" i="1"/>
  <c r="IA43" i="1" s="1"/>
  <c r="HZ44" i="1"/>
  <c r="IA44" i="1" s="1"/>
  <c r="HZ45" i="1"/>
  <c r="IA45" i="1" s="1"/>
  <c r="HZ46" i="1"/>
  <c r="IA46" i="1" s="1"/>
  <c r="HZ47" i="1"/>
  <c r="IA47" i="1" s="1"/>
  <c r="HZ48" i="1"/>
  <c r="IA48" i="1" s="1"/>
  <c r="HZ49" i="1"/>
  <c r="IA49" i="1" s="1"/>
  <c r="HZ50" i="1"/>
  <c r="IA50" i="1" s="1"/>
  <c r="HZ52" i="1"/>
  <c r="IA52" i="1" s="1"/>
  <c r="HZ53" i="1"/>
  <c r="IA53" i="1" s="1"/>
  <c r="HZ54" i="1"/>
  <c r="IA54" i="1" s="1"/>
  <c r="HZ55" i="1"/>
  <c r="IA55" i="1" s="1"/>
  <c r="HZ56" i="1"/>
  <c r="IA56" i="1" s="1"/>
  <c r="HZ57" i="1"/>
  <c r="IA57" i="1" s="1"/>
  <c r="HZ58" i="1"/>
  <c r="IA58" i="1" s="1"/>
  <c r="HZ59" i="1"/>
  <c r="IA59" i="1" s="1"/>
  <c r="HZ60" i="1"/>
  <c r="IA60" i="1" s="1"/>
  <c r="HZ61" i="1"/>
  <c r="IA61" i="1" s="1"/>
  <c r="HZ62" i="1"/>
  <c r="IA62" i="1" s="1"/>
  <c r="HZ63" i="1"/>
  <c r="IA63" i="1" s="1"/>
  <c r="HZ64" i="1"/>
  <c r="IA64" i="1" s="1"/>
  <c r="HZ65" i="1"/>
  <c r="IA65" i="1" s="1"/>
  <c r="HZ66" i="1"/>
  <c r="IA66" i="1" s="1"/>
  <c r="HZ67" i="1"/>
  <c r="IA67" i="1" s="1"/>
  <c r="HZ68" i="1"/>
  <c r="IA68" i="1" s="1"/>
  <c r="HZ69" i="1"/>
  <c r="IA69" i="1" s="1"/>
  <c r="HZ70" i="1"/>
  <c r="IA70" i="1" s="1"/>
  <c r="HZ71" i="1"/>
  <c r="IA71" i="1" s="1"/>
  <c r="HZ72" i="1"/>
  <c r="IA72" i="1" s="1"/>
  <c r="HZ73" i="1"/>
  <c r="IA73" i="1" s="1"/>
  <c r="HZ74" i="1"/>
  <c r="IA74" i="1" s="1"/>
  <c r="HZ75" i="1"/>
  <c r="IA75" i="1" s="1"/>
  <c r="HZ76" i="1"/>
  <c r="IA76" i="1" s="1"/>
  <c r="HZ77" i="1"/>
  <c r="IA77" i="1" s="1"/>
  <c r="HZ78" i="1"/>
  <c r="IA78" i="1" s="1"/>
  <c r="HZ79" i="1"/>
  <c r="IA79" i="1" s="1"/>
  <c r="HZ80" i="1"/>
  <c r="IA80" i="1" s="1"/>
  <c r="HZ81" i="1"/>
  <c r="IA81" i="1" s="1"/>
  <c r="HZ82" i="1"/>
  <c r="IA82" i="1" s="1"/>
  <c r="HZ83" i="1"/>
  <c r="IA83" i="1" s="1"/>
  <c r="HZ84" i="1"/>
  <c r="IA84" i="1" s="1"/>
  <c r="HZ85" i="1"/>
  <c r="IA85" i="1" s="1"/>
  <c r="HZ86" i="1"/>
  <c r="IA86" i="1" s="1"/>
  <c r="HZ87" i="1"/>
  <c r="IA87" i="1" s="1"/>
  <c r="HZ88" i="1"/>
  <c r="IA88" i="1" s="1"/>
  <c r="HZ89" i="1"/>
  <c r="IA89" i="1" s="1"/>
  <c r="HZ90" i="1"/>
  <c r="IA90" i="1" s="1"/>
  <c r="HZ91" i="1"/>
  <c r="IA91" i="1" s="1"/>
  <c r="HZ92" i="1"/>
  <c r="IA92" i="1" s="1"/>
  <c r="HZ3" i="1"/>
  <c r="IA3" i="1" s="1"/>
  <c r="HX4" i="1"/>
  <c r="HY4" i="1" s="1"/>
  <c r="HX5" i="1"/>
  <c r="HY5" i="1" s="1"/>
  <c r="HX6" i="1"/>
  <c r="HY6" i="1" s="1"/>
  <c r="HX7" i="1"/>
  <c r="HY7" i="1" s="1"/>
  <c r="HX8" i="1"/>
  <c r="HY8" i="1" s="1"/>
  <c r="HX9" i="1"/>
  <c r="HY9" i="1" s="1"/>
  <c r="HX10" i="1"/>
  <c r="HY10" i="1" s="1"/>
  <c r="HX11" i="1"/>
  <c r="HY11" i="1" s="1"/>
  <c r="HX12" i="1"/>
  <c r="HY12" i="1" s="1"/>
  <c r="HX13" i="1"/>
  <c r="HY13" i="1" s="1"/>
  <c r="HX14" i="1"/>
  <c r="HY14" i="1" s="1"/>
  <c r="HX15" i="1"/>
  <c r="HY15" i="1" s="1"/>
  <c r="HX16" i="1"/>
  <c r="HY16" i="1" s="1"/>
  <c r="HX17" i="1"/>
  <c r="HY17" i="1" s="1"/>
  <c r="HX18" i="1"/>
  <c r="HY18" i="1" s="1"/>
  <c r="HX19" i="1"/>
  <c r="HY19" i="1" s="1"/>
  <c r="HX20" i="1"/>
  <c r="HY20" i="1" s="1"/>
  <c r="HX21" i="1"/>
  <c r="HY21" i="1" s="1"/>
  <c r="HX22" i="1"/>
  <c r="HY22" i="1" s="1"/>
  <c r="HX23" i="1"/>
  <c r="HY23" i="1" s="1"/>
  <c r="HX24" i="1"/>
  <c r="HY24" i="1" s="1"/>
  <c r="HX25" i="1"/>
  <c r="HY25" i="1" s="1"/>
  <c r="HX26" i="1"/>
  <c r="HY26" i="1" s="1"/>
  <c r="HX27" i="1"/>
  <c r="HY27" i="1" s="1"/>
  <c r="HX28" i="1"/>
  <c r="HY28" i="1" s="1"/>
  <c r="HX29" i="1"/>
  <c r="HY29" i="1" s="1"/>
  <c r="HX30" i="1"/>
  <c r="HY30" i="1" s="1"/>
  <c r="HX31" i="1"/>
  <c r="HY31" i="1" s="1"/>
  <c r="HX32" i="1"/>
  <c r="HY32" i="1" s="1"/>
  <c r="HX33" i="1"/>
  <c r="HY33" i="1" s="1"/>
  <c r="HX34" i="1"/>
  <c r="HY34" i="1" s="1"/>
  <c r="HX35" i="1"/>
  <c r="HY35" i="1" s="1"/>
  <c r="HX36" i="1"/>
  <c r="HY36" i="1" s="1"/>
  <c r="HX37" i="1"/>
  <c r="HY37" i="1" s="1"/>
  <c r="HX38" i="1"/>
  <c r="HY38" i="1" s="1"/>
  <c r="HX39" i="1"/>
  <c r="HY39" i="1" s="1"/>
  <c r="HX40" i="1"/>
  <c r="HY40" i="1" s="1"/>
  <c r="HX41" i="1"/>
  <c r="HY41" i="1" s="1"/>
  <c r="HX42" i="1"/>
  <c r="HY42" i="1" s="1"/>
  <c r="HX43" i="1"/>
  <c r="HY43" i="1" s="1"/>
  <c r="HX44" i="1"/>
  <c r="HY44" i="1" s="1"/>
  <c r="HX46" i="1"/>
  <c r="HY46" i="1" s="1"/>
  <c r="HX47" i="1"/>
  <c r="HY47" i="1" s="1"/>
  <c r="HX48" i="1"/>
  <c r="HY48" i="1" s="1"/>
  <c r="HX49" i="1"/>
  <c r="HY49" i="1" s="1"/>
  <c r="HX50" i="1"/>
  <c r="HY50" i="1" s="1"/>
  <c r="HX52" i="1"/>
  <c r="HY52" i="1" s="1"/>
  <c r="HX53" i="1"/>
  <c r="HY53" i="1" s="1"/>
  <c r="HX54" i="1"/>
  <c r="HY54" i="1" s="1"/>
  <c r="HX55" i="1"/>
  <c r="HY55" i="1" s="1"/>
  <c r="HX56" i="1"/>
  <c r="HY56" i="1" s="1"/>
  <c r="HX57" i="1"/>
  <c r="HY57" i="1" s="1"/>
  <c r="HX58" i="1"/>
  <c r="HY58" i="1" s="1"/>
  <c r="HX59" i="1"/>
  <c r="HY59" i="1" s="1"/>
  <c r="HX60" i="1"/>
  <c r="HY60" i="1" s="1"/>
  <c r="HX61" i="1"/>
  <c r="HY61" i="1" s="1"/>
  <c r="HX62" i="1"/>
  <c r="HY62" i="1" s="1"/>
  <c r="HX63" i="1"/>
  <c r="HY63" i="1" s="1"/>
  <c r="HX64" i="1"/>
  <c r="HY64" i="1" s="1"/>
  <c r="HX65" i="1"/>
  <c r="HY65" i="1" s="1"/>
  <c r="HX66" i="1"/>
  <c r="HY66" i="1" s="1"/>
  <c r="HX67" i="1"/>
  <c r="HY67" i="1" s="1"/>
  <c r="HX68" i="1"/>
  <c r="HY68" i="1" s="1"/>
  <c r="HX69" i="1"/>
  <c r="HY69" i="1" s="1"/>
  <c r="HX70" i="1"/>
  <c r="HY70" i="1" s="1"/>
  <c r="HX71" i="1"/>
  <c r="HY71" i="1" s="1"/>
  <c r="HX72" i="1"/>
  <c r="HY72" i="1" s="1"/>
  <c r="HX73" i="1"/>
  <c r="HY73" i="1" s="1"/>
  <c r="HX74" i="1"/>
  <c r="HY74" i="1" s="1"/>
  <c r="HX75" i="1"/>
  <c r="HY75" i="1" s="1"/>
  <c r="HX76" i="1"/>
  <c r="HY76" i="1" s="1"/>
  <c r="HX77" i="1"/>
  <c r="HY77" i="1" s="1"/>
  <c r="HX78" i="1"/>
  <c r="HY78" i="1" s="1"/>
  <c r="HX79" i="1"/>
  <c r="HY79" i="1" s="1"/>
  <c r="HX80" i="1"/>
  <c r="HY80" i="1" s="1"/>
  <c r="HX81" i="1"/>
  <c r="HY81" i="1" s="1"/>
  <c r="HX82" i="1"/>
  <c r="HY82" i="1" s="1"/>
  <c r="HX83" i="1"/>
  <c r="HY83" i="1" s="1"/>
  <c r="HX84" i="1"/>
  <c r="HY84" i="1" s="1"/>
  <c r="HX85" i="1"/>
  <c r="HY85" i="1" s="1"/>
  <c r="HX86" i="1"/>
  <c r="HY86" i="1" s="1"/>
  <c r="HX87" i="1"/>
  <c r="HY87" i="1" s="1"/>
  <c r="HX88" i="1"/>
  <c r="HY88" i="1" s="1"/>
  <c r="HX89" i="1"/>
  <c r="HY89" i="1" s="1"/>
  <c r="HX90" i="1"/>
  <c r="HY90" i="1" s="1"/>
  <c r="HX91" i="1"/>
  <c r="HY91" i="1" s="1"/>
  <c r="HX92" i="1"/>
  <c r="HY92" i="1" s="1"/>
  <c r="HX3" i="1"/>
  <c r="HY3" i="1" s="1"/>
  <c r="HV4" i="1"/>
  <c r="HW4" i="1" s="1"/>
  <c r="HV5" i="1"/>
  <c r="HW5" i="1" s="1"/>
  <c r="HV6" i="1"/>
  <c r="HW6" i="1" s="1"/>
  <c r="HV7" i="1"/>
  <c r="HW7" i="1" s="1"/>
  <c r="HV8" i="1"/>
  <c r="HW8" i="1" s="1"/>
  <c r="HV9" i="1"/>
  <c r="HW9" i="1" s="1"/>
  <c r="HV10" i="1"/>
  <c r="HW10" i="1" s="1"/>
  <c r="HV11" i="1"/>
  <c r="HW11" i="1" s="1"/>
  <c r="HV12" i="1"/>
  <c r="HW12" i="1" s="1"/>
  <c r="HV13" i="1"/>
  <c r="HW13" i="1" s="1"/>
  <c r="HV14" i="1"/>
  <c r="HW14" i="1" s="1"/>
  <c r="HV15" i="1"/>
  <c r="HW15" i="1" s="1"/>
  <c r="HV16" i="1"/>
  <c r="HW16" i="1" s="1"/>
  <c r="HV17" i="1"/>
  <c r="HW17" i="1" s="1"/>
  <c r="HV18" i="1"/>
  <c r="HW18" i="1" s="1"/>
  <c r="HV19" i="1"/>
  <c r="HW19" i="1" s="1"/>
  <c r="HV20" i="1"/>
  <c r="HW20" i="1" s="1"/>
  <c r="HV21" i="1"/>
  <c r="HW21" i="1" s="1"/>
  <c r="HV22" i="1"/>
  <c r="HW22" i="1" s="1"/>
  <c r="HV23" i="1"/>
  <c r="HW23" i="1" s="1"/>
  <c r="HV24" i="1"/>
  <c r="HW24" i="1" s="1"/>
  <c r="HV25" i="1"/>
  <c r="HW25" i="1" s="1"/>
  <c r="HV26" i="1"/>
  <c r="HW26" i="1" s="1"/>
  <c r="HV27" i="1"/>
  <c r="HW27" i="1" s="1"/>
  <c r="HV28" i="1"/>
  <c r="HW28" i="1" s="1"/>
  <c r="HV29" i="1"/>
  <c r="HW29" i="1" s="1"/>
  <c r="HV30" i="1"/>
  <c r="HW30" i="1" s="1"/>
  <c r="HV31" i="1"/>
  <c r="HW31" i="1" s="1"/>
  <c r="HV32" i="1"/>
  <c r="HW32" i="1" s="1"/>
  <c r="HV33" i="1"/>
  <c r="HW33" i="1" s="1"/>
  <c r="HV34" i="1"/>
  <c r="HW34" i="1" s="1"/>
  <c r="HV35" i="1"/>
  <c r="HW35" i="1" s="1"/>
  <c r="HV36" i="1"/>
  <c r="HW36" i="1" s="1"/>
  <c r="HV37" i="1"/>
  <c r="HW37" i="1" s="1"/>
  <c r="HV38" i="1"/>
  <c r="HW38" i="1" s="1"/>
  <c r="HV39" i="1"/>
  <c r="HW39" i="1" s="1"/>
  <c r="HV40" i="1"/>
  <c r="HW40" i="1" s="1"/>
  <c r="HV41" i="1"/>
  <c r="HW41" i="1" s="1"/>
  <c r="HV42" i="1"/>
  <c r="HW42" i="1" s="1"/>
  <c r="HV43" i="1"/>
  <c r="HW43" i="1" s="1"/>
  <c r="HV44" i="1"/>
  <c r="HW44" i="1" s="1"/>
  <c r="HV45" i="1"/>
  <c r="HW45" i="1" s="1"/>
  <c r="HV46" i="1"/>
  <c r="HW46" i="1" s="1"/>
  <c r="HV47" i="1"/>
  <c r="HW47" i="1" s="1"/>
  <c r="HV48" i="1"/>
  <c r="HW48" i="1" s="1"/>
  <c r="HV49" i="1"/>
  <c r="HW49" i="1" s="1"/>
  <c r="HV50" i="1"/>
  <c r="HW50" i="1" s="1"/>
  <c r="HV52" i="1"/>
  <c r="HW52" i="1" s="1"/>
  <c r="HV53" i="1"/>
  <c r="HW53" i="1" s="1"/>
  <c r="HV54" i="1"/>
  <c r="HW54" i="1" s="1"/>
  <c r="HV55" i="1"/>
  <c r="HW55" i="1" s="1"/>
  <c r="HV56" i="1"/>
  <c r="HW56" i="1" s="1"/>
  <c r="HV57" i="1"/>
  <c r="HW57" i="1" s="1"/>
  <c r="HV58" i="1"/>
  <c r="HW58" i="1" s="1"/>
  <c r="HV59" i="1"/>
  <c r="HW59" i="1" s="1"/>
  <c r="HV60" i="1"/>
  <c r="HW60" i="1" s="1"/>
  <c r="HV61" i="1"/>
  <c r="HW61" i="1" s="1"/>
  <c r="HV62" i="1"/>
  <c r="HW62" i="1" s="1"/>
  <c r="HV63" i="1"/>
  <c r="HW63" i="1" s="1"/>
  <c r="HV64" i="1"/>
  <c r="HW64" i="1" s="1"/>
  <c r="HV65" i="1"/>
  <c r="HW65" i="1" s="1"/>
  <c r="HV66" i="1"/>
  <c r="HW66" i="1" s="1"/>
  <c r="HV67" i="1"/>
  <c r="HW67" i="1" s="1"/>
  <c r="HV68" i="1"/>
  <c r="HW68" i="1" s="1"/>
  <c r="HV69" i="1"/>
  <c r="HW69" i="1" s="1"/>
  <c r="HV70" i="1"/>
  <c r="HW70" i="1" s="1"/>
  <c r="HV71" i="1"/>
  <c r="HW71" i="1" s="1"/>
  <c r="HV72" i="1"/>
  <c r="HW72" i="1" s="1"/>
  <c r="HV73" i="1"/>
  <c r="HW73" i="1" s="1"/>
  <c r="HV75" i="1"/>
  <c r="HW75" i="1" s="1"/>
  <c r="HV76" i="1"/>
  <c r="HW76" i="1" s="1"/>
  <c r="HV77" i="1"/>
  <c r="HW77" i="1" s="1"/>
  <c r="HV78" i="1"/>
  <c r="HW78" i="1" s="1"/>
  <c r="HV79" i="1"/>
  <c r="HW79" i="1" s="1"/>
  <c r="HV80" i="1"/>
  <c r="HW80" i="1" s="1"/>
  <c r="HV81" i="1"/>
  <c r="HW81" i="1" s="1"/>
  <c r="HV82" i="1"/>
  <c r="HW82" i="1" s="1"/>
  <c r="HV83" i="1"/>
  <c r="HW83" i="1" s="1"/>
  <c r="HV84" i="1"/>
  <c r="HW84" i="1" s="1"/>
  <c r="HV85" i="1"/>
  <c r="HW85" i="1" s="1"/>
  <c r="HV86" i="1"/>
  <c r="HW86" i="1" s="1"/>
  <c r="HV87" i="1"/>
  <c r="HW87" i="1" s="1"/>
  <c r="HV88" i="1"/>
  <c r="HW88" i="1" s="1"/>
  <c r="HV89" i="1"/>
  <c r="HW89" i="1" s="1"/>
  <c r="HV90" i="1"/>
  <c r="HW90" i="1" s="1"/>
  <c r="HV91" i="1"/>
  <c r="HW91" i="1" s="1"/>
  <c r="HV92" i="1"/>
  <c r="HW92" i="1" s="1"/>
  <c r="HV3" i="1"/>
  <c r="HW3" i="1" s="1"/>
  <c r="HT4" i="1"/>
  <c r="HU4" i="1" s="1"/>
  <c r="HT5" i="1"/>
  <c r="HU5" i="1" s="1"/>
  <c r="HT6" i="1"/>
  <c r="HU6" i="1" s="1"/>
  <c r="HT7" i="1"/>
  <c r="HU7" i="1" s="1"/>
  <c r="HT8" i="1"/>
  <c r="HU8" i="1" s="1"/>
  <c r="HT9" i="1"/>
  <c r="HU9" i="1" s="1"/>
  <c r="HT10" i="1"/>
  <c r="HU10" i="1" s="1"/>
  <c r="HT11" i="1"/>
  <c r="HU11" i="1" s="1"/>
  <c r="HT12" i="1"/>
  <c r="HU12" i="1" s="1"/>
  <c r="HT13" i="1"/>
  <c r="HU13" i="1" s="1"/>
  <c r="HT14" i="1"/>
  <c r="HU14" i="1" s="1"/>
  <c r="HT15" i="1"/>
  <c r="HU15" i="1" s="1"/>
  <c r="HT16" i="1"/>
  <c r="HU16" i="1" s="1"/>
  <c r="HT17" i="1"/>
  <c r="HU17" i="1" s="1"/>
  <c r="HT18" i="1"/>
  <c r="HU18" i="1" s="1"/>
  <c r="HT19" i="1"/>
  <c r="HU19" i="1" s="1"/>
  <c r="HT20" i="1"/>
  <c r="HU20" i="1" s="1"/>
  <c r="HT21" i="1"/>
  <c r="HU21" i="1" s="1"/>
  <c r="HT22" i="1"/>
  <c r="HU22" i="1" s="1"/>
  <c r="HT23" i="1"/>
  <c r="HU23" i="1" s="1"/>
  <c r="HT24" i="1"/>
  <c r="HU24" i="1" s="1"/>
  <c r="HT25" i="1"/>
  <c r="HU25" i="1" s="1"/>
  <c r="HT26" i="1"/>
  <c r="HU26" i="1" s="1"/>
  <c r="HT27" i="1"/>
  <c r="HU27" i="1" s="1"/>
  <c r="HT28" i="1"/>
  <c r="HU28" i="1" s="1"/>
  <c r="HT29" i="1"/>
  <c r="HU29" i="1" s="1"/>
  <c r="HT30" i="1"/>
  <c r="HU30" i="1" s="1"/>
  <c r="HT31" i="1"/>
  <c r="HU31" i="1" s="1"/>
  <c r="HT32" i="1"/>
  <c r="HU32" i="1" s="1"/>
  <c r="HT33" i="1"/>
  <c r="HU33" i="1" s="1"/>
  <c r="HT34" i="1"/>
  <c r="HU34" i="1" s="1"/>
  <c r="HT35" i="1"/>
  <c r="HU35" i="1" s="1"/>
  <c r="HT36" i="1"/>
  <c r="HU36" i="1" s="1"/>
  <c r="HT37" i="1"/>
  <c r="HU37" i="1" s="1"/>
  <c r="HT38" i="1"/>
  <c r="HU38" i="1" s="1"/>
  <c r="HT39" i="1"/>
  <c r="HU39" i="1" s="1"/>
  <c r="HT40" i="1"/>
  <c r="HU40" i="1" s="1"/>
  <c r="HT41" i="1"/>
  <c r="HU41" i="1" s="1"/>
  <c r="HT42" i="1"/>
  <c r="HU42" i="1" s="1"/>
  <c r="HT43" i="1"/>
  <c r="HU43" i="1" s="1"/>
  <c r="HT44" i="1"/>
  <c r="HU44" i="1" s="1"/>
  <c r="HT45" i="1"/>
  <c r="HU45" i="1" s="1"/>
  <c r="HT46" i="1"/>
  <c r="HU46" i="1" s="1"/>
  <c r="HT47" i="1"/>
  <c r="HU47" i="1" s="1"/>
  <c r="HT48" i="1"/>
  <c r="HU48" i="1" s="1"/>
  <c r="HT49" i="1"/>
  <c r="HU49" i="1" s="1"/>
  <c r="HT50" i="1"/>
  <c r="HU50" i="1" s="1"/>
  <c r="HT51" i="1"/>
  <c r="HU51" i="1" s="1"/>
  <c r="HT52" i="1"/>
  <c r="HU52" i="1" s="1"/>
  <c r="HT53" i="1"/>
  <c r="HU53" i="1" s="1"/>
  <c r="HT54" i="1"/>
  <c r="HU54" i="1" s="1"/>
  <c r="HT55" i="1"/>
  <c r="HU55" i="1" s="1"/>
  <c r="HT56" i="1"/>
  <c r="HU56" i="1" s="1"/>
  <c r="HT57" i="1"/>
  <c r="HU57" i="1" s="1"/>
  <c r="HT58" i="1"/>
  <c r="HU58" i="1" s="1"/>
  <c r="HT59" i="1"/>
  <c r="HU59" i="1" s="1"/>
  <c r="HT60" i="1"/>
  <c r="HU60" i="1" s="1"/>
  <c r="HT61" i="1"/>
  <c r="HU61" i="1" s="1"/>
  <c r="HT62" i="1"/>
  <c r="HU62" i="1" s="1"/>
  <c r="HT63" i="1"/>
  <c r="HU63" i="1" s="1"/>
  <c r="HT64" i="1"/>
  <c r="HU64" i="1" s="1"/>
  <c r="HT65" i="1"/>
  <c r="HU65" i="1" s="1"/>
  <c r="HT66" i="1"/>
  <c r="HU66" i="1" s="1"/>
  <c r="HT67" i="1"/>
  <c r="HU67" i="1" s="1"/>
  <c r="HT68" i="1"/>
  <c r="HU68" i="1" s="1"/>
  <c r="HT69" i="1"/>
  <c r="HU69" i="1" s="1"/>
  <c r="HT70" i="1"/>
  <c r="HU70" i="1" s="1"/>
  <c r="HT71" i="1"/>
  <c r="HU71" i="1" s="1"/>
  <c r="HT72" i="1"/>
  <c r="HU72" i="1" s="1"/>
  <c r="HT73" i="1"/>
  <c r="HU73" i="1" s="1"/>
  <c r="HT74" i="1"/>
  <c r="HU74" i="1" s="1"/>
  <c r="HT75" i="1"/>
  <c r="HU75" i="1" s="1"/>
  <c r="HT76" i="1"/>
  <c r="HU76" i="1" s="1"/>
  <c r="HT77" i="1"/>
  <c r="HU77" i="1" s="1"/>
  <c r="HT78" i="1"/>
  <c r="HU78" i="1" s="1"/>
  <c r="HT79" i="1"/>
  <c r="HU79" i="1" s="1"/>
  <c r="HT80" i="1"/>
  <c r="HU80" i="1" s="1"/>
  <c r="HT81" i="1"/>
  <c r="HU81" i="1" s="1"/>
  <c r="HT82" i="1"/>
  <c r="HU82" i="1" s="1"/>
  <c r="HT83" i="1"/>
  <c r="HU83" i="1" s="1"/>
  <c r="HT84" i="1"/>
  <c r="HU84" i="1" s="1"/>
  <c r="HT85" i="1"/>
  <c r="HU85" i="1" s="1"/>
  <c r="HT86" i="1"/>
  <c r="HU86" i="1" s="1"/>
  <c r="HT87" i="1"/>
  <c r="HU87" i="1" s="1"/>
  <c r="HT88" i="1"/>
  <c r="HU88" i="1" s="1"/>
  <c r="HT89" i="1"/>
  <c r="HU89" i="1" s="1"/>
  <c r="HT90" i="1"/>
  <c r="HU90" i="1" s="1"/>
  <c r="HT91" i="1"/>
  <c r="HU91" i="1" s="1"/>
  <c r="HT92" i="1"/>
  <c r="HU92" i="1" s="1"/>
  <c r="HT3" i="1"/>
  <c r="HU3" i="1" s="1"/>
  <c r="HR4" i="1"/>
  <c r="HS4" i="1" s="1"/>
  <c r="HR5" i="1"/>
  <c r="HS5" i="1" s="1"/>
  <c r="HR6" i="1"/>
  <c r="HS6" i="1" s="1"/>
  <c r="HR7" i="1"/>
  <c r="HS7" i="1" s="1"/>
  <c r="HR8" i="1"/>
  <c r="HS8" i="1" s="1"/>
  <c r="HR9" i="1"/>
  <c r="HS9" i="1" s="1"/>
  <c r="HR10" i="1"/>
  <c r="HS10" i="1" s="1"/>
  <c r="HR11" i="1"/>
  <c r="HS11" i="1" s="1"/>
  <c r="HR12" i="1"/>
  <c r="HS12" i="1" s="1"/>
  <c r="HR13" i="1"/>
  <c r="HS13" i="1" s="1"/>
  <c r="HR14" i="1"/>
  <c r="HS14" i="1" s="1"/>
  <c r="HR15" i="1"/>
  <c r="HS15" i="1" s="1"/>
  <c r="HR16" i="1"/>
  <c r="HS16" i="1" s="1"/>
  <c r="HR17" i="1"/>
  <c r="HS17" i="1" s="1"/>
  <c r="HR18" i="1"/>
  <c r="HS18" i="1" s="1"/>
  <c r="HR19" i="1"/>
  <c r="HS19" i="1" s="1"/>
  <c r="HR20" i="1"/>
  <c r="HS20" i="1" s="1"/>
  <c r="HR21" i="1"/>
  <c r="HS21" i="1" s="1"/>
  <c r="HR22" i="1"/>
  <c r="HS22" i="1" s="1"/>
  <c r="HR23" i="1"/>
  <c r="HS23" i="1" s="1"/>
  <c r="HR24" i="1"/>
  <c r="HS24" i="1" s="1"/>
  <c r="HR25" i="1"/>
  <c r="HS25" i="1" s="1"/>
  <c r="HR26" i="1"/>
  <c r="HS26" i="1" s="1"/>
  <c r="HR27" i="1"/>
  <c r="HS27" i="1" s="1"/>
  <c r="HR28" i="1"/>
  <c r="HS28" i="1" s="1"/>
  <c r="HR29" i="1"/>
  <c r="HS29" i="1" s="1"/>
  <c r="HR30" i="1"/>
  <c r="HS30" i="1" s="1"/>
  <c r="HR31" i="1"/>
  <c r="HS31" i="1" s="1"/>
  <c r="HR32" i="1"/>
  <c r="HS32" i="1" s="1"/>
  <c r="HR33" i="1"/>
  <c r="HS33" i="1" s="1"/>
  <c r="HR34" i="1"/>
  <c r="HS34" i="1" s="1"/>
  <c r="HR35" i="1"/>
  <c r="HS35" i="1" s="1"/>
  <c r="HR36" i="1"/>
  <c r="HS36" i="1" s="1"/>
  <c r="HR37" i="1"/>
  <c r="HS37" i="1" s="1"/>
  <c r="HR38" i="1"/>
  <c r="HS38" i="1" s="1"/>
  <c r="HR39" i="1"/>
  <c r="HS39" i="1" s="1"/>
  <c r="HR40" i="1"/>
  <c r="HS40" i="1" s="1"/>
  <c r="HR41" i="1"/>
  <c r="HS41" i="1" s="1"/>
  <c r="HR42" i="1"/>
  <c r="HS42" i="1" s="1"/>
  <c r="HR43" i="1"/>
  <c r="HS43" i="1" s="1"/>
  <c r="HR44" i="1"/>
  <c r="HS44" i="1" s="1"/>
  <c r="HR45" i="1"/>
  <c r="HS45" i="1" s="1"/>
  <c r="HR46" i="1"/>
  <c r="HS46" i="1" s="1"/>
  <c r="HR47" i="1"/>
  <c r="HS47" i="1" s="1"/>
  <c r="HR48" i="1"/>
  <c r="HS48" i="1" s="1"/>
  <c r="HR49" i="1"/>
  <c r="HS49" i="1" s="1"/>
  <c r="HR50" i="1"/>
  <c r="HS50" i="1" s="1"/>
  <c r="HR51" i="1"/>
  <c r="HS51" i="1" s="1"/>
  <c r="HR52" i="1"/>
  <c r="HS52" i="1" s="1"/>
  <c r="HR53" i="1"/>
  <c r="HS53" i="1" s="1"/>
  <c r="HR54" i="1"/>
  <c r="HS54" i="1" s="1"/>
  <c r="HR55" i="1"/>
  <c r="HS55" i="1" s="1"/>
  <c r="HR56" i="1"/>
  <c r="HS56" i="1" s="1"/>
  <c r="HR57" i="1"/>
  <c r="HS57" i="1" s="1"/>
  <c r="HR58" i="1"/>
  <c r="HS58" i="1" s="1"/>
  <c r="HR59" i="1"/>
  <c r="HS59" i="1" s="1"/>
  <c r="HR60" i="1"/>
  <c r="HS60" i="1" s="1"/>
  <c r="HR61" i="1"/>
  <c r="HS61" i="1" s="1"/>
  <c r="HR62" i="1"/>
  <c r="HS62" i="1" s="1"/>
  <c r="HR63" i="1"/>
  <c r="HS63" i="1" s="1"/>
  <c r="HR64" i="1"/>
  <c r="HS64" i="1" s="1"/>
  <c r="HR65" i="1"/>
  <c r="HS65" i="1" s="1"/>
  <c r="HR66" i="1"/>
  <c r="HS66" i="1" s="1"/>
  <c r="HR67" i="1"/>
  <c r="HS67" i="1" s="1"/>
  <c r="HR68" i="1"/>
  <c r="HS68" i="1" s="1"/>
  <c r="HR69" i="1"/>
  <c r="HS69" i="1" s="1"/>
  <c r="HR70" i="1"/>
  <c r="HS70" i="1" s="1"/>
  <c r="HR71" i="1"/>
  <c r="HS71" i="1" s="1"/>
  <c r="HR72" i="1"/>
  <c r="HS72" i="1" s="1"/>
  <c r="HR73" i="1"/>
  <c r="HS73" i="1" s="1"/>
  <c r="HR74" i="1"/>
  <c r="HS74" i="1" s="1"/>
  <c r="HR75" i="1"/>
  <c r="HS75" i="1" s="1"/>
  <c r="HR76" i="1"/>
  <c r="HS76" i="1" s="1"/>
  <c r="HR77" i="1"/>
  <c r="HS77" i="1" s="1"/>
  <c r="HR78" i="1"/>
  <c r="HS78" i="1" s="1"/>
  <c r="HR79" i="1"/>
  <c r="HS79" i="1" s="1"/>
  <c r="HR80" i="1"/>
  <c r="HS80" i="1" s="1"/>
  <c r="HR81" i="1"/>
  <c r="HS81" i="1" s="1"/>
  <c r="HR82" i="1"/>
  <c r="HS82" i="1" s="1"/>
  <c r="HR83" i="1"/>
  <c r="HS83" i="1" s="1"/>
  <c r="HR84" i="1"/>
  <c r="HS84" i="1" s="1"/>
  <c r="HR85" i="1"/>
  <c r="HS85" i="1" s="1"/>
  <c r="HR86" i="1"/>
  <c r="HS86" i="1" s="1"/>
  <c r="HR87" i="1"/>
  <c r="HS87" i="1" s="1"/>
  <c r="HR88" i="1"/>
  <c r="HS88" i="1" s="1"/>
  <c r="HR89" i="1"/>
  <c r="HS89" i="1" s="1"/>
  <c r="HR90" i="1"/>
  <c r="HS90" i="1" s="1"/>
  <c r="HR91" i="1"/>
  <c r="HS91" i="1" s="1"/>
  <c r="HR92" i="1"/>
  <c r="HS92" i="1" s="1"/>
  <c r="HR3" i="1"/>
  <c r="HS3" i="1" s="1"/>
  <c r="HP4" i="1"/>
  <c r="HQ4" i="1" s="1"/>
  <c r="HP5" i="1"/>
  <c r="HQ5" i="1" s="1"/>
  <c r="HP6" i="1"/>
  <c r="HQ6" i="1" s="1"/>
  <c r="HP7" i="1"/>
  <c r="HQ7" i="1" s="1"/>
  <c r="HP8" i="1"/>
  <c r="HQ8" i="1" s="1"/>
  <c r="HP9" i="1"/>
  <c r="HQ9" i="1" s="1"/>
  <c r="HP10" i="1"/>
  <c r="HQ10" i="1" s="1"/>
  <c r="HP11" i="1"/>
  <c r="HQ11" i="1" s="1"/>
  <c r="HP12" i="1"/>
  <c r="HQ12" i="1" s="1"/>
  <c r="HP13" i="1"/>
  <c r="HQ13" i="1" s="1"/>
  <c r="HP14" i="1"/>
  <c r="HQ14" i="1" s="1"/>
  <c r="HP15" i="1"/>
  <c r="HQ15" i="1" s="1"/>
  <c r="HP16" i="1"/>
  <c r="HQ16" i="1" s="1"/>
  <c r="HP17" i="1"/>
  <c r="HQ17" i="1" s="1"/>
  <c r="HP18" i="1"/>
  <c r="HQ18" i="1" s="1"/>
  <c r="HP19" i="1"/>
  <c r="HQ19" i="1" s="1"/>
  <c r="HP20" i="1"/>
  <c r="HQ20" i="1" s="1"/>
  <c r="HP21" i="1"/>
  <c r="HQ21" i="1" s="1"/>
  <c r="HP22" i="1"/>
  <c r="HQ22" i="1" s="1"/>
  <c r="HP23" i="1"/>
  <c r="HQ23" i="1" s="1"/>
  <c r="HP24" i="1"/>
  <c r="HQ24" i="1" s="1"/>
  <c r="HP25" i="1"/>
  <c r="HQ25" i="1" s="1"/>
  <c r="HP26" i="1"/>
  <c r="HQ26" i="1" s="1"/>
  <c r="HP27" i="1"/>
  <c r="HQ27" i="1" s="1"/>
  <c r="HP28" i="1"/>
  <c r="HQ28" i="1" s="1"/>
  <c r="HP29" i="1"/>
  <c r="HQ29" i="1" s="1"/>
  <c r="HP30" i="1"/>
  <c r="HQ30" i="1" s="1"/>
  <c r="HP31" i="1"/>
  <c r="HQ31" i="1" s="1"/>
  <c r="HP32" i="1"/>
  <c r="HQ32" i="1" s="1"/>
  <c r="HP33" i="1"/>
  <c r="HQ33" i="1" s="1"/>
  <c r="HP34" i="1"/>
  <c r="HQ34" i="1" s="1"/>
  <c r="HP35" i="1"/>
  <c r="HQ35" i="1" s="1"/>
  <c r="HP36" i="1"/>
  <c r="HQ36" i="1" s="1"/>
  <c r="HP37" i="1"/>
  <c r="HQ37" i="1" s="1"/>
  <c r="HP38" i="1"/>
  <c r="HQ38" i="1" s="1"/>
  <c r="HP39" i="1"/>
  <c r="HQ39" i="1" s="1"/>
  <c r="HP40" i="1"/>
  <c r="HQ40" i="1" s="1"/>
  <c r="HP41" i="1"/>
  <c r="HQ41" i="1" s="1"/>
  <c r="HP42" i="1"/>
  <c r="HQ42" i="1" s="1"/>
  <c r="HP43" i="1"/>
  <c r="HQ43" i="1" s="1"/>
  <c r="HP44" i="1"/>
  <c r="HQ44" i="1" s="1"/>
  <c r="HP45" i="1"/>
  <c r="HQ45" i="1" s="1"/>
  <c r="HP46" i="1"/>
  <c r="HQ46" i="1" s="1"/>
  <c r="HP47" i="1"/>
  <c r="HQ47" i="1" s="1"/>
  <c r="HP48" i="1"/>
  <c r="HQ48" i="1" s="1"/>
  <c r="HP49" i="1"/>
  <c r="HQ49" i="1" s="1"/>
  <c r="HP50" i="1"/>
  <c r="HQ50" i="1" s="1"/>
  <c r="HP51" i="1"/>
  <c r="HQ51" i="1" s="1"/>
  <c r="HP52" i="1"/>
  <c r="HQ52" i="1" s="1"/>
  <c r="HP53" i="1"/>
  <c r="HQ53" i="1" s="1"/>
  <c r="HP54" i="1"/>
  <c r="HQ54" i="1" s="1"/>
  <c r="HP55" i="1"/>
  <c r="HQ55" i="1" s="1"/>
  <c r="HP56" i="1"/>
  <c r="HQ56" i="1" s="1"/>
  <c r="HP57" i="1"/>
  <c r="HQ57" i="1" s="1"/>
  <c r="HP58" i="1"/>
  <c r="HQ58" i="1" s="1"/>
  <c r="HP59" i="1"/>
  <c r="HQ59" i="1" s="1"/>
  <c r="HP60" i="1"/>
  <c r="HQ60" i="1" s="1"/>
  <c r="HP61" i="1"/>
  <c r="HQ61" i="1" s="1"/>
  <c r="HP62" i="1"/>
  <c r="HQ62" i="1" s="1"/>
  <c r="HP63" i="1"/>
  <c r="HQ63" i="1" s="1"/>
  <c r="HP64" i="1"/>
  <c r="HQ64" i="1" s="1"/>
  <c r="HP65" i="1"/>
  <c r="HQ65" i="1" s="1"/>
  <c r="HP66" i="1"/>
  <c r="HQ66" i="1" s="1"/>
  <c r="HP67" i="1"/>
  <c r="HQ67" i="1" s="1"/>
  <c r="HP68" i="1"/>
  <c r="HQ68" i="1" s="1"/>
  <c r="HP69" i="1"/>
  <c r="HQ69" i="1" s="1"/>
  <c r="HP70" i="1"/>
  <c r="HQ70" i="1" s="1"/>
  <c r="HP71" i="1"/>
  <c r="HQ71" i="1" s="1"/>
  <c r="HP72" i="1"/>
  <c r="HQ72" i="1" s="1"/>
  <c r="HP73" i="1"/>
  <c r="HQ73" i="1" s="1"/>
  <c r="HP74" i="1"/>
  <c r="HQ74" i="1" s="1"/>
  <c r="HP75" i="1"/>
  <c r="HQ75" i="1" s="1"/>
  <c r="HP76" i="1"/>
  <c r="HQ76" i="1" s="1"/>
  <c r="HP77" i="1"/>
  <c r="HQ77" i="1" s="1"/>
  <c r="HP78" i="1"/>
  <c r="HQ78" i="1" s="1"/>
  <c r="HP79" i="1"/>
  <c r="HQ79" i="1" s="1"/>
  <c r="HP80" i="1"/>
  <c r="HQ80" i="1" s="1"/>
  <c r="HP81" i="1"/>
  <c r="HQ81" i="1" s="1"/>
  <c r="HP82" i="1"/>
  <c r="HQ82" i="1" s="1"/>
  <c r="HP83" i="1"/>
  <c r="HQ83" i="1" s="1"/>
  <c r="HP84" i="1"/>
  <c r="HQ84" i="1" s="1"/>
  <c r="HP85" i="1"/>
  <c r="HQ85" i="1" s="1"/>
  <c r="HP86" i="1"/>
  <c r="HQ86" i="1" s="1"/>
  <c r="HP87" i="1"/>
  <c r="HQ87" i="1" s="1"/>
  <c r="HP88" i="1"/>
  <c r="HQ88" i="1" s="1"/>
  <c r="HP89" i="1"/>
  <c r="HQ89" i="1" s="1"/>
  <c r="HP90" i="1"/>
  <c r="HQ90" i="1" s="1"/>
  <c r="HP91" i="1"/>
  <c r="HQ91" i="1" s="1"/>
  <c r="HP92" i="1"/>
  <c r="HQ92" i="1" s="1"/>
  <c r="HP3" i="1"/>
  <c r="HQ3" i="1" s="1"/>
  <c r="HN4" i="1"/>
  <c r="HO4" i="1" s="1"/>
  <c r="HN5" i="1"/>
  <c r="HO5" i="1" s="1"/>
  <c r="HN6" i="1"/>
  <c r="HO6" i="1" s="1"/>
  <c r="HN7" i="1"/>
  <c r="HO7" i="1" s="1"/>
  <c r="HN8" i="1"/>
  <c r="HO8" i="1" s="1"/>
  <c r="HN9" i="1"/>
  <c r="HO9" i="1" s="1"/>
  <c r="HN10" i="1"/>
  <c r="HO10" i="1" s="1"/>
  <c r="HN11" i="1"/>
  <c r="HO11" i="1" s="1"/>
  <c r="HN12" i="1"/>
  <c r="HO12" i="1" s="1"/>
  <c r="HN13" i="1"/>
  <c r="HO13" i="1" s="1"/>
  <c r="HN14" i="1"/>
  <c r="HO14" i="1" s="1"/>
  <c r="HN15" i="1"/>
  <c r="HO15" i="1" s="1"/>
  <c r="HN16" i="1"/>
  <c r="HO16" i="1" s="1"/>
  <c r="HN17" i="1"/>
  <c r="HO17" i="1" s="1"/>
  <c r="HN18" i="1"/>
  <c r="HO18" i="1" s="1"/>
  <c r="HN19" i="1"/>
  <c r="HO19" i="1" s="1"/>
  <c r="HN20" i="1"/>
  <c r="HO20" i="1" s="1"/>
  <c r="HN21" i="1"/>
  <c r="HO21" i="1" s="1"/>
  <c r="HN22" i="1"/>
  <c r="HO22" i="1" s="1"/>
  <c r="HN23" i="1"/>
  <c r="HO23" i="1" s="1"/>
  <c r="HN24" i="1"/>
  <c r="HO24" i="1" s="1"/>
  <c r="HN25" i="1"/>
  <c r="HO25" i="1" s="1"/>
  <c r="HN26" i="1"/>
  <c r="HO26" i="1" s="1"/>
  <c r="HN27" i="1"/>
  <c r="HO27" i="1" s="1"/>
  <c r="HN28" i="1"/>
  <c r="HO28" i="1" s="1"/>
  <c r="HN29" i="1"/>
  <c r="HO29" i="1" s="1"/>
  <c r="HN30" i="1"/>
  <c r="HO30" i="1" s="1"/>
  <c r="HN31" i="1"/>
  <c r="HO31" i="1" s="1"/>
  <c r="HN32" i="1"/>
  <c r="HO32" i="1" s="1"/>
  <c r="HN33" i="1"/>
  <c r="HO33" i="1" s="1"/>
  <c r="HN34" i="1"/>
  <c r="HO34" i="1" s="1"/>
  <c r="HN35" i="1"/>
  <c r="HO35" i="1" s="1"/>
  <c r="HN36" i="1"/>
  <c r="HO36" i="1" s="1"/>
  <c r="HN37" i="1"/>
  <c r="HO37" i="1" s="1"/>
  <c r="HN38" i="1"/>
  <c r="HO38" i="1" s="1"/>
  <c r="HN39" i="1"/>
  <c r="HO39" i="1" s="1"/>
  <c r="HN40" i="1"/>
  <c r="HO40" i="1" s="1"/>
  <c r="HN41" i="1"/>
  <c r="HO41" i="1" s="1"/>
  <c r="HN42" i="1"/>
  <c r="HO42" i="1" s="1"/>
  <c r="HN43" i="1"/>
  <c r="HO43" i="1" s="1"/>
  <c r="HN44" i="1"/>
  <c r="HO44" i="1" s="1"/>
  <c r="HN45" i="1"/>
  <c r="HO45" i="1" s="1"/>
  <c r="HN46" i="1"/>
  <c r="HO46" i="1" s="1"/>
  <c r="HN47" i="1"/>
  <c r="HO47" i="1" s="1"/>
  <c r="HN48" i="1"/>
  <c r="HO48" i="1" s="1"/>
  <c r="HN49" i="1"/>
  <c r="HO49" i="1" s="1"/>
  <c r="HN50" i="1"/>
  <c r="HO50" i="1" s="1"/>
  <c r="HN51" i="1"/>
  <c r="HO51" i="1" s="1"/>
  <c r="HN52" i="1"/>
  <c r="HO52" i="1" s="1"/>
  <c r="HN53" i="1"/>
  <c r="HO53" i="1" s="1"/>
  <c r="HN54" i="1"/>
  <c r="HO54" i="1" s="1"/>
  <c r="HN55" i="1"/>
  <c r="HO55" i="1" s="1"/>
  <c r="HN56" i="1"/>
  <c r="HO56" i="1" s="1"/>
  <c r="HN57" i="1"/>
  <c r="HO57" i="1" s="1"/>
  <c r="HN58" i="1"/>
  <c r="HO58" i="1" s="1"/>
  <c r="HN59" i="1"/>
  <c r="HO59" i="1" s="1"/>
  <c r="HN60" i="1"/>
  <c r="HO60" i="1" s="1"/>
  <c r="HN61" i="1"/>
  <c r="HO61" i="1" s="1"/>
  <c r="HN62" i="1"/>
  <c r="HO62" i="1" s="1"/>
  <c r="HN63" i="1"/>
  <c r="HO63" i="1" s="1"/>
  <c r="HN64" i="1"/>
  <c r="HO64" i="1" s="1"/>
  <c r="HN65" i="1"/>
  <c r="HO65" i="1" s="1"/>
  <c r="HN66" i="1"/>
  <c r="HO66" i="1" s="1"/>
  <c r="HN67" i="1"/>
  <c r="HO67" i="1" s="1"/>
  <c r="HN68" i="1"/>
  <c r="HO68" i="1" s="1"/>
  <c r="HN69" i="1"/>
  <c r="HO69" i="1" s="1"/>
  <c r="HN70" i="1"/>
  <c r="HO70" i="1" s="1"/>
  <c r="HN71" i="1"/>
  <c r="HO71" i="1" s="1"/>
  <c r="HN72" i="1"/>
  <c r="HO72" i="1" s="1"/>
  <c r="HN73" i="1"/>
  <c r="HO73" i="1" s="1"/>
  <c r="HN75" i="1"/>
  <c r="HO75" i="1" s="1"/>
  <c r="HN76" i="1"/>
  <c r="HO76" i="1" s="1"/>
  <c r="HN77" i="1"/>
  <c r="HO77" i="1" s="1"/>
  <c r="HN78" i="1"/>
  <c r="HO78" i="1" s="1"/>
  <c r="HN79" i="1"/>
  <c r="HO79" i="1" s="1"/>
  <c r="HN80" i="1"/>
  <c r="HO80" i="1" s="1"/>
  <c r="HN81" i="1"/>
  <c r="HO81" i="1" s="1"/>
  <c r="HN82" i="1"/>
  <c r="HO82" i="1" s="1"/>
  <c r="HN83" i="1"/>
  <c r="HO83" i="1" s="1"/>
  <c r="HN84" i="1"/>
  <c r="HO84" i="1" s="1"/>
  <c r="HN85" i="1"/>
  <c r="HO85" i="1" s="1"/>
  <c r="HN86" i="1"/>
  <c r="HO86" i="1" s="1"/>
  <c r="HN87" i="1"/>
  <c r="HO87" i="1" s="1"/>
  <c r="HN88" i="1"/>
  <c r="HO88" i="1" s="1"/>
  <c r="HN89" i="1"/>
  <c r="HO89" i="1" s="1"/>
  <c r="HN90" i="1"/>
  <c r="HO90" i="1" s="1"/>
  <c r="HN91" i="1"/>
  <c r="HO91" i="1" s="1"/>
  <c r="HN92" i="1"/>
  <c r="HO92" i="1" s="1"/>
  <c r="HN3" i="1"/>
  <c r="HO3" i="1" s="1"/>
  <c r="HL4" i="1"/>
  <c r="HM4" i="1" s="1"/>
  <c r="HL5" i="1"/>
  <c r="HM5" i="1" s="1"/>
  <c r="HL6" i="1"/>
  <c r="HM6" i="1" s="1"/>
  <c r="HL7" i="1"/>
  <c r="HM7" i="1" s="1"/>
  <c r="HL8" i="1"/>
  <c r="HM8" i="1" s="1"/>
  <c r="HL9" i="1"/>
  <c r="HM9" i="1" s="1"/>
  <c r="HL10" i="1"/>
  <c r="HM10" i="1" s="1"/>
  <c r="HL12" i="1"/>
  <c r="HM12" i="1" s="1"/>
  <c r="HL13" i="1"/>
  <c r="HM13" i="1" s="1"/>
  <c r="HL14" i="1"/>
  <c r="HM14" i="1" s="1"/>
  <c r="HL15" i="1"/>
  <c r="HM15" i="1" s="1"/>
  <c r="HL16" i="1"/>
  <c r="HM16" i="1" s="1"/>
  <c r="HL17" i="1"/>
  <c r="HM17" i="1" s="1"/>
  <c r="HL18" i="1"/>
  <c r="HM18" i="1" s="1"/>
  <c r="HL19" i="1"/>
  <c r="HM19" i="1" s="1"/>
  <c r="HL20" i="1"/>
  <c r="HM20" i="1" s="1"/>
  <c r="HL21" i="1"/>
  <c r="HM21" i="1" s="1"/>
  <c r="HL22" i="1"/>
  <c r="HM22" i="1" s="1"/>
  <c r="HL23" i="1"/>
  <c r="HM23" i="1" s="1"/>
  <c r="HL24" i="1"/>
  <c r="HM24" i="1" s="1"/>
  <c r="HL25" i="1"/>
  <c r="HM25" i="1" s="1"/>
  <c r="HL26" i="1"/>
  <c r="HM26" i="1" s="1"/>
  <c r="HL27" i="1"/>
  <c r="HM27" i="1" s="1"/>
  <c r="HL28" i="1"/>
  <c r="HM28" i="1" s="1"/>
  <c r="HL29" i="1"/>
  <c r="HM29" i="1" s="1"/>
  <c r="HL30" i="1"/>
  <c r="HM30" i="1" s="1"/>
  <c r="HL31" i="1"/>
  <c r="HM31" i="1" s="1"/>
  <c r="HL32" i="1"/>
  <c r="HM32" i="1" s="1"/>
  <c r="HL33" i="1"/>
  <c r="HM33" i="1" s="1"/>
  <c r="HL34" i="1"/>
  <c r="HM34" i="1" s="1"/>
  <c r="HL35" i="1"/>
  <c r="HM35" i="1" s="1"/>
  <c r="HL36" i="1"/>
  <c r="HM36" i="1" s="1"/>
  <c r="HL37" i="1"/>
  <c r="HM37" i="1" s="1"/>
  <c r="HL38" i="1"/>
  <c r="HM38" i="1" s="1"/>
  <c r="HL39" i="1"/>
  <c r="HM39" i="1" s="1"/>
  <c r="HL40" i="1"/>
  <c r="HM40" i="1" s="1"/>
  <c r="HL41" i="1"/>
  <c r="HM41" i="1" s="1"/>
  <c r="HL42" i="1"/>
  <c r="HM42" i="1" s="1"/>
  <c r="HL43" i="1"/>
  <c r="HM43" i="1" s="1"/>
  <c r="HL44" i="1"/>
  <c r="HM44" i="1" s="1"/>
  <c r="HL46" i="1"/>
  <c r="HM46" i="1" s="1"/>
  <c r="HL47" i="1"/>
  <c r="HM47" i="1" s="1"/>
  <c r="HL48" i="1"/>
  <c r="HM48" i="1" s="1"/>
  <c r="HL49" i="1"/>
  <c r="HM49" i="1" s="1"/>
  <c r="HL50" i="1"/>
  <c r="HM50" i="1" s="1"/>
  <c r="HL52" i="1"/>
  <c r="HM52" i="1" s="1"/>
  <c r="HL53" i="1"/>
  <c r="HM53" i="1" s="1"/>
  <c r="HL54" i="1"/>
  <c r="HM54" i="1" s="1"/>
  <c r="HL55" i="1"/>
  <c r="HM55" i="1" s="1"/>
  <c r="HL56" i="1"/>
  <c r="HM56" i="1" s="1"/>
  <c r="HL57" i="1"/>
  <c r="HM57" i="1" s="1"/>
  <c r="HL58" i="1"/>
  <c r="HM58" i="1" s="1"/>
  <c r="HL59" i="1"/>
  <c r="HM59" i="1" s="1"/>
  <c r="HL60" i="1"/>
  <c r="HM60" i="1" s="1"/>
  <c r="HL61" i="1"/>
  <c r="HM61" i="1" s="1"/>
  <c r="HL62" i="1"/>
  <c r="HM62" i="1" s="1"/>
  <c r="HL63" i="1"/>
  <c r="HM63" i="1" s="1"/>
  <c r="HL64" i="1"/>
  <c r="HM64" i="1" s="1"/>
  <c r="HL65" i="1"/>
  <c r="HM65" i="1" s="1"/>
  <c r="HL66" i="1"/>
  <c r="HM66" i="1" s="1"/>
  <c r="HL67" i="1"/>
  <c r="HM67" i="1" s="1"/>
  <c r="HL68" i="1"/>
  <c r="HM68" i="1" s="1"/>
  <c r="HL69" i="1"/>
  <c r="HM69" i="1" s="1"/>
  <c r="HL70" i="1"/>
  <c r="HM70" i="1" s="1"/>
  <c r="HL71" i="1"/>
  <c r="HM71" i="1" s="1"/>
  <c r="HL72" i="1"/>
  <c r="HM72" i="1" s="1"/>
  <c r="HL73" i="1"/>
  <c r="HM73" i="1" s="1"/>
  <c r="HL74" i="1"/>
  <c r="HM74" i="1" s="1"/>
  <c r="HL75" i="1"/>
  <c r="HM75" i="1" s="1"/>
  <c r="HL76" i="1"/>
  <c r="HM76" i="1" s="1"/>
  <c r="HL77" i="1"/>
  <c r="HM77" i="1" s="1"/>
  <c r="HL78" i="1"/>
  <c r="HM78" i="1" s="1"/>
  <c r="HL79" i="1"/>
  <c r="HM79" i="1" s="1"/>
  <c r="HL80" i="1"/>
  <c r="HM80" i="1" s="1"/>
  <c r="HL81" i="1"/>
  <c r="HM81" i="1" s="1"/>
  <c r="HL82" i="1"/>
  <c r="HM82" i="1" s="1"/>
  <c r="HL83" i="1"/>
  <c r="HM83" i="1" s="1"/>
  <c r="HL84" i="1"/>
  <c r="HM84" i="1" s="1"/>
  <c r="HL85" i="1"/>
  <c r="HM85" i="1" s="1"/>
  <c r="HL86" i="1"/>
  <c r="HM86" i="1" s="1"/>
  <c r="HL87" i="1"/>
  <c r="HM87" i="1" s="1"/>
  <c r="HL88" i="1"/>
  <c r="HM88" i="1" s="1"/>
  <c r="HL89" i="1"/>
  <c r="HM89" i="1" s="1"/>
  <c r="HL90" i="1"/>
  <c r="HM90" i="1" s="1"/>
  <c r="HL91" i="1"/>
  <c r="HM91" i="1" s="1"/>
  <c r="HL92" i="1"/>
  <c r="HM92" i="1" s="1"/>
  <c r="HL3" i="1"/>
  <c r="HM3" i="1" s="1"/>
  <c r="HJ4" i="1"/>
  <c r="HK4" i="1" s="1"/>
  <c r="HJ5" i="1"/>
  <c r="HK5" i="1" s="1"/>
  <c r="HJ6" i="1"/>
  <c r="HK6" i="1" s="1"/>
  <c r="HJ7" i="1"/>
  <c r="HK7" i="1" s="1"/>
  <c r="HJ8" i="1"/>
  <c r="HK8" i="1" s="1"/>
  <c r="HJ9" i="1"/>
  <c r="HK9" i="1" s="1"/>
  <c r="HJ10" i="1"/>
  <c r="HK10" i="1" s="1"/>
  <c r="HJ11" i="1"/>
  <c r="HK11" i="1" s="1"/>
  <c r="HJ12" i="1"/>
  <c r="HK12" i="1" s="1"/>
  <c r="HJ13" i="1"/>
  <c r="HK13" i="1" s="1"/>
  <c r="HJ14" i="1"/>
  <c r="HK14" i="1" s="1"/>
  <c r="HJ15" i="1"/>
  <c r="HK15" i="1" s="1"/>
  <c r="HJ16" i="1"/>
  <c r="HK16" i="1" s="1"/>
  <c r="HJ17" i="1"/>
  <c r="HK17" i="1" s="1"/>
  <c r="HJ18" i="1"/>
  <c r="HK18" i="1" s="1"/>
  <c r="HJ19" i="1"/>
  <c r="HK19" i="1" s="1"/>
  <c r="HJ20" i="1"/>
  <c r="HK20" i="1" s="1"/>
  <c r="HJ21" i="1"/>
  <c r="HK21" i="1" s="1"/>
  <c r="HJ22" i="1"/>
  <c r="HK22" i="1" s="1"/>
  <c r="HJ23" i="1"/>
  <c r="HK23" i="1" s="1"/>
  <c r="HJ24" i="1"/>
  <c r="HK24" i="1" s="1"/>
  <c r="HJ25" i="1"/>
  <c r="HK25" i="1" s="1"/>
  <c r="HJ26" i="1"/>
  <c r="HK26" i="1" s="1"/>
  <c r="HJ27" i="1"/>
  <c r="HK27" i="1" s="1"/>
  <c r="HJ28" i="1"/>
  <c r="HK28" i="1" s="1"/>
  <c r="HJ29" i="1"/>
  <c r="HK29" i="1" s="1"/>
  <c r="HJ30" i="1"/>
  <c r="HK30" i="1" s="1"/>
  <c r="HJ31" i="1"/>
  <c r="HK31" i="1" s="1"/>
  <c r="HJ32" i="1"/>
  <c r="HK32" i="1" s="1"/>
  <c r="HJ33" i="1"/>
  <c r="HK33" i="1" s="1"/>
  <c r="HJ34" i="1"/>
  <c r="HK34" i="1" s="1"/>
  <c r="HJ35" i="1"/>
  <c r="HK35" i="1" s="1"/>
  <c r="HJ36" i="1"/>
  <c r="HK36" i="1" s="1"/>
  <c r="HJ37" i="1"/>
  <c r="HK37" i="1" s="1"/>
  <c r="HJ38" i="1"/>
  <c r="HK38" i="1" s="1"/>
  <c r="HJ39" i="1"/>
  <c r="HK39" i="1" s="1"/>
  <c r="HJ40" i="1"/>
  <c r="HK40" i="1" s="1"/>
  <c r="HJ41" i="1"/>
  <c r="HK41" i="1" s="1"/>
  <c r="HJ42" i="1"/>
  <c r="HK42" i="1" s="1"/>
  <c r="HJ43" i="1"/>
  <c r="HK43" i="1" s="1"/>
  <c r="HJ44" i="1"/>
  <c r="HK44" i="1" s="1"/>
  <c r="HJ46" i="1"/>
  <c r="HK46" i="1" s="1"/>
  <c r="HJ47" i="1"/>
  <c r="HK47" i="1" s="1"/>
  <c r="HJ48" i="1"/>
  <c r="HK48" i="1" s="1"/>
  <c r="HJ49" i="1"/>
  <c r="HK49" i="1" s="1"/>
  <c r="HJ50" i="1"/>
  <c r="HK50" i="1" s="1"/>
  <c r="HJ52" i="1"/>
  <c r="HK52" i="1" s="1"/>
  <c r="HJ53" i="1"/>
  <c r="HK53" i="1" s="1"/>
  <c r="HJ54" i="1"/>
  <c r="HK54" i="1" s="1"/>
  <c r="HJ55" i="1"/>
  <c r="HK55" i="1" s="1"/>
  <c r="HJ56" i="1"/>
  <c r="HK56" i="1" s="1"/>
  <c r="HJ57" i="1"/>
  <c r="HK57" i="1" s="1"/>
  <c r="HJ58" i="1"/>
  <c r="HK58" i="1" s="1"/>
  <c r="HJ59" i="1"/>
  <c r="HK59" i="1" s="1"/>
  <c r="HJ60" i="1"/>
  <c r="HK60" i="1" s="1"/>
  <c r="HJ61" i="1"/>
  <c r="HK61" i="1" s="1"/>
  <c r="HJ62" i="1"/>
  <c r="HK62" i="1" s="1"/>
  <c r="HJ63" i="1"/>
  <c r="HK63" i="1" s="1"/>
  <c r="HJ64" i="1"/>
  <c r="HK64" i="1" s="1"/>
  <c r="HJ65" i="1"/>
  <c r="HK65" i="1" s="1"/>
  <c r="HJ66" i="1"/>
  <c r="HK66" i="1" s="1"/>
  <c r="HJ67" i="1"/>
  <c r="HK67" i="1" s="1"/>
  <c r="HJ68" i="1"/>
  <c r="HK68" i="1" s="1"/>
  <c r="HJ69" i="1"/>
  <c r="HK69" i="1" s="1"/>
  <c r="HJ70" i="1"/>
  <c r="HK70" i="1" s="1"/>
  <c r="HJ71" i="1"/>
  <c r="HK71" i="1" s="1"/>
  <c r="HJ72" i="1"/>
  <c r="HK72" i="1" s="1"/>
  <c r="HJ74" i="1"/>
  <c r="HK74" i="1" s="1"/>
  <c r="HJ75" i="1"/>
  <c r="HK75" i="1" s="1"/>
  <c r="HJ76" i="1"/>
  <c r="HK76" i="1" s="1"/>
  <c r="HJ77" i="1"/>
  <c r="HK77" i="1" s="1"/>
  <c r="HJ78" i="1"/>
  <c r="HK78" i="1" s="1"/>
  <c r="HJ79" i="1"/>
  <c r="HK79" i="1" s="1"/>
  <c r="HJ80" i="1"/>
  <c r="HK80" i="1" s="1"/>
  <c r="HJ81" i="1"/>
  <c r="HK81" i="1" s="1"/>
  <c r="HJ82" i="1"/>
  <c r="HK82" i="1" s="1"/>
  <c r="HJ83" i="1"/>
  <c r="HK83" i="1" s="1"/>
  <c r="HJ84" i="1"/>
  <c r="HK84" i="1" s="1"/>
  <c r="HJ85" i="1"/>
  <c r="HK85" i="1" s="1"/>
  <c r="HJ86" i="1"/>
  <c r="HK86" i="1" s="1"/>
  <c r="HJ87" i="1"/>
  <c r="HK87" i="1" s="1"/>
  <c r="HJ88" i="1"/>
  <c r="HK88" i="1" s="1"/>
  <c r="HJ89" i="1"/>
  <c r="HK89" i="1" s="1"/>
  <c r="HJ90" i="1"/>
  <c r="HK90" i="1" s="1"/>
  <c r="HJ91" i="1"/>
  <c r="HK91" i="1" s="1"/>
  <c r="HJ92" i="1"/>
  <c r="HK92" i="1" s="1"/>
  <c r="HJ3" i="1"/>
  <c r="HK3" i="1" s="1"/>
  <c r="HH4" i="1"/>
  <c r="HI4" i="1" s="1"/>
  <c r="HH5" i="1"/>
  <c r="HI5" i="1" s="1"/>
  <c r="HH6" i="1"/>
  <c r="HI6" i="1" s="1"/>
  <c r="HH7" i="1"/>
  <c r="HI7" i="1" s="1"/>
  <c r="HH8" i="1"/>
  <c r="HI8" i="1" s="1"/>
  <c r="HH9" i="1"/>
  <c r="HI9" i="1" s="1"/>
  <c r="HH10" i="1"/>
  <c r="HI10" i="1" s="1"/>
  <c r="HH11" i="1"/>
  <c r="HI11" i="1" s="1"/>
  <c r="HH12" i="1"/>
  <c r="HI12" i="1" s="1"/>
  <c r="HH13" i="1"/>
  <c r="HI13" i="1" s="1"/>
  <c r="HH14" i="1"/>
  <c r="HI14" i="1" s="1"/>
  <c r="HH15" i="1"/>
  <c r="HI15" i="1" s="1"/>
  <c r="HH16" i="1"/>
  <c r="HI16" i="1" s="1"/>
  <c r="HH17" i="1"/>
  <c r="HI17" i="1" s="1"/>
  <c r="HH18" i="1"/>
  <c r="HI18" i="1" s="1"/>
  <c r="HH19" i="1"/>
  <c r="HI19" i="1" s="1"/>
  <c r="HH20" i="1"/>
  <c r="HI20" i="1" s="1"/>
  <c r="HH21" i="1"/>
  <c r="HI21" i="1" s="1"/>
  <c r="HH22" i="1"/>
  <c r="HI22" i="1" s="1"/>
  <c r="HH23" i="1"/>
  <c r="HI23" i="1" s="1"/>
  <c r="HH24" i="1"/>
  <c r="HI24" i="1" s="1"/>
  <c r="HH25" i="1"/>
  <c r="HI25" i="1" s="1"/>
  <c r="HH26" i="1"/>
  <c r="HI26" i="1" s="1"/>
  <c r="HH27" i="1"/>
  <c r="HI27" i="1" s="1"/>
  <c r="HH28" i="1"/>
  <c r="HI28" i="1" s="1"/>
  <c r="HH29" i="1"/>
  <c r="HI29" i="1" s="1"/>
  <c r="HH30" i="1"/>
  <c r="HI30" i="1" s="1"/>
  <c r="HH31" i="1"/>
  <c r="HI31" i="1" s="1"/>
  <c r="HH32" i="1"/>
  <c r="HI32" i="1" s="1"/>
  <c r="HH33" i="1"/>
  <c r="HI33" i="1" s="1"/>
  <c r="HH34" i="1"/>
  <c r="HI34" i="1" s="1"/>
  <c r="HH35" i="1"/>
  <c r="HI35" i="1" s="1"/>
  <c r="HH36" i="1"/>
  <c r="HI36" i="1" s="1"/>
  <c r="HH37" i="1"/>
  <c r="HI37" i="1" s="1"/>
  <c r="HH38" i="1"/>
  <c r="HI38" i="1" s="1"/>
  <c r="HH39" i="1"/>
  <c r="HI39" i="1" s="1"/>
  <c r="HH40" i="1"/>
  <c r="HI40" i="1" s="1"/>
  <c r="HH41" i="1"/>
  <c r="HI41" i="1" s="1"/>
  <c r="HH42" i="1"/>
  <c r="HI42" i="1" s="1"/>
  <c r="HH43" i="1"/>
  <c r="HI43" i="1" s="1"/>
  <c r="HH44" i="1"/>
  <c r="HI44" i="1" s="1"/>
  <c r="HH45" i="1"/>
  <c r="HI45" i="1" s="1"/>
  <c r="HH46" i="1"/>
  <c r="HI46" i="1" s="1"/>
  <c r="HH47" i="1"/>
  <c r="HI47" i="1" s="1"/>
  <c r="HH48" i="1"/>
  <c r="HI48" i="1" s="1"/>
  <c r="HH49" i="1"/>
  <c r="HI49" i="1" s="1"/>
  <c r="HH50" i="1"/>
  <c r="HI50" i="1" s="1"/>
  <c r="HH52" i="1"/>
  <c r="HI52" i="1" s="1"/>
  <c r="HH53" i="1"/>
  <c r="HI53" i="1" s="1"/>
  <c r="HH54" i="1"/>
  <c r="HI54" i="1" s="1"/>
  <c r="HH55" i="1"/>
  <c r="HI55" i="1" s="1"/>
  <c r="HH56" i="1"/>
  <c r="HI56" i="1" s="1"/>
  <c r="HH57" i="1"/>
  <c r="HI57" i="1" s="1"/>
  <c r="HH58" i="1"/>
  <c r="HI58" i="1" s="1"/>
  <c r="HH59" i="1"/>
  <c r="HI59" i="1" s="1"/>
  <c r="HH60" i="1"/>
  <c r="HI60" i="1" s="1"/>
  <c r="HH61" i="1"/>
  <c r="HI61" i="1" s="1"/>
  <c r="HH62" i="1"/>
  <c r="HI62" i="1" s="1"/>
  <c r="HH63" i="1"/>
  <c r="HI63" i="1" s="1"/>
  <c r="HH64" i="1"/>
  <c r="HI64" i="1" s="1"/>
  <c r="HH65" i="1"/>
  <c r="HI65" i="1" s="1"/>
  <c r="HH66" i="1"/>
  <c r="HI66" i="1" s="1"/>
  <c r="HH67" i="1"/>
  <c r="HI67" i="1" s="1"/>
  <c r="HH68" i="1"/>
  <c r="HI68" i="1" s="1"/>
  <c r="HH69" i="1"/>
  <c r="HI69" i="1" s="1"/>
  <c r="HH70" i="1"/>
  <c r="HI70" i="1" s="1"/>
  <c r="HH71" i="1"/>
  <c r="HI71" i="1" s="1"/>
  <c r="HH72" i="1"/>
  <c r="HI72" i="1" s="1"/>
  <c r="HH73" i="1"/>
  <c r="HI73" i="1" s="1"/>
  <c r="HH74" i="1"/>
  <c r="HI74" i="1" s="1"/>
  <c r="HH75" i="1"/>
  <c r="HI75" i="1" s="1"/>
  <c r="HH76" i="1"/>
  <c r="HI76" i="1" s="1"/>
  <c r="HH77" i="1"/>
  <c r="HI77" i="1" s="1"/>
  <c r="HH78" i="1"/>
  <c r="HI78" i="1" s="1"/>
  <c r="HH79" i="1"/>
  <c r="HI79" i="1" s="1"/>
  <c r="HH80" i="1"/>
  <c r="HI80" i="1" s="1"/>
  <c r="HH81" i="1"/>
  <c r="HI81" i="1" s="1"/>
  <c r="HH82" i="1"/>
  <c r="HI82" i="1" s="1"/>
  <c r="HH83" i="1"/>
  <c r="HI83" i="1" s="1"/>
  <c r="HH84" i="1"/>
  <c r="HI84" i="1" s="1"/>
  <c r="HH85" i="1"/>
  <c r="HI85" i="1" s="1"/>
  <c r="HH86" i="1"/>
  <c r="HI86" i="1" s="1"/>
  <c r="HH87" i="1"/>
  <c r="HI87" i="1" s="1"/>
  <c r="HH88" i="1"/>
  <c r="HI88" i="1" s="1"/>
  <c r="HH89" i="1"/>
  <c r="HI89" i="1" s="1"/>
  <c r="HH90" i="1"/>
  <c r="HI90" i="1" s="1"/>
  <c r="HH91" i="1"/>
  <c r="HI91" i="1" s="1"/>
  <c r="HH92" i="1"/>
  <c r="HI92" i="1" s="1"/>
  <c r="HH3" i="1"/>
  <c r="HI3" i="1" s="1"/>
  <c r="HF4" i="1"/>
  <c r="HG4" i="1" s="1"/>
  <c r="HF5" i="1"/>
  <c r="HG5" i="1" s="1"/>
  <c r="HF6" i="1"/>
  <c r="HG6" i="1" s="1"/>
  <c r="HF7" i="1"/>
  <c r="HG7" i="1" s="1"/>
  <c r="HF8" i="1"/>
  <c r="HG8" i="1" s="1"/>
  <c r="HF9" i="1"/>
  <c r="HG9" i="1" s="1"/>
  <c r="HF10" i="1"/>
  <c r="HG10" i="1" s="1"/>
  <c r="HF11" i="1"/>
  <c r="HG11" i="1" s="1"/>
  <c r="HF12" i="1"/>
  <c r="HG12" i="1" s="1"/>
  <c r="HF13" i="1"/>
  <c r="HG13" i="1" s="1"/>
  <c r="HF14" i="1"/>
  <c r="HG14" i="1" s="1"/>
  <c r="HF15" i="1"/>
  <c r="HG15" i="1" s="1"/>
  <c r="HF16" i="1"/>
  <c r="HG16" i="1" s="1"/>
  <c r="HF17" i="1"/>
  <c r="HG17" i="1" s="1"/>
  <c r="HF18" i="1"/>
  <c r="HG18" i="1" s="1"/>
  <c r="HF19" i="1"/>
  <c r="HG19" i="1" s="1"/>
  <c r="HF20" i="1"/>
  <c r="HG20" i="1" s="1"/>
  <c r="HF21" i="1"/>
  <c r="HG21" i="1" s="1"/>
  <c r="HF22" i="1"/>
  <c r="HG22" i="1" s="1"/>
  <c r="HF23" i="1"/>
  <c r="HG23" i="1" s="1"/>
  <c r="KE23" i="1" s="1"/>
  <c r="KG23" i="1" s="1"/>
  <c r="HF24" i="1"/>
  <c r="HG24" i="1" s="1"/>
  <c r="HF25" i="1"/>
  <c r="HG25" i="1" s="1"/>
  <c r="HF26" i="1"/>
  <c r="HG26" i="1" s="1"/>
  <c r="HF27" i="1"/>
  <c r="HG27" i="1" s="1"/>
  <c r="HF28" i="1"/>
  <c r="HG28" i="1" s="1"/>
  <c r="HF29" i="1"/>
  <c r="HG29" i="1" s="1"/>
  <c r="HF30" i="1"/>
  <c r="HG30" i="1" s="1"/>
  <c r="HF31" i="1"/>
  <c r="HG31" i="1" s="1"/>
  <c r="HF32" i="1"/>
  <c r="HG32" i="1" s="1"/>
  <c r="HF33" i="1"/>
  <c r="HG33" i="1" s="1"/>
  <c r="HF34" i="1"/>
  <c r="HG34" i="1" s="1"/>
  <c r="HF35" i="1"/>
  <c r="HG35" i="1" s="1"/>
  <c r="HF37" i="1"/>
  <c r="HG37" i="1" s="1"/>
  <c r="HF38" i="1"/>
  <c r="HG38" i="1" s="1"/>
  <c r="HF39" i="1"/>
  <c r="HG39" i="1" s="1"/>
  <c r="HF40" i="1"/>
  <c r="HG40" i="1" s="1"/>
  <c r="KE40" i="1" s="1"/>
  <c r="KG40" i="1" s="1"/>
  <c r="HF41" i="1"/>
  <c r="HG41" i="1" s="1"/>
  <c r="HF42" i="1"/>
  <c r="HG42" i="1" s="1"/>
  <c r="HF43" i="1"/>
  <c r="HG43" i="1" s="1"/>
  <c r="HF44" i="1"/>
  <c r="HG44" i="1" s="1"/>
  <c r="HF45" i="1"/>
  <c r="HG45" i="1" s="1"/>
  <c r="HF46" i="1"/>
  <c r="HG46" i="1" s="1"/>
  <c r="HF47" i="1"/>
  <c r="HG47" i="1" s="1"/>
  <c r="HF48" i="1"/>
  <c r="HG48" i="1" s="1"/>
  <c r="KE48" i="1" s="1"/>
  <c r="KG48" i="1" s="1"/>
  <c r="HF49" i="1"/>
  <c r="HG49" i="1" s="1"/>
  <c r="HF50" i="1"/>
  <c r="HG50" i="1" s="1"/>
  <c r="HF52" i="1"/>
  <c r="HG52" i="1" s="1"/>
  <c r="HF53" i="1"/>
  <c r="HG53" i="1" s="1"/>
  <c r="HF54" i="1"/>
  <c r="HG54" i="1" s="1"/>
  <c r="HF55" i="1"/>
  <c r="HG55" i="1" s="1"/>
  <c r="HF56" i="1"/>
  <c r="HG56" i="1" s="1"/>
  <c r="HF57" i="1"/>
  <c r="HG57" i="1" s="1"/>
  <c r="HF58" i="1"/>
  <c r="HG58" i="1" s="1"/>
  <c r="HF59" i="1"/>
  <c r="HG59" i="1" s="1"/>
  <c r="HF60" i="1"/>
  <c r="HG60" i="1" s="1"/>
  <c r="HF61" i="1"/>
  <c r="HG61" i="1" s="1"/>
  <c r="HF62" i="1"/>
  <c r="HG62" i="1" s="1"/>
  <c r="HF63" i="1"/>
  <c r="HG63" i="1" s="1"/>
  <c r="HF64" i="1"/>
  <c r="HG64" i="1" s="1"/>
  <c r="HF65" i="1"/>
  <c r="HG65" i="1" s="1"/>
  <c r="HF66" i="1"/>
  <c r="HG66" i="1" s="1"/>
  <c r="HF67" i="1"/>
  <c r="HG67" i="1" s="1"/>
  <c r="HF69" i="1"/>
  <c r="HG69" i="1" s="1"/>
  <c r="HF70" i="1"/>
  <c r="HG70" i="1" s="1"/>
  <c r="HF71" i="1"/>
  <c r="HG71" i="1" s="1"/>
  <c r="HF72" i="1"/>
  <c r="HG72" i="1" s="1"/>
  <c r="HF73" i="1"/>
  <c r="HG73" i="1" s="1"/>
  <c r="HF74" i="1"/>
  <c r="HG74" i="1" s="1"/>
  <c r="HF75" i="1"/>
  <c r="HG75" i="1" s="1"/>
  <c r="HF76" i="1"/>
  <c r="HG76" i="1" s="1"/>
  <c r="HF77" i="1"/>
  <c r="HG77" i="1" s="1"/>
  <c r="HF78" i="1"/>
  <c r="HG78" i="1" s="1"/>
  <c r="HF79" i="1"/>
  <c r="HG79" i="1" s="1"/>
  <c r="HF80" i="1"/>
  <c r="HG80" i="1" s="1"/>
  <c r="HF81" i="1"/>
  <c r="HG81" i="1" s="1"/>
  <c r="HF82" i="1"/>
  <c r="HG82" i="1" s="1"/>
  <c r="KE82" i="1" s="1"/>
  <c r="KG82" i="1" s="1"/>
  <c r="HF83" i="1"/>
  <c r="HG83" i="1" s="1"/>
  <c r="HF84" i="1"/>
  <c r="HG84" i="1" s="1"/>
  <c r="HF85" i="1"/>
  <c r="HG85" i="1" s="1"/>
  <c r="HF86" i="1"/>
  <c r="HG86" i="1" s="1"/>
  <c r="HF87" i="1"/>
  <c r="HG87" i="1" s="1"/>
  <c r="HF88" i="1"/>
  <c r="HG88" i="1" s="1"/>
  <c r="HF89" i="1"/>
  <c r="HG89" i="1" s="1"/>
  <c r="HF90" i="1"/>
  <c r="HG90" i="1" s="1"/>
  <c r="HF91" i="1"/>
  <c r="HG91" i="1" s="1"/>
  <c r="HF92" i="1"/>
  <c r="HG92" i="1" s="1"/>
  <c r="HF3" i="1"/>
  <c r="HG3" i="1" s="1"/>
  <c r="A94" i="1"/>
  <c r="ID62" i="1"/>
  <c r="IE62" i="1" s="1"/>
  <c r="JT62" i="1"/>
  <c r="JU62" i="1" s="1"/>
  <c r="CU100" i="1" l="1"/>
  <c r="DE102" i="1"/>
  <c r="BW101" i="1"/>
  <c r="BW98" i="1"/>
  <c r="CY99" i="1"/>
  <c r="DL102" i="1"/>
  <c r="CY101" i="1"/>
  <c r="BW102" i="1"/>
  <c r="CU101" i="1"/>
  <c r="CY98" i="1"/>
  <c r="DL100" i="1"/>
  <c r="BW100" i="1"/>
  <c r="CY102" i="1"/>
  <c r="DE101" i="1"/>
  <c r="CY100" i="1"/>
  <c r="BW99" i="1"/>
  <c r="IV13" i="1"/>
  <c r="IW13" i="1" s="1"/>
  <c r="HC102" i="1"/>
  <c r="CY97" i="1"/>
  <c r="KB25" i="1"/>
  <c r="IT7" i="1"/>
  <c r="IU7" i="1" s="1"/>
  <c r="DJ102" i="1"/>
  <c r="BW97" i="1"/>
  <c r="IV7" i="1"/>
  <c r="IW7" i="1" s="1"/>
  <c r="CB101" i="1"/>
  <c r="CW101" i="1"/>
  <c r="CB102" i="1"/>
  <c r="EI99" i="1"/>
  <c r="KE56" i="1"/>
  <c r="KG56" i="1" s="1"/>
  <c r="KE39" i="1"/>
  <c r="KG39" i="1" s="1"/>
  <c r="KE38" i="1"/>
  <c r="KG38" i="1" s="1"/>
  <c r="KE54" i="1"/>
  <c r="KG54" i="1" s="1"/>
  <c r="KE45" i="1"/>
  <c r="KG45" i="1" s="1"/>
  <c r="KE20" i="1"/>
  <c r="KG20" i="1" s="1"/>
  <c r="KE4" i="1"/>
  <c r="KG4" i="1" s="1"/>
  <c r="KE6" i="1"/>
  <c r="KG6" i="1" s="1"/>
  <c r="CB99" i="1"/>
  <c r="KE29" i="1"/>
  <c r="KG29" i="1" s="1"/>
  <c r="KE62" i="1"/>
  <c r="KG62" i="1" s="1"/>
  <c r="KE78" i="1"/>
  <c r="KG78" i="1" s="1"/>
  <c r="KE35" i="1"/>
  <c r="KG35" i="1" s="1"/>
  <c r="KE27" i="1"/>
  <c r="KG27" i="1" s="1"/>
  <c r="HI94" i="1"/>
  <c r="EI101" i="1"/>
  <c r="AV102" i="1"/>
  <c r="AL102" i="1"/>
  <c r="KE88" i="1"/>
  <c r="KG88" i="1" s="1"/>
  <c r="CW102" i="1"/>
  <c r="KE60" i="1"/>
  <c r="KG60" i="1" s="1"/>
  <c r="KE52" i="1"/>
  <c r="KG52" i="1" s="1"/>
  <c r="KE43" i="1"/>
  <c r="KG43" i="1" s="1"/>
  <c r="CB100" i="1"/>
  <c r="KE14" i="1"/>
  <c r="KG14" i="1" s="1"/>
  <c r="HB102" i="1"/>
  <c r="KE76" i="1"/>
  <c r="KG76" i="1" s="1"/>
  <c r="KE67" i="1"/>
  <c r="KG67" i="1" s="1"/>
  <c r="KE33" i="1"/>
  <c r="KG33" i="1" s="1"/>
  <c r="KE81" i="1"/>
  <c r="KG81" i="1" s="1"/>
  <c r="KE72" i="1"/>
  <c r="KG72" i="1" s="1"/>
  <c r="KE75" i="1"/>
  <c r="KG75" i="1" s="1"/>
  <c r="KE49" i="1"/>
  <c r="KG49" i="1" s="1"/>
  <c r="KE16" i="1"/>
  <c r="KG16" i="1" s="1"/>
  <c r="KE8" i="1"/>
  <c r="KG8" i="1" s="1"/>
  <c r="DJ97" i="1"/>
  <c r="EI100" i="1"/>
  <c r="EI102" i="1"/>
  <c r="KB61" i="1"/>
  <c r="KC61" i="1" s="1"/>
  <c r="DP102" i="1"/>
  <c r="CA102" i="1"/>
  <c r="IV85" i="1"/>
  <c r="IW85" i="1" s="1"/>
  <c r="IP68" i="1"/>
  <c r="IQ68" i="1" s="1"/>
  <c r="DJ100" i="1"/>
  <c r="AT101" i="1"/>
  <c r="DJ98" i="1"/>
  <c r="EI97" i="1"/>
  <c r="CS96" i="1"/>
  <c r="BB99" i="1"/>
  <c r="AT96" i="1"/>
  <c r="AP101" i="1"/>
  <c r="AN102" i="1"/>
  <c r="AL101" i="1"/>
  <c r="CB97" i="1"/>
  <c r="EN102" i="1"/>
  <c r="JD86" i="1"/>
  <c r="JE86" i="1" s="1"/>
  <c r="HB101" i="1"/>
  <c r="GD102" i="1"/>
  <c r="FL101" i="1"/>
  <c r="FF102" i="1"/>
  <c r="EH101" i="1"/>
  <c r="DV102" i="1"/>
  <c r="CV102" i="1"/>
  <c r="CQ102" i="1"/>
  <c r="CP102" i="1"/>
  <c r="CO101" i="1"/>
  <c r="CL101" i="1"/>
  <c r="DJ99" i="1"/>
  <c r="EI98" i="1"/>
  <c r="CU97" i="1"/>
  <c r="CB98" i="1"/>
  <c r="FR102" i="1"/>
  <c r="AT102" i="1"/>
  <c r="DV101" i="1"/>
  <c r="CV99" i="1"/>
  <c r="JF7" i="1"/>
  <c r="JG7" i="1" s="1"/>
  <c r="JG94" i="1" s="1"/>
  <c r="JL11" i="1"/>
  <c r="JM11" i="1" s="1"/>
  <c r="JM94" i="1" s="1"/>
  <c r="EH102" i="1"/>
  <c r="BB102" i="1"/>
  <c r="BB101" i="1"/>
  <c r="AG101" i="1"/>
  <c r="CV101" i="1"/>
  <c r="JN61" i="1"/>
  <c r="JO61" i="1" s="1"/>
  <c r="JO94" i="1" s="1"/>
  <c r="GP102" i="1"/>
  <c r="CO102" i="1"/>
  <c r="AG102" i="1"/>
  <c r="GD101" i="1"/>
  <c r="EN101" i="1"/>
  <c r="BB100" i="1"/>
  <c r="KB85" i="1"/>
  <c r="KC85" i="1" s="1"/>
  <c r="HB100" i="1"/>
  <c r="AG99" i="1"/>
  <c r="IN12" i="1"/>
  <c r="IO12" i="1" s="1"/>
  <c r="IO94" i="1" s="1"/>
  <c r="JT11" i="1"/>
  <c r="JU11" i="1" s="1"/>
  <c r="JU94" i="1" s="1"/>
  <c r="AG100" i="1"/>
  <c r="JD11" i="1"/>
  <c r="JE11" i="1" s="1"/>
  <c r="JE94" i="1" s="1"/>
  <c r="GP101" i="1"/>
  <c r="GJ102" i="1"/>
  <c r="GD100" i="1"/>
  <c r="FR101" i="1"/>
  <c r="FL102" i="1"/>
  <c r="FF101" i="1"/>
  <c r="ET101" i="1"/>
  <c r="EH100" i="1"/>
  <c r="CL102" i="1"/>
  <c r="BT102" i="1"/>
  <c r="BN101" i="1"/>
  <c r="AV101" i="1"/>
  <c r="AT97" i="1"/>
  <c r="AR102" i="1"/>
  <c r="AP102" i="1"/>
  <c r="AN101" i="1"/>
  <c r="AJ102" i="1"/>
  <c r="AG96" i="1"/>
  <c r="CS100" i="1"/>
  <c r="HC101" i="1"/>
  <c r="DP101" i="1"/>
  <c r="AR101" i="1"/>
  <c r="AJ101" i="1"/>
  <c r="CS99" i="1"/>
  <c r="GJ101" i="1"/>
  <c r="CA101" i="1"/>
  <c r="CA100" i="1"/>
  <c r="JX7" i="1"/>
  <c r="JY7" i="1" s="1"/>
  <c r="JY94" i="1" s="1"/>
  <c r="CS101" i="1"/>
  <c r="HC100" i="1"/>
  <c r="HC99" i="1"/>
  <c r="CS98" i="1"/>
  <c r="CS97" i="1"/>
  <c r="DJ96" i="1"/>
  <c r="AG98" i="1"/>
  <c r="CU99" i="1"/>
  <c r="BY98" i="1"/>
  <c r="BY97" i="1"/>
  <c r="CU98" i="1"/>
  <c r="CR11" i="1"/>
  <c r="IP11" i="1" s="1"/>
  <c r="IQ11" i="1" s="1"/>
  <c r="BZ61" i="1"/>
  <c r="CV96" i="1"/>
  <c r="EH98" i="1"/>
  <c r="CR85" i="1"/>
  <c r="IP85" i="1" s="1"/>
  <c r="IQ85" i="1" s="1"/>
  <c r="CU96" i="1"/>
  <c r="FL96" i="1"/>
  <c r="CV97" i="1"/>
  <c r="CR25" i="1"/>
  <c r="IP25" i="1" s="1"/>
  <c r="IQ25" i="1" s="1"/>
  <c r="KE36" i="1"/>
  <c r="KG36" i="1" s="1"/>
  <c r="KE51" i="1"/>
  <c r="KG51" i="1" s="1"/>
  <c r="AL98" i="1"/>
  <c r="HC98" i="1"/>
  <c r="EH97" i="1"/>
  <c r="CL98" i="1"/>
  <c r="HC97" i="1"/>
  <c r="HD25" i="1"/>
  <c r="KC25" i="1" s="1"/>
  <c r="KE25" i="1" s="1"/>
  <c r="KG25" i="1" s="1"/>
  <c r="HB96" i="1"/>
  <c r="GD98" i="1"/>
  <c r="ET96" i="1"/>
  <c r="BB98" i="1"/>
  <c r="BB97" i="1"/>
  <c r="CO96" i="1"/>
  <c r="JS94" i="1"/>
  <c r="CV98" i="1"/>
  <c r="CX13" i="1"/>
  <c r="IR13" i="1" s="1"/>
  <c r="IS13" i="1" s="1"/>
  <c r="CW96" i="1"/>
  <c r="HW94" i="1"/>
  <c r="JC94" i="1"/>
  <c r="KE64" i="1"/>
  <c r="KG64" i="1" s="1"/>
  <c r="KE30" i="1"/>
  <c r="KG30" i="1" s="1"/>
  <c r="IA94" i="1"/>
  <c r="IE94" i="1"/>
  <c r="KE9" i="1"/>
  <c r="KG9" i="1" s="1"/>
  <c r="HY94" i="1"/>
  <c r="IC94" i="1"/>
  <c r="II94" i="1"/>
  <c r="IG94" i="1"/>
  <c r="IU94" i="1"/>
  <c r="JI94" i="1"/>
  <c r="AT100" i="1"/>
  <c r="CL99" i="1"/>
  <c r="HB98" i="1"/>
  <c r="AT98" i="1"/>
  <c r="CL97" i="1"/>
  <c r="AL99" i="1"/>
  <c r="AL97" i="1"/>
  <c r="GD99" i="1"/>
  <c r="CA99" i="1"/>
  <c r="DL98" i="1"/>
  <c r="GD97" i="1"/>
  <c r="CA97" i="1"/>
  <c r="GJ96" i="1"/>
  <c r="CR86" i="1"/>
  <c r="IP86" i="1" s="1"/>
  <c r="IQ86" i="1" s="1"/>
  <c r="CR13" i="1"/>
  <c r="IP13" i="1" s="1"/>
  <c r="IQ13" i="1" s="1"/>
  <c r="AL96" i="1"/>
  <c r="JW94" i="1"/>
  <c r="KA94" i="1"/>
  <c r="EH99" i="1"/>
  <c r="EB96" i="1"/>
  <c r="CP101" i="1"/>
  <c r="BT101" i="1"/>
  <c r="IY94" i="1"/>
  <c r="JA94" i="1"/>
  <c r="JK94" i="1"/>
  <c r="JQ94" i="1"/>
  <c r="CL100" i="1"/>
  <c r="HB99" i="1"/>
  <c r="AT99" i="1"/>
  <c r="HB97" i="1"/>
  <c r="AL100" i="1"/>
  <c r="EN96" i="1"/>
  <c r="DL99" i="1"/>
  <c r="CA98" i="1"/>
  <c r="DL97" i="1"/>
  <c r="CX7" i="1"/>
  <c r="IR7" i="1" s="1"/>
  <c r="IS7" i="1" s="1"/>
  <c r="KE80" i="1"/>
  <c r="KG80" i="1" s="1"/>
  <c r="KE46" i="1"/>
  <c r="KG46" i="1" s="1"/>
  <c r="KE19" i="1"/>
  <c r="KG19" i="1" s="1"/>
  <c r="KE92" i="1"/>
  <c r="KG92" i="1" s="1"/>
  <c r="KE86" i="1"/>
  <c r="KG86" i="1" s="1"/>
  <c r="KE73" i="1"/>
  <c r="KG73" i="1" s="1"/>
  <c r="KE65" i="1"/>
  <c r="KG65" i="1" s="1"/>
  <c r="KE59" i="1"/>
  <c r="KG59" i="1" s="1"/>
  <c r="KE31" i="1"/>
  <c r="KG31" i="1" s="1"/>
  <c r="KE18" i="1"/>
  <c r="KG18" i="1" s="1"/>
  <c r="HQ94" i="1"/>
  <c r="KE87" i="1"/>
  <c r="KG87" i="1" s="1"/>
  <c r="KE53" i="1"/>
  <c r="KG53" i="1" s="1"/>
  <c r="KE32" i="1"/>
  <c r="KG32" i="1" s="1"/>
  <c r="KE68" i="1"/>
  <c r="KG68" i="1" s="1"/>
  <c r="KE79" i="1"/>
  <c r="KG79" i="1" s="1"/>
  <c r="KE58" i="1"/>
  <c r="KG58" i="1" s="1"/>
  <c r="KE44" i="1"/>
  <c r="KG44" i="1" s="1"/>
  <c r="KE24" i="1"/>
  <c r="KG24" i="1" s="1"/>
  <c r="KE12" i="1"/>
  <c r="KG12" i="1" s="1"/>
  <c r="KE26" i="1"/>
  <c r="KG26" i="1" s="1"/>
  <c r="KE13" i="1"/>
  <c r="KG13" i="1" s="1"/>
  <c r="HS94" i="1"/>
  <c r="HG94" i="1"/>
  <c r="KE3" i="1"/>
  <c r="KG3" i="1" s="1"/>
  <c r="KE66" i="1"/>
  <c r="KG66" i="1" s="1"/>
  <c r="KE91" i="1"/>
  <c r="KG91" i="1" s="1"/>
  <c r="KE84" i="1"/>
  <c r="KG84" i="1" s="1"/>
  <c r="KE57" i="1"/>
  <c r="KG57" i="1" s="1"/>
  <c r="KE50" i="1"/>
  <c r="KG50" i="1" s="1"/>
  <c r="KE37" i="1"/>
  <c r="KG37" i="1" s="1"/>
  <c r="KE17" i="1"/>
  <c r="KG17" i="1" s="1"/>
  <c r="KE71" i="1"/>
  <c r="KG71" i="1" s="1"/>
  <c r="KE22" i="1"/>
  <c r="KG22" i="1" s="1"/>
  <c r="KE10" i="1"/>
  <c r="KG10" i="1" s="1"/>
  <c r="KE5" i="1"/>
  <c r="KG5" i="1" s="1"/>
  <c r="HO94" i="1"/>
  <c r="KE77" i="1"/>
  <c r="KG77" i="1" s="1"/>
  <c r="KE89" i="1"/>
  <c r="KG89" i="1" s="1"/>
  <c r="KE70" i="1"/>
  <c r="KG70" i="1" s="1"/>
  <c r="KE42" i="1"/>
  <c r="KG42" i="1" s="1"/>
  <c r="KE34" i="1"/>
  <c r="KG34" i="1" s="1"/>
  <c r="KE28" i="1"/>
  <c r="KG28" i="1" s="1"/>
  <c r="KE74" i="1"/>
  <c r="KG74" i="1" s="1"/>
  <c r="KE90" i="1"/>
  <c r="KG90" i="1" s="1"/>
  <c r="KE63" i="1"/>
  <c r="KG63" i="1" s="1"/>
  <c r="KE83" i="1"/>
  <c r="KG83" i="1" s="1"/>
  <c r="KE69" i="1"/>
  <c r="KG69" i="1" s="1"/>
  <c r="KE55" i="1"/>
  <c r="KG55" i="1" s="1"/>
  <c r="KE47" i="1"/>
  <c r="KG47" i="1" s="1"/>
  <c r="KE41" i="1"/>
  <c r="KG41" i="1" s="1"/>
  <c r="HK94" i="1"/>
  <c r="HU94" i="1"/>
  <c r="IM94" i="1"/>
  <c r="AX96" i="1"/>
  <c r="AX97" i="1"/>
  <c r="AX98" i="1"/>
  <c r="AX99" i="1"/>
  <c r="AX100" i="1"/>
  <c r="AX101" i="1"/>
  <c r="AX102" i="1"/>
  <c r="KE93" i="1"/>
  <c r="BH97" i="1"/>
  <c r="BH98" i="1"/>
  <c r="BH99" i="1"/>
  <c r="BH100" i="1"/>
  <c r="BH101" i="1"/>
  <c r="BH102" i="1"/>
  <c r="CO97" i="1"/>
  <c r="CO98" i="1"/>
  <c r="CO99" i="1"/>
  <c r="CO100" i="1"/>
  <c r="CR12" i="1"/>
  <c r="IP12" i="1" s="1"/>
  <c r="IQ12" i="1" s="1"/>
  <c r="BN102" i="1"/>
  <c r="BN97" i="1"/>
  <c r="BN98" i="1"/>
  <c r="BN99" i="1"/>
  <c r="BN100" i="1"/>
  <c r="BH96" i="1"/>
  <c r="CR15" i="1"/>
  <c r="IP15" i="1" s="1"/>
  <c r="IQ15" i="1" s="1"/>
  <c r="KE15" i="1" s="1"/>
  <c r="KG15" i="1" s="1"/>
  <c r="CQ97" i="1"/>
  <c r="CQ98" i="1"/>
  <c r="CQ99" i="1"/>
  <c r="CQ100" i="1"/>
  <c r="CQ101" i="1"/>
  <c r="CW97" i="1"/>
  <c r="CW98" i="1"/>
  <c r="CW99" i="1"/>
  <c r="CW100" i="1"/>
  <c r="CX85" i="1"/>
  <c r="FF97" i="1"/>
  <c r="FF98" i="1"/>
  <c r="FF99" i="1"/>
  <c r="FF100" i="1"/>
  <c r="EZ97" i="1"/>
  <c r="EZ98" i="1"/>
  <c r="EZ99" i="1"/>
  <c r="EZ100" i="1"/>
  <c r="EZ101" i="1"/>
  <c r="EZ102" i="1"/>
  <c r="EZ96" i="1"/>
  <c r="ET97" i="1"/>
  <c r="ET98" i="1"/>
  <c r="ET99" i="1"/>
  <c r="ET100" i="1"/>
  <c r="ET102" i="1"/>
  <c r="EN97" i="1"/>
  <c r="EN98" i="1"/>
  <c r="EN99" i="1"/>
  <c r="EN100" i="1"/>
  <c r="GP96" i="1"/>
  <c r="BX96" i="1"/>
  <c r="BX97" i="1"/>
  <c r="BX98" i="1"/>
  <c r="BX99" i="1"/>
  <c r="BX100" i="1"/>
  <c r="BX101" i="1"/>
  <c r="BX102" i="1"/>
  <c r="BT97" i="1"/>
  <c r="BT98" i="1"/>
  <c r="BT99" i="1"/>
  <c r="BT100" i="1"/>
  <c r="BB96" i="1"/>
  <c r="AN96" i="1"/>
  <c r="FR96" i="1"/>
  <c r="FR97" i="1"/>
  <c r="FR98" i="1"/>
  <c r="FR99" i="1"/>
  <c r="FR100" i="1"/>
  <c r="FL97" i="1"/>
  <c r="FL98" i="1"/>
  <c r="FL99" i="1"/>
  <c r="FL100" i="1"/>
  <c r="CR61" i="1"/>
  <c r="IP61" i="1" s="1"/>
  <c r="IQ61" i="1" s="1"/>
  <c r="AJ97" i="1"/>
  <c r="AJ98" i="1"/>
  <c r="AJ99" i="1"/>
  <c r="AJ100" i="1"/>
  <c r="FX96" i="1"/>
  <c r="FX97" i="1"/>
  <c r="FX98" i="1"/>
  <c r="FX99" i="1"/>
  <c r="FX100" i="1"/>
  <c r="FX101" i="1"/>
  <c r="FX102" i="1"/>
  <c r="DD97" i="1"/>
  <c r="DD98" i="1"/>
  <c r="DD99" i="1"/>
  <c r="DD100" i="1"/>
  <c r="DD101" i="1"/>
  <c r="DD102" i="1"/>
  <c r="BN96" i="1"/>
  <c r="AV96" i="1"/>
  <c r="AN97" i="1"/>
  <c r="AN98" i="1"/>
  <c r="AN99" i="1"/>
  <c r="AN100" i="1"/>
  <c r="AJ96" i="1"/>
  <c r="GD96" i="1"/>
  <c r="DV97" i="1"/>
  <c r="DV98" i="1"/>
  <c r="DV99" i="1"/>
  <c r="DV100" i="1"/>
  <c r="DV96" i="1"/>
  <c r="DP96" i="1"/>
  <c r="DP97" i="1"/>
  <c r="DP98" i="1"/>
  <c r="DP99" i="1"/>
  <c r="DP100" i="1"/>
  <c r="DE97" i="1"/>
  <c r="DE98" i="1"/>
  <c r="DE99" i="1"/>
  <c r="DE100" i="1"/>
  <c r="CQ96" i="1"/>
  <c r="CR21" i="1"/>
  <c r="IP21" i="1" s="1"/>
  <c r="IQ21" i="1" s="1"/>
  <c r="KE21" i="1" s="1"/>
  <c r="KG21" i="1" s="1"/>
  <c r="CF96" i="1"/>
  <c r="CF97" i="1"/>
  <c r="CF98" i="1"/>
  <c r="CF99" i="1"/>
  <c r="CF100" i="1"/>
  <c r="CF101" i="1"/>
  <c r="CF102" i="1"/>
  <c r="AP96" i="1"/>
  <c r="AP97" i="1"/>
  <c r="AP98" i="1"/>
  <c r="AP99" i="1"/>
  <c r="AP100" i="1"/>
  <c r="GJ97" i="1"/>
  <c r="GJ98" i="1"/>
  <c r="GJ99" i="1"/>
  <c r="GJ100" i="1"/>
  <c r="FF96" i="1"/>
  <c r="AR97" i="1"/>
  <c r="AR98" i="1"/>
  <c r="AR99" i="1"/>
  <c r="AR100" i="1"/>
  <c r="GP97" i="1"/>
  <c r="GP98" i="1"/>
  <c r="GP99" i="1"/>
  <c r="GP100" i="1"/>
  <c r="EH96" i="1"/>
  <c r="EB97" i="1"/>
  <c r="EB98" i="1"/>
  <c r="EB99" i="1"/>
  <c r="EB100" i="1"/>
  <c r="EB101" i="1"/>
  <c r="EB102" i="1"/>
  <c r="DD96" i="1"/>
  <c r="CP96" i="1"/>
  <c r="CP97" i="1"/>
  <c r="CP98" i="1"/>
  <c r="CP99" i="1"/>
  <c r="CP100" i="1"/>
  <c r="CR7" i="1"/>
  <c r="CL96" i="1"/>
  <c r="BT96" i="1"/>
  <c r="AV97" i="1"/>
  <c r="AV98" i="1"/>
  <c r="AV99" i="1"/>
  <c r="AV100" i="1"/>
  <c r="AR96" i="1"/>
  <c r="IW94" i="1" l="1"/>
  <c r="BZ99" i="1"/>
  <c r="IJ61" i="1"/>
  <c r="IK61" i="1" s="1"/>
  <c r="HL11" i="1"/>
  <c r="HM11" i="1" s="1"/>
  <c r="KC94" i="1"/>
  <c r="BZ98" i="1"/>
  <c r="BZ97" i="1"/>
  <c r="BZ102" i="1"/>
  <c r="BZ101" i="1"/>
  <c r="BZ96" i="1"/>
  <c r="BZ100" i="1"/>
  <c r="CX96" i="1"/>
  <c r="CX97" i="1"/>
  <c r="CX99" i="1"/>
  <c r="HD97" i="1"/>
  <c r="CX100" i="1"/>
  <c r="HD96" i="1"/>
  <c r="CX98" i="1"/>
  <c r="HD102" i="1"/>
  <c r="HD101" i="1"/>
  <c r="HD100" i="1"/>
  <c r="HD99" i="1"/>
  <c r="HD98" i="1"/>
  <c r="CX101" i="1"/>
  <c r="CX102" i="1"/>
  <c r="IR85" i="1"/>
  <c r="IS85" i="1" s="1"/>
  <c r="CR96" i="1"/>
  <c r="CR97" i="1"/>
  <c r="CR98" i="1"/>
  <c r="CR99" i="1"/>
  <c r="CR100" i="1"/>
  <c r="CR101" i="1"/>
  <c r="CR102" i="1"/>
  <c r="IP7" i="1"/>
  <c r="IQ7" i="1" s="1"/>
  <c r="KE94" i="1"/>
  <c r="KG93" i="1"/>
  <c r="HM94" i="1" l="1"/>
  <c r="KE11" i="1"/>
  <c r="KG11" i="1" s="1"/>
  <c r="IK94" i="1"/>
  <c r="KE61" i="1"/>
  <c r="KG61" i="1" s="1"/>
  <c r="IQ94" i="1"/>
  <c r="KE7" i="1"/>
  <c r="KG7" i="1" s="1"/>
  <c r="KE85" i="1"/>
  <c r="KG85" i="1" s="1"/>
  <c r="IS94" i="1"/>
  <c r="KG94" i="1" l="1"/>
</calcChain>
</file>

<file path=xl/sharedStrings.xml><?xml version="1.0" encoding="utf-8"?>
<sst xmlns="http://schemas.openxmlformats.org/spreadsheetml/2006/main" count="1070" uniqueCount="437">
  <si>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</si>
  <si>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</si>
  <si>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</si>
  <si>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</si>
  <si>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</si>
  <si>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</si>
  <si>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</si>
  <si>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</si>
  <si>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</si>
  <si>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</si>
  <si>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</si>
  <si>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</si>
  <si>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</si>
  <si>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</si>
  <si>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</si>
  <si>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</si>
  <si>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</si>
  <si>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</si>
  <si>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</si>
  <si>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</si>
  <si>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</si>
  <si>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</si>
  <si>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</si>
  <si>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</si>
  <si>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</si>
  <si>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</si>
  <si>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</si>
  <si>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</si>
  <si>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</si>
  <si>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</si>
  <si>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</si>
  <si>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</si>
  <si>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</si>
  <si>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</si>
  <si>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</si>
  <si>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</si>
  <si>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</si>
  <si>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</si>
  <si>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</si>
  <si>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</si>
  <si>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</si>
  <si>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</si>
  <si>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</si>
  <si>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</si>
  <si>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</si>
  <si>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</si>
  <si>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</si>
  <si>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</si>
  <si>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</si>
  <si>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</si>
  <si>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</si>
  <si>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GuarFB</t>
  </si>
  <si>
    <t>ContribsFB</t>
  </si>
  <si>
    <t>ConcessFB</t>
  </si>
  <si>
    <t>SponsFB</t>
  </si>
  <si>
    <t>CampsFB</t>
  </si>
  <si>
    <t>CampsMBKB</t>
  </si>
  <si>
    <t>CampsWBKB</t>
  </si>
  <si>
    <t>CampsOtherSports</t>
  </si>
  <si>
    <t>CampsNPS</t>
  </si>
  <si>
    <t>CampsTot</t>
  </si>
  <si>
    <t>EndowFB</t>
  </si>
  <si>
    <t>EndowMBKB</t>
  </si>
  <si>
    <t>EndowWBKB</t>
  </si>
  <si>
    <t>EndowOtherSports</t>
  </si>
  <si>
    <t>EndowNPS</t>
  </si>
  <si>
    <t>EndowTot</t>
  </si>
  <si>
    <t>OtherFB</t>
  </si>
  <si>
    <t>OtherMBKB</t>
  </si>
  <si>
    <t>OtherWBKB</t>
  </si>
  <si>
    <t>OtherOtherSports</t>
  </si>
  <si>
    <t>OtherNPS</t>
  </si>
  <si>
    <t>OtherTot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</si>
  <si>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</si>
  <si>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</si>
  <si>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</si>
  <si>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</si>
  <si>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</si>
  <si>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</si>
  <si>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</si>
  <si>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</si>
  <si>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</si>
  <si>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</si>
  <si>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</si>
  <si>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</si>
  <si>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</si>
  <si>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</si>
  <si>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</si>
  <si>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</si>
  <si>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</si>
  <si>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</si>
  <si>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</si>
  <si>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</si>
  <si>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</si>
  <si>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</si>
  <si>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</si>
  <si>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</si>
  <si>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</si>
  <si>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</si>
  <si>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</si>
  <si>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</si>
  <si>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</si>
  <si>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</si>
  <si>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</si>
  <si>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</si>
  <si>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</si>
  <si>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</si>
  <si>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</si>
  <si>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</si>
  <si>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</si>
  <si>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</si>
  <si>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</si>
  <si>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</si>
  <si>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</si>
  <si>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</si>
  <si>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</si>
  <si>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</si>
  <si>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</si>
  <si>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</si>
  <si>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</si>
  <si>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</si>
  <si>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</si>
  <si>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</si>
  <si>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</si>
  <si>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</si>
  <si>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</si>
  <si>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</si>
  <si>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</si>
  <si>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</si>
  <si>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</si>
  <si>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</si>
  <si>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</si>
  <si>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</si>
  <si>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</si>
  <si>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</si>
  <si>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</si>
  <si>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</si>
  <si>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</si>
  <si>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</si>
  <si>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</si>
  <si>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</si>
  <si>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</si>
  <si>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</si>
  <si>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</si>
  <si>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</si>
  <si>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</si>
  <si>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</si>
  <si>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</si>
  <si>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</si>
  <si>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</si>
  <si>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</si>
  <si>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</si>
  <si>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</si>
  <si>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</si>
  <si>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</si>
  <si>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</si>
  <si>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</si>
  <si>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</si>
  <si>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</si>
  <si>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</si>
  <si>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</si>
  <si>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</si>
  <si>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</si>
  <si>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</si>
  <si>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</si>
  <si>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</si>
  <si>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</si>
  <si>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</si>
  <si>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</si>
  <si>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</si>
  <si>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</si>
  <si>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</si>
  <si>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</si>
  <si>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</si>
  <si>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</si>
  <si>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</si>
  <si>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</si>
  <si>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</si>
  <si>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</si>
  <si>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</si>
  <si>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</si>
  <si>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</si>
  <si>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</si>
  <si>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</si>
  <si>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</si>
  <si>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</si>
  <si>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</si>
  <si>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</si>
  <si>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</si>
  <si>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</si>
  <si>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</si>
  <si>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</si>
  <si>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</si>
  <si>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</si>
  <si>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</si>
  <si>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</si>
  <si>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</si>
  <si>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</si>
  <si>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</si>
  <si>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</si>
  <si>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</si>
  <si>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</si>
  <si>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</si>
  <si>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</si>
  <si>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</si>
  <si>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</si>
  <si>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</si>
  <si>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</si>
  <si>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</si>
  <si>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</si>
  <si>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Central Michigan</t>
  </si>
  <si>
    <t>Clemson</t>
  </si>
  <si>
    <t>Colorado</t>
  </si>
  <si>
    <t>Colorado State</t>
  </si>
  <si>
    <t>Connecticut</t>
  </si>
  <si>
    <t>Florida State</t>
  </si>
  <si>
    <t>Fresno State</t>
  </si>
  <si>
    <t>Akron</t>
  </si>
  <si>
    <t>Arizona</t>
  </si>
  <si>
    <t>Arizona State</t>
  </si>
  <si>
    <t>Arkansas</t>
  </si>
  <si>
    <t>Arkansas State</t>
  </si>
  <si>
    <t>Auburn</t>
  </si>
  <si>
    <t>Ball State</t>
  </si>
  <si>
    <t>Boise State</t>
  </si>
  <si>
    <t>Bowling Green</t>
  </si>
  <si>
    <t>Buffalo</t>
  </si>
  <si>
    <t>California</t>
  </si>
  <si>
    <t>Utah</t>
  </si>
  <si>
    <t>Utah State</t>
  </si>
  <si>
    <t>UTEP</t>
  </si>
  <si>
    <t>Virginia</t>
  </si>
  <si>
    <t>ACC</t>
  </si>
  <si>
    <t>Virginia Tech</t>
  </si>
  <si>
    <t>Washington</t>
  </si>
  <si>
    <t>Pac-12</t>
  </si>
  <si>
    <t>Western Kentucky</t>
  </si>
  <si>
    <t>Sun Belt</t>
  </si>
  <si>
    <t>Western Michigan</t>
  </si>
  <si>
    <t>Wisconsin</t>
  </si>
  <si>
    <t>Big Ten</t>
  </si>
  <si>
    <t>Wyoming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</si>
  <si>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</si>
  <si>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</si>
  <si>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</si>
  <si>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</si>
  <si>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</si>
  <si>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</si>
  <si>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</si>
  <si>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</si>
  <si>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</si>
  <si>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</si>
  <si>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Kent State</t>
  </si>
  <si>
    <t>Minnesota</t>
  </si>
  <si>
    <t>Mississippi State</t>
  </si>
  <si>
    <t>Missouri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</si>
  <si>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</si>
  <si>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</si>
  <si>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</si>
  <si>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</si>
  <si>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</si>
  <si>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</si>
  <si>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</si>
  <si>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Kentucky</t>
  </si>
  <si>
    <t>Louisiana Tech</t>
  </si>
  <si>
    <t>Louisville</t>
  </si>
  <si>
    <t>Marshall</t>
  </si>
  <si>
    <t>Maryland</t>
  </si>
  <si>
    <t>Memphis</t>
  </si>
  <si>
    <t>Miami (OH)</t>
  </si>
  <si>
    <t>Michigan</t>
  </si>
  <si>
    <t>Michigan State</t>
  </si>
  <si>
    <t>North Texas</t>
  </si>
  <si>
    <t>Ohio</t>
  </si>
  <si>
    <t>Ohio State</t>
  </si>
  <si>
    <t>Oklahoma</t>
  </si>
  <si>
    <t>Oklahoma State</t>
  </si>
  <si>
    <t>Oregon</t>
  </si>
  <si>
    <t>Oregon State</t>
  </si>
  <si>
    <t>Purdue</t>
  </si>
  <si>
    <t>Rutgers</t>
  </si>
  <si>
    <t>South Alabama</t>
  </si>
  <si>
    <t>South Carolina</t>
  </si>
  <si>
    <t>Southern Mississippi</t>
  </si>
  <si>
    <t>South Florida</t>
  </si>
  <si>
    <t>Texas</t>
  </si>
  <si>
    <t>Texas A&amp;M</t>
  </si>
  <si>
    <t>Texas State</t>
  </si>
  <si>
    <t>Texas Tech</t>
  </si>
  <si>
    <t>Toledo</t>
  </si>
  <si>
    <t>Troy</t>
  </si>
  <si>
    <t>UCLA</t>
  </si>
  <si>
    <t>UNLV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</si>
  <si>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</si>
  <si>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</si>
  <si>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</si>
  <si>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</si>
  <si>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</si>
  <si>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</si>
  <si>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</si>
  <si>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</si>
  <si>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</si>
  <si>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</si>
  <si>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</si>
  <si>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</si>
  <si>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</si>
  <si>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</si>
  <si>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</si>
  <si>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</si>
  <si>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</si>
  <si>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</si>
  <si>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</si>
  <si>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</si>
  <si>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</si>
  <si>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</si>
  <si>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</si>
  <si>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</si>
  <si>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</si>
  <si>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</si>
  <si>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</si>
  <si>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</si>
  <si>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</si>
  <si>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</si>
  <si>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</si>
  <si>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</si>
  <si>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</si>
  <si>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</si>
  <si>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</si>
  <si>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</si>
  <si>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</si>
  <si>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</si>
  <si>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</si>
  <si>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</si>
  <si>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CUSA</t>
  </si>
  <si>
    <t>SEC</t>
  </si>
  <si>
    <t>MWC</t>
  </si>
  <si>
    <t>MAC</t>
  </si>
  <si>
    <t>Row Error Count</t>
  </si>
  <si>
    <t>Washington State</t>
  </si>
  <si>
    <t>Coder</t>
  </si>
  <si>
    <t>MA</t>
  </si>
  <si>
    <t>PC</t>
  </si>
  <si>
    <t>JO</t>
  </si>
  <si>
    <t>DR</t>
  </si>
  <si>
    <t>BR</t>
  </si>
  <si>
    <t>First and last initial.</t>
  </si>
  <si>
    <t>Department ID number from EADA.</t>
  </si>
  <si>
    <t>Year of the report.</t>
  </si>
  <si>
    <t>1 = FBS</t>
  </si>
  <si>
    <t>Big 12</t>
  </si>
  <si>
    <t>Big East</t>
  </si>
  <si>
    <t>The rest are all self-explanatory via the reports.</t>
  </si>
  <si>
    <t>Air Force</t>
  </si>
  <si>
    <t>Alabama</t>
  </si>
  <si>
    <t>SunBelt</t>
  </si>
  <si>
    <t>Pac12</t>
  </si>
  <si>
    <t>Army</t>
  </si>
  <si>
    <t>INDEP</t>
  </si>
  <si>
    <t>Baylor</t>
  </si>
  <si>
    <t>Big12</t>
  </si>
  <si>
    <t>Boston College</t>
  </si>
  <si>
    <t>BYU</t>
  </si>
  <si>
    <t>Cincinnati</t>
  </si>
  <si>
    <t>AAC</t>
  </si>
  <si>
    <t>Duke</t>
  </si>
  <si>
    <t>East Carolina</t>
  </si>
  <si>
    <t>Eastern Michigan</t>
  </si>
  <si>
    <t>Florida</t>
  </si>
  <si>
    <t>Florida Atlantic</t>
  </si>
  <si>
    <t>BigTen</t>
  </si>
  <si>
    <t>Kansas State</t>
  </si>
  <si>
    <t>Louisiana Lafayette</t>
  </si>
  <si>
    <t>Louisiana Monroe</t>
  </si>
  <si>
    <t>LSU</t>
  </si>
  <si>
    <t>Massachusetts</t>
  </si>
  <si>
    <t>Navy</t>
  </si>
  <si>
    <t>Northwestern</t>
  </si>
  <si>
    <t>Notre Dame</t>
  </si>
  <si>
    <t>Penn State</t>
  </si>
  <si>
    <t>Pittsburgh</t>
  </si>
  <si>
    <t>Rice</t>
  </si>
  <si>
    <t>San Diego State</t>
  </si>
  <si>
    <t>SMU</t>
  </si>
  <si>
    <t>Stanford</t>
  </si>
  <si>
    <t>Syracuse</t>
  </si>
  <si>
    <t>TCU</t>
  </si>
  <si>
    <t>Temple</t>
  </si>
  <si>
    <t>Tennessee</t>
  </si>
  <si>
    <t>Texas San Antonio</t>
  </si>
  <si>
    <t>Tulane</t>
  </si>
  <si>
    <t>Tulsa</t>
  </si>
  <si>
    <t>USC</t>
  </si>
  <si>
    <t>Vanderbilt</t>
  </si>
  <si>
    <t>Wake Forest</t>
  </si>
  <si>
    <t>West Virginia</t>
  </si>
  <si>
    <t>No Report</t>
  </si>
  <si>
    <t>NOTE: The adopted convention  is to enter zero in the non-RevExp columns if a zero really was entered in the PDF, otherwise, it's a blank.</t>
  </si>
  <si>
    <t>TotRevTot</t>
  </si>
  <si>
    <t>Middle Tennessee State</t>
  </si>
  <si>
    <t>.o</t>
  </si>
  <si>
    <t>GS</t>
  </si>
  <si>
    <t>RF</t>
  </si>
  <si>
    <t>San Jose State</t>
  </si>
  <si>
    <t>SM</t>
  </si>
  <si>
    <t>Don't expect any report on the private programs or the service academies. But there are a few that must have simply not submitted to FOIA:</t>
  </si>
  <si>
    <t>2013 Data file reports for June 30, 2013. That means the file is for the 2012-13 School/Sports Year (e.g., 2012 regular FB season, 2013 FB Post-Season</t>
  </si>
  <si>
    <t>2012-201313 Schools and Conferences</t>
  </si>
  <si>
    <t>min</t>
  </si>
  <si>
    <t>max</t>
  </si>
  <si>
    <t>ave</t>
  </si>
  <si>
    <t>median</t>
  </si>
  <si>
    <t>mode</t>
  </si>
  <si>
    <t>sd</t>
  </si>
  <si>
    <t>How many = 0?</t>
  </si>
  <si>
    <t>NOTE: The adopted convention  is to enter zero in the RevExp columns if 1) the # row is there but an entry is - or 0 or blank or 2) enter zeroes if the #row is not even supplied.</t>
  </si>
  <si>
    <t>Problems</t>
  </si>
  <si>
    <t>General</t>
  </si>
  <si>
    <t>Non-#</t>
  </si>
  <si>
    <t>Rev Exp #</t>
  </si>
  <si>
    <t>#17 NPS cut off in original, inferred from the other elements of #17.</t>
  </si>
  <si>
    <t>#17 Females cut off in original, could not infer. Same goes for same heading, but in the Non-# data.</t>
  </si>
  <si>
    <t>x</t>
  </si>
  <si>
    <t>#17 NPS cut off in original, inferred from the other elements of #17. #38 reported only total. Remaining #38 entries from sum #17-#36.</t>
  </si>
  <si>
    <t>#19 redacted, could not infer by sport from the rest of the report.</t>
  </si>
  <si>
    <t>#17 NPS cut off in original, could not infer from the rest of the reported values.</t>
  </si>
  <si>
    <t>#19 All salaries are reported as NPS.</t>
  </si>
  <si>
    <t>DNR #FTEs/POSs, could not infer Ave Salaries.</t>
  </si>
  <si>
    <t>#17 all cut off in the original report. No way to infer.</t>
  </si>
  <si>
    <t>#17 NPS was cut off in origina, inferred from the rest of the entries.</t>
  </si>
  <si>
    <t>Differences of +$1 or -$1 are rounding error.</t>
  </si>
  <si>
    <t>Alabama Birmingham</t>
  </si>
  <si>
    <t>Central Florida</t>
  </si>
  <si>
    <t>Florida International</t>
  </si>
  <si>
    <t>Georgia State</t>
  </si>
  <si>
    <t>Miami (FL)</t>
  </si>
  <si>
    <t>Mississippi</t>
  </si>
  <si>
    <t>Old Dominion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</si>
</sst>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28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31F20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theme="1"/>
      <name val="Helvetica"/>
      <family val="2"/>
    </font>
    <font>
      <sz val="8"/>
      <color theme="1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4" fillId="0" borderId="0" xfId="0" applyFont="1" applyFill="1" applyBorder="1" applyAlignment="1"/>
    <xf numFmtId="0" fontId="0" fillId="0" borderId="0" xfId="0" applyNumberFormat="1" applyFill="1" applyAlignment="1"/>
    <xf numFmtId="0" fontId="5" fillId="0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 vertical="top"/>
    </xf>
    <xf numFmtId="164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 vertical="center"/>
    </xf>
    <xf numFmtId="6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0" fillId="0" borderId="0" xfId="0" applyFill="1"/>
    <xf numFmtId="0" fontId="26" fillId="0" borderId="0" xfId="0" applyFont="1"/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right"/>
    </xf>
    <xf numFmtId="0" fontId="0" fillId="3" borderId="0" xfId="0" applyFill="1"/>
    <xf numFmtId="0" fontId="7" fillId="3" borderId="0" xfId="0" applyFont="1" applyFill="1" applyBorder="1" applyAlignment="1">
      <alignment horizontal="left"/>
    </xf>
    <xf numFmtId="49" fontId="0" fillId="0" borderId="0" xfId="0" applyNumberFormat="1" applyAlignment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49" fontId="0" fillId="0" borderId="0" xfId="0" applyNumberFormat="1" applyFill="1" applyAlignment="1"/>
    <xf numFmtId="1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3" fontId="18" fillId="0" borderId="0" xfId="0" applyNumberFormat="1" applyFont="1" applyAlignment="1">
      <alignment horizontal="right"/>
    </xf>
    <xf numFmtId="0" fontId="6" fillId="4" borderId="0" xfId="0" applyFont="1" applyFill="1" applyBorder="1" applyAlignment="1">
      <alignment horizontal="right"/>
    </xf>
    <xf numFmtId="0" fontId="6" fillId="4" borderId="0" xfId="0" applyNumberFormat="1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3" fontId="5" fillId="4" borderId="0" xfId="0" applyNumberFormat="1" applyFont="1" applyFill="1" applyBorder="1" applyAlignment="1">
      <alignment horizontal="right"/>
    </xf>
    <xf numFmtId="164" fontId="5" fillId="4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3" fontId="5" fillId="4" borderId="0" xfId="0" applyNumberFormat="1" applyFont="1" applyFill="1" applyBorder="1" applyAlignment="1">
      <alignment horizontal="right" vertical="center"/>
    </xf>
    <xf numFmtId="164" fontId="5" fillId="4" borderId="0" xfId="0" applyNumberFormat="1" applyFont="1" applyFill="1" applyBorder="1" applyAlignment="1">
      <alignment horizontal="right" vertical="center"/>
    </xf>
    <xf numFmtId="3" fontId="9" fillId="4" borderId="0" xfId="0" applyNumberFormat="1" applyFont="1" applyFill="1" applyBorder="1" applyAlignment="1">
      <alignment horizontal="right"/>
    </xf>
    <xf numFmtId="164" fontId="19" fillId="4" borderId="0" xfId="0" applyNumberFormat="1" applyFont="1" applyFill="1" applyBorder="1" applyAlignment="1">
      <alignment horizontal="right"/>
    </xf>
    <xf numFmtId="164" fontId="19" fillId="4" borderId="0" xfId="0" applyNumberFormat="1" applyFont="1" applyFill="1" applyBorder="1" applyAlignment="1">
      <alignment horizontal="right" vertical="center"/>
    </xf>
    <xf numFmtId="164" fontId="20" fillId="4" borderId="0" xfId="0" applyNumberFormat="1" applyFont="1" applyFill="1" applyBorder="1" applyAlignment="1">
      <alignment horizontal="right"/>
    </xf>
    <xf numFmtId="164" fontId="21" fillId="4" borderId="0" xfId="0" applyNumberFormat="1" applyFont="1" applyFill="1" applyBorder="1" applyAlignment="1">
      <alignment horizontal="right"/>
    </xf>
    <xf numFmtId="164" fontId="21" fillId="4" borderId="0" xfId="0" applyNumberFormat="1" applyFont="1" applyFill="1" applyBorder="1" applyAlignment="1">
      <alignment horizontal="right" vertical="center"/>
    </xf>
    <xf numFmtId="164" fontId="20" fillId="4" borderId="0" xfId="0" applyNumberFormat="1" applyFont="1" applyFill="1" applyBorder="1" applyAlignment="1">
      <alignment horizontal="right" vertical="center"/>
    </xf>
    <xf numFmtId="3" fontId="7" fillId="4" borderId="0" xfId="0" applyNumberFormat="1" applyFont="1" applyFill="1" applyBorder="1" applyAlignment="1">
      <alignment horizontal="right"/>
    </xf>
    <xf numFmtId="164" fontId="7" fillId="4" borderId="0" xfId="0" applyNumberFormat="1" applyFont="1" applyFill="1" applyBorder="1" applyAlignment="1">
      <alignment horizontal="right"/>
    </xf>
    <xf numFmtId="0" fontId="18" fillId="4" borderId="0" xfId="0" applyFont="1" applyFill="1" applyBorder="1" applyAlignment="1">
      <alignment horizontal="right"/>
    </xf>
    <xf numFmtId="0" fontId="6" fillId="5" borderId="0" xfId="0" applyNumberFormat="1" applyFont="1" applyFill="1" applyBorder="1" applyAlignment="1">
      <alignment horizontal="right"/>
    </xf>
    <xf numFmtId="164" fontId="6" fillId="5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right"/>
    </xf>
    <xf numFmtId="2" fontId="5" fillId="5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horizontal="right"/>
    </xf>
    <xf numFmtId="164" fontId="5" fillId="5" borderId="0" xfId="0" applyNumberFormat="1" applyFont="1" applyFill="1"/>
    <xf numFmtId="164" fontId="25" fillId="5" borderId="0" xfId="0" applyNumberFormat="1" applyFont="1" applyFill="1"/>
    <xf numFmtId="164" fontId="5" fillId="5" borderId="0" xfId="0" applyNumberFormat="1" applyFont="1" applyFill="1" applyBorder="1" applyAlignment="1">
      <alignment horizontal="right" vertical="center"/>
    </xf>
    <xf numFmtId="2" fontId="5" fillId="5" borderId="0" xfId="0" applyNumberFormat="1" applyFont="1" applyFill="1" applyBorder="1" applyAlignment="1">
      <alignment horizontal="right" vertical="center"/>
    </xf>
    <xf numFmtId="164" fontId="22" fillId="5" borderId="0" xfId="0" applyNumberFormat="1" applyFont="1" applyFill="1" applyBorder="1" applyAlignment="1">
      <alignment horizontal="right" vertical="center"/>
    </xf>
    <xf numFmtId="164" fontId="22" fillId="5" borderId="0" xfId="0" applyNumberFormat="1" applyFont="1" applyFill="1" applyBorder="1" applyAlignment="1">
      <alignment horizontal="right"/>
    </xf>
    <xf numFmtId="164" fontId="23" fillId="5" borderId="0" xfId="0" applyNumberFormat="1" applyFont="1" applyFill="1" applyBorder="1" applyAlignment="1">
      <alignment horizontal="right" vertical="center"/>
    </xf>
    <xf numFmtId="164" fontId="23" fillId="5" borderId="0" xfId="0" applyNumberFormat="1" applyFont="1" applyFill="1" applyBorder="1" applyAlignment="1">
      <alignment horizontal="right"/>
    </xf>
    <xf numFmtId="2" fontId="23" fillId="5" borderId="0" xfId="0" applyNumberFormat="1" applyFont="1" applyFill="1" applyBorder="1" applyAlignment="1">
      <alignment horizontal="right" vertical="center"/>
    </xf>
    <xf numFmtId="2" fontId="22" fillId="5" borderId="0" xfId="0" applyNumberFormat="1" applyFont="1" applyFill="1" applyBorder="1" applyAlignment="1">
      <alignment horizontal="right" vertical="center"/>
    </xf>
    <xf numFmtId="164" fontId="12" fillId="5" borderId="0" xfId="0" applyNumberFormat="1" applyFont="1" applyFill="1" applyBorder="1" applyAlignment="1">
      <alignment horizontal="right"/>
    </xf>
    <xf numFmtId="2" fontId="12" fillId="5" borderId="0" xfId="0" applyNumberFormat="1" applyFont="1" applyFill="1" applyBorder="1" applyAlignment="1">
      <alignment horizontal="right" vertical="center"/>
    </xf>
    <xf numFmtId="164" fontId="12" fillId="5" borderId="0" xfId="0" applyNumberFormat="1" applyFont="1" applyFill="1" applyBorder="1" applyAlignment="1">
      <alignment horizontal="right" vertical="center"/>
    </xf>
    <xf numFmtId="0" fontId="5" fillId="5" borderId="0" xfId="0" applyNumberFormat="1" applyFont="1" applyFill="1" applyBorder="1" applyAlignment="1">
      <alignment horizontal="right" vertical="center"/>
    </xf>
    <xf numFmtId="164" fontId="7" fillId="5" borderId="0" xfId="0" applyNumberFormat="1" applyFont="1" applyFill="1" applyBorder="1" applyAlignment="1">
      <alignment horizontal="right" vertical="center"/>
    </xf>
    <xf numFmtId="0" fontId="7" fillId="5" borderId="0" xfId="0" applyNumberFormat="1" applyFont="1" applyFill="1" applyBorder="1" applyAlignment="1">
      <alignment horizontal="right"/>
    </xf>
    <xf numFmtId="164" fontId="7" fillId="5" borderId="0" xfId="0" applyNumberFormat="1" applyFont="1" applyFill="1" applyBorder="1" applyAlignment="1">
      <alignment horizontal="right"/>
    </xf>
    <xf numFmtId="2" fontId="7" fillId="5" borderId="0" xfId="0" applyNumberFormat="1" applyFont="1" applyFill="1" applyBorder="1" applyAlignment="1">
      <alignment horizontal="right"/>
    </xf>
    <xf numFmtId="164" fontId="6" fillId="6" borderId="0" xfId="0" applyNumberFormat="1" applyFont="1" applyFill="1" applyBorder="1" applyAlignment="1">
      <alignment horizontal="right"/>
    </xf>
    <xf numFmtId="164" fontId="5" fillId="6" borderId="0" xfId="0" applyNumberFormat="1" applyFont="1" applyFill="1" applyBorder="1" applyAlignment="1">
      <alignment horizontal="right"/>
    </xf>
    <xf numFmtId="164" fontId="18" fillId="6" borderId="0" xfId="0" applyNumberFormat="1" applyFont="1" applyFill="1" applyBorder="1" applyAlignment="1">
      <alignment horizontal="right"/>
    </xf>
    <xf numFmtId="164" fontId="13" fillId="6" borderId="0" xfId="0" applyNumberFormat="1" applyFont="1" applyFill="1" applyBorder="1" applyAlignment="1">
      <alignment horizontal="right"/>
    </xf>
    <xf numFmtId="164" fontId="18" fillId="6" borderId="0" xfId="0" applyNumberFormat="1" applyFont="1" applyFill="1" applyAlignment="1">
      <alignment horizontal="right"/>
    </xf>
    <xf numFmtId="164" fontId="5" fillId="6" borderId="0" xfId="0" applyNumberFormat="1" applyFont="1" applyFill="1"/>
    <xf numFmtId="164" fontId="5" fillId="6" borderId="0" xfId="0" quotePrefix="1" applyNumberFormat="1" applyFont="1" applyFill="1" applyBorder="1" applyAlignment="1">
      <alignment horizontal="right"/>
    </xf>
    <xf numFmtId="164" fontId="7" fillId="6" borderId="0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Border="1" applyAlignment="1">
      <alignment horizontal="right" vertical="center"/>
    </xf>
    <xf numFmtId="164" fontId="7" fillId="6" borderId="0" xfId="0" applyNumberFormat="1" applyFont="1" applyFill="1" applyBorder="1" applyAlignment="1">
      <alignment horizontal="right"/>
    </xf>
    <xf numFmtId="164" fontId="18" fillId="6" borderId="0" xfId="0" applyNumberFormat="1" applyFont="1" applyFill="1" applyBorder="1" applyAlignment="1">
      <alignment horizontal="right" vertical="center"/>
    </xf>
    <xf numFmtId="164" fontId="18" fillId="6" borderId="0" xfId="0" applyNumberFormat="1" applyFont="1" applyFill="1"/>
    <xf numFmtId="164" fontId="24" fillId="6" borderId="0" xfId="0" applyNumberFormat="1" applyFont="1" applyFill="1" applyBorder="1" applyAlignment="1">
      <alignment horizontal="right" vertical="center"/>
    </xf>
    <xf numFmtId="164" fontId="10" fillId="6" borderId="0" xfId="0" applyNumberFormat="1" applyFont="1" applyFill="1" applyBorder="1" applyAlignment="1">
      <alignment horizontal="right" vertical="center"/>
    </xf>
    <xf numFmtId="164" fontId="7" fillId="6" borderId="0" xfId="0" applyNumberFormat="1" applyFont="1" applyFill="1" applyBorder="1" applyAlignment="1">
      <alignment horizontal="right" vertical="center"/>
    </xf>
    <xf numFmtId="164" fontId="12" fillId="6" borderId="0" xfId="0" applyNumberFormat="1" applyFont="1" applyFill="1" applyBorder="1" applyAlignment="1">
      <alignment horizontal="right" vertical="center"/>
    </xf>
    <xf numFmtId="164" fontId="13" fillId="6" borderId="0" xfId="0" applyNumberFormat="1" applyFont="1" applyFill="1" applyBorder="1" applyAlignment="1">
      <alignment horizontal="right" vertical="center"/>
    </xf>
    <xf numFmtId="164" fontId="14" fillId="6" borderId="0" xfId="0" applyNumberFormat="1" applyFont="1" applyFill="1" applyBorder="1" applyAlignment="1">
      <alignment horizontal="right" vertical="center"/>
    </xf>
    <xf numFmtId="164" fontId="15" fillId="6" borderId="0" xfId="0" applyNumberFormat="1" applyFont="1" applyFill="1" applyBorder="1" applyAlignment="1">
      <alignment horizontal="right" vertical="center"/>
    </xf>
    <xf numFmtId="164" fontId="16" fillId="6" borderId="0" xfId="0" applyNumberFormat="1" applyFont="1" applyFill="1" applyBorder="1" applyAlignment="1">
      <alignment horizontal="right" vertical="center"/>
    </xf>
    <xf numFmtId="164" fontId="17" fillId="6" borderId="0" xfId="0" applyNumberFormat="1" applyFont="1" applyFill="1" applyBorder="1" applyAlignment="1">
      <alignment horizontal="right" vertical="center"/>
    </xf>
    <xf numFmtId="164" fontId="8" fillId="6" borderId="0" xfId="0" applyNumberFormat="1" applyFont="1" applyFill="1" applyBorder="1" applyAlignment="1">
      <alignment horizontal="right" vertical="top"/>
    </xf>
    <xf numFmtId="164" fontId="11" fillId="6" borderId="0" xfId="0" applyNumberFormat="1" applyFont="1" applyFill="1" applyBorder="1" applyAlignment="1">
      <alignment horizontal="right" vertical="top"/>
    </xf>
    <xf numFmtId="164" fontId="9" fillId="6" borderId="0" xfId="0" applyNumberFormat="1" applyFont="1" applyFill="1" applyBorder="1" applyAlignment="1">
      <alignment horizontal="right" vertical="top"/>
    </xf>
    <xf numFmtId="164" fontId="9" fillId="6" borderId="0" xfId="0" applyNumberFormat="1" applyFont="1" applyFill="1" applyBorder="1" applyAlignment="1">
      <alignment horizontal="right"/>
    </xf>
    <xf numFmtId="164" fontId="10" fillId="6" borderId="0" xfId="0" applyNumberFormat="1" applyFont="1" applyFill="1" applyBorder="1" applyAlignment="1">
      <alignment horizontal="right" vertical="top"/>
    </xf>
    <xf numFmtId="164" fontId="18" fillId="6" borderId="0" xfId="0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0" borderId="0" xfId="0" applyAlignment="1"/>
    <xf numFmtId="49" fontId="27" fillId="0" borderId="0" xfId="0" applyNumberFormat="1" applyFont="1" applyAlignment="1"/>
    <xf numFmtId="0" fontId="27" fillId="0" borderId="0" xfId="0" applyFont="1" applyAlignment="1"/>
    <xf numFmtId="49" fontId="0" fillId="7" borderId="0" xfId="0" applyNumberFormat="1" applyFill="1" applyAlignment="1"/>
    <xf numFmtId="49" fontId="0" fillId="7" borderId="0" xfId="0" applyNumberFormat="1" applyFill="1"/>
    <xf numFmtId="0" fontId="0" fillId="7" borderId="0" xfId="0" applyFill="1" applyAlignment="1"/>
    <xf numFmtId="49" fontId="27" fillId="7" borderId="0" xfId="0" applyNumberFormat="1" applyFont="1" applyFill="1" applyAlignment="1"/>
    <xf numFmtId="49" fontId="7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7" fillId="3" borderId="0" xfId="0" applyNumberFormat="1" applyFont="1" applyFill="1" applyBorder="1" applyAlignment="1">
      <alignment horizontal="left"/>
    </xf>
    <xf numFmtId="49" fontId="5" fillId="3" borderId="0" xfId="0" applyNumberFormat="1" applyFont="1" applyFill="1" applyBorder="1" applyAlignment="1">
      <alignment horizontal="left"/>
    </xf>
    <xf numFmtId="49" fontId="0" fillId="3" borderId="0" xfId="0" applyNumberFormat="1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R103"/>
  <sheetViews>
    <sheetView tabSelected="1" zoomScale="200" zoomScaleNormal="200" zoomScalePageLayoutView="200" workbookViewId="0">
      <pane xSplit="1" topLeftCell="AW1" activePane="topRight" state="frozen"/>
      <selection pane="topRight" activeCell="BE6" sqref="BE6"/>
    </sheetView>
  </sheetViews>
  <sheetFormatPr baseColWidth="10" defaultRowHeight="10" x14ac:dyDescent="0.15"/>
  <cols>
    <col min="1" max="1" width="12.5" style="5" bestFit="1" customWidth="1"/>
    <col min="2" max="2" width="3.1640625" style="5" bestFit="1" customWidth="1"/>
    <col min="3" max="3" width="8" style="5" bestFit="1" customWidth="1"/>
    <col min="4" max="4" width="2.83203125" style="5" bestFit="1" customWidth="1"/>
    <col min="5" max="5" width="6.1640625" style="5" bestFit="1" customWidth="1"/>
    <col min="6" max="6" width="5.33203125" style="5" bestFit="1" customWidth="1"/>
    <col min="7" max="7" width="4.1640625" style="6" bestFit="1" customWidth="1"/>
    <col min="8" max="8" width="5.1640625" style="6" bestFit="1" customWidth="1"/>
    <col min="9" max="9" width="7.5" style="7" bestFit="1" customWidth="1"/>
    <col min="10" max="10" width="7.33203125" style="7" bestFit="1" customWidth="1"/>
    <col min="11" max="11" width="7.1640625" style="7" bestFit="1" customWidth="1"/>
    <col min="12" max="12" width="8.83203125" style="7" bestFit="1" customWidth="1"/>
    <col min="13" max="13" width="7.1640625" style="7" bestFit="1" customWidth="1"/>
    <col min="14" max="14" width="8.83203125" style="7" bestFit="1" customWidth="1"/>
    <col min="15" max="15" width="7.83203125" style="7" bestFit="1" customWidth="1"/>
    <col min="16" max="16" width="9.5" style="7" bestFit="1" customWidth="1"/>
    <col min="17" max="17" width="9" style="7" bestFit="1" customWidth="1"/>
    <col min="18" max="18" width="10.83203125" style="7" bestFit="1" customWidth="1"/>
    <col min="19" max="19" width="8" style="7" bestFit="1" customWidth="1"/>
    <col min="20" max="20" width="9.6640625" style="7" bestFit="1" customWidth="1"/>
    <col min="21" max="21" width="8.33203125" style="7" bestFit="1" customWidth="1"/>
    <col min="22" max="23" width="10" style="7" bestFit="1" customWidth="1"/>
    <col min="24" max="24" width="11.83203125" style="7" bestFit="1" customWidth="1"/>
    <col min="25" max="25" width="7.83203125" style="7" bestFit="1" customWidth="1"/>
    <col min="26" max="27" width="9.5" style="7" bestFit="1" customWidth="1"/>
    <col min="28" max="28" width="11.1640625" style="7" bestFit="1" customWidth="1"/>
    <col min="29" max="29" width="6.1640625" style="8" bestFit="1" customWidth="1"/>
    <col min="30" max="30" width="7.5" style="8" bestFit="1" customWidth="1"/>
    <col min="31" max="31" width="6.5" style="8" bestFit="1" customWidth="1"/>
    <col min="32" max="32" width="13.83203125" style="7" bestFit="1" customWidth="1"/>
    <col min="33" max="33" width="15.1640625" style="7" bestFit="1" customWidth="1"/>
    <col min="34" max="34" width="7.1640625" style="7" bestFit="1" customWidth="1"/>
    <col min="35" max="35" width="8.5" style="7" bestFit="1" customWidth="1"/>
    <col min="36" max="36" width="12.33203125" style="7" bestFit="1" customWidth="1"/>
    <col min="37" max="37" width="6.5" style="9" bestFit="1" customWidth="1"/>
    <col min="38" max="38" width="13.83203125" style="7" bestFit="1" customWidth="1"/>
    <col min="39" max="39" width="8" style="9" bestFit="1" customWidth="1"/>
    <col min="40" max="40" width="13.6640625" style="7" bestFit="1" customWidth="1"/>
    <col min="41" max="41" width="7.83203125" style="9" bestFit="1" customWidth="1"/>
    <col min="42" max="42" width="15.1640625" style="7" bestFit="1" customWidth="1"/>
    <col min="43" max="43" width="9.33203125" style="9" bestFit="1" customWidth="1"/>
    <col min="44" max="44" width="12.33203125" style="7" bestFit="1" customWidth="1"/>
    <col min="45" max="45" width="6.5" style="9" bestFit="1" customWidth="1"/>
    <col min="46" max="46" width="13.83203125" style="7" bestFit="1" customWidth="1"/>
    <col min="47" max="47" width="8" style="9" bestFit="1" customWidth="1"/>
    <col min="48" max="48" width="13.6640625" style="7" bestFit="1" customWidth="1"/>
    <col min="49" max="49" width="7.83203125" style="9" bestFit="1" customWidth="1"/>
    <col min="50" max="50" width="15.1640625" style="7" bestFit="1" customWidth="1"/>
    <col min="51" max="51" width="9.33203125" style="9" bestFit="1" customWidth="1"/>
    <col min="52" max="52" width="8" style="7" bestFit="1" customWidth="1"/>
    <col min="53" max="53" width="9.5" style="7" bestFit="1" customWidth="1"/>
    <col min="54" max="54" width="7.1640625" style="7" bestFit="1" customWidth="1"/>
    <col min="55" max="55" width="5.83203125" style="7" bestFit="1" customWidth="1"/>
    <col min="56" max="56" width="6.33203125" style="7" bestFit="1" customWidth="1"/>
    <col min="57" max="59" width="7.1640625" style="7" bestFit="1" customWidth="1"/>
    <col min="60" max="60" width="8.83203125" style="7" bestFit="1" customWidth="1"/>
    <col min="61" max="61" width="5.83203125" style="7" bestFit="1" customWidth="1"/>
    <col min="62" max="62" width="8" style="7" bestFit="1" customWidth="1"/>
    <col min="63" max="63" width="6.1640625" style="7" bestFit="1" customWidth="1"/>
    <col min="64" max="65" width="7" style="7" bestFit="1" customWidth="1"/>
    <col min="66" max="66" width="8.83203125" style="7" bestFit="1" customWidth="1"/>
    <col min="67" max="68" width="7.1640625" style="7" bestFit="1" customWidth="1"/>
    <col min="69" max="69" width="6.1640625" style="7" bestFit="1" customWidth="1"/>
    <col min="70" max="71" width="6.5" style="7" bestFit="1" customWidth="1"/>
    <col min="72" max="72" width="8.5" style="7" bestFit="1" customWidth="1"/>
    <col min="73" max="74" width="8" style="7" bestFit="1" customWidth="1"/>
    <col min="75" max="79" width="9.5" style="7" bestFit="1" customWidth="1"/>
    <col min="80" max="80" width="10.33203125" style="7" bestFit="1" customWidth="1"/>
    <col min="81" max="81" width="9.5" style="7" bestFit="1" customWidth="1"/>
    <col min="82" max="83" width="8" style="7" bestFit="1" customWidth="1"/>
    <col min="84" max="84" width="9.5" style="7" bestFit="1" customWidth="1"/>
    <col min="85" max="85" width="6.1640625" style="7" bestFit="1" customWidth="1"/>
    <col min="86" max="86" width="9.5" style="7" bestFit="1" customWidth="1"/>
    <col min="87" max="88" width="8" style="7" bestFit="1" customWidth="1"/>
    <col min="89" max="89" width="7.83203125" style="7" bestFit="1" customWidth="1"/>
    <col min="90" max="90" width="9.6640625" style="7" bestFit="1" customWidth="1"/>
    <col min="91" max="91" width="6.6640625" style="7" bestFit="1" customWidth="1"/>
    <col min="92" max="92" width="8" style="7" bestFit="1" customWidth="1"/>
    <col min="93" max="93" width="9.5" style="7" bestFit="1" customWidth="1"/>
    <col min="94" max="95" width="9.6640625" style="7" bestFit="1" customWidth="1"/>
    <col min="96" max="96" width="11.5" style="7" bestFit="1" customWidth="1"/>
    <col min="97" max="97" width="8.5" style="7" bestFit="1" customWidth="1"/>
    <col min="98" max="98" width="9.5" style="7" bestFit="1" customWidth="1"/>
    <col min="99" max="99" width="7.33203125" style="7" bestFit="1" customWidth="1"/>
    <col min="100" max="101" width="9" style="7" bestFit="1" customWidth="1"/>
    <col min="102" max="102" width="11" style="7" bestFit="1" customWidth="1"/>
    <col min="103" max="103" width="7.83203125" style="7" bestFit="1" customWidth="1"/>
    <col min="104" max="104" width="7.5" style="7" bestFit="1" customWidth="1"/>
    <col min="105" max="105" width="8" style="7" bestFit="1" customWidth="1"/>
    <col min="106" max="107" width="9" style="7" bestFit="1" customWidth="1"/>
    <col min="108" max="108" width="10.83203125" style="7" bestFit="1" customWidth="1"/>
    <col min="109" max="110" width="9.5" style="7" bestFit="1" customWidth="1"/>
    <col min="111" max="111" width="6.6640625" style="7" bestFit="1" customWidth="1"/>
    <col min="112" max="112" width="8.33203125" style="7" bestFit="1" customWidth="1"/>
    <col min="113" max="113" width="8.5" style="7" bestFit="1" customWidth="1"/>
    <col min="114" max="114" width="10.33203125" style="7" bestFit="1" customWidth="1"/>
    <col min="115" max="115" width="7.33203125" style="7" bestFit="1" customWidth="1"/>
    <col min="116" max="116" width="6.83203125" style="7" bestFit="1" customWidth="1"/>
    <col min="117" max="117" width="6.5" style="7" bestFit="1" customWidth="1"/>
    <col min="118" max="119" width="8.33203125" style="7" bestFit="1" customWidth="1"/>
    <col min="120" max="120" width="10.33203125" style="7" bestFit="1" customWidth="1"/>
    <col min="121" max="121" width="7.1640625" style="7" bestFit="1" customWidth="1"/>
    <col min="122" max="122" width="6.6640625" style="7" bestFit="1" customWidth="1"/>
    <col min="123" max="123" width="8" style="7" bestFit="1" customWidth="1"/>
    <col min="124" max="125" width="7.1640625" style="7" bestFit="1" customWidth="1"/>
    <col min="126" max="126" width="9" style="7" bestFit="1" customWidth="1"/>
    <col min="127" max="127" width="6" style="7" bestFit="1" customWidth="1"/>
    <col min="128" max="130" width="8" style="7" bestFit="1" customWidth="1"/>
    <col min="131" max="131" width="7.1640625" style="7" bestFit="1" customWidth="1"/>
    <col min="132" max="132" width="8.6640625" style="7" bestFit="1" customWidth="1"/>
    <col min="133" max="133" width="8" style="7" bestFit="1" customWidth="1"/>
    <col min="134" max="134" width="9.5" style="7" bestFit="1" customWidth="1"/>
    <col min="135" max="135" width="8" style="7" bestFit="1" customWidth="1"/>
    <col min="136" max="137" width="7.1640625" style="7" bestFit="1" customWidth="1"/>
    <col min="138" max="138" width="8.5" style="7" bestFit="1" customWidth="1"/>
    <col min="139" max="139" width="8" style="7" bestFit="1" customWidth="1"/>
    <col min="140" max="140" width="9.5" style="7" bestFit="1" customWidth="1"/>
    <col min="141" max="141" width="8" style="7" bestFit="1" customWidth="1"/>
    <col min="142" max="143" width="7.1640625" style="7" bestFit="1" customWidth="1"/>
    <col min="144" max="144" width="8.5" style="7" bestFit="1" customWidth="1"/>
    <col min="145" max="145" width="6.33203125" style="7" bestFit="1" customWidth="1"/>
    <col min="146" max="146" width="8" style="7" bestFit="1" customWidth="1"/>
    <col min="147" max="149" width="7.1640625" style="7" bestFit="1" customWidth="1"/>
    <col min="150" max="150" width="8.33203125" style="7" bestFit="1" customWidth="1"/>
    <col min="151" max="152" width="8" style="7" bestFit="1" customWidth="1"/>
    <col min="153" max="153" width="6.5" style="7" bestFit="1" customWidth="1"/>
    <col min="154" max="155" width="8.1640625" style="7" bestFit="1" customWidth="1"/>
    <col min="156" max="156" width="10" style="7" bestFit="1" customWidth="1"/>
    <col min="157" max="158" width="7.1640625" style="7" bestFit="1" customWidth="1"/>
    <col min="159" max="159" width="7.5" style="7" bestFit="1" customWidth="1"/>
    <col min="160" max="161" width="9.1640625" style="7" bestFit="1" customWidth="1"/>
    <col min="162" max="162" width="11" style="7" bestFit="1" customWidth="1"/>
    <col min="163" max="163" width="8.1640625" style="7" bestFit="1" customWidth="1"/>
    <col min="164" max="164" width="8" style="7" bestFit="1" customWidth="1"/>
    <col min="165" max="165" width="5.83203125" style="7" bestFit="1" customWidth="1"/>
    <col min="166" max="167" width="6.5" style="7" bestFit="1" customWidth="1"/>
    <col min="168" max="168" width="8.33203125" style="7" bestFit="1" customWidth="1"/>
    <col min="169" max="170" width="7.1640625" style="7" bestFit="1" customWidth="1"/>
    <col min="171" max="171" width="9.5" style="7" bestFit="1" customWidth="1"/>
    <col min="172" max="173" width="9.83203125" style="7" bestFit="1" customWidth="1"/>
    <col min="174" max="174" width="11.6640625" style="7" bestFit="1" customWidth="1"/>
    <col min="175" max="176" width="9.5" style="7" bestFit="1" customWidth="1"/>
    <col min="177" max="177" width="8.5" style="7" bestFit="1" customWidth="1"/>
    <col min="178" max="179" width="10.33203125" style="7" bestFit="1" customWidth="1"/>
    <col min="180" max="180" width="12.1640625" style="7" bestFit="1" customWidth="1"/>
    <col min="181" max="181" width="9.1640625" style="7" bestFit="1" customWidth="1"/>
    <col min="182" max="182" width="8.6640625" style="7" bestFit="1" customWidth="1"/>
    <col min="183" max="183" width="6.1640625" style="7" bestFit="1" customWidth="1"/>
    <col min="184" max="185" width="6.33203125" style="7" bestFit="1" customWidth="1"/>
    <col min="186" max="186" width="8.1640625" style="7" bestFit="1" customWidth="1"/>
    <col min="187" max="190" width="8" style="7" bestFit="1" customWidth="1"/>
    <col min="191" max="191" width="8.1640625" style="7" bestFit="1" customWidth="1"/>
    <col min="192" max="192" width="10" style="7" bestFit="1" customWidth="1"/>
    <col min="193" max="193" width="8" style="7" bestFit="1" customWidth="1"/>
    <col min="194" max="199" width="9.5" style="7" bestFit="1" customWidth="1"/>
    <col min="200" max="200" width="10.33203125" style="7" bestFit="1" customWidth="1"/>
    <col min="201" max="201" width="6.1640625" style="7" bestFit="1" customWidth="1"/>
    <col min="202" max="203" width="8" style="7" bestFit="1" customWidth="1"/>
    <col min="204" max="204" width="9.83203125" style="7" bestFit="1" customWidth="1"/>
    <col min="205" max="205" width="6.83203125" style="7" bestFit="1" customWidth="1"/>
    <col min="206" max="206" width="6.33203125" style="7" bestFit="1" customWidth="1"/>
    <col min="207" max="207" width="9.5" style="7" bestFit="1" customWidth="1"/>
    <col min="208" max="209" width="9.6640625" style="7" bestFit="1" customWidth="1"/>
    <col min="210" max="210" width="11.5" style="7" bestFit="1" customWidth="1"/>
    <col min="211" max="211" width="9.5" style="7" bestFit="1" customWidth="1"/>
    <col min="212" max="212" width="10.33203125" style="7" bestFit="1" customWidth="1"/>
    <col min="213" max="213" width="16.83203125" style="7" customWidth="1"/>
    <col min="214" max="214" width="5.83203125" style="7" bestFit="1" customWidth="1"/>
    <col min="215" max="215" width="6.83203125" style="7" bestFit="1" customWidth="1"/>
    <col min="216" max="216" width="6.5" style="7" customWidth="1"/>
    <col min="217" max="217" width="6.83203125" style="7" bestFit="1" customWidth="1"/>
    <col min="218" max="218" width="6" style="7" customWidth="1"/>
    <col min="219" max="219" width="6.83203125" style="7" bestFit="1" customWidth="1"/>
    <col min="220" max="220" width="5.83203125" style="7" bestFit="1" customWidth="1"/>
    <col min="221" max="221" width="6.83203125" style="7" bestFit="1" customWidth="1"/>
    <col min="222" max="222" width="5.5" style="7" customWidth="1"/>
    <col min="223" max="223" width="6.83203125" style="7" bestFit="1" customWidth="1"/>
    <col min="224" max="224" width="6.1640625" style="7" customWidth="1"/>
    <col min="225" max="225" width="6.83203125" style="7" bestFit="1" customWidth="1"/>
    <col min="226" max="226" width="6.33203125" style="7" customWidth="1"/>
    <col min="227" max="227" width="6.83203125" style="7" bestFit="1" customWidth="1"/>
    <col min="228" max="228" width="5.33203125" style="7" customWidth="1"/>
    <col min="229" max="229" width="6.83203125" style="7" bestFit="1" customWidth="1"/>
    <col min="230" max="230" width="5.83203125" style="7" bestFit="1" customWidth="1"/>
    <col min="231" max="231" width="6.83203125" style="7" bestFit="1" customWidth="1"/>
    <col min="232" max="232" width="5.83203125" style="7" customWidth="1"/>
    <col min="233" max="233" width="6.83203125" style="7" bestFit="1" customWidth="1"/>
    <col min="234" max="234" width="5.33203125" style="7" bestFit="1" customWidth="1"/>
    <col min="235" max="235" width="6.83203125" style="7" bestFit="1" customWidth="1"/>
    <col min="236" max="236" width="6.6640625" style="7" customWidth="1"/>
    <col min="237" max="237" width="6.83203125" style="7" bestFit="1" customWidth="1"/>
    <col min="238" max="238" width="5.33203125" style="7" bestFit="1" customWidth="1"/>
    <col min="239" max="239" width="6.83203125" style="7" bestFit="1" customWidth="1"/>
    <col min="240" max="240" width="5.83203125" style="7" bestFit="1" customWidth="1"/>
    <col min="241" max="241" width="6.83203125" style="7" bestFit="1" customWidth="1"/>
    <col min="242" max="242" width="6.33203125" style="7" customWidth="1"/>
    <col min="243" max="243" width="6.83203125" style="7" bestFit="1" customWidth="1"/>
    <col min="244" max="244" width="6.6640625" style="7" customWidth="1"/>
    <col min="245" max="245" width="6.83203125" style="7" bestFit="1" customWidth="1"/>
    <col min="246" max="246" width="5.83203125" style="7" bestFit="1" customWidth="1"/>
    <col min="247" max="247" width="6.83203125" style="7" bestFit="1" customWidth="1"/>
    <col min="248" max="248" width="5.33203125" style="7" bestFit="1" customWidth="1"/>
    <col min="249" max="249" width="6.83203125" style="7" bestFit="1" customWidth="1"/>
    <col min="250" max="250" width="5.83203125" style="7" bestFit="1" customWidth="1"/>
    <col min="251" max="251" width="6.83203125" style="7" bestFit="1" customWidth="1"/>
    <col min="252" max="252" width="5.33203125" style="7" customWidth="1"/>
    <col min="253" max="253" width="6.83203125" style="7" bestFit="1" customWidth="1"/>
    <col min="254" max="254" width="5.83203125" style="7" bestFit="1" customWidth="1"/>
    <col min="255" max="255" width="6.83203125" style="7" bestFit="1" customWidth="1"/>
    <col min="256" max="256" width="4.5" style="7" bestFit="1" customWidth="1"/>
    <col min="257" max="257" width="6.83203125" style="7" bestFit="1" customWidth="1"/>
    <col min="258" max="258" width="5.33203125" style="7" bestFit="1" customWidth="1"/>
    <col min="259" max="259" width="6.83203125" style="7" bestFit="1" customWidth="1"/>
    <col min="260" max="260" width="6.33203125" style="7" customWidth="1"/>
    <col min="261" max="261" width="6.83203125" style="7" bestFit="1" customWidth="1"/>
    <col min="262" max="262" width="5.33203125" style="7" bestFit="1" customWidth="1"/>
    <col min="263" max="263" width="6.83203125" style="7" bestFit="1" customWidth="1"/>
    <col min="264" max="264" width="5.33203125" style="7" bestFit="1" customWidth="1"/>
    <col min="265" max="265" width="6.83203125" style="7" bestFit="1" customWidth="1"/>
    <col min="266" max="266" width="6.6640625" style="7" customWidth="1"/>
    <col min="267" max="267" width="6.83203125" style="7" bestFit="1" customWidth="1"/>
    <col min="268" max="268" width="5.33203125" style="7" bestFit="1" customWidth="1"/>
    <col min="269" max="269" width="6.83203125" style="7" bestFit="1" customWidth="1"/>
    <col min="270" max="270" width="5.6640625" style="7" customWidth="1"/>
    <col min="271" max="271" width="6.83203125" style="7" bestFit="1" customWidth="1"/>
    <col min="272" max="272" width="6" style="7" customWidth="1"/>
    <col min="273" max="273" width="6.83203125" style="7" bestFit="1" customWidth="1"/>
    <col min="274" max="274" width="5.5" style="7" customWidth="1"/>
    <col min="275" max="275" width="6.83203125" style="7" bestFit="1" customWidth="1"/>
    <col min="276" max="276" width="6.33203125" style="7" customWidth="1"/>
    <col min="277" max="277" width="6.83203125" style="7" bestFit="1" customWidth="1"/>
    <col min="278" max="278" width="5.33203125" style="7" bestFit="1" customWidth="1"/>
    <col min="279" max="279" width="6.83203125" style="7" bestFit="1" customWidth="1"/>
    <col min="280" max="280" width="5.83203125" style="7" customWidth="1"/>
    <col min="281" max="281" width="6.83203125" style="7" bestFit="1" customWidth="1"/>
    <col min="282" max="282" width="5.83203125" style="7" bestFit="1" customWidth="1"/>
    <col min="283" max="283" width="6.83203125" style="7" bestFit="1" customWidth="1"/>
    <col min="284" max="284" width="6.83203125" style="7" customWidth="1"/>
    <col min="285" max="285" width="6.83203125" style="7" bestFit="1" customWidth="1"/>
    <col min="286" max="286" width="5.33203125" style="7" bestFit="1" customWidth="1"/>
    <col min="287" max="287" width="6.83203125" style="7" bestFit="1" customWidth="1"/>
    <col min="288" max="288" width="6.83203125" style="7" customWidth="1"/>
    <col min="289" max="289" width="6.83203125" style="7" bestFit="1" customWidth="1"/>
    <col min="290" max="290" width="12.1640625" style="7" customWidth="1"/>
    <col min="291" max="291" width="7" style="7" bestFit="1" customWidth="1"/>
    <col min="292" max="292" width="10.83203125" style="5"/>
    <col min="293" max="293" width="7.6640625" style="5" bestFit="1" customWidth="1"/>
    <col min="294" max="303" width="10.83203125" style="5"/>
    <col min="304" max="304" width="15" style="5" customWidth="1"/>
    <col min="305" max="16384" width="10.83203125" style="5"/>
  </cols>
  <sheetData>
    <row r="1" spans="1:293" s="20" customFormat="1" x14ac:dyDescent="0.15"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F1" s="7"/>
      <c r="AG1" s="7"/>
      <c r="AH1" s="7"/>
      <c r="AI1" s="7"/>
      <c r="AJ1" s="7"/>
      <c r="AK1" s="9"/>
      <c r="AL1" s="7"/>
      <c r="AM1" s="9"/>
      <c r="AN1" s="7"/>
      <c r="AO1" s="9"/>
      <c r="AP1" s="7"/>
      <c r="AQ1" s="9"/>
      <c r="AR1" s="7"/>
      <c r="AS1" s="9"/>
      <c r="AT1" s="7"/>
      <c r="AU1" s="9"/>
      <c r="AV1" s="7"/>
      <c r="AW1" s="9"/>
      <c r="AX1" s="7"/>
      <c r="AY1" s="9"/>
      <c r="AZ1" s="20">
        <v>1</v>
      </c>
      <c r="BA1" s="20">
        <v>3</v>
      </c>
      <c r="BB1" s="20">
        <v>4</v>
      </c>
      <c r="BC1" s="20">
        <v>11</v>
      </c>
      <c r="BD1" s="20">
        <v>12</v>
      </c>
      <c r="BE1" s="20">
        <v>13</v>
      </c>
      <c r="BF1" s="20">
        <v>13</v>
      </c>
      <c r="BG1" s="20">
        <v>13</v>
      </c>
      <c r="BH1" s="20">
        <v>13</v>
      </c>
      <c r="BI1" s="20">
        <v>13</v>
      </c>
      <c r="BJ1" s="20">
        <v>13</v>
      </c>
      <c r="BK1" s="20">
        <v>14</v>
      </c>
      <c r="BL1" s="20">
        <v>14</v>
      </c>
      <c r="BM1" s="20">
        <v>14</v>
      </c>
      <c r="BN1" s="20">
        <v>14</v>
      </c>
      <c r="BO1" s="20">
        <v>14</v>
      </c>
      <c r="BP1" s="20">
        <v>14</v>
      </c>
      <c r="BQ1" s="20">
        <v>15</v>
      </c>
      <c r="BR1" s="20">
        <v>15</v>
      </c>
      <c r="BS1" s="20">
        <v>15</v>
      </c>
      <c r="BT1" s="20">
        <v>15</v>
      </c>
      <c r="BU1" s="20">
        <v>15</v>
      </c>
      <c r="BV1" s="20">
        <v>15</v>
      </c>
      <c r="BW1" s="20">
        <v>16</v>
      </c>
      <c r="BX1" s="20">
        <v>16</v>
      </c>
      <c r="BY1" s="20">
        <v>16</v>
      </c>
      <c r="BZ1" s="20">
        <v>16</v>
      </c>
      <c r="CA1" s="20">
        <v>16</v>
      </c>
      <c r="CB1" s="20">
        <v>16</v>
      </c>
      <c r="CC1" s="20">
        <v>17</v>
      </c>
      <c r="CD1" s="20">
        <v>17</v>
      </c>
      <c r="CE1" s="20">
        <v>17</v>
      </c>
      <c r="CF1" s="20">
        <v>17</v>
      </c>
      <c r="CG1" s="20">
        <v>17</v>
      </c>
      <c r="CH1" s="20">
        <v>17</v>
      </c>
      <c r="CI1" s="20">
        <v>18</v>
      </c>
      <c r="CJ1" s="20">
        <v>18</v>
      </c>
      <c r="CK1" s="20">
        <v>18</v>
      </c>
      <c r="CL1" s="20">
        <v>18</v>
      </c>
      <c r="CM1" s="20">
        <v>18</v>
      </c>
      <c r="CN1" s="20">
        <v>18</v>
      </c>
      <c r="CO1" s="20">
        <v>19</v>
      </c>
      <c r="CP1" s="20">
        <v>19</v>
      </c>
      <c r="CQ1" s="20">
        <v>19</v>
      </c>
      <c r="CR1" s="20">
        <v>19</v>
      </c>
      <c r="CS1" s="20">
        <v>19</v>
      </c>
      <c r="CT1" s="20">
        <v>19</v>
      </c>
      <c r="CU1" s="20">
        <v>20</v>
      </c>
      <c r="CV1" s="20">
        <v>20</v>
      </c>
      <c r="CW1" s="20">
        <v>20</v>
      </c>
      <c r="CX1" s="20">
        <v>20</v>
      </c>
      <c r="CY1" s="20">
        <v>20</v>
      </c>
      <c r="CZ1" s="20">
        <v>20</v>
      </c>
      <c r="DA1" s="20">
        <v>21</v>
      </c>
      <c r="DB1" s="20">
        <v>21</v>
      </c>
      <c r="DC1" s="20">
        <v>21</v>
      </c>
      <c r="DD1" s="20">
        <v>21</v>
      </c>
      <c r="DE1" s="20">
        <v>21</v>
      </c>
      <c r="DF1" s="20">
        <v>21</v>
      </c>
      <c r="DG1" s="20">
        <v>22</v>
      </c>
      <c r="DH1" s="20">
        <v>22</v>
      </c>
      <c r="DI1" s="20">
        <v>22</v>
      </c>
      <c r="DJ1" s="20">
        <v>22</v>
      </c>
      <c r="DK1" s="20">
        <v>22</v>
      </c>
      <c r="DL1" s="20">
        <v>22</v>
      </c>
      <c r="DM1" s="20">
        <v>23</v>
      </c>
      <c r="DN1" s="20">
        <v>23</v>
      </c>
      <c r="DO1" s="20">
        <v>23</v>
      </c>
      <c r="DP1" s="20">
        <v>23</v>
      </c>
      <c r="DQ1" s="20">
        <v>23</v>
      </c>
      <c r="DR1" s="20">
        <v>23</v>
      </c>
      <c r="DS1" s="20">
        <v>24</v>
      </c>
      <c r="DT1" s="20">
        <v>24</v>
      </c>
      <c r="DU1" s="20">
        <v>24</v>
      </c>
      <c r="DV1" s="20">
        <v>24</v>
      </c>
      <c r="DW1" s="20">
        <v>24</v>
      </c>
      <c r="DX1" s="20">
        <v>24</v>
      </c>
      <c r="DY1" s="20">
        <v>25</v>
      </c>
      <c r="DZ1" s="20">
        <v>25</v>
      </c>
      <c r="EA1" s="20">
        <v>25</v>
      </c>
      <c r="EB1" s="20">
        <v>25</v>
      </c>
      <c r="EC1" s="20">
        <v>25</v>
      </c>
      <c r="ED1" s="20">
        <v>25</v>
      </c>
      <c r="EE1" s="20">
        <v>26</v>
      </c>
      <c r="EF1" s="20">
        <v>26</v>
      </c>
      <c r="EG1" s="20">
        <v>26</v>
      </c>
      <c r="EH1" s="20">
        <v>26</v>
      </c>
      <c r="EI1" s="20">
        <v>26</v>
      </c>
      <c r="EJ1" s="20">
        <v>26</v>
      </c>
      <c r="EK1" s="20">
        <v>27</v>
      </c>
      <c r="EL1" s="20">
        <v>27</v>
      </c>
      <c r="EM1" s="20">
        <v>27</v>
      </c>
      <c r="EN1" s="20">
        <v>27</v>
      </c>
      <c r="EO1" s="20">
        <v>27</v>
      </c>
      <c r="EP1" s="20">
        <v>27</v>
      </c>
      <c r="EQ1" s="20">
        <v>28</v>
      </c>
      <c r="ER1" s="20">
        <v>28</v>
      </c>
      <c r="ES1" s="20">
        <v>28</v>
      </c>
      <c r="ET1" s="20">
        <v>28</v>
      </c>
      <c r="EU1" s="20">
        <v>28</v>
      </c>
      <c r="EV1" s="20">
        <v>28</v>
      </c>
      <c r="EW1" s="20">
        <v>29</v>
      </c>
      <c r="EX1" s="20">
        <v>29</v>
      </c>
      <c r="EY1" s="20">
        <v>29</v>
      </c>
      <c r="EZ1" s="20">
        <v>29</v>
      </c>
      <c r="FA1" s="20">
        <v>29</v>
      </c>
      <c r="FB1" s="20">
        <v>29</v>
      </c>
      <c r="FC1" s="20">
        <v>30</v>
      </c>
      <c r="FD1" s="20">
        <v>30</v>
      </c>
      <c r="FE1" s="20">
        <v>30</v>
      </c>
      <c r="FF1" s="20">
        <v>30</v>
      </c>
      <c r="FG1" s="20">
        <v>30</v>
      </c>
      <c r="FH1" s="20">
        <v>30</v>
      </c>
      <c r="FI1" s="20">
        <v>31</v>
      </c>
      <c r="FJ1" s="20">
        <v>31</v>
      </c>
      <c r="FK1" s="20">
        <v>31</v>
      </c>
      <c r="FL1" s="20">
        <v>31</v>
      </c>
      <c r="FM1" s="20">
        <v>31</v>
      </c>
      <c r="FN1" s="20">
        <v>31</v>
      </c>
      <c r="FO1" s="20">
        <v>32</v>
      </c>
      <c r="FP1" s="20">
        <v>32</v>
      </c>
      <c r="FQ1" s="20">
        <v>32</v>
      </c>
      <c r="FR1" s="20">
        <v>32</v>
      </c>
      <c r="FS1" s="20">
        <v>32</v>
      </c>
      <c r="FT1" s="20">
        <v>32</v>
      </c>
      <c r="FU1" s="20">
        <v>33</v>
      </c>
      <c r="FV1" s="20">
        <v>33</v>
      </c>
      <c r="FW1" s="20">
        <v>33</v>
      </c>
      <c r="FX1" s="20">
        <v>33</v>
      </c>
      <c r="FY1" s="20">
        <v>33</v>
      </c>
      <c r="FZ1" s="20">
        <v>33</v>
      </c>
      <c r="GA1" s="20">
        <v>34</v>
      </c>
      <c r="GB1" s="20">
        <v>34</v>
      </c>
      <c r="GC1" s="20">
        <v>34</v>
      </c>
      <c r="GD1" s="20">
        <v>34</v>
      </c>
      <c r="GE1" s="20">
        <v>34</v>
      </c>
      <c r="GF1" s="20">
        <v>34</v>
      </c>
      <c r="GG1" s="20">
        <v>35</v>
      </c>
      <c r="GH1" s="20">
        <v>35</v>
      </c>
      <c r="GI1" s="20">
        <v>35</v>
      </c>
      <c r="GJ1" s="20">
        <v>35</v>
      </c>
      <c r="GK1" s="20">
        <v>35</v>
      </c>
      <c r="GL1" s="20">
        <v>35</v>
      </c>
      <c r="GM1" s="20">
        <v>36</v>
      </c>
      <c r="GN1" s="20">
        <v>36</v>
      </c>
      <c r="GO1" s="20">
        <v>36</v>
      </c>
      <c r="GP1" s="20">
        <v>36</v>
      </c>
      <c r="GQ1" s="20">
        <v>36</v>
      </c>
      <c r="GR1" s="20">
        <v>36</v>
      </c>
      <c r="GS1" s="20">
        <v>37</v>
      </c>
      <c r="GT1" s="20">
        <v>37</v>
      </c>
      <c r="GU1" s="20">
        <v>37</v>
      </c>
      <c r="GV1" s="20">
        <v>37</v>
      </c>
      <c r="GW1" s="20">
        <v>37</v>
      </c>
      <c r="GX1" s="20">
        <v>37</v>
      </c>
      <c r="GY1" s="20">
        <v>38</v>
      </c>
      <c r="GZ1" s="20">
        <v>38</v>
      </c>
      <c r="HA1" s="20">
        <v>38</v>
      </c>
      <c r="HB1" s="20">
        <v>38</v>
      </c>
      <c r="HC1" s="20">
        <v>38</v>
      </c>
      <c r="HD1" s="20">
        <v>38</v>
      </c>
    </row>
    <row r="2" spans="1:293" s="11" customFormat="1" x14ac:dyDescent="0.15">
      <c r="A2" s="10" t="s">
        <v>0</v>
      </c>
      <c r="B2" s="11" t="s">
        <v>339</v>
      </c>
      <c r="C2" s="35" t="s">
        <v>1</v>
      </c>
      <c r="D2" s="35" t="s">
        <v>2</v>
      </c>
      <c r="E2" s="35" t="s">
        <v>3</v>
      </c>
      <c r="F2" s="35" t="s">
        <v>4</v>
      </c>
      <c r="G2" s="36" t="s">
        <v>5</v>
      </c>
      <c r="H2" s="36" t="s">
        <v>6</v>
      </c>
      <c r="I2" s="37" t="s">
        <v>7</v>
      </c>
      <c r="J2" s="37" t="s">
        <v>8</v>
      </c>
      <c r="K2" s="37" t="s">
        <v>9</v>
      </c>
      <c r="L2" s="37" t="s">
        <v>10</v>
      </c>
      <c r="M2" s="37" t="s">
        <v>11</v>
      </c>
      <c r="N2" s="37" t="s">
        <v>12</v>
      </c>
      <c r="O2" s="37" t="s">
        <v>13</v>
      </c>
      <c r="P2" s="37" t="s">
        <v>14</v>
      </c>
      <c r="Q2" s="37" t="s">
        <v>15</v>
      </c>
      <c r="R2" s="37" t="s">
        <v>16</v>
      </c>
      <c r="S2" s="37" t="s">
        <v>17</v>
      </c>
      <c r="T2" s="37" t="s">
        <v>18</v>
      </c>
      <c r="U2" s="37" t="s">
        <v>19</v>
      </c>
      <c r="V2" s="37" t="s">
        <v>20</v>
      </c>
      <c r="W2" s="37" t="s">
        <v>21</v>
      </c>
      <c r="X2" s="37" t="s">
        <v>22</v>
      </c>
      <c r="Y2" s="37" t="s">
        <v>23</v>
      </c>
      <c r="Z2" s="37" t="s">
        <v>24</v>
      </c>
      <c r="AA2" s="37" t="s">
        <v>25</v>
      </c>
      <c r="AB2" s="37" t="s">
        <v>26</v>
      </c>
      <c r="AC2" s="54" t="s">
        <v>27</v>
      </c>
      <c r="AD2" s="54" t="s">
        <v>28</v>
      </c>
      <c r="AE2" s="54" t="s">
        <v>29</v>
      </c>
      <c r="AF2" s="55" t="s">
        <v>30</v>
      </c>
      <c r="AG2" s="55" t="s">
        <v>31</v>
      </c>
      <c r="AH2" s="55" t="s">
        <v>32</v>
      </c>
      <c r="AI2" s="55" t="s">
        <v>33</v>
      </c>
      <c r="AJ2" s="55" t="s">
        <v>34</v>
      </c>
      <c r="AK2" s="54" t="s">
        <v>35</v>
      </c>
      <c r="AL2" s="55" t="s">
        <v>36</v>
      </c>
      <c r="AM2" s="54" t="s">
        <v>37</v>
      </c>
      <c r="AN2" s="55" t="s">
        <v>38</v>
      </c>
      <c r="AO2" s="54" t="s">
        <v>39</v>
      </c>
      <c r="AP2" s="55" t="s">
        <v>40</v>
      </c>
      <c r="AQ2" s="54" t="s">
        <v>41</v>
      </c>
      <c r="AR2" s="55" t="s">
        <v>42</v>
      </c>
      <c r="AS2" s="54" t="s">
        <v>43</v>
      </c>
      <c r="AT2" s="55" t="s">
        <v>44</v>
      </c>
      <c r="AU2" s="54" t="s">
        <v>45</v>
      </c>
      <c r="AV2" s="55" t="s">
        <v>46</v>
      </c>
      <c r="AW2" s="54" t="s">
        <v>47</v>
      </c>
      <c r="AX2" s="55" t="s">
        <v>48</v>
      </c>
      <c r="AY2" s="54" t="s">
        <v>49</v>
      </c>
      <c r="AZ2" s="78" t="s">
        <v>50</v>
      </c>
      <c r="BA2" s="78" t="s">
        <v>51</v>
      </c>
      <c r="BB2" s="78" t="s">
        <v>52</v>
      </c>
      <c r="BC2" s="78" t="s">
        <v>53</v>
      </c>
      <c r="BD2" s="78" t="s">
        <v>54</v>
      </c>
      <c r="BE2" s="78" t="s">
        <v>55</v>
      </c>
      <c r="BF2" s="78" t="s">
        <v>56</v>
      </c>
      <c r="BG2" s="78" t="s">
        <v>57</v>
      </c>
      <c r="BH2" s="78" t="s">
        <v>58</v>
      </c>
      <c r="BI2" s="78" t="s">
        <v>59</v>
      </c>
      <c r="BJ2" s="78" t="s">
        <v>60</v>
      </c>
      <c r="BK2" s="78" t="s">
        <v>61</v>
      </c>
      <c r="BL2" s="78" t="s">
        <v>62</v>
      </c>
      <c r="BM2" s="78" t="s">
        <v>63</v>
      </c>
      <c r="BN2" s="78" t="s">
        <v>64</v>
      </c>
      <c r="BO2" s="78" t="s">
        <v>65</v>
      </c>
      <c r="BP2" s="78" t="s">
        <v>66</v>
      </c>
      <c r="BQ2" s="78" t="s">
        <v>67</v>
      </c>
      <c r="BR2" s="78" t="s">
        <v>68</v>
      </c>
      <c r="BS2" s="78" t="s">
        <v>69</v>
      </c>
      <c r="BT2" s="78" t="s">
        <v>70</v>
      </c>
      <c r="BU2" s="78" t="s">
        <v>71</v>
      </c>
      <c r="BV2" s="78" t="s">
        <v>72</v>
      </c>
      <c r="BW2" s="78" t="s">
        <v>73</v>
      </c>
      <c r="BX2" s="78" t="s">
        <v>74</v>
      </c>
      <c r="BY2" s="78" t="s">
        <v>75</v>
      </c>
      <c r="BZ2" s="78" t="s">
        <v>76</v>
      </c>
      <c r="CA2" s="78" t="s">
        <v>77</v>
      </c>
      <c r="CB2" s="78" t="s">
        <v>397</v>
      </c>
      <c r="CC2" s="78" t="s">
        <v>78</v>
      </c>
      <c r="CD2" s="78" t="s">
        <v>79</v>
      </c>
      <c r="CE2" s="78" t="s">
        <v>80</v>
      </c>
      <c r="CF2" s="78" t="s">
        <v>81</v>
      </c>
      <c r="CG2" s="78" t="s">
        <v>82</v>
      </c>
      <c r="CH2" s="78" t="s">
        <v>83</v>
      </c>
      <c r="CI2" s="78" t="s">
        <v>84</v>
      </c>
      <c r="CJ2" s="78" t="s">
        <v>85</v>
      </c>
      <c r="CK2" s="78" t="s">
        <v>86</v>
      </c>
      <c r="CL2" s="78" t="s">
        <v>87</v>
      </c>
      <c r="CM2" s="78" t="s">
        <v>88</v>
      </c>
      <c r="CN2" s="78" t="s">
        <v>89</v>
      </c>
      <c r="CO2" s="78" t="s">
        <v>90</v>
      </c>
      <c r="CP2" s="78" t="s">
        <v>91</v>
      </c>
      <c r="CQ2" s="78" t="s">
        <v>92</v>
      </c>
      <c r="CR2" s="78" t="s">
        <v>93</v>
      </c>
      <c r="CS2" s="78" t="s">
        <v>94</v>
      </c>
      <c r="CT2" s="78" t="s">
        <v>95</v>
      </c>
      <c r="CU2" s="78" t="s">
        <v>96</v>
      </c>
      <c r="CV2" s="78" t="s">
        <v>97</v>
      </c>
      <c r="CW2" s="78" t="s">
        <v>98</v>
      </c>
      <c r="CX2" s="78" t="s">
        <v>99</v>
      </c>
      <c r="CY2" s="78" t="s">
        <v>100</v>
      </c>
      <c r="CZ2" s="78" t="s">
        <v>101</v>
      </c>
      <c r="DA2" s="78" t="s">
        <v>102</v>
      </c>
      <c r="DB2" s="78" t="s">
        <v>103</v>
      </c>
      <c r="DC2" s="78" t="s">
        <v>104</v>
      </c>
      <c r="DD2" s="78" t="s">
        <v>105</v>
      </c>
      <c r="DE2" s="78" t="s">
        <v>106</v>
      </c>
      <c r="DF2" s="78" t="s">
        <v>107</v>
      </c>
      <c r="DG2" s="78" t="s">
        <v>108</v>
      </c>
      <c r="DH2" s="78" t="s">
        <v>109</v>
      </c>
      <c r="DI2" s="78" t="s">
        <v>110</v>
      </c>
      <c r="DJ2" s="78" t="s">
        <v>111</v>
      </c>
      <c r="DK2" s="78" t="s">
        <v>112</v>
      </c>
      <c r="DL2" s="78" t="s">
        <v>113</v>
      </c>
      <c r="DM2" s="78" t="s">
        <v>114</v>
      </c>
      <c r="DN2" s="78" t="s">
        <v>115</v>
      </c>
      <c r="DO2" s="78" t="s">
        <v>116</v>
      </c>
      <c r="DP2" s="78" t="s">
        <v>117</v>
      </c>
      <c r="DQ2" s="78" t="s">
        <v>118</v>
      </c>
      <c r="DR2" s="78" t="s">
        <v>119</v>
      </c>
      <c r="DS2" s="78" t="s">
        <v>120</v>
      </c>
      <c r="DT2" s="78" t="s">
        <v>121</v>
      </c>
      <c r="DU2" s="78" t="s">
        <v>122</v>
      </c>
      <c r="DV2" s="78" t="s">
        <v>123</v>
      </c>
      <c r="DW2" s="78" t="s">
        <v>124</v>
      </c>
      <c r="DX2" s="78" t="s">
        <v>125</v>
      </c>
      <c r="DY2" s="78" t="s">
        <v>126</v>
      </c>
      <c r="DZ2" s="78" t="s">
        <v>127</v>
      </c>
      <c r="EA2" s="78" t="s">
        <v>128</v>
      </c>
      <c r="EB2" s="78" t="s">
        <v>129</v>
      </c>
      <c r="EC2" s="78" t="s">
        <v>130</v>
      </c>
      <c r="ED2" s="78" t="s">
        <v>131</v>
      </c>
      <c r="EE2" s="78" t="s">
        <v>132</v>
      </c>
      <c r="EF2" s="78" t="s">
        <v>133</v>
      </c>
      <c r="EG2" s="78" t="s">
        <v>134</v>
      </c>
      <c r="EH2" s="78" t="s">
        <v>135</v>
      </c>
      <c r="EI2" s="78" t="s">
        <v>136</v>
      </c>
      <c r="EJ2" s="78" t="s">
        <v>137</v>
      </c>
      <c r="EK2" s="78" t="s">
        <v>138</v>
      </c>
      <c r="EL2" s="78" t="s">
        <v>139</v>
      </c>
      <c r="EM2" s="78" t="s">
        <v>140</v>
      </c>
      <c r="EN2" s="78" t="s">
        <v>141</v>
      </c>
      <c r="EO2" s="78" t="s">
        <v>142</v>
      </c>
      <c r="EP2" s="78" t="s">
        <v>143</v>
      </c>
      <c r="EQ2" s="78" t="s">
        <v>144</v>
      </c>
      <c r="ER2" s="78" t="s">
        <v>145</v>
      </c>
      <c r="ES2" s="78" t="s">
        <v>146</v>
      </c>
      <c r="ET2" s="78" t="s">
        <v>147</v>
      </c>
      <c r="EU2" s="78" t="s">
        <v>148</v>
      </c>
      <c r="EV2" s="78" t="s">
        <v>149</v>
      </c>
      <c r="EW2" s="78" t="s">
        <v>150</v>
      </c>
      <c r="EX2" s="78" t="s">
        <v>151</v>
      </c>
      <c r="EY2" s="78" t="s">
        <v>152</v>
      </c>
      <c r="EZ2" s="78" t="s">
        <v>153</v>
      </c>
      <c r="FA2" s="78" t="s">
        <v>154</v>
      </c>
      <c r="FB2" s="78" t="s">
        <v>155</v>
      </c>
      <c r="FC2" s="78" t="s">
        <v>156</v>
      </c>
      <c r="FD2" s="78" t="s">
        <v>157</v>
      </c>
      <c r="FE2" s="78" t="s">
        <v>158</v>
      </c>
      <c r="FF2" s="78" t="s">
        <v>159</v>
      </c>
      <c r="FG2" s="78" t="s">
        <v>160</v>
      </c>
      <c r="FH2" s="78" t="s">
        <v>161</v>
      </c>
      <c r="FI2" s="78" t="s">
        <v>162</v>
      </c>
      <c r="FJ2" s="78" t="s">
        <v>163</v>
      </c>
      <c r="FK2" s="78" t="s">
        <v>164</v>
      </c>
      <c r="FL2" s="78" t="s">
        <v>165</v>
      </c>
      <c r="FM2" s="78" t="s">
        <v>166</v>
      </c>
      <c r="FN2" s="78" t="s">
        <v>167</v>
      </c>
      <c r="FO2" s="78" t="s">
        <v>168</v>
      </c>
      <c r="FP2" s="78" t="s">
        <v>169</v>
      </c>
      <c r="FQ2" s="78" t="s">
        <v>170</v>
      </c>
      <c r="FR2" s="78" t="s">
        <v>171</v>
      </c>
      <c r="FS2" s="78" t="s">
        <v>172</v>
      </c>
      <c r="FT2" s="78" t="s">
        <v>173</v>
      </c>
      <c r="FU2" s="78" t="s">
        <v>174</v>
      </c>
      <c r="FV2" s="78" t="s">
        <v>175</v>
      </c>
      <c r="FW2" s="78" t="s">
        <v>176</v>
      </c>
      <c r="FX2" s="78" t="s">
        <v>177</v>
      </c>
      <c r="FY2" s="78" t="s">
        <v>178</v>
      </c>
      <c r="FZ2" s="78" t="s">
        <v>179</v>
      </c>
      <c r="GA2" s="78" t="s">
        <v>180</v>
      </c>
      <c r="GB2" s="78" t="s">
        <v>181</v>
      </c>
      <c r="GC2" s="78" t="s">
        <v>182</v>
      </c>
      <c r="GD2" s="78" t="s">
        <v>183</v>
      </c>
      <c r="GE2" s="78" t="s">
        <v>184</v>
      </c>
      <c r="GF2" s="78" t="s">
        <v>185</v>
      </c>
      <c r="GG2" s="78" t="s">
        <v>186</v>
      </c>
      <c r="GH2" s="78" t="s">
        <v>187</v>
      </c>
      <c r="GI2" s="78" t="s">
        <v>188</v>
      </c>
      <c r="GJ2" s="78" t="s">
        <v>189</v>
      </c>
      <c r="GK2" s="78" t="s">
        <v>190</v>
      </c>
      <c r="GL2" s="78" t="s">
        <v>191</v>
      </c>
      <c r="GM2" s="78" t="s">
        <v>192</v>
      </c>
      <c r="GN2" s="78" t="s">
        <v>193</v>
      </c>
      <c r="GO2" s="78" t="s">
        <v>194</v>
      </c>
      <c r="GP2" s="78" t="s">
        <v>195</v>
      </c>
      <c r="GQ2" s="78" t="s">
        <v>196</v>
      </c>
      <c r="GR2" s="78" t="s">
        <v>197</v>
      </c>
      <c r="GS2" s="78" t="s">
        <v>198</v>
      </c>
      <c r="GT2" s="78" t="s">
        <v>199</v>
      </c>
      <c r="GU2" s="78" t="s">
        <v>200</v>
      </c>
      <c r="GV2" s="78" t="s">
        <v>201</v>
      </c>
      <c r="GW2" s="78" t="s">
        <v>202</v>
      </c>
      <c r="GX2" s="78" t="s">
        <v>203</v>
      </c>
      <c r="GY2" s="78" t="s">
        <v>204</v>
      </c>
      <c r="GZ2" s="78" t="s">
        <v>205</v>
      </c>
      <c r="HA2" s="78" t="s">
        <v>206</v>
      </c>
      <c r="HB2" s="78" t="s">
        <v>207</v>
      </c>
      <c r="HC2" s="78" t="s">
        <v>208</v>
      </c>
      <c r="HD2" s="78" t="s">
        <v>209</v>
      </c>
      <c r="HE2" s="12"/>
      <c r="HF2" s="12" t="s">
        <v>293</v>
      </c>
      <c r="HG2" s="12" t="s">
        <v>294</v>
      </c>
      <c r="HH2" s="12" t="s">
        <v>295</v>
      </c>
      <c r="HI2" s="12" t="s">
        <v>294</v>
      </c>
      <c r="HJ2" s="12" t="s">
        <v>296</v>
      </c>
      <c r="HK2" s="12" t="s">
        <v>294</v>
      </c>
      <c r="HL2" s="12" t="s">
        <v>297</v>
      </c>
      <c r="HM2" s="12" t="s">
        <v>294</v>
      </c>
      <c r="HN2" s="12" t="s">
        <v>298</v>
      </c>
      <c r="HO2" s="12" t="s">
        <v>294</v>
      </c>
      <c r="HP2" s="7" t="s">
        <v>299</v>
      </c>
      <c r="HQ2" s="7" t="s">
        <v>294</v>
      </c>
      <c r="HR2" s="12" t="s">
        <v>300</v>
      </c>
      <c r="HS2" s="12" t="s">
        <v>294</v>
      </c>
      <c r="HT2" s="12" t="s">
        <v>301</v>
      </c>
      <c r="HU2" s="12" t="s">
        <v>294</v>
      </c>
      <c r="HV2" s="12" t="s">
        <v>302</v>
      </c>
      <c r="HW2" s="12" t="s">
        <v>294</v>
      </c>
      <c r="HX2" s="12" t="s">
        <v>303</v>
      </c>
      <c r="HY2" s="12" t="s">
        <v>294</v>
      </c>
      <c r="HZ2" s="12" t="s">
        <v>304</v>
      </c>
      <c r="IA2" s="12" t="s">
        <v>294</v>
      </c>
      <c r="IB2" s="12" t="s">
        <v>305</v>
      </c>
      <c r="IC2" s="12" t="s">
        <v>294</v>
      </c>
      <c r="ID2" s="12" t="s">
        <v>306</v>
      </c>
      <c r="IE2" s="12" t="s">
        <v>294</v>
      </c>
      <c r="IF2" s="12" t="s">
        <v>307</v>
      </c>
      <c r="IG2" s="12" t="s">
        <v>294</v>
      </c>
      <c r="IH2" s="12" t="s">
        <v>308</v>
      </c>
      <c r="II2" s="12" t="s">
        <v>294</v>
      </c>
      <c r="IJ2" s="12" t="s">
        <v>309</v>
      </c>
      <c r="IK2" s="12" t="s">
        <v>294</v>
      </c>
      <c r="IL2" s="12" t="s">
        <v>310</v>
      </c>
      <c r="IM2" s="12" t="s">
        <v>294</v>
      </c>
      <c r="IN2" s="12" t="s">
        <v>311</v>
      </c>
      <c r="IO2" s="12" t="s">
        <v>294</v>
      </c>
      <c r="IP2" s="12" t="s">
        <v>312</v>
      </c>
      <c r="IQ2" s="12" t="s">
        <v>294</v>
      </c>
      <c r="IR2" s="12" t="s">
        <v>313</v>
      </c>
      <c r="IS2" s="12" t="s">
        <v>294</v>
      </c>
      <c r="IT2" s="12" t="s">
        <v>314</v>
      </c>
      <c r="IU2" s="12" t="s">
        <v>294</v>
      </c>
      <c r="IV2" s="7" t="s">
        <v>315</v>
      </c>
      <c r="IW2" s="7" t="s">
        <v>294</v>
      </c>
      <c r="IX2" s="12" t="s">
        <v>316</v>
      </c>
      <c r="IY2" s="12" t="s">
        <v>294</v>
      </c>
      <c r="IZ2" s="12" t="s">
        <v>317</v>
      </c>
      <c r="JA2" s="12" t="s">
        <v>294</v>
      </c>
      <c r="JB2" s="12" t="s">
        <v>318</v>
      </c>
      <c r="JC2" s="12" t="s">
        <v>294</v>
      </c>
      <c r="JD2" s="12" t="s">
        <v>319</v>
      </c>
      <c r="JE2" s="12" t="s">
        <v>294</v>
      </c>
      <c r="JF2" s="12" t="s">
        <v>320</v>
      </c>
      <c r="JG2" s="12" t="s">
        <v>294</v>
      </c>
      <c r="JH2" s="12" t="s">
        <v>321</v>
      </c>
      <c r="JI2" s="12" t="s">
        <v>294</v>
      </c>
      <c r="JJ2" s="12" t="s">
        <v>322</v>
      </c>
      <c r="JK2" s="12" t="s">
        <v>294</v>
      </c>
      <c r="JL2" s="12" t="s">
        <v>323</v>
      </c>
      <c r="JM2" s="12" t="s">
        <v>294</v>
      </c>
      <c r="JN2" s="12" t="s">
        <v>324</v>
      </c>
      <c r="JO2" s="12" t="s">
        <v>294</v>
      </c>
      <c r="JP2" s="12" t="s">
        <v>325</v>
      </c>
      <c r="JQ2" s="12" t="s">
        <v>294</v>
      </c>
      <c r="JR2" s="12" t="s">
        <v>326</v>
      </c>
      <c r="JS2" s="12" t="s">
        <v>294</v>
      </c>
      <c r="JT2" s="12" t="s">
        <v>327</v>
      </c>
      <c r="JU2" s="12" t="s">
        <v>294</v>
      </c>
      <c r="JV2" s="12" t="s">
        <v>328</v>
      </c>
      <c r="JW2" s="12" t="s">
        <v>294</v>
      </c>
      <c r="JX2" s="12" t="s">
        <v>329</v>
      </c>
      <c r="JY2" s="12" t="s">
        <v>294</v>
      </c>
      <c r="JZ2" s="12" t="s">
        <v>330</v>
      </c>
      <c r="KA2" s="12" t="s">
        <v>294</v>
      </c>
      <c r="KB2" s="12" t="s">
        <v>331</v>
      </c>
      <c r="KC2" s="12" t="s">
        <v>294</v>
      </c>
      <c r="KD2" s="12"/>
      <c r="KE2" s="12" t="s">
        <v>332</v>
      </c>
      <c r="KG2" s="11" t="s">
        <v>337</v>
      </c>
    </row>
    <row r="3" spans="1:293" x14ac:dyDescent="0.15">
      <c r="A3" s="119" t="s">
        <v>217</v>
      </c>
      <c r="B3" s="17" t="s">
        <v>342</v>
      </c>
      <c r="C3" s="38">
        <v>178396</v>
      </c>
      <c r="D3" s="38">
        <v>2014</v>
      </c>
      <c r="E3" s="38">
        <v>1</v>
      </c>
      <c r="F3" s="38">
        <v>9</v>
      </c>
      <c r="G3" s="39">
        <v>7980</v>
      </c>
      <c r="H3" s="39">
        <v>7286</v>
      </c>
      <c r="I3" s="40">
        <v>468236830</v>
      </c>
      <c r="J3" s="40">
        <v>486141875</v>
      </c>
      <c r="K3" s="40">
        <v>4934069</v>
      </c>
      <c r="L3" s="40">
        <v>5177252</v>
      </c>
      <c r="M3" s="40">
        <v>32925002</v>
      </c>
      <c r="N3" s="40">
        <v>30212547</v>
      </c>
      <c r="O3" s="40">
        <v>68086688</v>
      </c>
      <c r="P3" s="40">
        <v>73371134</v>
      </c>
      <c r="Q3" s="40">
        <v>473999582</v>
      </c>
      <c r="R3" s="40">
        <v>407923165</v>
      </c>
      <c r="S3" s="40">
        <v>362588199</v>
      </c>
      <c r="T3" s="40">
        <v>376532901</v>
      </c>
      <c r="U3" s="40">
        <v>22341</v>
      </c>
      <c r="V3" s="40">
        <v>22167</v>
      </c>
      <c r="W3" s="40">
        <v>31061</v>
      </c>
      <c r="X3" s="40">
        <v>30716</v>
      </c>
      <c r="Y3" s="40">
        <v>24044</v>
      </c>
      <c r="Z3" s="40">
        <v>23304</v>
      </c>
      <c r="AA3" s="40">
        <v>32532</v>
      </c>
      <c r="AB3" s="40">
        <v>31464</v>
      </c>
      <c r="AC3" s="56">
        <v>8</v>
      </c>
      <c r="AD3" s="56">
        <v>10</v>
      </c>
      <c r="AE3" s="56">
        <v>1</v>
      </c>
      <c r="AF3" s="57">
        <v>4082602</v>
      </c>
      <c r="AG3" s="57">
        <v>2621654</v>
      </c>
      <c r="AH3" s="57">
        <v>291451</v>
      </c>
      <c r="AI3" s="57">
        <v>133689</v>
      </c>
      <c r="AJ3" s="57">
        <v>295959</v>
      </c>
      <c r="AK3" s="58">
        <v>6</v>
      </c>
      <c r="AL3" s="57">
        <v>253679</v>
      </c>
      <c r="AM3" s="58">
        <v>7</v>
      </c>
      <c r="AN3" s="57">
        <v>123283</v>
      </c>
      <c r="AO3" s="58">
        <v>8</v>
      </c>
      <c r="AP3" s="57">
        <v>109585</v>
      </c>
      <c r="AQ3" s="58">
        <v>9</v>
      </c>
      <c r="AR3" s="57">
        <v>103452</v>
      </c>
      <c r="AS3" s="58">
        <v>19</v>
      </c>
      <c r="AT3" s="57">
        <v>98279</v>
      </c>
      <c r="AU3" s="58">
        <v>20</v>
      </c>
      <c r="AV3" s="57">
        <v>61957</v>
      </c>
      <c r="AW3" s="58">
        <v>14.5</v>
      </c>
      <c r="AX3" s="57">
        <v>56148</v>
      </c>
      <c r="AY3" s="58">
        <v>16</v>
      </c>
      <c r="AZ3" s="79">
        <v>1029547</v>
      </c>
      <c r="BA3" s="79">
        <v>1100000</v>
      </c>
      <c r="BB3" s="79">
        <v>123639</v>
      </c>
      <c r="BC3" s="79">
        <v>0</v>
      </c>
      <c r="BD3" s="79">
        <v>0</v>
      </c>
      <c r="BE3" s="79">
        <v>21145</v>
      </c>
      <c r="BF3" s="79">
        <v>56793</v>
      </c>
      <c r="BG3" s="79">
        <v>17905</v>
      </c>
      <c r="BH3" s="79">
        <v>522008</v>
      </c>
      <c r="BI3" s="79">
        <v>24275</v>
      </c>
      <c r="BJ3" s="79">
        <v>642126</v>
      </c>
      <c r="BK3" s="79">
        <v>39285</v>
      </c>
      <c r="BL3" s="79">
        <v>0</v>
      </c>
      <c r="BM3" s="79">
        <v>2882</v>
      </c>
      <c r="BN3" s="79">
        <v>57781</v>
      </c>
      <c r="BO3" s="79">
        <v>96905</v>
      </c>
      <c r="BP3" s="79">
        <v>196853</v>
      </c>
      <c r="BQ3" s="79">
        <v>4809</v>
      </c>
      <c r="BR3" s="79">
        <v>732</v>
      </c>
      <c r="BS3" s="79">
        <v>635</v>
      </c>
      <c r="BT3" s="79">
        <v>93321</v>
      </c>
      <c r="BU3" s="79">
        <v>452543</v>
      </c>
      <c r="BV3" s="79">
        <v>552040</v>
      </c>
      <c r="BW3" s="79">
        <v>2330425</v>
      </c>
      <c r="BX3" s="79">
        <v>753479</v>
      </c>
      <c r="BY3" s="79">
        <v>58114</v>
      </c>
      <c r="BZ3" s="79">
        <v>959243</v>
      </c>
      <c r="CA3" s="79">
        <v>28673005</v>
      </c>
      <c r="CB3" s="79">
        <v>32774266</v>
      </c>
      <c r="CC3" s="79">
        <v>2643681</v>
      </c>
      <c r="CD3" s="79">
        <v>423827</v>
      </c>
      <c r="CE3" s="79">
        <v>413765</v>
      </c>
      <c r="CF3" s="79">
        <v>3307943</v>
      </c>
      <c r="CG3" s="79">
        <v>51642</v>
      </c>
      <c r="CH3" s="79">
        <v>6840858</v>
      </c>
      <c r="CI3" s="79">
        <v>425000</v>
      </c>
      <c r="CJ3" s="79">
        <v>216000</v>
      </c>
      <c r="CK3" s="79">
        <v>4000</v>
      </c>
      <c r="CL3" s="79">
        <v>15500</v>
      </c>
      <c r="CM3" s="79">
        <v>0</v>
      </c>
      <c r="CN3" s="79">
        <v>660500</v>
      </c>
      <c r="CO3" s="79">
        <v>1750515</v>
      </c>
      <c r="CP3" s="79">
        <v>1067782</v>
      </c>
      <c r="CQ3" s="79">
        <v>595408</v>
      </c>
      <c r="CR3" s="79">
        <v>2212271</v>
      </c>
      <c r="CS3" s="79">
        <v>0</v>
      </c>
      <c r="CT3" s="79">
        <v>5625976</v>
      </c>
      <c r="CU3" s="79">
        <v>0</v>
      </c>
      <c r="CV3" s="79">
        <v>0</v>
      </c>
      <c r="CW3" s="79">
        <v>0</v>
      </c>
      <c r="CX3" s="79">
        <v>0</v>
      </c>
      <c r="CY3" s="79">
        <v>0</v>
      </c>
      <c r="CZ3" s="79">
        <v>0</v>
      </c>
      <c r="DA3" s="79">
        <v>293598</v>
      </c>
      <c r="DB3" s="79">
        <v>163140</v>
      </c>
      <c r="DC3" s="79">
        <v>57960</v>
      </c>
      <c r="DD3" s="79">
        <v>396873</v>
      </c>
      <c r="DE3" s="79">
        <v>3970592</v>
      </c>
      <c r="DF3" s="79">
        <v>4882163</v>
      </c>
      <c r="DG3" s="79">
        <v>0</v>
      </c>
      <c r="DH3" s="79">
        <v>0</v>
      </c>
      <c r="DI3" s="79">
        <v>0</v>
      </c>
      <c r="DJ3" s="79">
        <v>0</v>
      </c>
      <c r="DK3" s="79">
        <v>38444</v>
      </c>
      <c r="DL3" s="79">
        <v>38444</v>
      </c>
      <c r="DM3" s="79">
        <v>0</v>
      </c>
      <c r="DN3" s="79">
        <v>0</v>
      </c>
      <c r="DO3" s="79">
        <v>0</v>
      </c>
      <c r="DP3" s="79">
        <v>0</v>
      </c>
      <c r="DQ3" s="79">
        <v>0</v>
      </c>
      <c r="DR3" s="79">
        <v>0</v>
      </c>
      <c r="DS3" s="79">
        <v>152866</v>
      </c>
      <c r="DT3" s="79">
        <v>78635</v>
      </c>
      <c r="DU3" s="79">
        <v>50416</v>
      </c>
      <c r="DV3" s="79">
        <v>144978</v>
      </c>
      <c r="DW3" s="79">
        <v>4392</v>
      </c>
      <c r="DX3" s="79">
        <v>431287</v>
      </c>
      <c r="DY3" s="79">
        <v>661544</v>
      </c>
      <c r="DZ3" s="79">
        <v>284020</v>
      </c>
      <c r="EA3" s="79">
        <v>123537</v>
      </c>
      <c r="EB3" s="79">
        <v>808475</v>
      </c>
      <c r="EC3" s="79">
        <v>102558</v>
      </c>
      <c r="ED3" s="79">
        <v>1980134</v>
      </c>
      <c r="EE3" s="79">
        <v>180049</v>
      </c>
      <c r="EF3" s="79">
        <v>56992</v>
      </c>
      <c r="EG3" s="79">
        <v>34114</v>
      </c>
      <c r="EH3" s="79">
        <v>299735</v>
      </c>
      <c r="EI3" s="79">
        <v>241460</v>
      </c>
      <c r="EJ3" s="79">
        <v>812350</v>
      </c>
      <c r="EK3" s="79">
        <v>228135</v>
      </c>
      <c r="EL3" s="79">
        <v>210854</v>
      </c>
      <c r="EM3" s="79">
        <v>78893</v>
      </c>
      <c r="EN3" s="79">
        <v>139933</v>
      </c>
      <c r="EO3" s="79">
        <v>0</v>
      </c>
      <c r="EP3" s="79">
        <v>657815</v>
      </c>
      <c r="EQ3" s="79">
        <v>2869</v>
      </c>
      <c r="ER3" s="79">
        <v>1762</v>
      </c>
      <c r="ES3" s="79">
        <v>5109</v>
      </c>
      <c r="ET3" s="79">
        <v>3915</v>
      </c>
      <c r="EU3" s="79">
        <v>522447</v>
      </c>
      <c r="EV3" s="79">
        <v>536102</v>
      </c>
      <c r="EW3" s="79">
        <v>11206</v>
      </c>
      <c r="EX3" s="79">
        <v>15197</v>
      </c>
      <c r="EY3" s="79">
        <v>12030</v>
      </c>
      <c r="EZ3" s="79">
        <v>278907</v>
      </c>
      <c r="FA3" s="79">
        <v>21167</v>
      </c>
      <c r="FB3" s="79">
        <v>338507</v>
      </c>
      <c r="FC3" s="79">
        <v>391750</v>
      </c>
      <c r="FD3" s="79">
        <v>10437</v>
      </c>
      <c r="FE3" s="79">
        <v>6554</v>
      </c>
      <c r="FF3" s="79">
        <v>62128</v>
      </c>
      <c r="FG3" s="79">
        <v>5913967</v>
      </c>
      <c r="FH3" s="79">
        <v>6384836</v>
      </c>
      <c r="FI3" s="79">
        <v>0</v>
      </c>
      <c r="FJ3" s="79">
        <v>0</v>
      </c>
      <c r="FK3" s="79">
        <v>0</v>
      </c>
      <c r="FL3" s="79">
        <v>0</v>
      </c>
      <c r="FM3" s="79">
        <v>71406</v>
      </c>
      <c r="FN3" s="79">
        <v>71406</v>
      </c>
      <c r="FO3" s="79">
        <v>0</v>
      </c>
      <c r="FP3" s="79">
        <v>0</v>
      </c>
      <c r="FQ3" s="79">
        <v>0</v>
      </c>
      <c r="FR3" s="79">
        <v>0</v>
      </c>
      <c r="FS3" s="79">
        <v>0</v>
      </c>
      <c r="FT3" s="79">
        <v>0</v>
      </c>
      <c r="FU3" s="79">
        <v>121</v>
      </c>
      <c r="FV3" s="79">
        <v>1117</v>
      </c>
      <c r="FW3" s="79">
        <v>882</v>
      </c>
      <c r="FX3" s="79">
        <v>714</v>
      </c>
      <c r="FY3" s="79">
        <v>366211</v>
      </c>
      <c r="FZ3" s="79">
        <v>369045</v>
      </c>
      <c r="GA3" s="79">
        <v>2920</v>
      </c>
      <c r="GB3" s="79">
        <v>1139</v>
      </c>
      <c r="GC3" s="79">
        <v>1520</v>
      </c>
      <c r="GD3" s="79">
        <v>8454</v>
      </c>
      <c r="GE3" s="79">
        <v>259794</v>
      </c>
      <c r="GF3" s="79">
        <v>273827</v>
      </c>
      <c r="GG3" s="79">
        <v>402701</v>
      </c>
      <c r="GH3" s="79">
        <v>117116</v>
      </c>
      <c r="GI3" s="79">
        <v>61960</v>
      </c>
      <c r="GJ3" s="79">
        <v>224955</v>
      </c>
      <c r="GK3" s="79">
        <v>1379148</v>
      </c>
      <c r="GL3" s="79">
        <v>2185880</v>
      </c>
      <c r="GM3" s="79">
        <v>7146955</v>
      </c>
      <c r="GN3" s="79">
        <v>2648018</v>
      </c>
      <c r="GO3" s="79">
        <v>1446148</v>
      </c>
      <c r="GP3" s="79">
        <v>7904781</v>
      </c>
      <c r="GQ3" s="79">
        <v>12904784</v>
      </c>
      <c r="GR3" s="79">
        <v>32050686</v>
      </c>
      <c r="GS3" s="79">
        <v>0</v>
      </c>
      <c r="GT3" s="79">
        <v>0</v>
      </c>
      <c r="GU3" s="79">
        <v>0</v>
      </c>
      <c r="GV3" s="79">
        <v>0</v>
      </c>
      <c r="GW3" s="79">
        <v>0</v>
      </c>
      <c r="GX3" s="79">
        <v>0</v>
      </c>
      <c r="GY3" s="79">
        <v>7146955</v>
      </c>
      <c r="GZ3" s="79">
        <v>2648018</v>
      </c>
      <c r="HA3" s="79">
        <v>1446148</v>
      </c>
      <c r="HB3" s="79">
        <v>7904781</v>
      </c>
      <c r="HC3" s="79">
        <v>12904784</v>
      </c>
      <c r="HD3" s="79">
        <v>32050686</v>
      </c>
      <c r="HF3" s="7">
        <f>SUM(AZ3:AZ3)</f>
        <v>1029547</v>
      </c>
      <c r="HG3" s="7" t="e">
        <f>#REF!-HF3</f>
        <v>#REF!</v>
      </c>
      <c r="HH3" s="7" t="e">
        <f>SUM(#REF!)</f>
        <v>#REF!</v>
      </c>
      <c r="HI3" s="7" t="e">
        <f>#REF!-HH3</f>
        <v>#REF!</v>
      </c>
      <c r="HJ3" s="7">
        <f>SUM(BA3:BA3)</f>
        <v>1100000</v>
      </c>
      <c r="HK3" s="7" t="e">
        <f>#REF!-HJ3</f>
        <v>#REF!</v>
      </c>
      <c r="HL3" s="7">
        <f>SUM(BB3:BB3)</f>
        <v>123639</v>
      </c>
      <c r="HM3" s="7" t="e">
        <f>#REF!-HL3</f>
        <v>#REF!</v>
      </c>
      <c r="HN3" s="7" t="e">
        <f>SUM(#REF!)</f>
        <v>#REF!</v>
      </c>
      <c r="HO3" s="7" t="e">
        <f>#REF!-HN3</f>
        <v>#REF!</v>
      </c>
      <c r="HP3" s="7" t="e">
        <f>SUM(#REF!)</f>
        <v>#REF!</v>
      </c>
      <c r="HQ3" s="7" t="e">
        <f>#REF!-HP3</f>
        <v>#REF!</v>
      </c>
      <c r="HR3" s="7" t="e">
        <f>SUM(#REF!)</f>
        <v>#REF!</v>
      </c>
      <c r="HS3" s="7" t="e">
        <f>#REF!-HR3</f>
        <v>#REF!</v>
      </c>
      <c r="HT3" s="7" t="e">
        <f>SUM(#REF!)</f>
        <v>#REF!</v>
      </c>
      <c r="HU3" s="7" t="e">
        <f>#REF!-HT3</f>
        <v>#REF!</v>
      </c>
      <c r="HV3" s="7" t="e">
        <f>SUM(#REF!)</f>
        <v>#REF!</v>
      </c>
      <c r="HW3" s="7" t="e">
        <f>#REF!-HV3</f>
        <v>#REF!</v>
      </c>
      <c r="HX3" s="7" t="e">
        <f>SUM(#REF!)</f>
        <v>#REF!</v>
      </c>
      <c r="HY3" s="7" t="e">
        <f>#REF!-HX3</f>
        <v>#REF!</v>
      </c>
      <c r="HZ3" s="7">
        <f>SUM(BC3:BC3)</f>
        <v>0</v>
      </c>
      <c r="IA3" s="7" t="e">
        <f>#REF!-HZ3</f>
        <v>#REF!</v>
      </c>
      <c r="IB3" s="7">
        <f>SUM(BD3:BD3)</f>
        <v>0</v>
      </c>
      <c r="IC3" s="7" t="e">
        <f>#REF!-IB3</f>
        <v>#REF!</v>
      </c>
      <c r="ID3" s="7">
        <f>SUM(BE3:BI3)</f>
        <v>642126</v>
      </c>
      <c r="IE3" s="7">
        <f>BJ3-ID3</f>
        <v>0</v>
      </c>
      <c r="IF3" s="7">
        <f>SUM(BK3:BO3)</f>
        <v>196853</v>
      </c>
      <c r="IG3" s="7">
        <f>BP3-IF3</f>
        <v>0</v>
      </c>
      <c r="IH3" s="7">
        <f>SUM(BQ3:BU3)</f>
        <v>552040</v>
      </c>
      <c r="II3" s="7">
        <f>BV3-IH3</f>
        <v>0</v>
      </c>
      <c r="IJ3" s="7">
        <f>SUM(BW3:CA3)</f>
        <v>32774266</v>
      </c>
      <c r="IK3" s="7">
        <f>CB3-IJ3</f>
        <v>0</v>
      </c>
      <c r="IL3" s="7">
        <f>SUM(CC3:CG3)</f>
        <v>6840858</v>
      </c>
      <c r="IM3" s="7">
        <f>CH3-IL3</f>
        <v>0</v>
      </c>
      <c r="IN3" s="7">
        <f>SUM(CI3:CM3)</f>
        <v>660500</v>
      </c>
      <c r="IO3" s="7">
        <f>CN3-IN3</f>
        <v>0</v>
      </c>
      <c r="IP3" s="7">
        <f>SUM(CO3:CS3)</f>
        <v>5625976</v>
      </c>
      <c r="IQ3" s="7">
        <f>CT3-IP3</f>
        <v>0</v>
      </c>
      <c r="IR3" s="7">
        <f>SUM(CU3:CY3)</f>
        <v>0</v>
      </c>
      <c r="IS3" s="7">
        <f>CZ3-IR3</f>
        <v>0</v>
      </c>
      <c r="IT3" s="7">
        <f>SUM(DA3:DE3)</f>
        <v>4882163</v>
      </c>
      <c r="IU3" s="7">
        <f>DF3-IT3</f>
        <v>0</v>
      </c>
      <c r="IV3" s="7">
        <f>SUM(DG3:DK3)</f>
        <v>38444</v>
      </c>
      <c r="IW3" s="7">
        <f>DL3-IV3</f>
        <v>0</v>
      </c>
      <c r="IX3" s="7">
        <f>SUM(DM3:DQ3)</f>
        <v>0</v>
      </c>
      <c r="IY3" s="7">
        <f>DR3-IX3</f>
        <v>0</v>
      </c>
      <c r="IZ3" s="7">
        <f>SUM(DS3:DW3)</f>
        <v>431287</v>
      </c>
      <c r="JA3" s="7">
        <f>DX3-IZ3</f>
        <v>0</v>
      </c>
      <c r="JB3" s="7">
        <f>SUM(DY3:EC3)</f>
        <v>1980134</v>
      </c>
      <c r="JC3" s="7">
        <f>ED3-JB3</f>
        <v>0</v>
      </c>
      <c r="JD3" s="7">
        <f>SUM(EE3:EI3)</f>
        <v>812350</v>
      </c>
      <c r="JE3" s="7">
        <f>EJ3-JD3</f>
        <v>0</v>
      </c>
      <c r="JF3" s="7">
        <f>SUM(EK3:EO3)</f>
        <v>657815</v>
      </c>
      <c r="JG3" s="7">
        <f>EP3-JF3</f>
        <v>0</v>
      </c>
      <c r="JH3" s="7">
        <f>SUM(EQ3:EU3)</f>
        <v>536102</v>
      </c>
      <c r="JI3" s="7">
        <f>EV3-JH3</f>
        <v>0</v>
      </c>
      <c r="JJ3" s="7">
        <f>SUM(EW3:FA3)</f>
        <v>338507</v>
      </c>
      <c r="JK3" s="7">
        <f>FB3-JJ3</f>
        <v>0</v>
      </c>
      <c r="JL3" s="7">
        <f>SUM(FC3:FG3)</f>
        <v>6384836</v>
      </c>
      <c r="JM3" s="7">
        <f>FH3-JL3</f>
        <v>0</v>
      </c>
      <c r="JN3" s="7">
        <f>SUM(FI3:FM3)</f>
        <v>71406</v>
      </c>
      <c r="JO3" s="7">
        <f>FN3-JN3</f>
        <v>0</v>
      </c>
      <c r="JP3" s="7">
        <f>SUM(FO3:FS3)</f>
        <v>0</v>
      </c>
      <c r="JQ3" s="7">
        <f>FT3-JP3</f>
        <v>0</v>
      </c>
      <c r="JR3" s="7">
        <f>SUM(FU3:FY3)</f>
        <v>369045</v>
      </c>
      <c r="JS3" s="7">
        <f>FZ3-JR3</f>
        <v>0</v>
      </c>
      <c r="JT3" s="7">
        <f>SUM(GA3:GE3)</f>
        <v>273827</v>
      </c>
      <c r="JU3" s="7">
        <f>GF3-JT3</f>
        <v>0</v>
      </c>
      <c r="JV3" s="7">
        <f>SUM(GG3:GK3)</f>
        <v>2185880</v>
      </c>
      <c r="JW3" s="7">
        <f>GL3-JV3</f>
        <v>0</v>
      </c>
      <c r="JX3" s="7">
        <f>SUM(GM3:GQ3)</f>
        <v>32050686</v>
      </c>
      <c r="JY3" s="7">
        <f>GR3-JX3</f>
        <v>0</v>
      </c>
      <c r="JZ3" s="7">
        <f>SUM(GS3:GW3)</f>
        <v>0</v>
      </c>
      <c r="KA3" s="7">
        <f>GX3-JZ3</f>
        <v>0</v>
      </c>
      <c r="KB3" s="7">
        <f>SUM(GY3:HC3)</f>
        <v>32050686</v>
      </c>
      <c r="KC3" s="7">
        <f>HD3-KB3</f>
        <v>0</v>
      </c>
      <c r="KE3" s="7" t="e">
        <f t="shared" ref="KE3:KE32" si="0">SUM(HG3,HI3,HK3,HM3,HO3,HQ3,HS3,HU3,HW3,HY3,IA3,IC3,IE3,IG3,II3,IK3,IM3,IO3,IQ3,IS3,IU3,IY3,JA3,,JE3,JG3,JI3,JK3,JM3,JO3,JQ3,JS3,JU3,JW3,JY3,KA3,KC3)</f>
        <v>#REF!</v>
      </c>
      <c r="KG3" s="5" t="e">
        <f>IF(KE3=0,0,1)</f>
        <v>#REF!</v>
      </c>
    </row>
    <row r="4" spans="1:293" x14ac:dyDescent="0.15">
      <c r="A4" s="119" t="s">
        <v>353</v>
      </c>
      <c r="B4" s="17" t="s">
        <v>342</v>
      </c>
      <c r="C4" s="38">
        <v>176017</v>
      </c>
      <c r="D4" s="38">
        <v>2013</v>
      </c>
      <c r="E4" s="38">
        <v>1</v>
      </c>
      <c r="F4" s="38">
        <v>5</v>
      </c>
      <c r="G4" s="39">
        <v>12997</v>
      </c>
      <c r="H4" s="39">
        <v>15029</v>
      </c>
      <c r="I4" s="40">
        <v>755944606</v>
      </c>
      <c r="J4" s="40"/>
      <c r="K4" s="40">
        <v>15980449</v>
      </c>
      <c r="L4" s="40"/>
      <c r="M4" s="40">
        <v>54096080</v>
      </c>
      <c r="N4" s="40"/>
      <c r="O4" s="40">
        <v>181873032</v>
      </c>
      <c r="P4" s="40"/>
      <c r="Q4" s="40">
        <v>669328631</v>
      </c>
      <c r="R4" s="40"/>
      <c r="S4" s="40">
        <v>539010817</v>
      </c>
      <c r="T4" s="40"/>
      <c r="U4" s="40">
        <v>23200</v>
      </c>
      <c r="V4" s="40"/>
      <c r="W4" s="40">
        <v>36950</v>
      </c>
      <c r="X4" s="40"/>
      <c r="Y4" s="40">
        <v>27532</v>
      </c>
      <c r="Z4" s="40"/>
      <c r="AA4" s="40">
        <v>42612</v>
      </c>
      <c r="AB4" s="40"/>
      <c r="AC4" s="56">
        <v>9</v>
      </c>
      <c r="AD4" s="56">
        <v>12</v>
      </c>
      <c r="AE4" s="56">
        <v>0</v>
      </c>
      <c r="AF4" s="57">
        <v>5782893</v>
      </c>
      <c r="AG4" s="57">
        <v>5361756</v>
      </c>
      <c r="AH4" s="57">
        <v>1352116</v>
      </c>
      <c r="AI4" s="57">
        <v>433138</v>
      </c>
      <c r="AJ4" s="57">
        <v>1538796.67</v>
      </c>
      <c r="AK4" s="58">
        <v>6</v>
      </c>
      <c r="AL4" s="57">
        <v>1318968.57</v>
      </c>
      <c r="AM4" s="58">
        <v>7</v>
      </c>
      <c r="AN4" s="57">
        <v>271424</v>
      </c>
      <c r="AO4" s="58">
        <v>9</v>
      </c>
      <c r="AP4" s="57">
        <v>244282.2</v>
      </c>
      <c r="AQ4" s="58">
        <v>10</v>
      </c>
      <c r="AR4" s="57">
        <v>350861.07</v>
      </c>
      <c r="AS4" s="58">
        <v>20.5</v>
      </c>
      <c r="AT4" s="57">
        <v>287706.08</v>
      </c>
      <c r="AU4" s="58">
        <v>25</v>
      </c>
      <c r="AV4" s="57">
        <v>104534.72</v>
      </c>
      <c r="AW4" s="58">
        <v>19.5</v>
      </c>
      <c r="AX4" s="57">
        <v>84934.46</v>
      </c>
      <c r="AY4" s="58">
        <v>24</v>
      </c>
      <c r="AZ4" s="79">
        <v>36199233</v>
      </c>
      <c r="BA4" s="79">
        <v>0</v>
      </c>
      <c r="BB4" s="79">
        <v>18864861</v>
      </c>
      <c r="BC4" s="79">
        <v>46467</v>
      </c>
      <c r="BD4" s="79">
        <v>1297257</v>
      </c>
      <c r="BE4" s="79">
        <v>584616</v>
      </c>
      <c r="BF4" s="79">
        <v>0</v>
      </c>
      <c r="BG4" s="79">
        <v>3180</v>
      </c>
      <c r="BH4" s="79">
        <v>49760</v>
      </c>
      <c r="BI4" s="79">
        <v>599828</v>
      </c>
      <c r="BJ4" s="79">
        <v>1237384</v>
      </c>
      <c r="BK4" s="79">
        <v>311143</v>
      </c>
      <c r="BL4" s="79">
        <v>21004</v>
      </c>
      <c r="BM4" s="79">
        <v>9025</v>
      </c>
      <c r="BN4" s="79">
        <v>88093</v>
      </c>
      <c r="BO4" s="79">
        <v>5558342</v>
      </c>
      <c r="BP4" s="79">
        <v>5987607</v>
      </c>
      <c r="BQ4" s="79">
        <v>8097317</v>
      </c>
      <c r="BR4" s="79">
        <v>560764</v>
      </c>
      <c r="BS4" s="79">
        <v>0</v>
      </c>
      <c r="BT4" s="79">
        <v>250735</v>
      </c>
      <c r="BU4" s="79">
        <v>2082067</v>
      </c>
      <c r="BV4" s="79">
        <v>10990883</v>
      </c>
      <c r="BW4" s="79">
        <v>88685941</v>
      </c>
      <c r="BX4" s="79">
        <v>12194296</v>
      </c>
      <c r="BY4" s="79">
        <v>1092220</v>
      </c>
      <c r="BZ4" s="79">
        <v>7764046</v>
      </c>
      <c r="CA4" s="79">
        <v>34040047</v>
      </c>
      <c r="CB4" s="79">
        <v>143776550</v>
      </c>
      <c r="CC4" s="79">
        <v>3632607</v>
      </c>
      <c r="CD4" s="79">
        <v>446833</v>
      </c>
      <c r="CE4" s="79">
        <v>627799</v>
      </c>
      <c r="CF4" s="79">
        <v>6437410</v>
      </c>
      <c r="CG4" s="79">
        <v>2136614</v>
      </c>
      <c r="CH4" s="79">
        <v>13281263</v>
      </c>
      <c r="CI4" s="79">
        <v>2475000</v>
      </c>
      <c r="CJ4" s="79">
        <v>610511</v>
      </c>
      <c r="CK4" s="79">
        <v>70000</v>
      </c>
      <c r="CL4" s="79">
        <v>86775</v>
      </c>
      <c r="CM4" s="79">
        <v>0</v>
      </c>
      <c r="CN4" s="79">
        <v>3242286</v>
      </c>
      <c r="CO4" s="79">
        <v>11766773</v>
      </c>
      <c r="CP4" s="79">
        <v>2693039</v>
      </c>
      <c r="CQ4" s="79">
        <v>1069628</v>
      </c>
      <c r="CR4" s="79">
        <v>5377241</v>
      </c>
      <c r="CS4" s="79">
        <v>0</v>
      </c>
      <c r="CT4" s="79">
        <v>20906681</v>
      </c>
      <c r="CU4" s="79">
        <v>190532</v>
      </c>
      <c r="CV4" s="79">
        <v>8602</v>
      </c>
      <c r="CW4" s="79">
        <v>4980</v>
      </c>
      <c r="CX4" s="79">
        <v>252359</v>
      </c>
      <c r="CY4" s="79">
        <v>0</v>
      </c>
      <c r="CZ4" s="79">
        <v>456473</v>
      </c>
      <c r="DA4" s="79">
        <v>2883786</v>
      </c>
      <c r="DB4" s="79">
        <v>255362</v>
      </c>
      <c r="DC4" s="79">
        <v>196125</v>
      </c>
      <c r="DD4" s="79">
        <v>586359</v>
      </c>
      <c r="DE4" s="79">
        <v>16827106</v>
      </c>
      <c r="DF4" s="79">
        <v>20748738</v>
      </c>
      <c r="DG4" s="79">
        <v>12880</v>
      </c>
      <c r="DH4" s="79">
        <v>0</v>
      </c>
      <c r="DI4" s="79">
        <v>0</v>
      </c>
      <c r="DJ4" s="79">
        <v>22500</v>
      </c>
      <c r="DK4" s="79">
        <v>68632</v>
      </c>
      <c r="DL4" s="79">
        <v>104012</v>
      </c>
      <c r="DM4" s="79">
        <v>141476</v>
      </c>
      <c r="DN4" s="79">
        <v>30158</v>
      </c>
      <c r="DO4" s="79">
        <v>35096</v>
      </c>
      <c r="DP4" s="79">
        <v>6975</v>
      </c>
      <c r="DQ4" s="79">
        <v>153284</v>
      </c>
      <c r="DR4" s="79">
        <v>366989</v>
      </c>
      <c r="DS4" s="79">
        <v>983721</v>
      </c>
      <c r="DT4" s="79">
        <v>148327</v>
      </c>
      <c r="DU4" s="79">
        <v>112420</v>
      </c>
      <c r="DV4" s="79">
        <v>540786</v>
      </c>
      <c r="DW4" s="79">
        <v>0</v>
      </c>
      <c r="DX4" s="79">
        <v>1785254</v>
      </c>
      <c r="DY4" s="79">
        <v>3432188</v>
      </c>
      <c r="DZ4" s="79">
        <v>559104</v>
      </c>
      <c r="EA4" s="79">
        <v>512846</v>
      </c>
      <c r="EB4" s="79">
        <v>2811133</v>
      </c>
      <c r="EC4" s="79">
        <v>0</v>
      </c>
      <c r="ED4" s="79">
        <v>7315271</v>
      </c>
      <c r="EE4" s="79">
        <v>1576657</v>
      </c>
      <c r="EF4" s="79">
        <v>175195</v>
      </c>
      <c r="EG4" s="79">
        <v>108056</v>
      </c>
      <c r="EH4" s="79">
        <v>1162201</v>
      </c>
      <c r="EI4" s="79">
        <v>40487</v>
      </c>
      <c r="EJ4" s="79">
        <v>3062596</v>
      </c>
      <c r="EK4" s="79">
        <v>2918745</v>
      </c>
      <c r="EL4" s="79">
        <v>446060</v>
      </c>
      <c r="EM4" s="79">
        <v>154985</v>
      </c>
      <c r="EN4" s="79">
        <v>725856</v>
      </c>
      <c r="EO4" s="79">
        <v>0</v>
      </c>
      <c r="EP4" s="79">
        <v>4245646</v>
      </c>
      <c r="EQ4" s="79">
        <v>4273408</v>
      </c>
      <c r="ER4" s="79">
        <v>243649</v>
      </c>
      <c r="ES4" s="79">
        <v>20582</v>
      </c>
      <c r="ET4" s="79">
        <v>263050</v>
      </c>
      <c r="EU4" s="79">
        <v>1632602</v>
      </c>
      <c r="EV4" s="79">
        <v>6433291</v>
      </c>
      <c r="EW4" s="79">
        <v>647774</v>
      </c>
      <c r="EX4" s="79">
        <v>0</v>
      </c>
      <c r="EY4" s="79">
        <v>24900</v>
      </c>
      <c r="EZ4" s="79">
        <v>27205</v>
      </c>
      <c r="FA4" s="79">
        <v>613430</v>
      </c>
      <c r="FB4" s="79">
        <v>1313309</v>
      </c>
      <c r="FC4" s="79">
        <v>2579734</v>
      </c>
      <c r="FD4" s="79">
        <v>203803</v>
      </c>
      <c r="FE4" s="79">
        <v>22363</v>
      </c>
      <c r="FF4" s="79">
        <v>542730</v>
      </c>
      <c r="FG4" s="79">
        <v>18683492</v>
      </c>
      <c r="FH4" s="79">
        <v>22032122</v>
      </c>
      <c r="FI4" s="79">
        <v>229553</v>
      </c>
      <c r="FJ4" s="79">
        <v>177534</v>
      </c>
      <c r="FK4" s="79">
        <v>101772</v>
      </c>
      <c r="FL4" s="79">
        <v>184828</v>
      </c>
      <c r="FM4" s="79">
        <v>0</v>
      </c>
      <c r="FN4" s="79">
        <v>693687</v>
      </c>
      <c r="FO4" s="79">
        <v>0</v>
      </c>
      <c r="FP4" s="79">
        <v>0</v>
      </c>
      <c r="FQ4" s="79">
        <v>0</v>
      </c>
      <c r="FR4" s="79">
        <v>0</v>
      </c>
      <c r="FS4" s="79">
        <v>0</v>
      </c>
      <c r="FT4" s="79">
        <v>0</v>
      </c>
      <c r="FU4" s="79">
        <v>1237426</v>
      </c>
      <c r="FV4" s="79">
        <v>57345</v>
      </c>
      <c r="FW4" s="79">
        <v>39521</v>
      </c>
      <c r="FX4" s="79">
        <v>768555</v>
      </c>
      <c r="FY4" s="79">
        <v>243757</v>
      </c>
      <c r="FZ4" s="79">
        <v>2346604</v>
      </c>
      <c r="GA4" s="79">
        <v>2506</v>
      </c>
      <c r="GB4" s="79">
        <v>894</v>
      </c>
      <c r="GC4" s="79">
        <v>666</v>
      </c>
      <c r="GD4" s="79">
        <v>14054</v>
      </c>
      <c r="GE4" s="79">
        <v>95282</v>
      </c>
      <c r="GF4" s="79">
        <v>113402</v>
      </c>
      <c r="GG4" s="79">
        <v>2565174</v>
      </c>
      <c r="GH4" s="79">
        <v>306327</v>
      </c>
      <c r="GI4" s="79">
        <v>96499</v>
      </c>
      <c r="GJ4" s="79">
        <v>762374</v>
      </c>
      <c r="GK4" s="79">
        <v>4429915</v>
      </c>
      <c r="GL4" s="79">
        <v>8160289</v>
      </c>
      <c r="GM4" s="79">
        <v>41549940</v>
      </c>
      <c r="GN4" s="79">
        <v>6362743</v>
      </c>
      <c r="GO4" s="79">
        <v>3198238</v>
      </c>
      <c r="GP4" s="79">
        <v>20572391</v>
      </c>
      <c r="GQ4" s="79">
        <v>44924601</v>
      </c>
      <c r="GR4" s="79">
        <v>116607913</v>
      </c>
      <c r="GS4" s="79">
        <v>0</v>
      </c>
      <c r="GT4" s="79">
        <v>0</v>
      </c>
      <c r="GU4" s="79">
        <v>0</v>
      </c>
      <c r="GV4" s="79">
        <v>0</v>
      </c>
      <c r="GW4" s="79">
        <v>5934130</v>
      </c>
      <c r="GX4" s="79">
        <v>5934130</v>
      </c>
      <c r="GY4" s="79">
        <v>41549940</v>
      </c>
      <c r="GZ4" s="79">
        <v>6362743</v>
      </c>
      <c r="HA4" s="79">
        <v>3198238</v>
      </c>
      <c r="HB4" s="79">
        <v>20572391</v>
      </c>
      <c r="HC4" s="79">
        <v>50858731</v>
      </c>
      <c r="HD4" s="79">
        <v>122542043</v>
      </c>
      <c r="HF4" s="7">
        <f>SUM(AZ4:AZ4)</f>
        <v>36199233</v>
      </c>
      <c r="HG4" s="7" t="e">
        <f>#REF!-HF4</f>
        <v>#REF!</v>
      </c>
      <c r="HH4" s="7" t="e">
        <f>SUM(#REF!)</f>
        <v>#REF!</v>
      </c>
      <c r="HI4" s="7" t="e">
        <f>#REF!-HH4</f>
        <v>#REF!</v>
      </c>
      <c r="HJ4" s="7">
        <f>SUM(BA4:BA4)</f>
        <v>0</v>
      </c>
      <c r="HK4" s="7" t="e">
        <f>#REF!-HJ4</f>
        <v>#REF!</v>
      </c>
      <c r="HL4" s="7">
        <f>SUM(BB4:BB4)</f>
        <v>18864861</v>
      </c>
      <c r="HM4" s="7" t="e">
        <f>#REF!-HL4</f>
        <v>#REF!</v>
      </c>
      <c r="HN4" s="7" t="e">
        <f>SUM(#REF!)</f>
        <v>#REF!</v>
      </c>
      <c r="HO4" s="7" t="e">
        <f>#REF!-HN4</f>
        <v>#REF!</v>
      </c>
      <c r="HP4" s="7" t="e">
        <f>SUM(#REF!)</f>
        <v>#REF!</v>
      </c>
      <c r="HQ4" s="7" t="e">
        <f>#REF!-HP4</f>
        <v>#REF!</v>
      </c>
      <c r="HR4" s="7" t="e">
        <f>SUM(#REF!)</f>
        <v>#REF!</v>
      </c>
      <c r="HS4" s="7" t="e">
        <f>#REF!-HR4</f>
        <v>#REF!</v>
      </c>
      <c r="HT4" s="7" t="e">
        <f>SUM(#REF!)</f>
        <v>#REF!</v>
      </c>
      <c r="HU4" s="7" t="e">
        <f>#REF!-HT4</f>
        <v>#REF!</v>
      </c>
      <c r="HV4" s="7" t="e">
        <f>SUM(#REF!)</f>
        <v>#REF!</v>
      </c>
      <c r="HW4" s="7" t="e">
        <f>#REF!-HV4</f>
        <v>#REF!</v>
      </c>
      <c r="HX4" s="7" t="e">
        <f>SUM(#REF!)</f>
        <v>#REF!</v>
      </c>
      <c r="HY4" s="7" t="e">
        <f>#REF!-HX4</f>
        <v>#REF!</v>
      </c>
      <c r="HZ4" s="7">
        <f>SUM(BC4:BC4)</f>
        <v>46467</v>
      </c>
      <c r="IA4" s="7" t="e">
        <f>#REF!-HZ4</f>
        <v>#REF!</v>
      </c>
      <c r="IB4" s="7">
        <f>SUM(BD4:BD4)</f>
        <v>1297257</v>
      </c>
      <c r="IC4" s="7" t="e">
        <f>#REF!-IB4</f>
        <v>#REF!</v>
      </c>
      <c r="ID4" s="7">
        <f t="shared" ref="ID4:ID56" si="1">SUM(BE4:BI4)</f>
        <v>1237384</v>
      </c>
      <c r="IE4" s="7">
        <f t="shared" ref="IE4:IE56" si="2">BJ4-ID4</f>
        <v>0</v>
      </c>
      <c r="IF4" s="7">
        <f t="shared" ref="IF4:IF56" si="3">SUM(BK4:BO4)</f>
        <v>5987607</v>
      </c>
      <c r="IG4" s="7">
        <f t="shared" ref="IG4:IG56" si="4">BP4-IF4</f>
        <v>0</v>
      </c>
      <c r="IH4" s="7">
        <f t="shared" ref="IH4:IH56" si="5">SUM(BQ4:BU4)</f>
        <v>10990883</v>
      </c>
      <c r="II4" s="7">
        <f t="shared" ref="II4:II56" si="6">BV4-IH4</f>
        <v>0</v>
      </c>
      <c r="IJ4" s="7">
        <f t="shared" ref="IJ4:IJ56" si="7">SUM(BW4:CA4)</f>
        <v>143776550</v>
      </c>
      <c r="IK4" s="7">
        <f t="shared" ref="IK4:IK56" si="8">CB4-IJ4</f>
        <v>0</v>
      </c>
      <c r="IL4" s="7">
        <f t="shared" ref="IL4:IL56" si="9">SUM(CC4:CG4)</f>
        <v>13281263</v>
      </c>
      <c r="IM4" s="7">
        <f t="shared" ref="IM4:IM56" si="10">CH4-IL4</f>
        <v>0</v>
      </c>
      <c r="IN4" s="7">
        <f t="shared" ref="IN4:IN56" si="11">SUM(CI4:CM4)</f>
        <v>3242286</v>
      </c>
      <c r="IO4" s="7">
        <f t="shared" ref="IO4:IO56" si="12">CN4-IN4</f>
        <v>0</v>
      </c>
      <c r="IP4" s="7">
        <f t="shared" ref="IP4:IP56" si="13">SUM(CO4:CS4)</f>
        <v>20906681</v>
      </c>
      <c r="IQ4" s="7">
        <f t="shared" ref="IQ4:IQ56" si="14">CT4-IP4</f>
        <v>0</v>
      </c>
      <c r="IR4" s="7">
        <f t="shared" ref="IR4:IR56" si="15">SUM(CU4:CY4)</f>
        <v>456473</v>
      </c>
      <c r="IS4" s="7">
        <f t="shared" ref="IS4:IS56" si="16">CZ4-IR4</f>
        <v>0</v>
      </c>
      <c r="IT4" s="7">
        <f t="shared" ref="IT4:IT56" si="17">SUM(DA4:DE4)</f>
        <v>20748738</v>
      </c>
      <c r="IU4" s="7">
        <f t="shared" ref="IU4:IU56" si="18">DF4-IT4</f>
        <v>0</v>
      </c>
      <c r="IV4" s="7">
        <f t="shared" ref="IV4:IV56" si="19">SUM(DG4:DK4)</f>
        <v>104012</v>
      </c>
      <c r="IW4" s="7">
        <f t="shared" ref="IW4:IW56" si="20">DL4-IV4</f>
        <v>0</v>
      </c>
      <c r="IX4" s="7">
        <f t="shared" ref="IX4:IX56" si="21">SUM(DM4:DQ4)</f>
        <v>366989</v>
      </c>
      <c r="IY4" s="7">
        <f t="shared" ref="IY4:IY56" si="22">DR4-IX4</f>
        <v>0</v>
      </c>
      <c r="IZ4" s="7">
        <f t="shared" ref="IZ4:IZ56" si="23">SUM(DS4:DW4)</f>
        <v>1785254</v>
      </c>
      <c r="JA4" s="7">
        <f t="shared" ref="JA4:JA56" si="24">DX4-IZ4</f>
        <v>0</v>
      </c>
      <c r="JB4" s="7">
        <f t="shared" ref="JB4:JB56" si="25">SUM(DY4:EC4)</f>
        <v>7315271</v>
      </c>
      <c r="JC4" s="7">
        <f t="shared" ref="JC4:JC56" si="26">ED4-JB4</f>
        <v>0</v>
      </c>
      <c r="JD4" s="7">
        <f t="shared" ref="JD4:JD56" si="27">SUM(EE4:EI4)</f>
        <v>3062596</v>
      </c>
      <c r="JE4" s="7">
        <f t="shared" ref="JE4:JE56" si="28">EJ4-JD4</f>
        <v>0</v>
      </c>
      <c r="JF4" s="7">
        <f t="shared" ref="JF4:JF56" si="29">SUM(EK4:EO4)</f>
        <v>4245646</v>
      </c>
      <c r="JG4" s="7">
        <f t="shared" ref="JG4:JG56" si="30">EP4-JF4</f>
        <v>0</v>
      </c>
      <c r="JH4" s="7">
        <f t="shared" ref="JH4:JH56" si="31">SUM(EQ4:EU4)</f>
        <v>6433291</v>
      </c>
      <c r="JI4" s="7">
        <f t="shared" ref="JI4:JI56" si="32">EV4-JH4</f>
        <v>0</v>
      </c>
      <c r="JJ4" s="7">
        <f t="shared" ref="JJ4:JJ56" si="33">SUM(EW4:FA4)</f>
        <v>1313309</v>
      </c>
      <c r="JK4" s="7">
        <f t="shared" ref="JK4:JK56" si="34">FB4-JJ4</f>
        <v>0</v>
      </c>
      <c r="JL4" s="7">
        <f t="shared" ref="JL4:JL56" si="35">SUM(FC4:FG4)</f>
        <v>22032122</v>
      </c>
      <c r="JM4" s="7">
        <f t="shared" ref="JM4:JM56" si="36">FH4-JL4</f>
        <v>0</v>
      </c>
      <c r="JN4" s="7">
        <f t="shared" ref="JN4:JN56" si="37">SUM(FI4:FM4)</f>
        <v>693687</v>
      </c>
      <c r="JO4" s="7">
        <f t="shared" ref="JO4:JO56" si="38">FN4-JN4</f>
        <v>0</v>
      </c>
      <c r="JP4" s="7">
        <f t="shared" ref="JP4:JP56" si="39">SUM(FO4:FS4)</f>
        <v>0</v>
      </c>
      <c r="JQ4" s="7">
        <f t="shared" ref="JQ4:JQ56" si="40">FT4-JP4</f>
        <v>0</v>
      </c>
      <c r="JR4" s="7">
        <f t="shared" ref="JR4:JR56" si="41">SUM(FU4:FY4)</f>
        <v>2346604</v>
      </c>
      <c r="JS4" s="7">
        <f t="shared" ref="JS4:JS56" si="42">FZ4-JR4</f>
        <v>0</v>
      </c>
      <c r="JT4" s="7">
        <f t="shared" ref="JT4:JT56" si="43">SUM(GA4:GE4)</f>
        <v>113402</v>
      </c>
      <c r="JU4" s="7">
        <f t="shared" ref="JU4:JU56" si="44">GF4-JT4</f>
        <v>0</v>
      </c>
      <c r="JV4" s="7">
        <f t="shared" ref="JV4:JV55" si="45">SUM(GG4:GK4)</f>
        <v>8160289</v>
      </c>
      <c r="JW4" s="7">
        <f t="shared" ref="JW4:JW55" si="46">GL4-JV4</f>
        <v>0</v>
      </c>
      <c r="JX4" s="7">
        <f t="shared" ref="JX4:JX56" si="47">SUM(GM4:GQ4)</f>
        <v>116607913</v>
      </c>
      <c r="JY4" s="7">
        <f t="shared" ref="JY4:JY56" si="48">GR4-JX4</f>
        <v>0</v>
      </c>
      <c r="JZ4" s="7">
        <f t="shared" ref="JZ4:JZ56" si="49">SUM(GS4:GW4)</f>
        <v>5934130</v>
      </c>
      <c r="KA4" s="7">
        <f t="shared" ref="KA4:KA56" si="50">GX4-JZ4</f>
        <v>0</v>
      </c>
      <c r="KB4" s="7">
        <f t="shared" ref="KB4:KB56" si="51">SUM(GY4:HC4)</f>
        <v>122542043</v>
      </c>
      <c r="KC4" s="7">
        <f t="shared" ref="KC4:KC56" si="52">HD4-KB4</f>
        <v>0</v>
      </c>
      <c r="KE4" s="7" t="e">
        <f t="shared" si="0"/>
        <v>#REF!</v>
      </c>
      <c r="KG4" s="5" t="e">
        <f t="shared" ref="KG4:KG63" si="53">IF(KE4=0,0,1)</f>
        <v>#REF!</v>
      </c>
    </row>
    <row r="5" spans="1:293" x14ac:dyDescent="0.15">
      <c r="A5" s="119" t="s">
        <v>430</v>
      </c>
      <c r="B5" s="17" t="s">
        <v>342</v>
      </c>
      <c r="C5" s="38">
        <v>176080</v>
      </c>
      <c r="D5" s="38">
        <v>2013</v>
      </c>
      <c r="E5" s="38">
        <v>1</v>
      </c>
      <c r="F5" s="38">
        <v>8</v>
      </c>
      <c r="G5" s="39">
        <v>3497</v>
      </c>
      <c r="H5" s="39">
        <v>4706</v>
      </c>
      <c r="I5" s="40">
        <v>1044121372</v>
      </c>
      <c r="J5" s="40"/>
      <c r="K5" s="40">
        <v>0</v>
      </c>
      <c r="L5" s="40"/>
      <c r="M5" s="40">
        <v>16010937</v>
      </c>
      <c r="N5" s="40"/>
      <c r="O5" s="40">
        <v>0</v>
      </c>
      <c r="P5" s="40"/>
      <c r="Q5" s="40">
        <v>451678129</v>
      </c>
      <c r="R5" s="40"/>
      <c r="S5" s="40">
        <v>902513823</v>
      </c>
      <c r="T5" s="40"/>
      <c r="U5" s="40">
        <v>19918</v>
      </c>
      <c r="V5" s="40"/>
      <c r="W5" s="40">
        <v>27112</v>
      </c>
      <c r="X5" s="40"/>
      <c r="Y5" s="40">
        <v>24572</v>
      </c>
      <c r="Z5" s="40"/>
      <c r="AA5" s="40">
        <v>32191</v>
      </c>
      <c r="AB5" s="40"/>
      <c r="AC5" s="56">
        <v>6</v>
      </c>
      <c r="AD5" s="56">
        <v>12</v>
      </c>
      <c r="AE5" s="56">
        <v>0</v>
      </c>
      <c r="AF5" s="57">
        <v>3343273</v>
      </c>
      <c r="AG5" s="57">
        <v>2548588</v>
      </c>
      <c r="AH5" s="57">
        <v>281321</v>
      </c>
      <c r="AI5" s="57">
        <v>197278</v>
      </c>
      <c r="AJ5" s="57">
        <v>305342.5</v>
      </c>
      <c r="AK5" s="58">
        <v>6</v>
      </c>
      <c r="AL5" s="57">
        <v>305342.5</v>
      </c>
      <c r="AM5" s="58">
        <v>6</v>
      </c>
      <c r="AN5" s="57">
        <v>108685.61</v>
      </c>
      <c r="AO5" s="58">
        <v>8.48</v>
      </c>
      <c r="AP5" s="57">
        <v>92165.4</v>
      </c>
      <c r="AQ5" s="58">
        <v>10</v>
      </c>
      <c r="AR5" s="57">
        <v>140976.18</v>
      </c>
      <c r="AS5" s="58">
        <v>17</v>
      </c>
      <c r="AT5" s="57">
        <v>133144.17000000001</v>
      </c>
      <c r="AU5" s="58">
        <v>18</v>
      </c>
      <c r="AV5" s="57">
        <v>60537</v>
      </c>
      <c r="AW5" s="58">
        <v>12.35</v>
      </c>
      <c r="AX5" s="57">
        <v>57510.15</v>
      </c>
      <c r="AY5" s="58">
        <v>13</v>
      </c>
      <c r="AZ5" s="79">
        <v>605892</v>
      </c>
      <c r="BA5" s="79">
        <v>1750000</v>
      </c>
      <c r="BB5" s="79">
        <v>1136522</v>
      </c>
      <c r="BC5" s="79">
        <v>0</v>
      </c>
      <c r="BD5" s="79">
        <v>247600</v>
      </c>
      <c r="BE5" s="79">
        <v>0</v>
      </c>
      <c r="BF5" s="79">
        <v>0</v>
      </c>
      <c r="BG5" s="79">
        <v>0</v>
      </c>
      <c r="BH5" s="79">
        <v>0</v>
      </c>
      <c r="BI5" s="79">
        <v>0</v>
      </c>
      <c r="BJ5" s="79">
        <v>0</v>
      </c>
      <c r="BK5" s="79">
        <v>2890</v>
      </c>
      <c r="BL5" s="79">
        <v>2820</v>
      </c>
      <c r="BM5" s="79">
        <v>1338</v>
      </c>
      <c r="BN5" s="79">
        <v>3814</v>
      </c>
      <c r="BO5" s="79">
        <v>20118</v>
      </c>
      <c r="BP5" s="79">
        <v>30980</v>
      </c>
      <c r="BQ5" s="79">
        <v>99727</v>
      </c>
      <c r="BR5" s="79">
        <v>149590</v>
      </c>
      <c r="BS5" s="79">
        <v>15256</v>
      </c>
      <c r="BT5" s="79">
        <v>44394</v>
      </c>
      <c r="BU5" s="79">
        <v>221182</v>
      </c>
      <c r="BV5" s="79">
        <v>530149</v>
      </c>
      <c r="BW5" s="79">
        <v>7400613</v>
      </c>
      <c r="BX5" s="79">
        <v>3337605</v>
      </c>
      <c r="BY5" s="79">
        <v>1738616</v>
      </c>
      <c r="BZ5" s="79">
        <v>6810375</v>
      </c>
      <c r="CA5" s="79">
        <v>8872040</v>
      </c>
      <c r="CB5" s="79">
        <v>28159249</v>
      </c>
      <c r="CC5" s="79">
        <v>2147036</v>
      </c>
      <c r="CD5" s="79">
        <v>361591</v>
      </c>
      <c r="CE5" s="79">
        <v>473627</v>
      </c>
      <c r="CF5" s="79">
        <v>2909607</v>
      </c>
      <c r="CG5" s="79">
        <v>269841</v>
      </c>
      <c r="CH5" s="79">
        <v>6161702</v>
      </c>
      <c r="CI5" s="79">
        <v>577230</v>
      </c>
      <c r="CJ5" s="79">
        <v>314441</v>
      </c>
      <c r="CK5" s="79">
        <v>52154</v>
      </c>
      <c r="CL5" s="79">
        <v>38692</v>
      </c>
      <c r="CM5" s="79">
        <v>0</v>
      </c>
      <c r="CN5" s="79">
        <v>982517</v>
      </c>
      <c r="CO5" s="79">
        <v>2261453</v>
      </c>
      <c r="CP5" s="79">
        <v>1194843</v>
      </c>
      <c r="CQ5" s="79">
        <v>607573</v>
      </c>
      <c r="CR5" s="79">
        <v>1834067</v>
      </c>
      <c r="CS5" s="79">
        <v>0</v>
      </c>
      <c r="CT5" s="79">
        <v>5897936</v>
      </c>
      <c r="CU5" s="79">
        <v>0</v>
      </c>
      <c r="CV5" s="79">
        <v>0</v>
      </c>
      <c r="CW5" s="79">
        <v>0</v>
      </c>
      <c r="CX5" s="79">
        <v>0</v>
      </c>
      <c r="CY5" s="79">
        <v>0</v>
      </c>
      <c r="CZ5" s="79">
        <v>0</v>
      </c>
      <c r="DA5" s="79">
        <v>192901</v>
      </c>
      <c r="DB5" s="79">
        <v>86699</v>
      </c>
      <c r="DC5" s="79">
        <v>65343</v>
      </c>
      <c r="DD5" s="79">
        <v>74252</v>
      </c>
      <c r="DE5" s="79">
        <v>4328799</v>
      </c>
      <c r="DF5" s="79">
        <v>4747994</v>
      </c>
      <c r="DG5" s="79">
        <v>0</v>
      </c>
      <c r="DH5" s="79">
        <v>0</v>
      </c>
      <c r="DI5" s="79">
        <v>0</v>
      </c>
      <c r="DJ5" s="79">
        <v>0</v>
      </c>
      <c r="DK5" s="79">
        <v>0</v>
      </c>
      <c r="DL5" s="79">
        <v>0</v>
      </c>
      <c r="DM5" s="79">
        <v>29018</v>
      </c>
      <c r="DN5" s="79">
        <v>300000</v>
      </c>
      <c r="DO5" s="79">
        <v>0</v>
      </c>
      <c r="DP5" s="79">
        <v>0</v>
      </c>
      <c r="DQ5" s="79">
        <v>0</v>
      </c>
      <c r="DR5" s="79">
        <v>329018</v>
      </c>
      <c r="DS5" s="79">
        <v>146547</v>
      </c>
      <c r="DT5" s="79">
        <v>75235</v>
      </c>
      <c r="DU5" s="79">
        <v>52764</v>
      </c>
      <c r="DV5" s="79">
        <v>204053</v>
      </c>
      <c r="DW5" s="79">
        <v>13992</v>
      </c>
      <c r="DX5" s="79">
        <v>492591</v>
      </c>
      <c r="DY5" s="79">
        <v>573586</v>
      </c>
      <c r="DZ5" s="79">
        <v>313571</v>
      </c>
      <c r="EA5" s="79">
        <v>270159</v>
      </c>
      <c r="EB5" s="79">
        <v>984991</v>
      </c>
      <c r="EC5" s="79">
        <v>1066</v>
      </c>
      <c r="ED5" s="79">
        <v>2143373</v>
      </c>
      <c r="EE5" s="79">
        <v>313642</v>
      </c>
      <c r="EF5" s="79">
        <v>46116</v>
      </c>
      <c r="EG5" s="79">
        <v>43252</v>
      </c>
      <c r="EH5" s="79">
        <v>307960</v>
      </c>
      <c r="EI5" s="79">
        <v>300910</v>
      </c>
      <c r="EJ5" s="79">
        <v>1011880</v>
      </c>
      <c r="EK5" s="79">
        <v>104409</v>
      </c>
      <c r="EL5" s="79">
        <v>101852</v>
      </c>
      <c r="EM5" s="79">
        <v>52803</v>
      </c>
      <c r="EN5" s="79">
        <v>118358</v>
      </c>
      <c r="EO5" s="79">
        <v>112684</v>
      </c>
      <c r="EP5" s="79">
        <v>490106</v>
      </c>
      <c r="EQ5" s="79">
        <v>600</v>
      </c>
      <c r="ER5" s="79">
        <v>1683</v>
      </c>
      <c r="ES5" s="79">
        <v>0</v>
      </c>
      <c r="ET5" s="79">
        <v>0</v>
      </c>
      <c r="EU5" s="79">
        <v>539640</v>
      </c>
      <c r="EV5" s="79">
        <v>541923</v>
      </c>
      <c r="EW5" s="79">
        <v>0</v>
      </c>
      <c r="EX5" s="79">
        <v>0</v>
      </c>
      <c r="EY5" s="79">
        <v>0</v>
      </c>
      <c r="EZ5" s="79">
        <v>0</v>
      </c>
      <c r="FA5" s="79">
        <v>0</v>
      </c>
      <c r="FB5" s="79">
        <v>0</v>
      </c>
      <c r="FC5" s="79">
        <v>83660</v>
      </c>
      <c r="FD5" s="79">
        <v>49692</v>
      </c>
      <c r="FE5" s="79">
        <v>53656</v>
      </c>
      <c r="FF5" s="79">
        <v>155137</v>
      </c>
      <c r="FG5" s="79">
        <v>682419</v>
      </c>
      <c r="FH5" s="79">
        <v>1024564</v>
      </c>
      <c r="FI5" s="79">
        <v>491043</v>
      </c>
      <c r="FJ5" s="79">
        <v>0</v>
      </c>
      <c r="FK5" s="79">
        <v>0</v>
      </c>
      <c r="FL5" s="79">
        <v>0</v>
      </c>
      <c r="FM5" s="79">
        <v>286695</v>
      </c>
      <c r="FN5" s="79">
        <v>777738</v>
      </c>
      <c r="FO5" s="79">
        <v>15848</v>
      </c>
      <c r="FP5" s="79">
        <v>3438</v>
      </c>
      <c r="FQ5" s="79">
        <v>0</v>
      </c>
      <c r="FR5" s="79">
        <v>0</v>
      </c>
      <c r="FS5" s="79">
        <v>438692</v>
      </c>
      <c r="FT5" s="79">
        <v>457978</v>
      </c>
      <c r="FU5" s="79">
        <v>0</v>
      </c>
      <c r="FV5" s="79">
        <v>0</v>
      </c>
      <c r="FW5" s="79">
        <v>0</v>
      </c>
      <c r="FX5" s="79">
        <v>0</v>
      </c>
      <c r="FY5" s="79">
        <v>45178</v>
      </c>
      <c r="FZ5" s="79">
        <v>45178</v>
      </c>
      <c r="GA5" s="79">
        <v>852</v>
      </c>
      <c r="GB5" s="79">
        <v>810</v>
      </c>
      <c r="GC5" s="79">
        <v>1280</v>
      </c>
      <c r="GD5" s="79">
        <v>4670</v>
      </c>
      <c r="GE5" s="79">
        <v>331116</v>
      </c>
      <c r="GF5" s="79">
        <v>338728</v>
      </c>
      <c r="GG5" s="79">
        <v>208070</v>
      </c>
      <c r="GH5" s="79">
        <v>99882</v>
      </c>
      <c r="GI5" s="79">
        <v>147593</v>
      </c>
      <c r="GJ5" s="79">
        <v>305639</v>
      </c>
      <c r="GK5" s="79">
        <v>928223</v>
      </c>
      <c r="GL5" s="79">
        <v>1689407</v>
      </c>
      <c r="GM5" s="79">
        <v>7145895</v>
      </c>
      <c r="GN5" s="79">
        <v>2949853</v>
      </c>
      <c r="GO5" s="79">
        <v>1820204</v>
      </c>
      <c r="GP5" s="79">
        <v>6937426</v>
      </c>
      <c r="GQ5" s="79">
        <v>8691255</v>
      </c>
      <c r="GR5" s="79">
        <v>27544633</v>
      </c>
      <c r="GS5" s="79">
        <v>0</v>
      </c>
      <c r="GT5" s="79">
        <v>0</v>
      </c>
      <c r="GU5" s="79">
        <v>0</v>
      </c>
      <c r="GV5" s="79">
        <v>0</v>
      </c>
      <c r="GW5" s="79">
        <v>0</v>
      </c>
      <c r="GX5" s="79">
        <v>0</v>
      </c>
      <c r="GY5" s="79">
        <v>7145895</v>
      </c>
      <c r="GZ5" s="79">
        <v>2949853</v>
      </c>
      <c r="HA5" s="79">
        <v>1820204</v>
      </c>
      <c r="HB5" s="79">
        <v>6937426</v>
      </c>
      <c r="HC5" s="79">
        <v>8691255</v>
      </c>
      <c r="HD5" s="79">
        <v>27544633</v>
      </c>
      <c r="HF5" s="7">
        <f>SUM(AZ5:AZ5)</f>
        <v>605892</v>
      </c>
      <c r="HG5" s="7" t="e">
        <f>#REF!-HF5</f>
        <v>#REF!</v>
      </c>
      <c r="HH5" s="7" t="e">
        <f>SUM(#REF!)</f>
        <v>#REF!</v>
      </c>
      <c r="HI5" s="7" t="e">
        <f>#REF!-HH5</f>
        <v>#REF!</v>
      </c>
      <c r="HJ5" s="7">
        <f>SUM(BA5:BA5)</f>
        <v>1750000</v>
      </c>
      <c r="HK5" s="7" t="e">
        <f>#REF!-HJ5</f>
        <v>#REF!</v>
      </c>
      <c r="HL5" s="7">
        <f>SUM(BB5:BB5)</f>
        <v>1136522</v>
      </c>
      <c r="HM5" s="7" t="e">
        <f>#REF!-HL5</f>
        <v>#REF!</v>
      </c>
      <c r="HN5" s="7" t="e">
        <f>SUM(#REF!)</f>
        <v>#REF!</v>
      </c>
      <c r="HO5" s="7" t="e">
        <f>#REF!-HN5</f>
        <v>#REF!</v>
      </c>
      <c r="HP5" s="7" t="e">
        <f>SUM(#REF!)</f>
        <v>#REF!</v>
      </c>
      <c r="HQ5" s="7" t="e">
        <f>#REF!-HP5</f>
        <v>#REF!</v>
      </c>
      <c r="HR5" s="7" t="e">
        <f>SUM(#REF!)</f>
        <v>#REF!</v>
      </c>
      <c r="HS5" s="7" t="e">
        <f>#REF!-HR5</f>
        <v>#REF!</v>
      </c>
      <c r="HT5" s="7" t="e">
        <f>SUM(#REF!)</f>
        <v>#REF!</v>
      </c>
      <c r="HU5" s="7" t="e">
        <f>#REF!-HT5</f>
        <v>#REF!</v>
      </c>
      <c r="HV5" s="7" t="e">
        <f>SUM(#REF!)</f>
        <v>#REF!</v>
      </c>
      <c r="HW5" s="7" t="e">
        <f>#REF!-HV5</f>
        <v>#REF!</v>
      </c>
      <c r="HX5" s="7" t="e">
        <f>SUM(#REF!)</f>
        <v>#REF!</v>
      </c>
      <c r="HY5" s="7" t="e">
        <f>#REF!-HX5</f>
        <v>#REF!</v>
      </c>
      <c r="HZ5" s="7">
        <f>SUM(BC5:BC5)</f>
        <v>0</v>
      </c>
      <c r="IA5" s="7" t="e">
        <f>#REF!-HZ5</f>
        <v>#REF!</v>
      </c>
      <c r="IB5" s="7">
        <f>SUM(BD5:BD5)</f>
        <v>247600</v>
      </c>
      <c r="IC5" s="7" t="e">
        <f>#REF!-IB5</f>
        <v>#REF!</v>
      </c>
      <c r="ID5" s="7">
        <f t="shared" si="1"/>
        <v>0</v>
      </c>
      <c r="IE5" s="7">
        <f t="shared" si="2"/>
        <v>0</v>
      </c>
      <c r="IF5" s="7">
        <f t="shared" si="3"/>
        <v>30980</v>
      </c>
      <c r="IG5" s="7">
        <f t="shared" si="4"/>
        <v>0</v>
      </c>
      <c r="IH5" s="7">
        <f t="shared" si="5"/>
        <v>530149</v>
      </c>
      <c r="II5" s="7">
        <f t="shared" si="6"/>
        <v>0</v>
      </c>
      <c r="IJ5" s="7">
        <f t="shared" si="7"/>
        <v>28159249</v>
      </c>
      <c r="IK5" s="7">
        <f t="shared" si="8"/>
        <v>0</v>
      </c>
      <c r="IL5" s="7">
        <f t="shared" si="9"/>
        <v>6161702</v>
      </c>
      <c r="IM5" s="7">
        <f t="shared" si="10"/>
        <v>0</v>
      </c>
      <c r="IN5" s="7">
        <f t="shared" si="11"/>
        <v>982517</v>
      </c>
      <c r="IO5" s="7">
        <f t="shared" si="12"/>
        <v>0</v>
      </c>
      <c r="IP5" s="7">
        <f t="shared" si="13"/>
        <v>5897936</v>
      </c>
      <c r="IQ5" s="7">
        <f t="shared" si="14"/>
        <v>0</v>
      </c>
      <c r="IR5" s="7">
        <f t="shared" si="15"/>
        <v>0</v>
      </c>
      <c r="IS5" s="7">
        <f t="shared" si="16"/>
        <v>0</v>
      </c>
      <c r="IT5" s="7">
        <f t="shared" si="17"/>
        <v>4747994</v>
      </c>
      <c r="IU5" s="7">
        <f t="shared" si="18"/>
        <v>0</v>
      </c>
      <c r="IV5" s="7">
        <f t="shared" si="19"/>
        <v>0</v>
      </c>
      <c r="IW5" s="7">
        <f t="shared" si="20"/>
        <v>0</v>
      </c>
      <c r="IX5" s="7">
        <f t="shared" si="21"/>
        <v>329018</v>
      </c>
      <c r="IY5" s="7">
        <f t="shared" si="22"/>
        <v>0</v>
      </c>
      <c r="IZ5" s="7">
        <f t="shared" si="23"/>
        <v>492591</v>
      </c>
      <c r="JA5" s="7">
        <f t="shared" si="24"/>
        <v>0</v>
      </c>
      <c r="JB5" s="7">
        <f t="shared" si="25"/>
        <v>2143373</v>
      </c>
      <c r="JC5" s="7">
        <f t="shared" si="26"/>
        <v>0</v>
      </c>
      <c r="JD5" s="7">
        <f t="shared" si="27"/>
        <v>1011880</v>
      </c>
      <c r="JE5" s="7">
        <f t="shared" si="28"/>
        <v>0</v>
      </c>
      <c r="JF5" s="7">
        <f t="shared" si="29"/>
        <v>490106</v>
      </c>
      <c r="JG5" s="7">
        <f t="shared" si="30"/>
        <v>0</v>
      </c>
      <c r="JH5" s="7">
        <f t="shared" si="31"/>
        <v>541923</v>
      </c>
      <c r="JI5" s="7">
        <f t="shared" si="32"/>
        <v>0</v>
      </c>
      <c r="JJ5" s="7">
        <f t="shared" si="33"/>
        <v>0</v>
      </c>
      <c r="JK5" s="7">
        <f t="shared" si="34"/>
        <v>0</v>
      </c>
      <c r="JL5" s="7">
        <f t="shared" si="35"/>
        <v>1024564</v>
      </c>
      <c r="JM5" s="7">
        <f t="shared" si="36"/>
        <v>0</v>
      </c>
      <c r="JN5" s="7">
        <f t="shared" si="37"/>
        <v>777738</v>
      </c>
      <c r="JO5" s="7">
        <f t="shared" si="38"/>
        <v>0</v>
      </c>
      <c r="JP5" s="7">
        <f t="shared" si="39"/>
        <v>457978</v>
      </c>
      <c r="JQ5" s="7">
        <f t="shared" si="40"/>
        <v>0</v>
      </c>
      <c r="JR5" s="7">
        <f t="shared" si="41"/>
        <v>45178</v>
      </c>
      <c r="JS5" s="7">
        <f t="shared" si="42"/>
        <v>0</v>
      </c>
      <c r="JT5" s="7">
        <f t="shared" si="43"/>
        <v>338728</v>
      </c>
      <c r="JU5" s="7">
        <f t="shared" si="44"/>
        <v>0</v>
      </c>
      <c r="JV5" s="7">
        <f t="shared" si="45"/>
        <v>1689407</v>
      </c>
      <c r="JW5" s="7">
        <f t="shared" si="46"/>
        <v>0</v>
      </c>
      <c r="JX5" s="7">
        <f t="shared" si="47"/>
        <v>27544633</v>
      </c>
      <c r="JY5" s="7">
        <f t="shared" si="48"/>
        <v>0</v>
      </c>
      <c r="JZ5" s="7">
        <f t="shared" si="49"/>
        <v>0</v>
      </c>
      <c r="KA5" s="7">
        <f t="shared" si="50"/>
        <v>0</v>
      </c>
      <c r="KB5" s="7">
        <f t="shared" si="51"/>
        <v>27544633</v>
      </c>
      <c r="KC5" s="7">
        <f t="shared" si="52"/>
        <v>0</v>
      </c>
      <c r="KE5" s="7" t="e">
        <f t="shared" si="0"/>
        <v>#REF!</v>
      </c>
      <c r="KG5" s="5" t="e">
        <f t="shared" si="53"/>
        <v>#REF!</v>
      </c>
    </row>
    <row r="6" spans="1:293" x14ac:dyDescent="0.15">
      <c r="A6" s="120" t="s">
        <v>218</v>
      </c>
      <c r="B6" s="17" t="s">
        <v>342</v>
      </c>
      <c r="C6" s="38">
        <v>174066</v>
      </c>
      <c r="D6" s="38">
        <v>2013</v>
      </c>
      <c r="E6" s="38">
        <v>1</v>
      </c>
      <c r="F6" s="38">
        <v>4</v>
      </c>
      <c r="G6" s="39">
        <v>15065</v>
      </c>
      <c r="H6" s="39">
        <v>16500</v>
      </c>
      <c r="I6" s="40">
        <v>1651325000</v>
      </c>
      <c r="J6" s="40"/>
      <c r="K6" s="40">
        <v>5446775</v>
      </c>
      <c r="L6" s="40"/>
      <c r="M6" s="40">
        <v>104826684</v>
      </c>
      <c r="N6" s="40"/>
      <c r="O6" s="40">
        <v>87575000</v>
      </c>
      <c r="P6" s="40"/>
      <c r="Q6" s="40">
        <v>1287755000</v>
      </c>
      <c r="R6" s="40"/>
      <c r="S6" s="40">
        <v>1381026000</v>
      </c>
      <c r="T6" s="40"/>
      <c r="U6" s="40">
        <v>22512</v>
      </c>
      <c r="V6" s="40"/>
      <c r="W6" s="40">
        <v>37708</v>
      </c>
      <c r="X6" s="40"/>
      <c r="Y6" s="40">
        <v>24794</v>
      </c>
      <c r="Z6" s="40"/>
      <c r="AA6" s="40">
        <v>40974</v>
      </c>
      <c r="AB6" s="40"/>
      <c r="AC6" s="56">
        <v>9</v>
      </c>
      <c r="AD6" s="56">
        <v>11</v>
      </c>
      <c r="AE6" s="56">
        <v>0</v>
      </c>
      <c r="AF6" s="57">
        <v>6252399</v>
      </c>
      <c r="AG6" s="57">
        <v>5047189</v>
      </c>
      <c r="AH6" s="57">
        <v>852369</v>
      </c>
      <c r="AI6" s="57">
        <v>351792</v>
      </c>
      <c r="AJ6" s="57">
        <v>886140.5</v>
      </c>
      <c r="AK6" s="58">
        <v>6</v>
      </c>
      <c r="AL6" s="57">
        <v>759549</v>
      </c>
      <c r="AM6" s="58">
        <v>7</v>
      </c>
      <c r="AN6" s="57">
        <v>171859.5</v>
      </c>
      <c r="AO6" s="58">
        <v>8</v>
      </c>
      <c r="AP6" s="57">
        <v>152764</v>
      </c>
      <c r="AQ6" s="58">
        <v>9</v>
      </c>
      <c r="AR6" s="57">
        <v>249157.65</v>
      </c>
      <c r="AS6" s="58">
        <v>20</v>
      </c>
      <c r="AT6" s="57">
        <v>207631.38</v>
      </c>
      <c r="AU6" s="58">
        <v>24</v>
      </c>
      <c r="AV6" s="57">
        <v>98895.82</v>
      </c>
      <c r="AW6" s="58">
        <v>17</v>
      </c>
      <c r="AX6" s="57">
        <v>80058.52</v>
      </c>
      <c r="AY6" s="58">
        <v>21</v>
      </c>
      <c r="AZ6" s="79">
        <v>7525849</v>
      </c>
      <c r="BA6" s="79">
        <v>0</v>
      </c>
      <c r="BB6" s="79">
        <v>4831772</v>
      </c>
      <c r="BC6" s="79">
        <v>899489</v>
      </c>
      <c r="BD6" s="79">
        <v>2948488</v>
      </c>
      <c r="BE6" s="79">
        <v>0</v>
      </c>
      <c r="BF6" s="80">
        <v>0</v>
      </c>
      <c r="BG6" s="80">
        <v>0</v>
      </c>
      <c r="BH6" s="80">
        <v>0</v>
      </c>
      <c r="BI6" s="80">
        <v>0</v>
      </c>
      <c r="BJ6" s="80">
        <v>0</v>
      </c>
      <c r="BK6" s="79">
        <v>132908</v>
      </c>
      <c r="BL6" s="79">
        <v>104643</v>
      </c>
      <c r="BM6" s="79">
        <v>5006</v>
      </c>
      <c r="BN6" s="79">
        <v>129398</v>
      </c>
      <c r="BO6" s="79">
        <v>188949</v>
      </c>
      <c r="BP6" s="79">
        <v>560904</v>
      </c>
      <c r="BQ6" s="79">
        <v>0</v>
      </c>
      <c r="BR6" s="80">
        <v>0</v>
      </c>
      <c r="BS6" s="80">
        <v>0</v>
      </c>
      <c r="BT6" s="80">
        <v>0</v>
      </c>
      <c r="BU6" s="80">
        <v>585824</v>
      </c>
      <c r="BV6" s="80">
        <v>585824</v>
      </c>
      <c r="BW6" s="79">
        <v>28370634</v>
      </c>
      <c r="BX6" s="79">
        <v>25708781</v>
      </c>
      <c r="BY6" s="79">
        <v>506186</v>
      </c>
      <c r="BZ6" s="79">
        <v>5188688</v>
      </c>
      <c r="CA6" s="79">
        <v>8736626</v>
      </c>
      <c r="CB6" s="79">
        <v>68510915</v>
      </c>
      <c r="CC6" s="79">
        <v>3628419</v>
      </c>
      <c r="CD6" s="80">
        <v>564864</v>
      </c>
      <c r="CE6" s="80">
        <v>630929</v>
      </c>
      <c r="CF6" s="80">
        <v>6475376</v>
      </c>
      <c r="CG6" s="80">
        <v>0</v>
      </c>
      <c r="CH6" s="80">
        <v>11299588</v>
      </c>
      <c r="CI6" s="79">
        <v>1450000</v>
      </c>
      <c r="CJ6" s="79">
        <v>483500</v>
      </c>
      <c r="CK6" s="79">
        <v>61000</v>
      </c>
      <c r="CL6" s="79">
        <v>162200</v>
      </c>
      <c r="CM6" s="79">
        <v>0</v>
      </c>
      <c r="CN6" s="79">
        <v>2156700</v>
      </c>
      <c r="CO6" s="79">
        <v>5553078</v>
      </c>
      <c r="CP6" s="79">
        <v>3421699</v>
      </c>
      <c r="CQ6" s="79">
        <v>719329</v>
      </c>
      <c r="CR6" s="79">
        <v>3661995</v>
      </c>
      <c r="CS6" s="79">
        <v>0</v>
      </c>
      <c r="CT6" s="79">
        <v>13356101</v>
      </c>
      <c r="CU6" s="79">
        <v>310600</v>
      </c>
      <c r="CV6" s="79">
        <v>415500</v>
      </c>
      <c r="CW6" s="79">
        <v>37500</v>
      </c>
      <c r="CX6" s="79">
        <v>331500</v>
      </c>
      <c r="CY6" s="79">
        <v>0</v>
      </c>
      <c r="CZ6" s="79">
        <v>1095100</v>
      </c>
      <c r="DA6" s="79">
        <v>774753</v>
      </c>
      <c r="DB6" s="79">
        <v>279422</v>
      </c>
      <c r="DC6" s="79">
        <v>175783</v>
      </c>
      <c r="DD6" s="79">
        <v>181224</v>
      </c>
      <c r="DE6" s="79">
        <v>10257750</v>
      </c>
      <c r="DF6" s="79">
        <v>11668932</v>
      </c>
      <c r="DG6" s="79">
        <v>0</v>
      </c>
      <c r="DH6" s="79">
        <v>0</v>
      </c>
      <c r="DI6" s="79">
        <v>0</v>
      </c>
      <c r="DJ6" s="79">
        <v>0</v>
      </c>
      <c r="DK6" s="79">
        <v>0</v>
      </c>
      <c r="DL6" s="79">
        <v>0</v>
      </c>
      <c r="DM6" s="79">
        <v>0</v>
      </c>
      <c r="DN6" s="79">
        <v>0</v>
      </c>
      <c r="DO6" s="79">
        <v>0</v>
      </c>
      <c r="DP6" s="79">
        <v>0</v>
      </c>
      <c r="DQ6" s="79">
        <v>0</v>
      </c>
      <c r="DR6" s="79">
        <v>0</v>
      </c>
      <c r="DS6" s="79">
        <v>476364</v>
      </c>
      <c r="DT6" s="79">
        <v>212486</v>
      </c>
      <c r="DU6" s="79">
        <v>97087</v>
      </c>
      <c r="DV6" s="79">
        <v>418224</v>
      </c>
      <c r="DW6" s="79">
        <v>0</v>
      </c>
      <c r="DX6" s="79">
        <v>1204161</v>
      </c>
      <c r="DY6" s="79">
        <v>1723525</v>
      </c>
      <c r="DZ6" s="79">
        <v>988042</v>
      </c>
      <c r="EA6" s="79">
        <v>451297</v>
      </c>
      <c r="EB6" s="79">
        <v>2315371</v>
      </c>
      <c r="EC6" s="79">
        <v>0</v>
      </c>
      <c r="ED6" s="79">
        <v>5478235</v>
      </c>
      <c r="EE6" s="79">
        <v>685129</v>
      </c>
      <c r="EF6" s="79">
        <v>148181</v>
      </c>
      <c r="EG6" s="79">
        <v>32892</v>
      </c>
      <c r="EH6" s="79">
        <v>640267</v>
      </c>
      <c r="EI6" s="79">
        <v>0</v>
      </c>
      <c r="EJ6" s="79">
        <v>1506469</v>
      </c>
      <c r="EK6" s="79">
        <v>1976947</v>
      </c>
      <c r="EL6" s="79">
        <v>1106669</v>
      </c>
      <c r="EM6" s="79">
        <v>130907</v>
      </c>
      <c r="EN6" s="79">
        <v>534515</v>
      </c>
      <c r="EO6" s="79">
        <v>0</v>
      </c>
      <c r="EP6" s="79">
        <v>3749038</v>
      </c>
      <c r="EQ6" s="79">
        <v>256416</v>
      </c>
      <c r="ER6" s="79">
        <v>40162</v>
      </c>
      <c r="ES6" s="79">
        <v>43251</v>
      </c>
      <c r="ET6" s="79">
        <v>704372</v>
      </c>
      <c r="EU6" s="79">
        <v>0</v>
      </c>
      <c r="EV6" s="79">
        <v>1044201</v>
      </c>
      <c r="EW6" s="79">
        <v>0</v>
      </c>
      <c r="EX6" s="79">
        <v>0</v>
      </c>
      <c r="EY6" s="79">
        <v>0</v>
      </c>
      <c r="EZ6" s="79">
        <v>0</v>
      </c>
      <c r="FA6" s="79">
        <v>0</v>
      </c>
      <c r="FB6" s="79">
        <v>0</v>
      </c>
      <c r="FC6" s="79">
        <v>1626767</v>
      </c>
      <c r="FD6" s="79">
        <v>254795</v>
      </c>
      <c r="FE6" s="79">
        <v>274394</v>
      </c>
      <c r="FF6" s="79">
        <v>4468709</v>
      </c>
      <c r="FG6" s="79">
        <v>0</v>
      </c>
      <c r="FH6" s="79">
        <v>6624665</v>
      </c>
      <c r="FI6" s="79">
        <v>55639</v>
      </c>
      <c r="FJ6" s="79">
        <v>8714</v>
      </c>
      <c r="FK6" s="79">
        <v>9385</v>
      </c>
      <c r="FL6" s="79">
        <v>152841</v>
      </c>
      <c r="FM6" s="79">
        <v>0</v>
      </c>
      <c r="FN6" s="79">
        <v>226579</v>
      </c>
      <c r="FO6" s="79">
        <v>267245</v>
      </c>
      <c r="FP6" s="79">
        <v>41858</v>
      </c>
      <c r="FQ6" s="79">
        <v>45077</v>
      </c>
      <c r="FR6" s="79">
        <v>734120</v>
      </c>
      <c r="FS6" s="79">
        <v>0</v>
      </c>
      <c r="FT6" s="79">
        <v>1088300</v>
      </c>
      <c r="FU6" s="79">
        <v>233513</v>
      </c>
      <c r="FV6" s="79">
        <v>36574</v>
      </c>
      <c r="FW6" s="79">
        <v>39388</v>
      </c>
      <c r="FX6" s="79">
        <v>641458</v>
      </c>
      <c r="FY6" s="79">
        <v>0</v>
      </c>
      <c r="FZ6" s="79">
        <v>950933</v>
      </c>
      <c r="GA6" s="79">
        <v>34500</v>
      </c>
      <c r="GB6" s="79">
        <v>5404</v>
      </c>
      <c r="GC6" s="79">
        <v>5819</v>
      </c>
      <c r="GD6" s="79">
        <v>94771</v>
      </c>
      <c r="GE6" s="79">
        <v>0</v>
      </c>
      <c r="GF6" s="79">
        <v>140494</v>
      </c>
      <c r="GG6" s="79">
        <v>1636338</v>
      </c>
      <c r="GH6" s="79">
        <v>256294</v>
      </c>
      <c r="GI6" s="79">
        <v>276009</v>
      </c>
      <c r="GJ6" s="79">
        <v>4494999</v>
      </c>
      <c r="GK6" s="79">
        <v>0</v>
      </c>
      <c r="GL6" s="79">
        <v>6663640</v>
      </c>
      <c r="GM6" s="79">
        <v>20689233</v>
      </c>
      <c r="GN6" s="79">
        <v>8264164</v>
      </c>
      <c r="GO6" s="79">
        <v>3030047</v>
      </c>
      <c r="GP6" s="79">
        <v>26011942</v>
      </c>
      <c r="GQ6" s="79">
        <v>10257750</v>
      </c>
      <c r="GR6" s="79">
        <v>68253136</v>
      </c>
      <c r="GS6" s="79"/>
      <c r="GT6" s="79">
        <v>0</v>
      </c>
      <c r="GU6" s="79">
        <v>0</v>
      </c>
      <c r="GV6" s="79">
        <v>0</v>
      </c>
      <c r="GW6" s="79">
        <v>0</v>
      </c>
      <c r="GX6" s="79">
        <v>0</v>
      </c>
      <c r="GY6" s="79">
        <v>20689233</v>
      </c>
      <c r="GZ6" s="79">
        <v>8264164</v>
      </c>
      <c r="HA6" s="79">
        <v>3030047</v>
      </c>
      <c r="HB6" s="79">
        <v>26011942</v>
      </c>
      <c r="HC6" s="79">
        <v>10257750</v>
      </c>
      <c r="HD6" s="79">
        <v>68253136</v>
      </c>
      <c r="HF6" s="7">
        <f>SUM(AZ6:AZ6)</f>
        <v>7525849</v>
      </c>
      <c r="HG6" s="7" t="e">
        <f>#REF!-HF6</f>
        <v>#REF!</v>
      </c>
      <c r="HH6" s="7" t="e">
        <f>SUM(#REF!)</f>
        <v>#REF!</v>
      </c>
      <c r="HI6" s="7" t="e">
        <f>#REF!-HH6</f>
        <v>#REF!</v>
      </c>
      <c r="HJ6" s="7">
        <f>SUM(BA6:BA6)</f>
        <v>0</v>
      </c>
      <c r="HK6" s="7" t="e">
        <f>#REF!-HJ6</f>
        <v>#REF!</v>
      </c>
      <c r="HL6" s="7">
        <f>SUM(BB6:BB6)</f>
        <v>4831772</v>
      </c>
      <c r="HM6" s="7" t="e">
        <f>#REF!-HL6</f>
        <v>#REF!</v>
      </c>
      <c r="HN6" s="7" t="e">
        <f>SUM(#REF!)</f>
        <v>#REF!</v>
      </c>
      <c r="HO6" s="7" t="e">
        <f>#REF!-HN6</f>
        <v>#REF!</v>
      </c>
      <c r="HP6" s="7" t="e">
        <f>SUM(#REF!)</f>
        <v>#REF!</v>
      </c>
      <c r="HQ6" s="7" t="e">
        <f>#REF!-HP6</f>
        <v>#REF!</v>
      </c>
      <c r="HR6" s="7" t="e">
        <f>SUM(#REF!)</f>
        <v>#REF!</v>
      </c>
      <c r="HS6" s="7" t="e">
        <f>#REF!-HR6</f>
        <v>#REF!</v>
      </c>
      <c r="HT6" s="7" t="e">
        <f>SUM(#REF!)</f>
        <v>#REF!</v>
      </c>
      <c r="HU6" s="7" t="e">
        <f>#REF!-HT6</f>
        <v>#REF!</v>
      </c>
      <c r="HV6" s="7" t="e">
        <f>SUM(#REF!)</f>
        <v>#REF!</v>
      </c>
      <c r="HW6" s="7" t="e">
        <f>#REF!-HV6</f>
        <v>#REF!</v>
      </c>
      <c r="HX6" s="7" t="e">
        <f>SUM(#REF!)</f>
        <v>#REF!</v>
      </c>
      <c r="HY6" s="7" t="e">
        <f>#REF!-HX6</f>
        <v>#REF!</v>
      </c>
      <c r="HZ6" s="7">
        <f>SUM(BC6:BC6)</f>
        <v>899489</v>
      </c>
      <c r="IA6" s="7" t="e">
        <f>#REF!-HZ6</f>
        <v>#REF!</v>
      </c>
      <c r="IB6" s="7">
        <f>SUM(BD6:BD6)</f>
        <v>2948488</v>
      </c>
      <c r="IC6" s="7" t="e">
        <f>#REF!-IB6</f>
        <v>#REF!</v>
      </c>
      <c r="ID6" s="7">
        <f t="shared" si="1"/>
        <v>0</v>
      </c>
      <c r="IE6" s="7">
        <f t="shared" si="2"/>
        <v>0</v>
      </c>
      <c r="IF6" s="7">
        <f t="shared" si="3"/>
        <v>560904</v>
      </c>
      <c r="IG6" s="7">
        <f t="shared" si="4"/>
        <v>0</v>
      </c>
      <c r="IH6" s="7">
        <f t="shared" si="5"/>
        <v>585824</v>
      </c>
      <c r="II6" s="7">
        <f t="shared" si="6"/>
        <v>0</v>
      </c>
      <c r="IJ6" s="7">
        <f t="shared" si="7"/>
        <v>68510915</v>
      </c>
      <c r="IK6" s="7">
        <f t="shared" si="8"/>
        <v>0</v>
      </c>
      <c r="IL6" s="7">
        <f t="shared" si="9"/>
        <v>11299588</v>
      </c>
      <c r="IM6" s="7">
        <f t="shared" si="10"/>
        <v>0</v>
      </c>
      <c r="IN6" s="7">
        <f t="shared" si="11"/>
        <v>2156700</v>
      </c>
      <c r="IO6" s="7">
        <f t="shared" si="12"/>
        <v>0</v>
      </c>
      <c r="IP6" s="7">
        <f t="shared" si="13"/>
        <v>13356101</v>
      </c>
      <c r="IQ6" s="7">
        <f t="shared" si="14"/>
        <v>0</v>
      </c>
      <c r="IR6" s="7">
        <f t="shared" si="15"/>
        <v>1095100</v>
      </c>
      <c r="IS6" s="7">
        <f t="shared" si="16"/>
        <v>0</v>
      </c>
      <c r="IT6" s="7">
        <f t="shared" si="17"/>
        <v>11668932</v>
      </c>
      <c r="IU6" s="7">
        <f t="shared" si="18"/>
        <v>0</v>
      </c>
      <c r="IV6" s="7">
        <f t="shared" si="19"/>
        <v>0</v>
      </c>
      <c r="IW6" s="7">
        <f t="shared" si="20"/>
        <v>0</v>
      </c>
      <c r="IX6" s="7">
        <f t="shared" si="21"/>
        <v>0</v>
      </c>
      <c r="IY6" s="7">
        <f t="shared" si="22"/>
        <v>0</v>
      </c>
      <c r="IZ6" s="7">
        <f t="shared" si="23"/>
        <v>1204161</v>
      </c>
      <c r="JA6" s="7">
        <f t="shared" si="24"/>
        <v>0</v>
      </c>
      <c r="JB6" s="7">
        <f t="shared" si="25"/>
        <v>5478235</v>
      </c>
      <c r="JC6" s="7">
        <f t="shared" si="26"/>
        <v>0</v>
      </c>
      <c r="JD6" s="7">
        <f t="shared" si="27"/>
        <v>1506469</v>
      </c>
      <c r="JE6" s="7">
        <f t="shared" si="28"/>
        <v>0</v>
      </c>
      <c r="JF6" s="7">
        <f t="shared" si="29"/>
        <v>3749038</v>
      </c>
      <c r="JG6" s="7">
        <f t="shared" si="30"/>
        <v>0</v>
      </c>
      <c r="JH6" s="7">
        <f t="shared" si="31"/>
        <v>1044201</v>
      </c>
      <c r="JI6" s="7">
        <f t="shared" si="32"/>
        <v>0</v>
      </c>
      <c r="JJ6" s="7">
        <f t="shared" si="33"/>
        <v>0</v>
      </c>
      <c r="JK6" s="7">
        <f t="shared" si="34"/>
        <v>0</v>
      </c>
      <c r="JL6" s="7">
        <f t="shared" si="35"/>
        <v>6624665</v>
      </c>
      <c r="JM6" s="7">
        <f t="shared" si="36"/>
        <v>0</v>
      </c>
      <c r="JN6" s="7">
        <f t="shared" si="37"/>
        <v>226579</v>
      </c>
      <c r="JO6" s="7">
        <f t="shared" si="38"/>
        <v>0</v>
      </c>
      <c r="JP6" s="7">
        <f t="shared" si="39"/>
        <v>1088300</v>
      </c>
      <c r="JQ6" s="7">
        <f t="shared" si="40"/>
        <v>0</v>
      </c>
      <c r="JR6" s="7">
        <f t="shared" si="41"/>
        <v>950933</v>
      </c>
      <c r="JS6" s="7">
        <f t="shared" si="42"/>
        <v>0</v>
      </c>
      <c r="JT6" s="7">
        <f t="shared" si="43"/>
        <v>140494</v>
      </c>
      <c r="JU6" s="7">
        <f t="shared" si="44"/>
        <v>0</v>
      </c>
      <c r="JV6" s="7">
        <f t="shared" si="45"/>
        <v>6663640</v>
      </c>
      <c r="JW6" s="7">
        <f t="shared" si="46"/>
        <v>0</v>
      </c>
      <c r="JX6" s="7">
        <f t="shared" si="47"/>
        <v>68253136</v>
      </c>
      <c r="JY6" s="7">
        <f t="shared" si="48"/>
        <v>0</v>
      </c>
      <c r="JZ6" s="7">
        <f t="shared" si="49"/>
        <v>0</v>
      </c>
      <c r="KA6" s="7">
        <f t="shared" si="50"/>
        <v>0</v>
      </c>
      <c r="KB6" s="7">
        <f t="shared" si="51"/>
        <v>68253136</v>
      </c>
      <c r="KC6" s="7">
        <f t="shared" si="52"/>
        <v>0</v>
      </c>
      <c r="KE6" s="7" t="e">
        <f t="shared" si="0"/>
        <v>#REF!</v>
      </c>
      <c r="KG6" s="5" t="e">
        <f t="shared" si="53"/>
        <v>#REF!</v>
      </c>
    </row>
    <row r="7" spans="1:293" x14ac:dyDescent="0.15">
      <c r="A7" s="119" t="s">
        <v>219</v>
      </c>
      <c r="B7" s="17" t="s">
        <v>400</v>
      </c>
      <c r="C7" s="38">
        <v>104151</v>
      </c>
      <c r="D7" s="38">
        <v>2013</v>
      </c>
      <c r="E7" s="38">
        <v>1</v>
      </c>
      <c r="F7" s="38">
        <v>4</v>
      </c>
      <c r="G7" s="39">
        <v>24992</v>
      </c>
      <c r="H7" s="39">
        <v>24953</v>
      </c>
      <c r="I7" s="40">
        <v>1644537000</v>
      </c>
      <c r="J7" s="40"/>
      <c r="K7" s="40">
        <v>3740000</v>
      </c>
      <c r="L7" s="40"/>
      <c r="M7" s="40">
        <v>998281000</v>
      </c>
      <c r="N7" s="40"/>
      <c r="O7" s="40">
        <v>32305000</v>
      </c>
      <c r="P7" s="40"/>
      <c r="Q7" s="40">
        <v>1321417000</v>
      </c>
      <c r="R7" s="40"/>
      <c r="S7" s="40">
        <v>1418036000</v>
      </c>
      <c r="T7" s="40"/>
      <c r="U7" s="40">
        <v>21756</v>
      </c>
      <c r="V7" s="40"/>
      <c r="W7" s="40">
        <v>35009</v>
      </c>
      <c r="X7" s="40"/>
      <c r="Y7" s="40">
        <v>24212</v>
      </c>
      <c r="Z7" s="40"/>
      <c r="AA7" s="40">
        <v>37465</v>
      </c>
      <c r="AB7" s="40"/>
      <c r="AC7" s="56">
        <v>9</v>
      </c>
      <c r="AD7" s="56">
        <v>12</v>
      </c>
      <c r="AE7" s="56">
        <v>0</v>
      </c>
      <c r="AF7" s="57">
        <v>6609682</v>
      </c>
      <c r="AG7" s="57">
        <v>4595280</v>
      </c>
      <c r="AH7" s="57">
        <v>910820</v>
      </c>
      <c r="AI7" s="57">
        <v>261271</v>
      </c>
      <c r="AJ7" s="57">
        <f>(5501529+4353606)/AK7</f>
        <v>1642522.5</v>
      </c>
      <c r="AK7" s="58">
        <v>6</v>
      </c>
      <c r="AL7" s="57">
        <f>(5501529+4353606)/AM7</f>
        <v>1407876.4285714286</v>
      </c>
      <c r="AM7" s="58">
        <v>7</v>
      </c>
      <c r="AN7" s="57">
        <f>(1878274+62721)/AO7</f>
        <v>215666.11111111112</v>
      </c>
      <c r="AO7" s="58">
        <v>9</v>
      </c>
      <c r="AP7" s="57">
        <f>(1878274+62721)/AQ7</f>
        <v>194099.5</v>
      </c>
      <c r="AQ7" s="58">
        <v>10</v>
      </c>
      <c r="AR7" s="57">
        <f>(4353606+71214)/AS7</f>
        <v>205805.58139534883</v>
      </c>
      <c r="AS7" s="58">
        <v>21.5</v>
      </c>
      <c r="AT7" s="57">
        <f>(4353606+71214)/AU7</f>
        <v>170185.38461538462</v>
      </c>
      <c r="AU7" s="58">
        <v>26</v>
      </c>
      <c r="AV7" s="57">
        <f>(1635105+32554)/AW7</f>
        <v>90143.729729729734</v>
      </c>
      <c r="AW7" s="58">
        <v>18.5</v>
      </c>
      <c r="AX7" s="57">
        <f>(1635105+32554)/AY7</f>
        <v>72506.913043478256</v>
      </c>
      <c r="AY7" s="58">
        <v>23</v>
      </c>
      <c r="AZ7" s="79">
        <v>7370347</v>
      </c>
      <c r="BA7" s="79">
        <v>300000</v>
      </c>
      <c r="BB7" s="79">
        <v>8604113</v>
      </c>
      <c r="BC7" s="79">
        <v>1399518</v>
      </c>
      <c r="BD7" s="79">
        <v>6364034</v>
      </c>
      <c r="BE7" s="79">
        <v>149901</v>
      </c>
      <c r="BF7" s="79">
        <v>0</v>
      </c>
      <c r="BG7" s="79">
        <v>0</v>
      </c>
      <c r="BH7" s="79">
        <v>0</v>
      </c>
      <c r="BI7" s="79">
        <v>0</v>
      </c>
      <c r="BJ7" s="79">
        <v>149901</v>
      </c>
      <c r="BK7" s="79">
        <v>5305</v>
      </c>
      <c r="BL7" s="79">
        <v>0</v>
      </c>
      <c r="BM7" s="79">
        <v>0</v>
      </c>
      <c r="BN7" s="79">
        <f>200050+25857-BK7-BL7-BM7</f>
        <v>220602</v>
      </c>
      <c r="BO7" s="79">
        <v>185900</v>
      </c>
      <c r="BP7" s="79">
        <v>411807</v>
      </c>
      <c r="BQ7" s="79">
        <v>199429</v>
      </c>
      <c r="BR7" s="79">
        <v>38621</v>
      </c>
      <c r="BS7" s="79">
        <v>2082</v>
      </c>
      <c r="BT7" s="79">
        <f>273010+40568-BQ7-BR7-BS7</f>
        <v>73446</v>
      </c>
      <c r="BU7" s="79">
        <v>600967</v>
      </c>
      <c r="BV7" s="79">
        <v>914545</v>
      </c>
      <c r="BW7" s="79">
        <v>39283575</v>
      </c>
      <c r="BX7" s="79">
        <v>7709756</v>
      </c>
      <c r="BY7" s="79">
        <v>746349</v>
      </c>
      <c r="BZ7" s="79">
        <f>49061965+2470946-BW7-BX7-BY7</f>
        <v>3793231</v>
      </c>
      <c r="CA7" s="79">
        <v>14141044</v>
      </c>
      <c r="CB7" s="79">
        <v>65673955</v>
      </c>
      <c r="CC7" s="79">
        <v>4321129</v>
      </c>
      <c r="CD7" s="79">
        <v>551484</v>
      </c>
      <c r="CE7" s="79">
        <v>614613</v>
      </c>
      <c r="CF7" s="79">
        <f>6609682+4595280-CC7-CD7-CE7</f>
        <v>5717736</v>
      </c>
      <c r="CG7" s="79">
        <v>931128</v>
      </c>
      <c r="CH7" s="79">
        <v>12136090</v>
      </c>
      <c r="CI7" s="79">
        <v>630000</v>
      </c>
      <c r="CJ7" s="79">
        <v>746965</v>
      </c>
      <c r="CK7" s="79">
        <v>50712</v>
      </c>
      <c r="CL7" s="79">
        <f>1423198+95436-CI7-CJ7-CK7</f>
        <v>90957</v>
      </c>
      <c r="CM7" s="79">
        <v>0</v>
      </c>
      <c r="CN7" s="79">
        <v>1518634</v>
      </c>
      <c r="CO7" s="79">
        <f>2975704+2870108</f>
        <v>5845812</v>
      </c>
      <c r="CP7" s="79">
        <f>1631018+732370</f>
        <v>2363388</v>
      </c>
      <c r="CQ7" s="79">
        <f>519787+557805</f>
        <v>1077592</v>
      </c>
      <c r="CR7" s="79">
        <f>5501529+4353606+1878274+1635105-CO7-CP7-CQ7</f>
        <v>4081722</v>
      </c>
      <c r="CS7" s="79">
        <f>0</f>
        <v>0</v>
      </c>
      <c r="CT7" s="79">
        <v>13368514</v>
      </c>
      <c r="CU7" s="79">
        <f>26932+42810</f>
        <v>69742</v>
      </c>
      <c r="CV7" s="79">
        <f>19829+4125</f>
        <v>23954</v>
      </c>
      <c r="CW7" s="79">
        <f>9073+4425</f>
        <v>13498</v>
      </c>
      <c r="CX7" s="79">
        <f>73612+71214+62721+32554-CU7-CV7-CW7</f>
        <v>132907</v>
      </c>
      <c r="CY7" s="79">
        <f>0</f>
        <v>0</v>
      </c>
      <c r="CZ7" s="79">
        <v>240101</v>
      </c>
      <c r="DA7" s="79">
        <v>920195</v>
      </c>
      <c r="DB7" s="79">
        <v>163906</v>
      </c>
      <c r="DC7" s="79">
        <v>126931</v>
      </c>
      <c r="DD7" s="79">
        <f>1223391+291802-DA7-DB7-DC7</f>
        <v>304161</v>
      </c>
      <c r="DE7" s="79">
        <f>7024616</f>
        <v>7024616</v>
      </c>
      <c r="DF7" s="79">
        <v>8539809</v>
      </c>
      <c r="DG7" s="79">
        <v>2950</v>
      </c>
      <c r="DH7" s="79">
        <v>880</v>
      </c>
      <c r="DI7" s="79">
        <v>1180</v>
      </c>
      <c r="DJ7" s="79">
        <f>5010+1960-DG7-DH7-DI7</f>
        <v>1960</v>
      </c>
      <c r="DK7" s="79">
        <v>153665</v>
      </c>
      <c r="DL7" s="79">
        <f>160635</f>
        <v>160635</v>
      </c>
      <c r="DM7" s="79">
        <v>0</v>
      </c>
      <c r="DN7" s="79">
        <v>0</v>
      </c>
      <c r="DO7" s="79">
        <v>0</v>
      </c>
      <c r="DP7" s="79">
        <v>0</v>
      </c>
      <c r="DQ7" s="79">
        <v>0</v>
      </c>
      <c r="DR7" s="79">
        <v>0</v>
      </c>
      <c r="DS7" s="79">
        <v>660299</v>
      </c>
      <c r="DT7" s="79">
        <v>148881</v>
      </c>
      <c r="DU7" s="79">
        <v>99502</v>
      </c>
      <c r="DV7" s="79">
        <f>910820+261271-DS7-DT7-DU7</f>
        <v>263409</v>
      </c>
      <c r="DW7" s="79">
        <v>0</v>
      </c>
      <c r="DX7" s="79">
        <v>1172091</v>
      </c>
      <c r="DY7" s="79">
        <v>1738086</v>
      </c>
      <c r="DZ7" s="79">
        <v>528865</v>
      </c>
      <c r="EA7" s="79">
        <v>220977</v>
      </c>
      <c r="EB7" s="79">
        <f>3129205+1299010-DY7-DZ7-EA7</f>
        <v>1940287</v>
      </c>
      <c r="EC7" s="79">
        <v>13110</v>
      </c>
      <c r="ED7" s="79">
        <v>4441325</v>
      </c>
      <c r="EE7" s="79">
        <v>1190385</v>
      </c>
      <c r="EF7" s="79">
        <v>159403</v>
      </c>
      <c r="EG7" s="79">
        <v>112716</v>
      </c>
      <c r="EH7" s="79">
        <f>1785587+722539-EE7-EF7-EG7</f>
        <v>1045622</v>
      </c>
      <c r="EI7" s="79">
        <v>781651</v>
      </c>
      <c r="EJ7" s="79">
        <v>3289777</v>
      </c>
      <c r="EK7" s="79">
        <v>2381823</v>
      </c>
      <c r="EL7" s="79">
        <v>376527</v>
      </c>
      <c r="EM7" s="79">
        <v>170116</v>
      </c>
      <c r="EN7" s="79">
        <f>2918328+397021-EK7-EL7-EM7</f>
        <v>386883</v>
      </c>
      <c r="EO7" s="79">
        <v>6574</v>
      </c>
      <c r="EP7" s="79">
        <v>3321923</v>
      </c>
      <c r="EQ7" s="79">
        <v>3279815</v>
      </c>
      <c r="ER7" s="79">
        <v>437578</v>
      </c>
      <c r="ES7" s="79">
        <v>34055</v>
      </c>
      <c r="ET7" s="79">
        <f>3921909+157579-EQ7-ER7-ES7</f>
        <v>328040</v>
      </c>
      <c r="EU7" s="79">
        <v>892497</v>
      </c>
      <c r="EV7" s="79">
        <v>4971985</v>
      </c>
      <c r="EW7" s="79">
        <v>149901</v>
      </c>
      <c r="EX7" s="79">
        <v>0</v>
      </c>
      <c r="EY7" s="79">
        <v>0</v>
      </c>
      <c r="EZ7" s="79">
        <v>0</v>
      </c>
      <c r="FA7" s="79">
        <v>0</v>
      </c>
      <c r="FB7" s="79">
        <v>149901</v>
      </c>
      <c r="FC7" s="79">
        <v>1164700</v>
      </c>
      <c r="FD7" s="79">
        <v>581491</v>
      </c>
      <c r="FE7" s="79">
        <v>574051</v>
      </c>
      <c r="FF7" s="79">
        <f>2464491+1329351-FC7-FD7-FE7</f>
        <v>1473600</v>
      </c>
      <c r="FG7" s="79">
        <v>1731102</v>
      </c>
      <c r="FH7" s="79">
        <v>5524944</v>
      </c>
      <c r="FI7" s="79">
        <v>0</v>
      </c>
      <c r="FJ7" s="79">
        <v>0</v>
      </c>
      <c r="FK7" s="79">
        <v>0</v>
      </c>
      <c r="FL7" s="79">
        <v>0</v>
      </c>
      <c r="FM7" s="79">
        <v>0</v>
      </c>
      <c r="FN7" s="79">
        <v>0</v>
      </c>
      <c r="FO7" s="79">
        <v>0</v>
      </c>
      <c r="FP7" s="79">
        <v>0</v>
      </c>
      <c r="FQ7" s="79">
        <v>0</v>
      </c>
      <c r="FR7" s="79">
        <v>0</v>
      </c>
      <c r="FS7" s="79">
        <v>1502434</v>
      </c>
      <c r="FT7" s="79">
        <v>1502434</v>
      </c>
      <c r="FU7" s="79">
        <v>514276</v>
      </c>
      <c r="FV7" s="79">
        <v>41828</v>
      </c>
      <c r="FW7" s="79">
        <v>73617</v>
      </c>
      <c r="FX7" s="79">
        <f>889677+562280-FU7-FV7-FW7</f>
        <v>822236</v>
      </c>
      <c r="FY7" s="79">
        <v>18501</v>
      </c>
      <c r="FZ7" s="79">
        <v>1470458</v>
      </c>
      <c r="GA7" s="79">
        <v>1670</v>
      </c>
      <c r="GB7" s="79">
        <v>2954</v>
      </c>
      <c r="GC7" s="79">
        <v>1500</v>
      </c>
      <c r="GD7" s="79">
        <f>8382+13887-GA7-GB7-GC7</f>
        <v>16145</v>
      </c>
      <c r="GE7" s="79">
        <v>10728</v>
      </c>
      <c r="GF7" s="79">
        <v>32997</v>
      </c>
      <c r="GG7" s="79">
        <v>711220</v>
      </c>
      <c r="GH7" s="79">
        <v>160904</v>
      </c>
      <c r="GI7" s="79">
        <v>107671</v>
      </c>
      <c r="GJ7" s="79">
        <f>1174683+556121-GG7-GH7-GI7</f>
        <v>751009</v>
      </c>
      <c r="GK7" s="79">
        <v>2027765</v>
      </c>
      <c r="GL7" s="79">
        <v>3758569</v>
      </c>
      <c r="GM7" s="79">
        <v>23582003</v>
      </c>
      <c r="GN7" s="79">
        <v>6289008</v>
      </c>
      <c r="GO7" s="79">
        <v>3278731</v>
      </c>
      <c r="GP7" s="79">
        <f>36614225+13892191-GM7-GN7-GO7</f>
        <v>17356674</v>
      </c>
      <c r="GQ7" s="79">
        <v>15093771</v>
      </c>
      <c r="GR7" s="79">
        <v>65600187</v>
      </c>
      <c r="GS7" s="79">
        <v>0</v>
      </c>
      <c r="GT7" s="79">
        <v>0</v>
      </c>
      <c r="GU7" s="79">
        <v>0</v>
      </c>
      <c r="GV7" s="79">
        <v>0</v>
      </c>
      <c r="GW7" s="79">
        <v>0</v>
      </c>
      <c r="GX7" s="79"/>
      <c r="GY7" s="82">
        <v>23582003</v>
      </c>
      <c r="GZ7" s="82">
        <v>6289008</v>
      </c>
      <c r="HA7" s="82">
        <v>3278731</v>
      </c>
      <c r="HB7" s="82">
        <v>17356674</v>
      </c>
      <c r="HC7" s="82">
        <v>15093771</v>
      </c>
      <c r="HD7" s="82">
        <v>65600187</v>
      </c>
      <c r="HF7" s="7">
        <f>SUM(AZ7:AZ7)</f>
        <v>7370347</v>
      </c>
      <c r="HG7" s="7" t="e">
        <f>#REF!-HF7</f>
        <v>#REF!</v>
      </c>
      <c r="HH7" s="7" t="e">
        <f>SUM(#REF!)</f>
        <v>#REF!</v>
      </c>
      <c r="HI7" s="7" t="e">
        <f>#REF!-HH7</f>
        <v>#REF!</v>
      </c>
      <c r="HJ7" s="7">
        <f>SUM(BA7:BA7)</f>
        <v>300000</v>
      </c>
      <c r="HK7" s="7" t="e">
        <f>#REF!-HJ7</f>
        <v>#REF!</v>
      </c>
      <c r="HL7" s="7">
        <f>SUM(BB7:BB7)</f>
        <v>8604113</v>
      </c>
      <c r="HM7" s="7" t="e">
        <f>#REF!-HL7</f>
        <v>#REF!</v>
      </c>
      <c r="HN7" s="7" t="e">
        <f>SUM(#REF!)</f>
        <v>#REF!</v>
      </c>
      <c r="HO7" s="7" t="e">
        <f>#REF!-HN7</f>
        <v>#REF!</v>
      </c>
      <c r="HP7" s="7" t="e">
        <f>SUM(#REF!)</f>
        <v>#REF!</v>
      </c>
      <c r="HQ7" s="7" t="e">
        <f>#REF!-HP7</f>
        <v>#REF!</v>
      </c>
      <c r="HR7" s="7" t="e">
        <f>SUM(#REF!)</f>
        <v>#REF!</v>
      </c>
      <c r="HS7" s="7" t="e">
        <f>#REF!-HR7</f>
        <v>#REF!</v>
      </c>
      <c r="HT7" s="7" t="e">
        <f>SUM(#REF!)</f>
        <v>#REF!</v>
      </c>
      <c r="HU7" s="7" t="e">
        <f>#REF!-HT7</f>
        <v>#REF!</v>
      </c>
      <c r="HV7" s="7" t="e">
        <f>SUM(#REF!)</f>
        <v>#REF!</v>
      </c>
      <c r="HW7" s="7" t="e">
        <f>#REF!-HV7</f>
        <v>#REF!</v>
      </c>
      <c r="HX7" s="7" t="e">
        <f>SUM(#REF!)</f>
        <v>#REF!</v>
      </c>
      <c r="HY7" s="7" t="e">
        <f>#REF!-HX7</f>
        <v>#REF!</v>
      </c>
      <c r="HZ7" s="7">
        <f>SUM(BC7:BC7)</f>
        <v>1399518</v>
      </c>
      <c r="IA7" s="7" t="e">
        <f>#REF!-HZ7</f>
        <v>#REF!</v>
      </c>
      <c r="IB7" s="7">
        <f>SUM(BD7:BD7)</f>
        <v>6364034</v>
      </c>
      <c r="IC7" s="7" t="e">
        <f>#REF!-IB7</f>
        <v>#REF!</v>
      </c>
      <c r="ID7" s="7">
        <f t="shared" si="1"/>
        <v>149901</v>
      </c>
      <c r="IE7" s="7">
        <f t="shared" si="2"/>
        <v>0</v>
      </c>
      <c r="IF7" s="7">
        <f t="shared" si="3"/>
        <v>411807</v>
      </c>
      <c r="IG7" s="7">
        <f t="shared" si="4"/>
        <v>0</v>
      </c>
      <c r="IH7" s="7">
        <f t="shared" si="5"/>
        <v>914545</v>
      </c>
      <c r="II7" s="7">
        <f t="shared" si="6"/>
        <v>0</v>
      </c>
      <c r="IJ7" s="7">
        <f t="shared" si="7"/>
        <v>65673955</v>
      </c>
      <c r="IK7" s="7">
        <f t="shared" si="8"/>
        <v>0</v>
      </c>
      <c r="IL7" s="7">
        <f t="shared" si="9"/>
        <v>12136090</v>
      </c>
      <c r="IM7" s="7">
        <f t="shared" si="10"/>
        <v>0</v>
      </c>
      <c r="IN7" s="7">
        <f t="shared" si="11"/>
        <v>1518634</v>
      </c>
      <c r="IO7" s="7">
        <f t="shared" si="12"/>
        <v>0</v>
      </c>
      <c r="IP7" s="7">
        <f t="shared" si="13"/>
        <v>13368514</v>
      </c>
      <c r="IQ7" s="7">
        <f t="shared" si="14"/>
        <v>0</v>
      </c>
      <c r="IR7" s="7">
        <f t="shared" si="15"/>
        <v>240101</v>
      </c>
      <c r="IS7" s="7">
        <f t="shared" si="16"/>
        <v>0</v>
      </c>
      <c r="IT7" s="7">
        <f t="shared" si="17"/>
        <v>8539809</v>
      </c>
      <c r="IU7" s="7">
        <f t="shared" si="18"/>
        <v>0</v>
      </c>
      <c r="IV7" s="7">
        <f t="shared" si="19"/>
        <v>160635</v>
      </c>
      <c r="IW7" s="7">
        <f t="shared" si="20"/>
        <v>0</v>
      </c>
      <c r="IX7" s="7">
        <f t="shared" si="21"/>
        <v>0</v>
      </c>
      <c r="IY7" s="7">
        <f t="shared" si="22"/>
        <v>0</v>
      </c>
      <c r="IZ7" s="7">
        <f t="shared" si="23"/>
        <v>1172091</v>
      </c>
      <c r="JA7" s="7">
        <f t="shared" si="24"/>
        <v>0</v>
      </c>
      <c r="JB7" s="7">
        <f t="shared" si="25"/>
        <v>4441325</v>
      </c>
      <c r="JC7" s="7">
        <f t="shared" si="26"/>
        <v>0</v>
      </c>
      <c r="JD7" s="7">
        <f t="shared" si="27"/>
        <v>3289777</v>
      </c>
      <c r="JE7" s="7">
        <f t="shared" si="28"/>
        <v>0</v>
      </c>
      <c r="JF7" s="7">
        <f t="shared" si="29"/>
        <v>3321923</v>
      </c>
      <c r="JG7" s="7">
        <f t="shared" si="30"/>
        <v>0</v>
      </c>
      <c r="JH7" s="7">
        <f t="shared" si="31"/>
        <v>4971985</v>
      </c>
      <c r="JI7" s="7">
        <f t="shared" si="32"/>
        <v>0</v>
      </c>
      <c r="JJ7" s="7">
        <f t="shared" si="33"/>
        <v>149901</v>
      </c>
      <c r="JK7" s="7">
        <f t="shared" si="34"/>
        <v>0</v>
      </c>
      <c r="JL7" s="7">
        <f t="shared" si="35"/>
        <v>5524944</v>
      </c>
      <c r="JM7" s="7">
        <f t="shared" si="36"/>
        <v>0</v>
      </c>
      <c r="JN7" s="7">
        <f t="shared" si="37"/>
        <v>0</v>
      </c>
      <c r="JO7" s="7">
        <f t="shared" si="38"/>
        <v>0</v>
      </c>
      <c r="JP7" s="7">
        <f t="shared" si="39"/>
        <v>1502434</v>
      </c>
      <c r="JQ7" s="7">
        <f t="shared" si="40"/>
        <v>0</v>
      </c>
      <c r="JR7" s="7">
        <f t="shared" si="41"/>
        <v>1470458</v>
      </c>
      <c r="JS7" s="7">
        <f t="shared" si="42"/>
        <v>0</v>
      </c>
      <c r="JT7" s="7">
        <f t="shared" si="43"/>
        <v>32997</v>
      </c>
      <c r="JU7" s="7">
        <f t="shared" si="44"/>
        <v>0</v>
      </c>
      <c r="JV7" s="7">
        <f t="shared" si="45"/>
        <v>3758569</v>
      </c>
      <c r="JW7" s="7">
        <f t="shared" si="46"/>
        <v>0</v>
      </c>
      <c r="JX7" s="7">
        <f t="shared" si="47"/>
        <v>65600187</v>
      </c>
      <c r="JY7" s="7">
        <f t="shared" si="48"/>
        <v>0</v>
      </c>
      <c r="JZ7" s="7">
        <f t="shared" si="49"/>
        <v>0</v>
      </c>
      <c r="KA7" s="7">
        <f t="shared" si="50"/>
        <v>0</v>
      </c>
      <c r="KB7" s="7">
        <f t="shared" si="51"/>
        <v>65600187</v>
      </c>
      <c r="KC7" s="7">
        <f t="shared" si="52"/>
        <v>0</v>
      </c>
      <c r="KE7" s="7" t="e">
        <f t="shared" si="0"/>
        <v>#REF!</v>
      </c>
      <c r="KG7" s="5" t="e">
        <f t="shared" si="53"/>
        <v>#REF!</v>
      </c>
    </row>
    <row r="8" spans="1:293" x14ac:dyDescent="0.15">
      <c r="A8" s="120" t="s">
        <v>220</v>
      </c>
      <c r="B8" s="17" t="s">
        <v>342</v>
      </c>
      <c r="C8" s="38">
        <v>220978</v>
      </c>
      <c r="D8" s="38">
        <v>2013</v>
      </c>
      <c r="E8" s="38">
        <v>1</v>
      </c>
      <c r="F8" s="38">
        <v>1</v>
      </c>
      <c r="G8" s="39">
        <v>8759</v>
      </c>
      <c r="H8" s="39">
        <v>8928</v>
      </c>
      <c r="I8" s="40">
        <v>685449295</v>
      </c>
      <c r="J8" s="40"/>
      <c r="K8" s="40">
        <v>9806660</v>
      </c>
      <c r="L8" s="40"/>
      <c r="M8" s="40">
        <v>38889892</v>
      </c>
      <c r="N8" s="40"/>
      <c r="O8" s="40">
        <v>81364538</v>
      </c>
      <c r="P8" s="40"/>
      <c r="Q8" s="40">
        <v>701812672</v>
      </c>
      <c r="R8" s="40"/>
      <c r="S8" s="40">
        <v>462278337</v>
      </c>
      <c r="T8" s="40"/>
      <c r="U8" s="40">
        <v>17025</v>
      </c>
      <c r="V8" s="40"/>
      <c r="W8" s="40">
        <v>27906</v>
      </c>
      <c r="X8" s="40"/>
      <c r="Y8" s="40">
        <v>21472</v>
      </c>
      <c r="Z8" s="40"/>
      <c r="AA8" s="40">
        <v>32352</v>
      </c>
      <c r="AB8" s="40"/>
      <c r="AC8" s="56">
        <v>8</v>
      </c>
      <c r="AD8" s="56">
        <v>11</v>
      </c>
      <c r="AE8" s="56">
        <v>0</v>
      </c>
      <c r="AF8" s="57">
        <v>4218809</v>
      </c>
      <c r="AG8" s="57">
        <v>3731687</v>
      </c>
      <c r="AH8" s="57">
        <v>1068678</v>
      </c>
      <c r="AI8" s="57">
        <v>422625</v>
      </c>
      <c r="AJ8" s="57">
        <v>1310560.17</v>
      </c>
      <c r="AK8" s="58">
        <v>6</v>
      </c>
      <c r="AL8" s="57">
        <v>1310560.17</v>
      </c>
      <c r="AM8" s="58">
        <v>6</v>
      </c>
      <c r="AN8" s="57">
        <v>241463.67</v>
      </c>
      <c r="AO8" s="58">
        <v>9</v>
      </c>
      <c r="AP8" s="57">
        <v>241463.67</v>
      </c>
      <c r="AQ8" s="58">
        <v>9</v>
      </c>
      <c r="AR8" s="57">
        <v>355203.5</v>
      </c>
      <c r="AS8" s="58">
        <v>18</v>
      </c>
      <c r="AT8" s="57">
        <v>277985.34999999998</v>
      </c>
      <c r="AU8" s="58">
        <v>23</v>
      </c>
      <c r="AV8" s="57">
        <v>83004.88</v>
      </c>
      <c r="AW8" s="58">
        <v>17</v>
      </c>
      <c r="AX8" s="57">
        <v>61351.43</v>
      </c>
      <c r="AY8" s="58">
        <v>23</v>
      </c>
      <c r="AZ8" s="79">
        <v>30719132</v>
      </c>
      <c r="BA8" s="79">
        <v>0</v>
      </c>
      <c r="BB8" s="79">
        <v>14936628</v>
      </c>
      <c r="BC8" s="79">
        <v>858946</v>
      </c>
      <c r="BD8" s="79">
        <v>0</v>
      </c>
      <c r="BE8" s="79">
        <v>1250</v>
      </c>
      <c r="BF8" s="79">
        <v>1000</v>
      </c>
      <c r="BG8" s="79">
        <v>1421</v>
      </c>
      <c r="BH8" s="79">
        <v>7422</v>
      </c>
      <c r="BI8" s="79">
        <v>345</v>
      </c>
      <c r="BJ8" s="79">
        <v>11438</v>
      </c>
      <c r="BK8" s="79">
        <v>6313</v>
      </c>
      <c r="BL8" s="79">
        <v>0</v>
      </c>
      <c r="BM8" s="79">
        <v>503</v>
      </c>
      <c r="BN8" s="79">
        <v>5141</v>
      </c>
      <c r="BO8" s="79">
        <v>1536326</v>
      </c>
      <c r="BP8" s="79">
        <v>1548283</v>
      </c>
      <c r="BQ8" s="79">
        <v>47490</v>
      </c>
      <c r="BR8" s="79">
        <v>808</v>
      </c>
      <c r="BS8" s="79">
        <v>0</v>
      </c>
      <c r="BT8" s="79">
        <v>64597</v>
      </c>
      <c r="BU8" s="79">
        <v>623436</v>
      </c>
      <c r="BV8" s="79">
        <v>736331</v>
      </c>
      <c r="BW8" s="79">
        <v>61539665</v>
      </c>
      <c r="BX8" s="79">
        <v>15506312</v>
      </c>
      <c r="BY8" s="79">
        <v>270963</v>
      </c>
      <c r="BZ8" s="79">
        <v>4438383</v>
      </c>
      <c r="CA8" s="79">
        <v>18015517</v>
      </c>
      <c r="CB8" s="79">
        <v>99770840</v>
      </c>
      <c r="CC8" s="79">
        <v>2747681</v>
      </c>
      <c r="CD8" s="79">
        <v>447955</v>
      </c>
      <c r="CE8" s="79">
        <v>415016</v>
      </c>
      <c r="CF8" s="79">
        <v>4339844</v>
      </c>
      <c r="CG8" s="79">
        <v>515231</v>
      </c>
      <c r="CH8" s="79">
        <v>8465727</v>
      </c>
      <c r="CI8" s="79">
        <v>2650000</v>
      </c>
      <c r="CJ8" s="79">
        <v>673420</v>
      </c>
      <c r="CK8" s="79">
        <v>122469</v>
      </c>
      <c r="CL8" s="79">
        <v>143795</v>
      </c>
      <c r="CM8" s="79">
        <v>0</v>
      </c>
      <c r="CN8" s="79">
        <v>3589684</v>
      </c>
      <c r="CO8" s="79">
        <v>8454513</v>
      </c>
      <c r="CP8" s="79">
        <v>3614588</v>
      </c>
      <c r="CQ8" s="79">
        <v>1063999</v>
      </c>
      <c r="CR8" s="79">
        <v>4708180</v>
      </c>
      <c r="CS8" s="79">
        <v>0</v>
      </c>
      <c r="CT8" s="79">
        <v>17841280</v>
      </c>
      <c r="CU8" s="79">
        <v>0</v>
      </c>
      <c r="CV8" s="79">
        <v>0</v>
      </c>
      <c r="CW8" s="79">
        <v>0</v>
      </c>
      <c r="CX8" s="79">
        <v>99000</v>
      </c>
      <c r="CY8" s="79">
        <v>0</v>
      </c>
      <c r="CZ8" s="79">
        <v>99000</v>
      </c>
      <c r="DA8" s="79">
        <v>901779</v>
      </c>
      <c r="DB8" s="79">
        <v>449768</v>
      </c>
      <c r="DC8" s="79">
        <v>163327</v>
      </c>
      <c r="DD8" s="79">
        <v>368376</v>
      </c>
      <c r="DE8" s="79">
        <v>15073920</v>
      </c>
      <c r="DF8" s="79">
        <v>16957170</v>
      </c>
      <c r="DG8" s="79">
        <v>0</v>
      </c>
      <c r="DH8" s="79">
        <v>0</v>
      </c>
      <c r="DI8" s="79">
        <v>0</v>
      </c>
      <c r="DJ8" s="79">
        <v>0</v>
      </c>
      <c r="DK8" s="79">
        <v>0</v>
      </c>
      <c r="DL8" s="79">
        <v>0</v>
      </c>
      <c r="DM8" s="79">
        <v>0</v>
      </c>
      <c r="DN8" s="79">
        <v>0</v>
      </c>
      <c r="DO8" s="79">
        <v>0</v>
      </c>
      <c r="DP8" s="79">
        <v>57387</v>
      </c>
      <c r="DQ8" s="79">
        <v>0</v>
      </c>
      <c r="DR8" s="79">
        <v>57387</v>
      </c>
      <c r="DS8" s="79">
        <v>615252</v>
      </c>
      <c r="DT8" s="79">
        <v>250282</v>
      </c>
      <c r="DU8" s="79">
        <v>110987</v>
      </c>
      <c r="DV8" s="79">
        <v>514782</v>
      </c>
      <c r="DW8" s="79">
        <v>0</v>
      </c>
      <c r="DX8" s="79">
        <v>1491303</v>
      </c>
      <c r="DY8" s="79">
        <v>1412557</v>
      </c>
      <c r="DZ8" s="79">
        <v>1026115</v>
      </c>
      <c r="EA8" s="79">
        <v>469398</v>
      </c>
      <c r="EB8" s="79">
        <v>3079228</v>
      </c>
      <c r="EC8" s="79">
        <v>0</v>
      </c>
      <c r="ED8" s="79">
        <v>5987298</v>
      </c>
      <c r="EE8" s="79">
        <v>1084911</v>
      </c>
      <c r="EF8" s="79">
        <v>73794</v>
      </c>
      <c r="EG8" s="79">
        <v>62341</v>
      </c>
      <c r="EH8" s="79">
        <v>1076163</v>
      </c>
      <c r="EI8" s="79">
        <v>0</v>
      </c>
      <c r="EJ8" s="79">
        <v>2297209</v>
      </c>
      <c r="EK8" s="79">
        <v>2605986</v>
      </c>
      <c r="EL8" s="79">
        <v>696337</v>
      </c>
      <c r="EM8" s="79">
        <v>252268</v>
      </c>
      <c r="EN8" s="79">
        <v>1076854</v>
      </c>
      <c r="EO8" s="79">
        <v>0</v>
      </c>
      <c r="EP8" s="79">
        <v>4631445</v>
      </c>
      <c r="EQ8" s="79">
        <v>371212</v>
      </c>
      <c r="ER8" s="79">
        <v>110557</v>
      </c>
      <c r="ES8" s="79">
        <v>8013</v>
      </c>
      <c r="ET8" s="79">
        <v>65465</v>
      </c>
      <c r="EU8" s="79">
        <v>1897349</v>
      </c>
      <c r="EV8" s="79">
        <v>2452596</v>
      </c>
      <c r="EW8" s="79">
        <v>0</v>
      </c>
      <c r="EX8" s="79">
        <v>0</v>
      </c>
      <c r="EY8" s="79">
        <v>0</v>
      </c>
      <c r="EZ8" s="79">
        <v>0</v>
      </c>
      <c r="FA8" s="79">
        <v>0</v>
      </c>
      <c r="FB8" s="79">
        <v>0</v>
      </c>
      <c r="FC8" s="79">
        <v>5940857</v>
      </c>
      <c r="FD8" s="79">
        <v>562897</v>
      </c>
      <c r="FE8" s="79">
        <v>564079</v>
      </c>
      <c r="FF8" s="79">
        <v>1501800</v>
      </c>
      <c r="FG8" s="79">
        <v>6245787</v>
      </c>
      <c r="FH8" s="79">
        <v>14815420</v>
      </c>
      <c r="FI8" s="79">
        <v>0</v>
      </c>
      <c r="FJ8" s="79">
        <v>0</v>
      </c>
      <c r="FK8" s="79">
        <v>0</v>
      </c>
      <c r="FL8" s="79">
        <v>0</v>
      </c>
      <c r="FM8" s="79">
        <v>959392</v>
      </c>
      <c r="FN8" s="79">
        <v>959392</v>
      </c>
      <c r="FO8" s="79">
        <v>0</v>
      </c>
      <c r="FP8" s="79">
        <v>0</v>
      </c>
      <c r="FQ8" s="79">
        <v>0</v>
      </c>
      <c r="FR8" s="79">
        <v>0</v>
      </c>
      <c r="FS8" s="79">
        <v>0</v>
      </c>
      <c r="FT8" s="79">
        <v>0</v>
      </c>
      <c r="FU8" s="79">
        <v>183277</v>
      </c>
      <c r="FV8" s="79">
        <v>26619</v>
      </c>
      <c r="FW8" s="79">
        <v>32158</v>
      </c>
      <c r="FX8" s="79">
        <v>423008</v>
      </c>
      <c r="FY8" s="79">
        <v>548228</v>
      </c>
      <c r="FZ8" s="79">
        <v>1213290</v>
      </c>
      <c r="GA8" s="79">
        <v>1435</v>
      </c>
      <c r="GB8" s="79">
        <v>0</v>
      </c>
      <c r="GC8" s="79">
        <v>2302</v>
      </c>
      <c r="GD8" s="79">
        <v>11354</v>
      </c>
      <c r="GE8" s="79">
        <v>51045</v>
      </c>
      <c r="GF8" s="79">
        <v>66136</v>
      </c>
      <c r="GG8" s="79">
        <v>2892499</v>
      </c>
      <c r="GH8" s="79">
        <v>284690</v>
      </c>
      <c r="GI8" s="79">
        <v>128630</v>
      </c>
      <c r="GJ8" s="79">
        <v>661522</v>
      </c>
      <c r="GK8" s="79">
        <v>7240255</v>
      </c>
      <c r="GL8" s="79">
        <v>11207596</v>
      </c>
      <c r="GM8" s="79">
        <v>29861959</v>
      </c>
      <c r="GN8" s="79">
        <v>8217022</v>
      </c>
      <c r="GO8" s="79">
        <v>3394987</v>
      </c>
      <c r="GP8" s="79">
        <v>18126758</v>
      </c>
      <c r="GQ8" s="79">
        <v>32531207</v>
      </c>
      <c r="GR8" s="79">
        <v>92131933</v>
      </c>
      <c r="GS8" s="79">
        <v>0</v>
      </c>
      <c r="GT8" s="79">
        <v>0</v>
      </c>
      <c r="GU8" s="79">
        <v>0</v>
      </c>
      <c r="GV8" s="79">
        <v>0</v>
      </c>
      <c r="GW8" s="79">
        <v>1109506</v>
      </c>
      <c r="GX8" s="79">
        <v>1109506</v>
      </c>
      <c r="GY8" s="79">
        <v>29861959</v>
      </c>
      <c r="GZ8" s="79">
        <v>8217022</v>
      </c>
      <c r="HA8" s="79">
        <v>3394987</v>
      </c>
      <c r="HB8" s="79">
        <v>18126758</v>
      </c>
      <c r="HC8" s="79">
        <v>33640713</v>
      </c>
      <c r="HD8" s="79">
        <v>93241439</v>
      </c>
      <c r="HF8" s="7">
        <f>SUM(AZ8:AZ8)</f>
        <v>30719132</v>
      </c>
      <c r="HG8" s="7" t="e">
        <f>#REF!-HF8</f>
        <v>#REF!</v>
      </c>
      <c r="HH8" s="7" t="e">
        <f>SUM(#REF!)</f>
        <v>#REF!</v>
      </c>
      <c r="HI8" s="7" t="e">
        <f>#REF!-HH8</f>
        <v>#REF!</v>
      </c>
      <c r="HJ8" s="7">
        <f>SUM(BA8:BA8)</f>
        <v>0</v>
      </c>
      <c r="HK8" s="7" t="e">
        <f>#REF!-HJ8</f>
        <v>#REF!</v>
      </c>
      <c r="HL8" s="7">
        <f>SUM(BB8:BB8)</f>
        <v>14936628</v>
      </c>
      <c r="HM8" s="7" t="e">
        <f>#REF!-HL8</f>
        <v>#REF!</v>
      </c>
      <c r="HN8" s="7" t="e">
        <f>SUM(#REF!)</f>
        <v>#REF!</v>
      </c>
      <c r="HO8" s="7" t="e">
        <f>#REF!-HN8</f>
        <v>#REF!</v>
      </c>
      <c r="HP8" s="7" t="e">
        <f>SUM(#REF!)</f>
        <v>#REF!</v>
      </c>
      <c r="HQ8" s="7" t="e">
        <f>#REF!-HP8</f>
        <v>#REF!</v>
      </c>
      <c r="HR8" s="7" t="e">
        <f>SUM(#REF!)</f>
        <v>#REF!</v>
      </c>
      <c r="HS8" s="7" t="e">
        <f>#REF!-HR8</f>
        <v>#REF!</v>
      </c>
      <c r="HT8" s="7" t="e">
        <f>SUM(#REF!)</f>
        <v>#REF!</v>
      </c>
      <c r="HU8" s="7" t="e">
        <f>#REF!-HT8</f>
        <v>#REF!</v>
      </c>
      <c r="HV8" s="7" t="e">
        <f>SUM(#REF!)</f>
        <v>#REF!</v>
      </c>
      <c r="HW8" s="7" t="e">
        <f>#REF!-HV8</f>
        <v>#REF!</v>
      </c>
      <c r="HX8" s="7" t="e">
        <f>SUM(#REF!)</f>
        <v>#REF!</v>
      </c>
      <c r="HY8" s="7" t="e">
        <f>#REF!-HX8</f>
        <v>#REF!</v>
      </c>
      <c r="HZ8" s="7">
        <f>SUM(BC8:BC8)</f>
        <v>858946</v>
      </c>
      <c r="IA8" s="7" t="e">
        <f>#REF!-HZ8</f>
        <v>#REF!</v>
      </c>
      <c r="IB8" s="7">
        <f>SUM(BD8:BD8)</f>
        <v>0</v>
      </c>
      <c r="IC8" s="7" t="e">
        <f>#REF!-IB8</f>
        <v>#REF!</v>
      </c>
      <c r="ID8" s="7">
        <f t="shared" si="1"/>
        <v>11438</v>
      </c>
      <c r="IE8" s="7">
        <f t="shared" si="2"/>
        <v>0</v>
      </c>
      <c r="IF8" s="7">
        <f t="shared" si="3"/>
        <v>1548283</v>
      </c>
      <c r="IG8" s="7">
        <f t="shared" si="4"/>
        <v>0</v>
      </c>
      <c r="IH8" s="7">
        <f t="shared" si="5"/>
        <v>736331</v>
      </c>
      <c r="II8" s="7">
        <f t="shared" si="6"/>
        <v>0</v>
      </c>
      <c r="IJ8" s="7">
        <f t="shared" si="7"/>
        <v>99770840</v>
      </c>
      <c r="IK8" s="7">
        <f t="shared" si="8"/>
        <v>0</v>
      </c>
      <c r="IL8" s="7">
        <f t="shared" si="9"/>
        <v>8465727</v>
      </c>
      <c r="IM8" s="7">
        <f t="shared" si="10"/>
        <v>0</v>
      </c>
      <c r="IN8" s="7">
        <f t="shared" si="11"/>
        <v>3589684</v>
      </c>
      <c r="IO8" s="7">
        <f t="shared" si="12"/>
        <v>0</v>
      </c>
      <c r="IP8" s="7">
        <f t="shared" si="13"/>
        <v>17841280</v>
      </c>
      <c r="IQ8" s="7">
        <f t="shared" si="14"/>
        <v>0</v>
      </c>
      <c r="IR8" s="7">
        <f t="shared" si="15"/>
        <v>99000</v>
      </c>
      <c r="IS8" s="7">
        <f t="shared" si="16"/>
        <v>0</v>
      </c>
      <c r="IT8" s="7">
        <f t="shared" si="17"/>
        <v>16957170</v>
      </c>
      <c r="IU8" s="7">
        <f t="shared" si="18"/>
        <v>0</v>
      </c>
      <c r="IV8" s="7">
        <f t="shared" si="19"/>
        <v>0</v>
      </c>
      <c r="IW8" s="7">
        <f t="shared" si="20"/>
        <v>0</v>
      </c>
      <c r="IX8" s="7">
        <f t="shared" si="21"/>
        <v>57387</v>
      </c>
      <c r="IY8" s="7">
        <f t="shared" si="22"/>
        <v>0</v>
      </c>
      <c r="IZ8" s="7">
        <f t="shared" si="23"/>
        <v>1491303</v>
      </c>
      <c r="JA8" s="7">
        <f t="shared" si="24"/>
        <v>0</v>
      </c>
      <c r="JB8" s="7">
        <f t="shared" si="25"/>
        <v>5987298</v>
      </c>
      <c r="JC8" s="7">
        <f t="shared" si="26"/>
        <v>0</v>
      </c>
      <c r="JD8" s="7">
        <f t="shared" si="27"/>
        <v>2297209</v>
      </c>
      <c r="JE8" s="7">
        <f t="shared" si="28"/>
        <v>0</v>
      </c>
      <c r="JF8" s="7">
        <f t="shared" si="29"/>
        <v>4631445</v>
      </c>
      <c r="JG8" s="7">
        <f t="shared" si="30"/>
        <v>0</v>
      </c>
      <c r="JH8" s="7">
        <f t="shared" si="31"/>
        <v>2452596</v>
      </c>
      <c r="JI8" s="7">
        <f t="shared" si="32"/>
        <v>0</v>
      </c>
      <c r="JJ8" s="7">
        <f t="shared" si="33"/>
        <v>0</v>
      </c>
      <c r="JK8" s="7">
        <f t="shared" si="34"/>
        <v>0</v>
      </c>
      <c r="JL8" s="7">
        <f t="shared" si="35"/>
        <v>14815420</v>
      </c>
      <c r="JM8" s="7">
        <f t="shared" si="36"/>
        <v>0</v>
      </c>
      <c r="JN8" s="7">
        <f t="shared" si="37"/>
        <v>959392</v>
      </c>
      <c r="JO8" s="7">
        <f t="shared" si="38"/>
        <v>0</v>
      </c>
      <c r="JP8" s="7">
        <f t="shared" si="39"/>
        <v>0</v>
      </c>
      <c r="JQ8" s="7">
        <f t="shared" si="40"/>
        <v>0</v>
      </c>
      <c r="JR8" s="7">
        <f t="shared" si="41"/>
        <v>1213290</v>
      </c>
      <c r="JS8" s="7">
        <f t="shared" si="42"/>
        <v>0</v>
      </c>
      <c r="JT8" s="7">
        <f t="shared" si="43"/>
        <v>66136</v>
      </c>
      <c r="JU8" s="7">
        <f t="shared" si="44"/>
        <v>0</v>
      </c>
      <c r="JV8" s="7">
        <f t="shared" si="45"/>
        <v>11207596</v>
      </c>
      <c r="JW8" s="7">
        <f t="shared" si="46"/>
        <v>0</v>
      </c>
      <c r="JX8" s="7">
        <f t="shared" si="47"/>
        <v>92131933</v>
      </c>
      <c r="JY8" s="7">
        <f t="shared" si="48"/>
        <v>0</v>
      </c>
      <c r="JZ8" s="7">
        <f t="shared" si="49"/>
        <v>1109506</v>
      </c>
      <c r="KA8" s="7">
        <f t="shared" si="50"/>
        <v>0</v>
      </c>
      <c r="KB8" s="7">
        <f t="shared" si="51"/>
        <v>93241439</v>
      </c>
      <c r="KC8" s="7">
        <f t="shared" si="52"/>
        <v>0</v>
      </c>
      <c r="KE8" s="7" t="e">
        <f t="shared" si="0"/>
        <v>#REF!</v>
      </c>
      <c r="KG8" s="5" t="e">
        <f t="shared" si="53"/>
        <v>#REF!</v>
      </c>
    </row>
    <row r="9" spans="1:293" x14ac:dyDescent="0.15">
      <c r="A9" s="119" t="s">
        <v>221</v>
      </c>
      <c r="B9" s="17" t="s">
        <v>400</v>
      </c>
      <c r="C9" s="38">
        <v>106458</v>
      </c>
      <c r="D9" s="38">
        <v>2013</v>
      </c>
      <c r="E9" s="38">
        <v>1</v>
      </c>
      <c r="F9" s="38">
        <v>11</v>
      </c>
      <c r="G9" s="39">
        <v>3342</v>
      </c>
      <c r="H9" s="39">
        <v>4375</v>
      </c>
      <c r="I9" s="40">
        <v>195363889</v>
      </c>
      <c r="J9" s="40"/>
      <c r="K9" s="40">
        <v>0</v>
      </c>
      <c r="L9" s="40"/>
      <c r="M9" s="40">
        <v>9922965</v>
      </c>
      <c r="N9" s="40"/>
      <c r="O9" s="40">
        <v>0</v>
      </c>
      <c r="P9" s="40"/>
      <c r="Q9" s="40">
        <v>136267594</v>
      </c>
      <c r="R9" s="40"/>
      <c r="S9" s="40">
        <v>140339785</v>
      </c>
      <c r="T9" s="40"/>
      <c r="U9" s="40">
        <v>15812</v>
      </c>
      <c r="V9" s="40"/>
      <c r="W9" s="40">
        <v>22869</v>
      </c>
      <c r="X9" s="40"/>
      <c r="Y9" s="40">
        <v>19763</v>
      </c>
      <c r="Z9" s="40"/>
      <c r="AA9" s="40">
        <v>25193</v>
      </c>
      <c r="AB9" s="40"/>
      <c r="AC9" s="56">
        <v>7</v>
      </c>
      <c r="AD9" s="56">
        <v>9</v>
      </c>
      <c r="AE9" s="56">
        <v>0</v>
      </c>
      <c r="AF9" s="57">
        <v>2576732</v>
      </c>
      <c r="AG9" s="57">
        <v>1697078</v>
      </c>
      <c r="AH9" s="57">
        <v>279788</v>
      </c>
      <c r="AI9" s="57">
        <v>110320</v>
      </c>
      <c r="AJ9" s="57">
        <v>123214</v>
      </c>
      <c r="AK9" s="58">
        <v>4.5</v>
      </c>
      <c r="AL9" s="57">
        <v>110892.6</v>
      </c>
      <c r="AM9" s="58">
        <v>5</v>
      </c>
      <c r="AN9" s="57">
        <v>67118.150999999998</v>
      </c>
      <c r="AO9" s="58">
        <v>6.5</v>
      </c>
      <c r="AP9" s="57">
        <v>62324</v>
      </c>
      <c r="AQ9" s="58">
        <v>7</v>
      </c>
      <c r="AR9" s="57">
        <v>81870.8</v>
      </c>
      <c r="AS9" s="58">
        <v>17.5</v>
      </c>
      <c r="AT9" s="57">
        <v>75407.320000000007</v>
      </c>
      <c r="AU9" s="58">
        <v>19</v>
      </c>
      <c r="AV9" s="57">
        <v>44602.620999999999</v>
      </c>
      <c r="AW9" s="58">
        <v>6.5</v>
      </c>
      <c r="AX9" s="57">
        <v>32213</v>
      </c>
      <c r="AY9" s="58">
        <v>9</v>
      </c>
      <c r="AZ9" s="79">
        <v>1026024</v>
      </c>
      <c r="BA9" s="79">
        <v>2150000</v>
      </c>
      <c r="BB9" s="79">
        <v>287214</v>
      </c>
      <c r="BC9" s="79">
        <v>117793</v>
      </c>
      <c r="BD9" s="79">
        <v>0</v>
      </c>
      <c r="BE9" s="79">
        <v>0</v>
      </c>
      <c r="BF9" s="79">
        <v>0</v>
      </c>
      <c r="BG9" s="79">
        <v>0</v>
      </c>
      <c r="BH9" s="79">
        <v>0</v>
      </c>
      <c r="BI9" s="79">
        <v>0</v>
      </c>
      <c r="BJ9" s="79">
        <v>0</v>
      </c>
      <c r="BK9" s="79">
        <v>0</v>
      </c>
      <c r="BL9" s="79">
        <v>0</v>
      </c>
      <c r="BM9" s="79">
        <v>0</v>
      </c>
      <c r="BN9" s="79">
        <v>0</v>
      </c>
      <c r="BO9" s="79">
        <v>115998</v>
      </c>
      <c r="BP9" s="79">
        <v>115998</v>
      </c>
      <c r="BQ9" s="79">
        <v>9272</v>
      </c>
      <c r="BR9" s="79">
        <v>943</v>
      </c>
      <c r="BS9" s="79">
        <v>980</v>
      </c>
      <c r="BT9" s="79">
        <v>1173</v>
      </c>
      <c r="BU9" s="79">
        <v>226423</v>
      </c>
      <c r="BV9" s="79">
        <v>238791</v>
      </c>
      <c r="BW9" s="79">
        <v>5236283</v>
      </c>
      <c r="BX9" s="79">
        <v>1422201</v>
      </c>
      <c r="BY9" s="79">
        <v>659864</v>
      </c>
      <c r="BZ9" s="79">
        <v>2678622</v>
      </c>
      <c r="CA9" s="79">
        <v>6284068</v>
      </c>
      <c r="CB9" s="79">
        <v>16281038</v>
      </c>
      <c r="CC9" s="79">
        <v>1722024</v>
      </c>
      <c r="CD9" s="79">
        <v>260394</v>
      </c>
      <c r="CE9" s="79">
        <v>308345</v>
      </c>
      <c r="CF9" s="79">
        <v>1983047</v>
      </c>
      <c r="CG9" s="79">
        <v>84092</v>
      </c>
      <c r="CH9" s="79">
        <v>4357902</v>
      </c>
      <c r="CI9" s="79">
        <v>667655</v>
      </c>
      <c r="CJ9" s="79">
        <v>15000</v>
      </c>
      <c r="CK9" s="79">
        <v>13500</v>
      </c>
      <c r="CL9" s="79">
        <v>11663</v>
      </c>
      <c r="CM9" s="79">
        <v>670</v>
      </c>
      <c r="CN9" s="79">
        <v>708488</v>
      </c>
      <c r="CO9" s="79">
        <v>1262605</v>
      </c>
      <c r="CP9" s="79">
        <v>402798</v>
      </c>
      <c r="CQ9" s="79">
        <v>273741</v>
      </c>
      <c r="CR9" s="79">
        <v>774243</v>
      </c>
      <c r="CS9" s="79">
        <v>0</v>
      </c>
      <c r="CT9" s="79">
        <v>2713387</v>
      </c>
      <c r="CU9" s="79">
        <v>1262605</v>
      </c>
      <c r="CV9" s="79">
        <v>402798</v>
      </c>
      <c r="CW9" s="79">
        <v>273741</v>
      </c>
      <c r="CX9" s="79">
        <v>774243</v>
      </c>
      <c r="CY9" s="79">
        <v>0</v>
      </c>
      <c r="CZ9" s="79">
        <v>2713387</v>
      </c>
      <c r="DA9" s="79">
        <v>67629</v>
      </c>
      <c r="DB9" s="79">
        <v>35024</v>
      </c>
      <c r="DC9" s="79">
        <v>0</v>
      </c>
      <c r="DD9" s="79">
        <v>0</v>
      </c>
      <c r="DE9" s="79">
        <v>1504581</v>
      </c>
      <c r="DF9" s="79">
        <v>1607234</v>
      </c>
      <c r="DG9" s="79">
        <v>0</v>
      </c>
      <c r="DH9" s="79">
        <v>0</v>
      </c>
      <c r="DI9" s="79">
        <v>0</v>
      </c>
      <c r="DJ9" s="79">
        <v>0</v>
      </c>
      <c r="DK9" s="79">
        <v>101719</v>
      </c>
      <c r="DL9" s="79">
        <v>101719</v>
      </c>
      <c r="DM9" s="79">
        <v>0</v>
      </c>
      <c r="DN9" s="79">
        <v>0</v>
      </c>
      <c r="DO9" s="79">
        <v>0</v>
      </c>
      <c r="DP9" s="79">
        <v>0</v>
      </c>
      <c r="DQ9" s="79">
        <v>0</v>
      </c>
      <c r="DR9" s="79">
        <v>0</v>
      </c>
      <c r="DS9" s="79">
        <v>207804</v>
      </c>
      <c r="DT9" s="79">
        <v>55577</v>
      </c>
      <c r="DU9" s="79">
        <v>48032</v>
      </c>
      <c r="DV9" s="79">
        <v>78695</v>
      </c>
      <c r="DW9" s="79">
        <v>6403</v>
      </c>
      <c r="DX9" s="79">
        <v>396511</v>
      </c>
      <c r="DY9" s="79">
        <v>1018144</v>
      </c>
      <c r="DZ9" s="79">
        <v>198830</v>
      </c>
      <c r="EA9" s="79">
        <v>151512</v>
      </c>
      <c r="EB9" s="79">
        <v>606508</v>
      </c>
      <c r="EC9" s="79">
        <v>15084</v>
      </c>
      <c r="ED9" s="79">
        <v>1990078</v>
      </c>
      <c r="EE9" s="79">
        <v>601594</v>
      </c>
      <c r="EF9" s="79">
        <v>51910</v>
      </c>
      <c r="EG9" s="79">
        <v>29805</v>
      </c>
      <c r="EH9" s="79">
        <v>192511</v>
      </c>
      <c r="EI9" s="79">
        <v>211679</v>
      </c>
      <c r="EJ9" s="79">
        <v>1087499</v>
      </c>
      <c r="EK9" s="79">
        <v>177333</v>
      </c>
      <c r="EL9" s="79">
        <v>110542</v>
      </c>
      <c r="EM9" s="79">
        <v>67780</v>
      </c>
      <c r="EN9" s="79">
        <v>111885</v>
      </c>
      <c r="EO9" s="79">
        <v>90012</v>
      </c>
      <c r="EP9" s="79">
        <v>557552</v>
      </c>
      <c r="EQ9" s="79">
        <v>12863</v>
      </c>
      <c r="ER9" s="79">
        <v>1837</v>
      </c>
      <c r="ES9" s="79">
        <v>2431</v>
      </c>
      <c r="ET9" s="79">
        <v>1463</v>
      </c>
      <c r="EU9" s="79">
        <v>38152</v>
      </c>
      <c r="EV9" s="79">
        <v>56746</v>
      </c>
      <c r="EW9" s="79">
        <v>0</v>
      </c>
      <c r="EX9" s="79">
        <v>0</v>
      </c>
      <c r="EY9" s="79">
        <v>0</v>
      </c>
      <c r="EZ9" s="79">
        <v>0</v>
      </c>
      <c r="FA9" s="79">
        <v>0</v>
      </c>
      <c r="FB9" s="79">
        <v>0</v>
      </c>
      <c r="FC9" s="79">
        <v>19936</v>
      </c>
      <c r="FD9" s="79">
        <v>1</v>
      </c>
      <c r="FE9" s="79">
        <v>2</v>
      </c>
      <c r="FF9" s="79">
        <v>1264</v>
      </c>
      <c r="FG9" s="79">
        <v>867932</v>
      </c>
      <c r="FH9" s="79">
        <v>889135</v>
      </c>
      <c r="FI9" s="79">
        <v>0</v>
      </c>
      <c r="FJ9" s="79">
        <v>0</v>
      </c>
      <c r="FK9" s="79">
        <v>0</v>
      </c>
      <c r="FL9" s="79">
        <v>0</v>
      </c>
      <c r="FM9" s="79">
        <v>0</v>
      </c>
      <c r="FN9" s="79">
        <v>0</v>
      </c>
      <c r="FO9" s="79">
        <v>0</v>
      </c>
      <c r="FP9" s="79">
        <v>0</v>
      </c>
      <c r="FQ9" s="79">
        <v>0</v>
      </c>
      <c r="FR9" s="79">
        <v>0</v>
      </c>
      <c r="FS9" s="79">
        <v>0</v>
      </c>
      <c r="FT9" s="79">
        <v>0</v>
      </c>
      <c r="FU9" s="79">
        <v>3800</v>
      </c>
      <c r="FV9" s="79">
        <v>0</v>
      </c>
      <c r="FW9" s="79">
        <v>0</v>
      </c>
      <c r="FX9" s="79">
        <v>510</v>
      </c>
      <c r="FY9" s="79">
        <v>85765</v>
      </c>
      <c r="FZ9" s="79">
        <v>90075</v>
      </c>
      <c r="GA9" s="79">
        <v>6006</v>
      </c>
      <c r="GB9" s="79">
        <v>6727</v>
      </c>
      <c r="GC9" s="79">
        <v>606</v>
      </c>
      <c r="GD9" s="79">
        <v>3713</v>
      </c>
      <c r="GE9" s="79">
        <v>129865</v>
      </c>
      <c r="GF9" s="79">
        <v>146917</v>
      </c>
      <c r="GG9" s="79">
        <v>206414</v>
      </c>
      <c r="GH9" s="79">
        <v>43866</v>
      </c>
      <c r="GI9" s="79">
        <v>46124</v>
      </c>
      <c r="GJ9" s="79">
        <v>77924</v>
      </c>
      <c r="GK9" s="79">
        <v>189573</v>
      </c>
      <c r="GL9" s="79">
        <v>563901</v>
      </c>
      <c r="GM9" s="79">
        <v>6319206</v>
      </c>
      <c r="GN9" s="79">
        <v>1756311</v>
      </c>
      <c r="GO9" s="79">
        <v>952768</v>
      </c>
      <c r="GP9" s="79">
        <v>3927226</v>
      </c>
      <c r="GQ9" s="79">
        <v>3325527</v>
      </c>
      <c r="GR9" s="79">
        <v>16281038</v>
      </c>
      <c r="GS9" s="79">
        <v>0</v>
      </c>
      <c r="GT9" s="79">
        <v>0</v>
      </c>
      <c r="GU9" s="79">
        <v>0</v>
      </c>
      <c r="GV9" s="79">
        <v>0</v>
      </c>
      <c r="GW9" s="79">
        <v>0</v>
      </c>
      <c r="GX9" s="79">
        <v>0</v>
      </c>
      <c r="GY9" s="79">
        <v>6319206</v>
      </c>
      <c r="GZ9" s="79">
        <v>1756311</v>
      </c>
      <c r="HA9" s="79">
        <v>952768</v>
      </c>
      <c r="HB9" s="79">
        <v>3927226</v>
      </c>
      <c r="HC9" s="79">
        <v>3325527</v>
      </c>
      <c r="HD9" s="79">
        <v>16281038</v>
      </c>
      <c r="HF9" s="7">
        <f>SUM(AZ9:AZ9)</f>
        <v>1026024</v>
      </c>
      <c r="HG9" s="7" t="e">
        <f>#REF!-HF9</f>
        <v>#REF!</v>
      </c>
      <c r="HH9" s="7" t="e">
        <f>SUM(#REF!)</f>
        <v>#REF!</v>
      </c>
      <c r="HI9" s="7" t="e">
        <f>#REF!-HH9</f>
        <v>#REF!</v>
      </c>
      <c r="HJ9" s="7">
        <f>SUM(BA9:BA9)</f>
        <v>2150000</v>
      </c>
      <c r="HK9" s="7" t="e">
        <f>#REF!-HJ9</f>
        <v>#REF!</v>
      </c>
      <c r="HL9" s="7">
        <f>SUM(BB9:BB9)</f>
        <v>287214</v>
      </c>
      <c r="HM9" s="7" t="e">
        <f>#REF!-HL9</f>
        <v>#REF!</v>
      </c>
      <c r="HN9" s="7" t="e">
        <f>SUM(#REF!)</f>
        <v>#REF!</v>
      </c>
      <c r="HO9" s="7" t="e">
        <f>#REF!-HN9</f>
        <v>#REF!</v>
      </c>
      <c r="HP9" s="7" t="e">
        <f>SUM(#REF!)</f>
        <v>#REF!</v>
      </c>
      <c r="HQ9" s="7" t="e">
        <f>#REF!-HP9</f>
        <v>#REF!</v>
      </c>
      <c r="HR9" s="7" t="e">
        <f>SUM(#REF!)</f>
        <v>#REF!</v>
      </c>
      <c r="HS9" s="7" t="e">
        <f>#REF!-HR9</f>
        <v>#REF!</v>
      </c>
      <c r="HT9" s="7" t="e">
        <f>SUM(#REF!)</f>
        <v>#REF!</v>
      </c>
      <c r="HU9" s="7" t="e">
        <f>#REF!-HT9</f>
        <v>#REF!</v>
      </c>
      <c r="HV9" s="7" t="e">
        <f>SUM(#REF!)</f>
        <v>#REF!</v>
      </c>
      <c r="HW9" s="7" t="e">
        <f>#REF!-HV9</f>
        <v>#REF!</v>
      </c>
      <c r="HX9" s="7" t="e">
        <f>SUM(#REF!)</f>
        <v>#REF!</v>
      </c>
      <c r="HY9" s="7" t="e">
        <f>#REF!-HX9</f>
        <v>#REF!</v>
      </c>
      <c r="HZ9" s="7">
        <f>SUM(BC9:BC9)</f>
        <v>117793</v>
      </c>
      <c r="IA9" s="7" t="e">
        <f>#REF!-HZ9</f>
        <v>#REF!</v>
      </c>
      <c r="IB9" s="7">
        <f>SUM(BD9:BD9)</f>
        <v>0</v>
      </c>
      <c r="IC9" s="7" t="e">
        <f>#REF!-IB9</f>
        <v>#REF!</v>
      </c>
      <c r="ID9" s="7">
        <f t="shared" si="1"/>
        <v>0</v>
      </c>
      <c r="IE9" s="7">
        <f t="shared" si="2"/>
        <v>0</v>
      </c>
      <c r="IF9" s="7">
        <f t="shared" si="3"/>
        <v>115998</v>
      </c>
      <c r="IG9" s="7">
        <f t="shared" si="4"/>
        <v>0</v>
      </c>
      <c r="IH9" s="7">
        <f t="shared" si="5"/>
        <v>238791</v>
      </c>
      <c r="II9" s="7">
        <f t="shared" si="6"/>
        <v>0</v>
      </c>
      <c r="IJ9" s="7">
        <f t="shared" si="7"/>
        <v>16281038</v>
      </c>
      <c r="IK9" s="7">
        <f t="shared" si="8"/>
        <v>0</v>
      </c>
      <c r="IL9" s="7">
        <f t="shared" si="9"/>
        <v>4357902</v>
      </c>
      <c r="IM9" s="7">
        <f t="shared" si="10"/>
        <v>0</v>
      </c>
      <c r="IN9" s="7">
        <f t="shared" si="11"/>
        <v>708488</v>
      </c>
      <c r="IO9" s="7">
        <f t="shared" si="12"/>
        <v>0</v>
      </c>
      <c r="IP9" s="7">
        <f t="shared" si="13"/>
        <v>2713387</v>
      </c>
      <c r="IQ9" s="7">
        <f t="shared" si="14"/>
        <v>0</v>
      </c>
      <c r="IR9" s="7">
        <f t="shared" si="15"/>
        <v>2713387</v>
      </c>
      <c r="IS9" s="7">
        <f t="shared" si="16"/>
        <v>0</v>
      </c>
      <c r="IT9" s="7">
        <f t="shared" si="17"/>
        <v>1607234</v>
      </c>
      <c r="IU9" s="7">
        <f t="shared" si="18"/>
        <v>0</v>
      </c>
      <c r="IV9" s="7">
        <f t="shared" si="19"/>
        <v>101719</v>
      </c>
      <c r="IW9" s="7">
        <f t="shared" si="20"/>
        <v>0</v>
      </c>
      <c r="IX9" s="7">
        <f t="shared" si="21"/>
        <v>0</v>
      </c>
      <c r="IY9" s="7">
        <f t="shared" si="22"/>
        <v>0</v>
      </c>
      <c r="IZ9" s="7">
        <f t="shared" si="23"/>
        <v>396511</v>
      </c>
      <c r="JA9" s="7">
        <f t="shared" si="24"/>
        <v>0</v>
      </c>
      <c r="JB9" s="7">
        <f t="shared" si="25"/>
        <v>1990078</v>
      </c>
      <c r="JC9" s="7">
        <f t="shared" si="26"/>
        <v>0</v>
      </c>
      <c r="JD9" s="7">
        <f t="shared" si="27"/>
        <v>1087499</v>
      </c>
      <c r="JE9" s="7">
        <f t="shared" si="28"/>
        <v>0</v>
      </c>
      <c r="JF9" s="7">
        <f t="shared" si="29"/>
        <v>557552</v>
      </c>
      <c r="JG9" s="7">
        <f t="shared" si="30"/>
        <v>0</v>
      </c>
      <c r="JH9" s="7">
        <f t="shared" si="31"/>
        <v>56746</v>
      </c>
      <c r="JI9" s="7">
        <f t="shared" si="32"/>
        <v>0</v>
      </c>
      <c r="JJ9" s="7">
        <f t="shared" si="33"/>
        <v>0</v>
      </c>
      <c r="JK9" s="7">
        <f t="shared" si="34"/>
        <v>0</v>
      </c>
      <c r="JL9" s="7">
        <f t="shared" si="35"/>
        <v>889135</v>
      </c>
      <c r="JM9" s="7">
        <f t="shared" si="36"/>
        <v>0</v>
      </c>
      <c r="JN9" s="7">
        <f t="shared" si="37"/>
        <v>0</v>
      </c>
      <c r="JO9" s="7">
        <f t="shared" si="38"/>
        <v>0</v>
      </c>
      <c r="JP9" s="7">
        <f t="shared" si="39"/>
        <v>0</v>
      </c>
      <c r="JQ9" s="7">
        <f t="shared" si="40"/>
        <v>0</v>
      </c>
      <c r="JR9" s="7">
        <f t="shared" si="41"/>
        <v>90075</v>
      </c>
      <c r="JS9" s="7">
        <f t="shared" si="42"/>
        <v>0</v>
      </c>
      <c r="JT9" s="7">
        <f t="shared" si="43"/>
        <v>146917</v>
      </c>
      <c r="JU9" s="7">
        <f t="shared" si="44"/>
        <v>0</v>
      </c>
      <c r="JV9" s="7">
        <f t="shared" si="45"/>
        <v>563901</v>
      </c>
      <c r="JW9" s="7">
        <f t="shared" si="46"/>
        <v>0</v>
      </c>
      <c r="JX9" s="7">
        <f t="shared" si="47"/>
        <v>16281038</v>
      </c>
      <c r="JY9" s="7">
        <f t="shared" si="48"/>
        <v>0</v>
      </c>
      <c r="JZ9" s="7">
        <f t="shared" si="49"/>
        <v>0</v>
      </c>
      <c r="KA9" s="7">
        <f t="shared" si="50"/>
        <v>0</v>
      </c>
      <c r="KB9" s="7">
        <f t="shared" si="51"/>
        <v>16281038</v>
      </c>
      <c r="KC9" s="7">
        <f t="shared" si="52"/>
        <v>0</v>
      </c>
      <c r="KE9" s="7" t="e">
        <f t="shared" si="0"/>
        <v>#REF!</v>
      </c>
      <c r="KG9" s="5" t="e">
        <f t="shared" si="53"/>
        <v>#REF!</v>
      </c>
    </row>
    <row r="10" spans="1:293" x14ac:dyDescent="0.15">
      <c r="A10" s="119" t="s">
        <v>222</v>
      </c>
      <c r="B10" s="17" t="s">
        <v>400</v>
      </c>
      <c r="C10" s="38">
        <v>100858</v>
      </c>
      <c r="D10" s="38">
        <v>2013</v>
      </c>
      <c r="E10" s="38">
        <v>1</v>
      </c>
      <c r="F10" s="38">
        <v>5</v>
      </c>
      <c r="G10" s="39">
        <v>10259</v>
      </c>
      <c r="H10" s="39">
        <v>9916</v>
      </c>
      <c r="I10" s="40">
        <v>899378944</v>
      </c>
      <c r="J10" s="40"/>
      <c r="K10" s="40">
        <v>9973080</v>
      </c>
      <c r="L10" s="40"/>
      <c r="M10" s="40">
        <v>55746898</v>
      </c>
      <c r="N10" s="40"/>
      <c r="O10" s="40">
        <v>108778201</v>
      </c>
      <c r="P10" s="40"/>
      <c r="Q10" s="40">
        <v>735818791</v>
      </c>
      <c r="R10" s="40"/>
      <c r="S10" s="40">
        <v>7772331411</v>
      </c>
      <c r="T10" s="40"/>
      <c r="U10" s="40">
        <v>20852</v>
      </c>
      <c r="V10" s="40"/>
      <c r="W10" s="40">
        <v>36596</v>
      </c>
      <c r="X10" s="40"/>
      <c r="Y10" s="40">
        <v>26548</v>
      </c>
      <c r="Z10" s="40"/>
      <c r="AA10" s="40">
        <v>42292</v>
      </c>
      <c r="AB10" s="40"/>
      <c r="AC10" s="56">
        <v>9</v>
      </c>
      <c r="AD10" s="56">
        <v>12</v>
      </c>
      <c r="AE10" s="56">
        <v>0</v>
      </c>
      <c r="AF10" s="57">
        <v>5641764</v>
      </c>
      <c r="AG10" s="57">
        <v>4647960</v>
      </c>
      <c r="AH10" s="57">
        <v>2116836</v>
      </c>
      <c r="AI10" s="57">
        <v>670710</v>
      </c>
      <c r="AJ10" s="57">
        <v>1058914.26</v>
      </c>
      <c r="AK10" s="58">
        <v>5.96</v>
      </c>
      <c r="AL10" s="57">
        <v>901589.86</v>
      </c>
      <c r="AM10" s="58">
        <v>7</v>
      </c>
      <c r="AN10" s="57">
        <v>223236.91</v>
      </c>
      <c r="AO10" s="58">
        <v>8.94</v>
      </c>
      <c r="AP10" s="57">
        <v>199573.8</v>
      </c>
      <c r="AQ10" s="58">
        <v>10</v>
      </c>
      <c r="AR10" s="57">
        <v>321301.34999999998</v>
      </c>
      <c r="AS10" s="58">
        <v>20.8</v>
      </c>
      <c r="AT10" s="57">
        <v>257041.08</v>
      </c>
      <c r="AU10" s="58">
        <v>26</v>
      </c>
      <c r="AV10" s="57">
        <v>94533.91</v>
      </c>
      <c r="AW10" s="58">
        <v>20.2</v>
      </c>
      <c r="AX10" s="57">
        <v>76383.399999999994</v>
      </c>
      <c r="AY10" s="58">
        <v>25</v>
      </c>
      <c r="AZ10" s="79">
        <v>27225330</v>
      </c>
      <c r="BA10" s="79">
        <v>2317218</v>
      </c>
      <c r="BB10" s="79">
        <v>25900212</v>
      </c>
      <c r="BC10" s="79">
        <v>1098261</v>
      </c>
      <c r="BD10" s="79">
        <v>0</v>
      </c>
      <c r="BE10" s="79">
        <v>0</v>
      </c>
      <c r="BF10" s="79">
        <v>0</v>
      </c>
      <c r="BG10" s="79">
        <v>0</v>
      </c>
      <c r="BH10" s="79">
        <v>0</v>
      </c>
      <c r="BI10" s="79">
        <v>0</v>
      </c>
      <c r="BJ10" s="79">
        <v>0</v>
      </c>
      <c r="BK10" s="79">
        <v>15827</v>
      </c>
      <c r="BL10" s="79">
        <v>1890</v>
      </c>
      <c r="BM10" s="79">
        <v>1320</v>
      </c>
      <c r="BN10" s="79">
        <v>43209</v>
      </c>
      <c r="BO10" s="79">
        <v>1024446</v>
      </c>
      <c r="BP10" s="79">
        <v>1086692</v>
      </c>
      <c r="BQ10" s="79">
        <v>867294</v>
      </c>
      <c r="BR10" s="79">
        <v>18294</v>
      </c>
      <c r="BS10" s="79">
        <v>5468</v>
      </c>
      <c r="BT10" s="79">
        <v>113029</v>
      </c>
      <c r="BU10" s="79">
        <v>840809</v>
      </c>
      <c r="BV10" s="79">
        <v>1844894</v>
      </c>
      <c r="BW10" s="79">
        <v>75398410</v>
      </c>
      <c r="BX10" s="79">
        <v>9545254</v>
      </c>
      <c r="BY10" s="79">
        <v>156886</v>
      </c>
      <c r="BZ10" s="79">
        <v>1146583</v>
      </c>
      <c r="CA10" s="79">
        <v>17433476</v>
      </c>
      <c r="CB10" s="79">
        <v>103680609</v>
      </c>
      <c r="CC10" s="79">
        <v>3337159</v>
      </c>
      <c r="CD10" s="79">
        <v>528605</v>
      </c>
      <c r="CE10" s="79">
        <v>463498</v>
      </c>
      <c r="CF10" s="79">
        <v>5960462</v>
      </c>
      <c r="CG10" s="79">
        <v>116182</v>
      </c>
      <c r="CH10" s="79">
        <v>10405906</v>
      </c>
      <c r="CI10" s="79">
        <v>2456150</v>
      </c>
      <c r="CJ10" s="79">
        <v>547000</v>
      </c>
      <c r="CK10" s="79">
        <v>52000</v>
      </c>
      <c r="CL10" s="79">
        <v>135000</v>
      </c>
      <c r="CM10" s="79">
        <v>0</v>
      </c>
      <c r="CN10" s="79">
        <v>3190150</v>
      </c>
      <c r="CO10" s="79">
        <v>8635501</v>
      </c>
      <c r="CP10" s="79">
        <v>2386643</v>
      </c>
      <c r="CQ10" s="79">
        <v>1289569</v>
      </c>
      <c r="CR10" s="79">
        <v>4587807</v>
      </c>
      <c r="CS10" s="79">
        <v>0</v>
      </c>
      <c r="CT10" s="79">
        <v>16899520</v>
      </c>
      <c r="CU10" s="79">
        <v>0</v>
      </c>
      <c r="CV10" s="79">
        <v>0</v>
      </c>
      <c r="CW10" s="79">
        <v>0</v>
      </c>
      <c r="CX10" s="79">
        <v>0</v>
      </c>
      <c r="CY10" s="79">
        <v>0</v>
      </c>
      <c r="CZ10" s="79">
        <v>0</v>
      </c>
      <c r="DA10" s="79">
        <v>2812839</v>
      </c>
      <c r="DB10" s="79">
        <v>320072</v>
      </c>
      <c r="DC10" s="79">
        <v>281404</v>
      </c>
      <c r="DD10" s="79">
        <v>451233</v>
      </c>
      <c r="DE10" s="79">
        <v>13922852</v>
      </c>
      <c r="DF10" s="79">
        <v>17788400</v>
      </c>
      <c r="DG10" s="79">
        <v>0</v>
      </c>
      <c r="DH10" s="79">
        <v>0</v>
      </c>
      <c r="DI10" s="79">
        <v>0</v>
      </c>
      <c r="DJ10" s="79">
        <v>0</v>
      </c>
      <c r="DK10" s="79">
        <v>0</v>
      </c>
      <c r="DL10" s="79">
        <v>0</v>
      </c>
      <c r="DM10" s="79">
        <v>2635513</v>
      </c>
      <c r="DN10" s="79">
        <v>0</v>
      </c>
      <c r="DO10" s="79">
        <v>0</v>
      </c>
      <c r="DP10" s="79">
        <v>37151</v>
      </c>
      <c r="DQ10" s="79">
        <v>0</v>
      </c>
      <c r="DR10" s="79">
        <v>2672664</v>
      </c>
      <c r="DS10" s="79">
        <v>1384188</v>
      </c>
      <c r="DT10" s="79">
        <v>464946</v>
      </c>
      <c r="DU10" s="79">
        <v>198785</v>
      </c>
      <c r="DV10" s="79">
        <v>739627</v>
      </c>
      <c r="DW10" s="79">
        <v>8638</v>
      </c>
      <c r="DX10" s="79">
        <v>2796184</v>
      </c>
      <c r="DY10" s="79">
        <v>712589</v>
      </c>
      <c r="DZ10" s="79">
        <v>823971</v>
      </c>
      <c r="EA10" s="79">
        <v>597226</v>
      </c>
      <c r="EB10" s="79">
        <v>2075875</v>
      </c>
      <c r="EC10" s="79">
        <v>166630</v>
      </c>
      <c r="ED10" s="79">
        <v>4376291</v>
      </c>
      <c r="EE10" s="79">
        <v>1180042</v>
      </c>
      <c r="EF10" s="79">
        <v>86038</v>
      </c>
      <c r="EG10" s="79">
        <v>76658</v>
      </c>
      <c r="EH10" s="79">
        <v>989428</v>
      </c>
      <c r="EI10" s="79">
        <v>200792</v>
      </c>
      <c r="EJ10" s="79">
        <v>2532958</v>
      </c>
      <c r="EK10" s="79">
        <v>1567472</v>
      </c>
      <c r="EL10" s="79">
        <v>504779</v>
      </c>
      <c r="EM10" s="79">
        <v>274751</v>
      </c>
      <c r="EN10" s="79">
        <v>771862</v>
      </c>
      <c r="EO10" s="79">
        <v>203786</v>
      </c>
      <c r="EP10" s="79">
        <v>3322650</v>
      </c>
      <c r="EQ10" s="79">
        <v>4124438</v>
      </c>
      <c r="ER10" s="79">
        <v>821201</v>
      </c>
      <c r="ES10" s="79">
        <v>68228</v>
      </c>
      <c r="ET10" s="79">
        <v>90537</v>
      </c>
      <c r="EU10" s="79">
        <v>1054459</v>
      </c>
      <c r="EV10" s="79">
        <v>6158863</v>
      </c>
      <c r="EW10" s="79">
        <v>0</v>
      </c>
      <c r="EX10" s="79">
        <v>0</v>
      </c>
      <c r="EY10" s="79">
        <v>0</v>
      </c>
      <c r="EZ10" s="79">
        <v>0</v>
      </c>
      <c r="FA10" s="79">
        <v>0</v>
      </c>
      <c r="FB10" s="79">
        <v>0</v>
      </c>
      <c r="FC10" s="79">
        <v>3588196</v>
      </c>
      <c r="FD10" s="79">
        <v>1175741</v>
      </c>
      <c r="FE10" s="79">
        <v>1140886</v>
      </c>
      <c r="FF10" s="79">
        <v>3789737</v>
      </c>
      <c r="FG10" s="79">
        <v>12836808</v>
      </c>
      <c r="FH10" s="79">
        <v>22531368</v>
      </c>
      <c r="FI10" s="79">
        <v>374870</v>
      </c>
      <c r="FJ10" s="79">
        <v>87316</v>
      </c>
      <c r="FK10" s="79">
        <v>87316</v>
      </c>
      <c r="FL10" s="79">
        <v>0</v>
      </c>
      <c r="FM10" s="79">
        <v>0</v>
      </c>
      <c r="FN10" s="79">
        <v>549502</v>
      </c>
      <c r="FO10" s="79">
        <v>0</v>
      </c>
      <c r="FP10" s="79">
        <v>0</v>
      </c>
      <c r="FQ10" s="79">
        <v>0</v>
      </c>
      <c r="FR10" s="79">
        <v>0</v>
      </c>
      <c r="FS10" s="79">
        <v>0</v>
      </c>
      <c r="FT10" s="79">
        <v>0</v>
      </c>
      <c r="FU10" s="79">
        <v>294591</v>
      </c>
      <c r="FV10" s="79">
        <v>58417</v>
      </c>
      <c r="FW10" s="79">
        <v>25109</v>
      </c>
      <c r="FX10" s="79">
        <v>213748</v>
      </c>
      <c r="FY10" s="79">
        <v>405199</v>
      </c>
      <c r="FZ10" s="79">
        <v>997064</v>
      </c>
      <c r="GA10" s="79">
        <v>74721</v>
      </c>
      <c r="GB10" s="79">
        <v>21693</v>
      </c>
      <c r="GC10" s="79">
        <v>30054</v>
      </c>
      <c r="GD10" s="79">
        <v>36732</v>
      </c>
      <c r="GE10" s="79">
        <v>54287</v>
      </c>
      <c r="GF10" s="79">
        <v>217487</v>
      </c>
      <c r="GG10" s="79">
        <v>3128013</v>
      </c>
      <c r="GH10" s="79">
        <v>189918</v>
      </c>
      <c r="GI10" s="79">
        <v>77708</v>
      </c>
      <c r="GJ10" s="79">
        <v>750259</v>
      </c>
      <c r="GK10" s="79">
        <v>4541508</v>
      </c>
      <c r="GL10" s="79">
        <v>8687406</v>
      </c>
      <c r="GM10" s="79">
        <v>3128013</v>
      </c>
      <c r="GN10" s="79">
        <v>189918</v>
      </c>
      <c r="GO10" s="79">
        <v>77708</v>
      </c>
      <c r="GP10" s="79">
        <v>750259</v>
      </c>
      <c r="GQ10" s="79">
        <v>4541508</v>
      </c>
      <c r="GR10" s="79">
        <v>8687406</v>
      </c>
      <c r="GS10" s="79">
        <v>500000</v>
      </c>
      <c r="GT10" s="79">
        <v>0</v>
      </c>
      <c r="GU10" s="79">
        <v>0</v>
      </c>
      <c r="GV10" s="79">
        <v>0</v>
      </c>
      <c r="GW10" s="79">
        <v>920190</v>
      </c>
      <c r="GX10" s="79">
        <v>1420190</v>
      </c>
      <c r="GY10" s="79">
        <v>36806282</v>
      </c>
      <c r="GZ10" s="79">
        <v>8016340</v>
      </c>
      <c r="HA10" s="79">
        <v>4663192</v>
      </c>
      <c r="HB10" s="79">
        <v>20629458</v>
      </c>
      <c r="HC10" s="79">
        <v>34431331</v>
      </c>
      <c r="HD10" s="79">
        <v>104546603</v>
      </c>
      <c r="HF10" s="7">
        <f>SUM(AZ10:AZ10)</f>
        <v>27225330</v>
      </c>
      <c r="HG10" s="7" t="e">
        <f>#REF!-HF10</f>
        <v>#REF!</v>
      </c>
      <c r="HH10" s="7" t="e">
        <f>SUM(#REF!)</f>
        <v>#REF!</v>
      </c>
      <c r="HI10" s="7" t="e">
        <f>#REF!-HH10</f>
        <v>#REF!</v>
      </c>
      <c r="HJ10" s="7">
        <f>SUM(BA10:BA10)</f>
        <v>2317218</v>
      </c>
      <c r="HK10" s="7" t="e">
        <f>#REF!-HJ10</f>
        <v>#REF!</v>
      </c>
      <c r="HL10" s="7">
        <f>SUM(BB10:BB10)</f>
        <v>25900212</v>
      </c>
      <c r="HM10" s="7" t="e">
        <f>#REF!-HL10</f>
        <v>#REF!</v>
      </c>
      <c r="HN10" s="7" t="e">
        <f>SUM(#REF!)</f>
        <v>#REF!</v>
      </c>
      <c r="HO10" s="7" t="e">
        <f>#REF!-HN10</f>
        <v>#REF!</v>
      </c>
      <c r="HP10" s="7" t="e">
        <f>SUM(#REF!)</f>
        <v>#REF!</v>
      </c>
      <c r="HQ10" s="7" t="e">
        <f>#REF!-HP10</f>
        <v>#REF!</v>
      </c>
      <c r="HR10" s="7" t="e">
        <f>SUM(#REF!)</f>
        <v>#REF!</v>
      </c>
      <c r="HS10" s="7" t="e">
        <f>#REF!-HR10</f>
        <v>#REF!</v>
      </c>
      <c r="HT10" s="7" t="e">
        <f>SUM(#REF!)</f>
        <v>#REF!</v>
      </c>
      <c r="HU10" s="7" t="e">
        <f>#REF!-HT10</f>
        <v>#REF!</v>
      </c>
      <c r="HV10" s="7" t="e">
        <f>SUM(#REF!)</f>
        <v>#REF!</v>
      </c>
      <c r="HW10" s="7" t="e">
        <f>#REF!-HV10</f>
        <v>#REF!</v>
      </c>
      <c r="HX10" s="7" t="e">
        <f>SUM(#REF!)</f>
        <v>#REF!</v>
      </c>
      <c r="HY10" s="7" t="e">
        <f>#REF!-HX10</f>
        <v>#REF!</v>
      </c>
      <c r="HZ10" s="7">
        <f>SUM(BC10:BC10)</f>
        <v>1098261</v>
      </c>
      <c r="IA10" s="7" t="e">
        <f>#REF!-HZ10</f>
        <v>#REF!</v>
      </c>
      <c r="IB10" s="7">
        <f>SUM(BD10:BD10)</f>
        <v>0</v>
      </c>
      <c r="IC10" s="7" t="e">
        <f>#REF!-IB10</f>
        <v>#REF!</v>
      </c>
      <c r="ID10" s="7">
        <f t="shared" si="1"/>
        <v>0</v>
      </c>
      <c r="IE10" s="7">
        <f t="shared" si="2"/>
        <v>0</v>
      </c>
      <c r="IF10" s="7">
        <f t="shared" si="3"/>
        <v>1086692</v>
      </c>
      <c r="IG10" s="7">
        <f t="shared" si="4"/>
        <v>0</v>
      </c>
      <c r="IH10" s="7">
        <f t="shared" si="5"/>
        <v>1844894</v>
      </c>
      <c r="II10" s="7">
        <f t="shared" si="6"/>
        <v>0</v>
      </c>
      <c r="IJ10" s="7">
        <f t="shared" si="7"/>
        <v>103680609</v>
      </c>
      <c r="IK10" s="7">
        <f t="shared" si="8"/>
        <v>0</v>
      </c>
      <c r="IL10" s="7">
        <f t="shared" si="9"/>
        <v>10405906</v>
      </c>
      <c r="IM10" s="7">
        <f t="shared" si="10"/>
        <v>0</v>
      </c>
      <c r="IN10" s="7">
        <f t="shared" si="11"/>
        <v>3190150</v>
      </c>
      <c r="IO10" s="7">
        <f t="shared" si="12"/>
        <v>0</v>
      </c>
      <c r="IP10" s="7">
        <f t="shared" si="13"/>
        <v>16899520</v>
      </c>
      <c r="IQ10" s="7">
        <f t="shared" si="14"/>
        <v>0</v>
      </c>
      <c r="IR10" s="7">
        <f t="shared" si="15"/>
        <v>0</v>
      </c>
      <c r="IS10" s="7">
        <f t="shared" si="16"/>
        <v>0</v>
      </c>
      <c r="IT10" s="7">
        <f t="shared" si="17"/>
        <v>17788400</v>
      </c>
      <c r="IU10" s="7">
        <f t="shared" si="18"/>
        <v>0</v>
      </c>
      <c r="IV10" s="7">
        <f t="shared" si="19"/>
        <v>0</v>
      </c>
      <c r="IW10" s="7">
        <f t="shared" si="20"/>
        <v>0</v>
      </c>
      <c r="IX10" s="7">
        <f t="shared" si="21"/>
        <v>2672664</v>
      </c>
      <c r="IY10" s="7">
        <f t="shared" si="22"/>
        <v>0</v>
      </c>
      <c r="IZ10" s="7">
        <f t="shared" si="23"/>
        <v>2796184</v>
      </c>
      <c r="JA10" s="7">
        <f t="shared" si="24"/>
        <v>0</v>
      </c>
      <c r="JB10" s="7">
        <f t="shared" si="25"/>
        <v>4376291</v>
      </c>
      <c r="JC10" s="7">
        <f t="shared" si="26"/>
        <v>0</v>
      </c>
      <c r="JD10" s="7">
        <f t="shared" si="27"/>
        <v>2532958</v>
      </c>
      <c r="JE10" s="7">
        <f t="shared" si="28"/>
        <v>0</v>
      </c>
      <c r="JF10" s="7">
        <f t="shared" si="29"/>
        <v>3322650</v>
      </c>
      <c r="JG10" s="7">
        <f t="shared" si="30"/>
        <v>0</v>
      </c>
      <c r="JH10" s="7">
        <f t="shared" si="31"/>
        <v>6158863</v>
      </c>
      <c r="JI10" s="7">
        <f t="shared" si="32"/>
        <v>0</v>
      </c>
      <c r="JJ10" s="7">
        <f t="shared" si="33"/>
        <v>0</v>
      </c>
      <c r="JK10" s="7">
        <f t="shared" si="34"/>
        <v>0</v>
      </c>
      <c r="JL10" s="7">
        <f t="shared" si="35"/>
        <v>22531368</v>
      </c>
      <c r="JM10" s="7">
        <f t="shared" si="36"/>
        <v>0</v>
      </c>
      <c r="JN10" s="7">
        <f t="shared" si="37"/>
        <v>549502</v>
      </c>
      <c r="JO10" s="7">
        <f t="shared" si="38"/>
        <v>0</v>
      </c>
      <c r="JP10" s="7">
        <f t="shared" si="39"/>
        <v>0</v>
      </c>
      <c r="JQ10" s="7">
        <f t="shared" si="40"/>
        <v>0</v>
      </c>
      <c r="JR10" s="7">
        <f t="shared" si="41"/>
        <v>997064</v>
      </c>
      <c r="JS10" s="7">
        <f t="shared" si="42"/>
        <v>0</v>
      </c>
      <c r="JT10" s="7">
        <f t="shared" si="43"/>
        <v>217487</v>
      </c>
      <c r="JU10" s="7">
        <f t="shared" si="44"/>
        <v>0</v>
      </c>
      <c r="JV10" s="7">
        <f t="shared" si="45"/>
        <v>8687406</v>
      </c>
      <c r="JW10" s="7">
        <f t="shared" si="46"/>
        <v>0</v>
      </c>
      <c r="JX10" s="7">
        <f t="shared" si="47"/>
        <v>8687406</v>
      </c>
      <c r="JY10" s="7">
        <f t="shared" si="48"/>
        <v>0</v>
      </c>
      <c r="JZ10" s="7">
        <f t="shared" si="49"/>
        <v>1420190</v>
      </c>
      <c r="KA10" s="7">
        <f t="shared" si="50"/>
        <v>0</v>
      </c>
      <c r="KB10" s="7">
        <f t="shared" si="51"/>
        <v>104546603</v>
      </c>
      <c r="KC10" s="7">
        <f t="shared" si="52"/>
        <v>0</v>
      </c>
      <c r="KE10" s="7" t="e">
        <f t="shared" si="0"/>
        <v>#REF!</v>
      </c>
      <c r="KG10" s="5" t="e">
        <f t="shared" si="53"/>
        <v>#REF!</v>
      </c>
    </row>
    <row r="11" spans="1:293" x14ac:dyDescent="0.15">
      <c r="A11" s="119" t="s">
        <v>223</v>
      </c>
      <c r="B11" s="17" t="s">
        <v>400</v>
      </c>
      <c r="C11" s="38">
        <v>150136</v>
      </c>
      <c r="D11" s="38">
        <v>2013</v>
      </c>
      <c r="E11" s="38">
        <v>1</v>
      </c>
      <c r="F11" s="38">
        <v>9</v>
      </c>
      <c r="G11" s="39">
        <v>6999</v>
      </c>
      <c r="H11" s="39">
        <v>9127</v>
      </c>
      <c r="I11" s="40">
        <v>449299380</v>
      </c>
      <c r="J11" s="40"/>
      <c r="K11" s="40">
        <v>0</v>
      </c>
      <c r="L11" s="40"/>
      <c r="M11" s="40">
        <v>11475000</v>
      </c>
      <c r="N11" s="40"/>
      <c r="O11" s="40">
        <v>0</v>
      </c>
      <c r="P11" s="40"/>
      <c r="Q11" s="40">
        <v>168775000</v>
      </c>
      <c r="R11" s="40"/>
      <c r="S11" s="40">
        <v>403151444</v>
      </c>
      <c r="T11" s="40"/>
      <c r="U11" s="40">
        <v>18770</v>
      </c>
      <c r="V11" s="40"/>
      <c r="W11" s="40">
        <v>33440</v>
      </c>
      <c r="X11" s="40"/>
      <c r="Y11" s="40">
        <v>21638</v>
      </c>
      <c r="Z11" s="40"/>
      <c r="AA11" s="40">
        <v>36728</v>
      </c>
      <c r="AB11" s="40"/>
      <c r="AC11" s="56">
        <v>7</v>
      </c>
      <c r="AD11" s="56">
        <v>12</v>
      </c>
      <c r="AE11" s="56">
        <v>0</v>
      </c>
      <c r="AF11" s="57">
        <v>3616969</v>
      </c>
      <c r="AG11" s="57">
        <v>3056228</v>
      </c>
      <c r="AH11" s="57">
        <v>258376</v>
      </c>
      <c r="AI11" s="57">
        <v>120288</v>
      </c>
      <c r="AJ11" s="57">
        <f>1413817/AK11</f>
        <v>201973.85714285713</v>
      </c>
      <c r="AK11" s="58">
        <v>7</v>
      </c>
      <c r="AL11" s="57">
        <f>1413817/AM11</f>
        <v>201973.85714285713</v>
      </c>
      <c r="AM11" s="58">
        <v>7</v>
      </c>
      <c r="AN11" s="57">
        <f>1009957/AO11</f>
        <v>100995.7</v>
      </c>
      <c r="AO11" s="58">
        <v>10</v>
      </c>
      <c r="AP11" s="57">
        <f>1009957/AQ11</f>
        <v>100995.7</v>
      </c>
      <c r="AQ11" s="58">
        <v>10</v>
      </c>
      <c r="AR11" s="57">
        <f>1754681/AS11</f>
        <v>103216.5294117647</v>
      </c>
      <c r="AS11" s="58">
        <v>17</v>
      </c>
      <c r="AT11" s="57">
        <f>1754681/AU11</f>
        <v>103216.5294117647</v>
      </c>
      <c r="AU11" s="58">
        <v>17</v>
      </c>
      <c r="AV11" s="57">
        <f>638691/AW11</f>
        <v>58062.818181818184</v>
      </c>
      <c r="AW11" s="58">
        <v>11</v>
      </c>
      <c r="AX11" s="57">
        <f>638691/AY11</f>
        <v>58062.818181818184</v>
      </c>
      <c r="AY11" s="58">
        <v>11</v>
      </c>
      <c r="AZ11" s="79">
        <v>321012</v>
      </c>
      <c r="BA11" s="79">
        <v>1035000</v>
      </c>
      <c r="BB11" s="79" t="e">
        <f>-#REF!-#REF!</f>
        <v>#REF!</v>
      </c>
      <c r="BC11" s="79">
        <v>55121</v>
      </c>
      <c r="BD11" s="79">
        <v>0</v>
      </c>
      <c r="BE11" s="79">
        <v>36299</v>
      </c>
      <c r="BF11" s="79">
        <v>13829</v>
      </c>
      <c r="BG11" s="79">
        <v>26760</v>
      </c>
      <c r="BH11" s="79">
        <f>100111+126832-BE11-BF11-BG11</f>
        <v>150055</v>
      </c>
      <c r="BI11" s="79">
        <v>0</v>
      </c>
      <c r="BJ11" s="79">
        <v>226943</v>
      </c>
      <c r="BK11" s="79">
        <v>0</v>
      </c>
      <c r="BL11" s="79">
        <v>0</v>
      </c>
      <c r="BM11" s="79">
        <v>0</v>
      </c>
      <c r="BN11" s="79">
        <v>0</v>
      </c>
      <c r="BO11" s="79">
        <v>76769</v>
      </c>
      <c r="BP11" s="79">
        <v>76769</v>
      </c>
      <c r="BQ11" s="79">
        <v>1350</v>
      </c>
      <c r="BR11" s="79">
        <v>0</v>
      </c>
      <c r="BS11" s="79">
        <v>30260</v>
      </c>
      <c r="BT11" s="79">
        <f>26817+51029-BQ11-BR11-BS11</f>
        <v>46236</v>
      </c>
      <c r="BU11" s="79">
        <v>274429</v>
      </c>
      <c r="BV11" s="79">
        <v>352275</v>
      </c>
      <c r="BW11" s="79">
        <v>2094051</v>
      </c>
      <c r="BX11" s="79">
        <v>270417</v>
      </c>
      <c r="BY11" s="79">
        <v>79733</v>
      </c>
      <c r="BZ11" s="79">
        <f>2612631+329333-BW11-BX11-BY11</f>
        <v>497763</v>
      </c>
      <c r="CA11" s="79">
        <v>18374035</v>
      </c>
      <c r="CB11" s="79">
        <v>21315999</v>
      </c>
      <c r="CC11" s="79">
        <v>2634922</v>
      </c>
      <c r="CD11" s="79">
        <v>386531</v>
      </c>
      <c r="CE11" s="79">
        <v>400283</v>
      </c>
      <c r="CF11" s="79">
        <f>3616969+3056228-CC11-CD11-CE11</f>
        <v>3251461</v>
      </c>
      <c r="CG11" s="79">
        <v>0</v>
      </c>
      <c r="CH11" s="79">
        <v>6673197</v>
      </c>
      <c r="CI11" s="79">
        <v>200000</v>
      </c>
      <c r="CJ11" s="79">
        <v>173000</v>
      </c>
      <c r="CK11" s="79">
        <v>0</v>
      </c>
      <c r="CL11" s="79">
        <f>373000-0-CI11-CJ11-CK11</f>
        <v>0</v>
      </c>
      <c r="CM11" s="79">
        <v>0</v>
      </c>
      <c r="CN11" s="79">
        <v>373000</v>
      </c>
      <c r="CO11" s="79">
        <f>512908+1142120</f>
        <v>1655028</v>
      </c>
      <c r="CP11" s="79">
        <f>363374+387246</f>
        <v>750620</v>
      </c>
      <c r="CQ11" s="79">
        <f>255352+313663</f>
        <v>569015</v>
      </c>
      <c r="CR11" s="79">
        <f>1413817+1754681+1009957+638691-CO11-CP11-CQ11</f>
        <v>1842483</v>
      </c>
      <c r="CS11" s="79">
        <v>0</v>
      </c>
      <c r="CT11" s="79">
        <v>4817146</v>
      </c>
      <c r="CU11" s="79">
        <v>0</v>
      </c>
      <c r="CV11" s="79">
        <v>0</v>
      </c>
      <c r="CW11" s="79">
        <v>0</v>
      </c>
      <c r="CX11" s="79">
        <v>0</v>
      </c>
      <c r="CY11" s="79">
        <v>0</v>
      </c>
      <c r="CZ11" s="79">
        <v>0</v>
      </c>
      <c r="DA11" s="79">
        <v>163290</v>
      </c>
      <c r="DB11" s="79">
        <v>24967</v>
      </c>
      <c r="DC11" s="79">
        <v>24967</v>
      </c>
      <c r="DD11" s="79">
        <f>188257+24967-DA11-DB11-DC11</f>
        <v>0</v>
      </c>
      <c r="DE11" s="79">
        <v>3402763</v>
      </c>
      <c r="DF11" s="79">
        <v>3615987</v>
      </c>
      <c r="DG11" s="79">
        <v>0</v>
      </c>
      <c r="DH11" s="79">
        <v>0</v>
      </c>
      <c r="DI11" s="79">
        <v>0</v>
      </c>
      <c r="DJ11" s="79">
        <v>0</v>
      </c>
      <c r="DK11" s="79">
        <v>0</v>
      </c>
      <c r="DL11" s="79">
        <v>0</v>
      </c>
      <c r="DM11" s="79">
        <v>0</v>
      </c>
      <c r="DN11" s="79">
        <v>0</v>
      </c>
      <c r="DO11" s="79">
        <v>0</v>
      </c>
      <c r="DP11" s="79">
        <v>72050</v>
      </c>
      <c r="DQ11" s="79">
        <v>0</v>
      </c>
      <c r="DR11" s="79">
        <v>72050</v>
      </c>
      <c r="DS11" s="79">
        <v>173111</v>
      </c>
      <c r="DT11" s="79">
        <v>53858</v>
      </c>
      <c r="DU11" s="79">
        <v>39350</v>
      </c>
      <c r="DV11" s="79">
        <f>258376+120288-DS11-DT11-DU11</f>
        <v>112345</v>
      </c>
      <c r="DW11" s="79">
        <v>3219</v>
      </c>
      <c r="DX11" s="79">
        <v>381883</v>
      </c>
      <c r="DY11" s="79">
        <v>731071</v>
      </c>
      <c r="DZ11" s="79">
        <v>167634</v>
      </c>
      <c r="EA11" s="79">
        <v>224118</v>
      </c>
      <c r="EB11" s="79">
        <f>1221175+741723-DY11-DZ11-EA11</f>
        <v>840075</v>
      </c>
      <c r="EC11" s="79">
        <v>3695</v>
      </c>
      <c r="ED11" s="79">
        <v>1966593</v>
      </c>
      <c r="EE11" s="79">
        <v>341561</v>
      </c>
      <c r="EF11" s="79">
        <v>24018</v>
      </c>
      <c r="EG11" s="79">
        <v>26884</v>
      </c>
      <c r="EH11" s="79">
        <f>465749+196023-EE11-EF11-EG11</f>
        <v>269309</v>
      </c>
      <c r="EI11" s="79">
        <v>121258</v>
      </c>
      <c r="EJ11" s="79">
        <v>783030</v>
      </c>
      <c r="EK11" s="79">
        <v>57912</v>
      </c>
      <c r="EL11" s="79">
        <v>72589</v>
      </c>
      <c r="EM11" s="79">
        <v>45372</v>
      </c>
      <c r="EN11" s="79">
        <f>168014+118138-EK11-EL11-EM11</f>
        <v>110279</v>
      </c>
      <c r="EO11" s="79">
        <v>212915</v>
      </c>
      <c r="EP11" s="79">
        <v>499067</v>
      </c>
      <c r="EQ11" s="79">
        <v>16996</v>
      </c>
      <c r="ER11" s="79">
        <v>4852</v>
      </c>
      <c r="ES11" s="79">
        <v>7642</v>
      </c>
      <c r="ET11" s="79">
        <f>24348+13519-EQ11-ER11-ES11</f>
        <v>8377</v>
      </c>
      <c r="EU11" s="79">
        <v>352685</v>
      </c>
      <c r="EV11" s="79">
        <v>390552</v>
      </c>
      <c r="EW11" s="79">
        <v>18648</v>
      </c>
      <c r="EX11" s="79">
        <v>3741</v>
      </c>
      <c r="EY11" s="79">
        <v>27567</v>
      </c>
      <c r="EZ11" s="79">
        <f>41611+63408-EW11-EX11-EY11</f>
        <v>55063</v>
      </c>
      <c r="FA11" s="79">
        <v>763</v>
      </c>
      <c r="FB11" s="79">
        <v>105782</v>
      </c>
      <c r="FC11" s="79">
        <v>13388</v>
      </c>
      <c r="FD11" s="79">
        <v>2709</v>
      </c>
      <c r="FE11" s="79">
        <v>116</v>
      </c>
      <c r="FF11" s="79">
        <f>21284+2377-FC11-FD11-FE11</f>
        <v>7448</v>
      </c>
      <c r="FG11" s="79">
        <v>94336</v>
      </c>
      <c r="FH11" s="79">
        <v>117997</v>
      </c>
      <c r="FI11" s="79">
        <v>0</v>
      </c>
      <c r="FJ11" s="79">
        <v>0</v>
      </c>
      <c r="FK11" s="79">
        <v>0</v>
      </c>
      <c r="FL11" s="79">
        <v>0</v>
      </c>
      <c r="FM11" s="79">
        <v>75901</v>
      </c>
      <c r="FN11" s="79">
        <v>75901</v>
      </c>
      <c r="FO11" s="79">
        <v>0</v>
      </c>
      <c r="FP11" s="79">
        <v>0</v>
      </c>
      <c r="FQ11" s="79">
        <v>0</v>
      </c>
      <c r="FR11" s="79">
        <v>0</v>
      </c>
      <c r="FS11" s="79">
        <v>1332265</v>
      </c>
      <c r="FT11" s="79">
        <v>1332265</v>
      </c>
      <c r="FU11" s="79">
        <v>77787</v>
      </c>
      <c r="FV11" s="79">
        <v>12212</v>
      </c>
      <c r="FW11" s="79">
        <v>3662</v>
      </c>
      <c r="FX11" s="79">
        <f>121394+57414-FU11-FV11-FW11</f>
        <v>85147</v>
      </c>
      <c r="FY11" s="79">
        <v>395351</v>
      </c>
      <c r="FZ11" s="79">
        <v>574159</v>
      </c>
      <c r="GA11" s="79">
        <v>206</v>
      </c>
      <c r="GB11" s="79">
        <v>0</v>
      </c>
      <c r="GC11" s="79">
        <v>748</v>
      </c>
      <c r="GD11" s="79">
        <f>16246+2621-GA11-GB11-GC11</f>
        <v>17913</v>
      </c>
      <c r="GE11" s="79">
        <v>252424</v>
      </c>
      <c r="GF11" s="79">
        <v>271291</v>
      </c>
      <c r="GG11" s="79">
        <v>327750</v>
      </c>
      <c r="GH11" s="79">
        <v>49862</v>
      </c>
      <c r="GI11" s="79">
        <v>32236</v>
      </c>
      <c r="GJ11" s="79">
        <f>480483+76157-GG11-GH11-GI11</f>
        <v>146792</v>
      </c>
      <c r="GK11" s="79">
        <v>120605</v>
      </c>
      <c r="GL11" s="79">
        <v>677245</v>
      </c>
      <c r="GM11" s="79">
        <v>6456670</v>
      </c>
      <c r="GN11" s="79">
        <v>1726593</v>
      </c>
      <c r="GO11" s="79">
        <v>1401960</v>
      </c>
      <c r="GP11" s="79">
        <f>10237454+6121511-GM11-GN11-GO11</f>
        <v>6773742</v>
      </c>
      <c r="GQ11" s="79">
        <v>6368180</v>
      </c>
      <c r="GR11" s="79">
        <v>22727145</v>
      </c>
      <c r="GS11" s="79">
        <v>0</v>
      </c>
      <c r="GT11" s="79">
        <v>0</v>
      </c>
      <c r="GU11" s="79">
        <v>0</v>
      </c>
      <c r="GV11" s="79">
        <v>0</v>
      </c>
      <c r="GW11" s="79">
        <v>0</v>
      </c>
      <c r="GX11" s="79">
        <v>0</v>
      </c>
      <c r="GY11" s="82">
        <v>6456670</v>
      </c>
      <c r="GZ11" s="82">
        <v>1726593</v>
      </c>
      <c r="HA11" s="82">
        <v>1401960</v>
      </c>
      <c r="HB11" s="82">
        <v>6773742</v>
      </c>
      <c r="HC11" s="82">
        <v>6368180</v>
      </c>
      <c r="HD11" s="82">
        <v>22727145</v>
      </c>
      <c r="HF11" s="7">
        <f>SUM(AZ11:AZ11)</f>
        <v>321012</v>
      </c>
      <c r="HG11" s="7" t="e">
        <f>#REF!-HF11</f>
        <v>#REF!</v>
      </c>
      <c r="HH11" s="7" t="e">
        <f>SUM(#REF!)</f>
        <v>#REF!</v>
      </c>
      <c r="HI11" s="7" t="e">
        <f>#REF!-HH11</f>
        <v>#REF!</v>
      </c>
      <c r="HJ11" s="7">
        <f>SUM(BA11:BA11)</f>
        <v>1035000</v>
      </c>
      <c r="HK11" s="7" t="e">
        <f>#REF!-HJ11</f>
        <v>#REF!</v>
      </c>
      <c r="HL11" s="7" t="e">
        <f>SUM(BB11:BB11)</f>
        <v>#REF!</v>
      </c>
      <c r="HM11" s="7" t="e">
        <f>#REF!-HL11</f>
        <v>#REF!</v>
      </c>
      <c r="HN11" s="7" t="e">
        <f>SUM(#REF!)</f>
        <v>#REF!</v>
      </c>
      <c r="HO11" s="7" t="e">
        <f>#REF!-HN11</f>
        <v>#REF!</v>
      </c>
      <c r="HP11" s="7" t="e">
        <f>SUM(#REF!)</f>
        <v>#REF!</v>
      </c>
      <c r="HQ11" s="7" t="e">
        <f>#REF!-HP11</f>
        <v>#REF!</v>
      </c>
      <c r="HR11" s="7" t="e">
        <f>SUM(#REF!)</f>
        <v>#REF!</v>
      </c>
      <c r="HS11" s="7" t="e">
        <f>#REF!-HR11</f>
        <v>#REF!</v>
      </c>
      <c r="HT11" s="7" t="e">
        <f>SUM(#REF!)</f>
        <v>#REF!</v>
      </c>
      <c r="HU11" s="7" t="e">
        <f>#REF!-HT11</f>
        <v>#REF!</v>
      </c>
      <c r="HV11" s="7" t="e">
        <f>SUM(#REF!)</f>
        <v>#REF!</v>
      </c>
      <c r="HW11" s="7" t="e">
        <f>#REF!-HV11</f>
        <v>#REF!</v>
      </c>
      <c r="HX11" s="7" t="e">
        <f>SUM(#REF!)</f>
        <v>#REF!</v>
      </c>
      <c r="HY11" s="7" t="e">
        <f>#REF!-HX11</f>
        <v>#REF!</v>
      </c>
      <c r="HZ11" s="7">
        <f>SUM(BC11:BC11)</f>
        <v>55121</v>
      </c>
      <c r="IA11" s="7" t="e">
        <f>#REF!-HZ11</f>
        <v>#REF!</v>
      </c>
      <c r="IB11" s="7">
        <f>SUM(BD11:BD11)</f>
        <v>0</v>
      </c>
      <c r="IC11" s="7" t="e">
        <f>#REF!-IB11</f>
        <v>#REF!</v>
      </c>
      <c r="ID11" s="7">
        <f t="shared" si="1"/>
        <v>226943</v>
      </c>
      <c r="IE11" s="7">
        <f t="shared" si="2"/>
        <v>0</v>
      </c>
      <c r="IF11" s="7">
        <f t="shared" si="3"/>
        <v>76769</v>
      </c>
      <c r="IG11" s="7">
        <f t="shared" si="4"/>
        <v>0</v>
      </c>
      <c r="IH11" s="7">
        <f t="shared" si="5"/>
        <v>352275</v>
      </c>
      <c r="II11" s="7">
        <f t="shared" si="6"/>
        <v>0</v>
      </c>
      <c r="IJ11" s="7">
        <f t="shared" si="7"/>
        <v>21315999</v>
      </c>
      <c r="IK11" s="7">
        <f t="shared" si="8"/>
        <v>0</v>
      </c>
      <c r="IL11" s="7">
        <f t="shared" si="9"/>
        <v>6673197</v>
      </c>
      <c r="IM11" s="7">
        <f t="shared" si="10"/>
        <v>0</v>
      </c>
      <c r="IN11" s="7">
        <f t="shared" si="11"/>
        <v>373000</v>
      </c>
      <c r="IO11" s="7">
        <f t="shared" si="12"/>
        <v>0</v>
      </c>
      <c r="IP11" s="7">
        <f t="shared" si="13"/>
        <v>4817146</v>
      </c>
      <c r="IQ11" s="7">
        <f t="shared" si="14"/>
        <v>0</v>
      </c>
      <c r="IR11" s="7">
        <f t="shared" si="15"/>
        <v>0</v>
      </c>
      <c r="IS11" s="7">
        <f t="shared" si="16"/>
        <v>0</v>
      </c>
      <c r="IT11" s="7">
        <f t="shared" si="17"/>
        <v>3615987</v>
      </c>
      <c r="IU11" s="7">
        <f t="shared" si="18"/>
        <v>0</v>
      </c>
      <c r="IV11" s="7">
        <f t="shared" si="19"/>
        <v>0</v>
      </c>
      <c r="IW11" s="7">
        <f t="shared" si="20"/>
        <v>0</v>
      </c>
      <c r="IX11" s="7">
        <f t="shared" si="21"/>
        <v>72050</v>
      </c>
      <c r="IY11" s="7">
        <f t="shared" si="22"/>
        <v>0</v>
      </c>
      <c r="IZ11" s="7">
        <f t="shared" si="23"/>
        <v>381883</v>
      </c>
      <c r="JA11" s="7">
        <f t="shared" si="24"/>
        <v>0</v>
      </c>
      <c r="JB11" s="7">
        <f t="shared" si="25"/>
        <v>1966593</v>
      </c>
      <c r="JC11" s="7">
        <f t="shared" si="26"/>
        <v>0</v>
      </c>
      <c r="JD11" s="7">
        <f t="shared" si="27"/>
        <v>783030</v>
      </c>
      <c r="JE11" s="7">
        <f t="shared" si="28"/>
        <v>0</v>
      </c>
      <c r="JF11" s="7">
        <f t="shared" si="29"/>
        <v>499067</v>
      </c>
      <c r="JG11" s="7">
        <f t="shared" si="30"/>
        <v>0</v>
      </c>
      <c r="JH11" s="7">
        <f t="shared" si="31"/>
        <v>390552</v>
      </c>
      <c r="JI11" s="7">
        <f t="shared" si="32"/>
        <v>0</v>
      </c>
      <c r="JJ11" s="7">
        <f t="shared" si="33"/>
        <v>105782</v>
      </c>
      <c r="JK11" s="7">
        <f t="shared" si="34"/>
        <v>0</v>
      </c>
      <c r="JL11" s="7">
        <f t="shared" si="35"/>
        <v>117997</v>
      </c>
      <c r="JM11" s="7">
        <f t="shared" si="36"/>
        <v>0</v>
      </c>
      <c r="JN11" s="7">
        <f t="shared" si="37"/>
        <v>75901</v>
      </c>
      <c r="JO11" s="7">
        <f t="shared" si="38"/>
        <v>0</v>
      </c>
      <c r="JP11" s="7">
        <f t="shared" si="39"/>
        <v>1332265</v>
      </c>
      <c r="JQ11" s="7">
        <f t="shared" si="40"/>
        <v>0</v>
      </c>
      <c r="JR11" s="7">
        <f t="shared" si="41"/>
        <v>574159</v>
      </c>
      <c r="JS11" s="7">
        <f t="shared" si="42"/>
        <v>0</v>
      </c>
      <c r="JT11" s="7">
        <f t="shared" si="43"/>
        <v>271291</v>
      </c>
      <c r="JU11" s="7">
        <f t="shared" si="44"/>
        <v>0</v>
      </c>
      <c r="JV11" s="7">
        <f t="shared" si="45"/>
        <v>677245</v>
      </c>
      <c r="JW11" s="7">
        <f t="shared" si="46"/>
        <v>0</v>
      </c>
      <c r="JX11" s="7">
        <f t="shared" si="47"/>
        <v>22727145</v>
      </c>
      <c r="JY11" s="7">
        <f t="shared" si="48"/>
        <v>0</v>
      </c>
      <c r="JZ11" s="7">
        <f t="shared" si="49"/>
        <v>0</v>
      </c>
      <c r="KA11" s="7">
        <f t="shared" si="50"/>
        <v>0</v>
      </c>
      <c r="KB11" s="7">
        <f t="shared" si="51"/>
        <v>22727145</v>
      </c>
      <c r="KC11" s="7">
        <f t="shared" si="52"/>
        <v>0</v>
      </c>
      <c r="KE11" s="7" t="e">
        <f t="shared" si="0"/>
        <v>#REF!</v>
      </c>
      <c r="KG11" s="5" t="e">
        <f t="shared" si="53"/>
        <v>#REF!</v>
      </c>
    </row>
    <row r="12" spans="1:293" x14ac:dyDescent="0.15">
      <c r="A12" s="121" t="s">
        <v>225</v>
      </c>
      <c r="B12" s="17" t="s">
        <v>400</v>
      </c>
      <c r="C12" s="38">
        <v>201441</v>
      </c>
      <c r="D12" s="38">
        <v>2013</v>
      </c>
      <c r="E12" s="38">
        <v>1</v>
      </c>
      <c r="F12" s="38">
        <v>9</v>
      </c>
      <c r="G12" s="39">
        <v>5987</v>
      </c>
      <c r="H12" s="39">
        <v>7678</v>
      </c>
      <c r="I12" s="40">
        <v>352221734</v>
      </c>
      <c r="J12" s="40"/>
      <c r="K12" s="40">
        <v>2201922</v>
      </c>
      <c r="L12" s="40"/>
      <c r="M12" s="40">
        <v>15220604</v>
      </c>
      <c r="N12" s="40"/>
      <c r="O12" s="40">
        <v>33684360</v>
      </c>
      <c r="P12" s="40"/>
      <c r="Q12" s="40">
        <v>114215000</v>
      </c>
      <c r="R12" s="40"/>
      <c r="S12" s="40">
        <v>2737071207</v>
      </c>
      <c r="T12" s="40"/>
      <c r="U12" s="40">
        <v>20311</v>
      </c>
      <c r="V12" s="40"/>
      <c r="W12" s="40">
        <v>27619</v>
      </c>
      <c r="X12" s="40"/>
      <c r="Y12" s="40">
        <v>24437</v>
      </c>
      <c r="Z12" s="40"/>
      <c r="AA12" s="40">
        <v>31636</v>
      </c>
      <c r="AB12" s="40"/>
      <c r="AC12" s="56">
        <v>7</v>
      </c>
      <c r="AD12" s="56">
        <v>11</v>
      </c>
      <c r="AE12" s="56">
        <v>0</v>
      </c>
      <c r="AF12" s="57">
        <v>3411346</v>
      </c>
      <c r="AG12" s="57"/>
      <c r="AH12" s="57">
        <v>330208</v>
      </c>
      <c r="AI12" s="57">
        <v>165368</v>
      </c>
      <c r="AJ12" s="57">
        <f>1211728.29/AK12</f>
        <v>191426.27014218009</v>
      </c>
      <c r="AK12" s="58">
        <v>6.33</v>
      </c>
      <c r="AL12" s="57">
        <f>1211728.29/AM12</f>
        <v>173104.04142857142</v>
      </c>
      <c r="AM12" s="58">
        <v>7</v>
      </c>
      <c r="AN12" s="57">
        <f>731981.71/AO12</f>
        <v>84426.956170703575</v>
      </c>
      <c r="AO12" s="58">
        <v>8.67</v>
      </c>
      <c r="AP12" s="57">
        <f>731981.71/AQ12</f>
        <v>81331.301111111112</v>
      </c>
      <c r="AQ12" s="58">
        <v>9</v>
      </c>
      <c r="AR12" s="57">
        <f>1661355/AS12</f>
        <v>96590.406976744183</v>
      </c>
      <c r="AS12" s="58">
        <v>17.2</v>
      </c>
      <c r="AT12" s="57">
        <f>1661355/AU12</f>
        <v>97726.76470588235</v>
      </c>
      <c r="AU12" s="58">
        <v>17</v>
      </c>
      <c r="AV12" s="57">
        <f>563899/AW12</f>
        <v>42082.014925373136</v>
      </c>
      <c r="AW12" s="58">
        <v>13.4</v>
      </c>
      <c r="AX12" s="57">
        <f>563899/AY12</f>
        <v>37593.26666666667</v>
      </c>
      <c r="AY12" s="58">
        <v>15</v>
      </c>
      <c r="AZ12" s="83">
        <v>1264222</v>
      </c>
      <c r="BA12" s="79">
        <v>1650000</v>
      </c>
      <c r="BB12" s="79">
        <v>157223</v>
      </c>
      <c r="BC12" s="79">
        <v>254219</v>
      </c>
      <c r="BD12" s="79">
        <v>0</v>
      </c>
      <c r="BE12" s="79">
        <v>41301</v>
      </c>
      <c r="BF12" s="79">
        <v>4100</v>
      </c>
      <c r="BG12" s="79">
        <v>0</v>
      </c>
      <c r="BH12" s="79">
        <f>119127+72085-BE12-BF12-BG12</f>
        <v>145811</v>
      </c>
      <c r="BI12" s="79">
        <v>403118</v>
      </c>
      <c r="BJ12" s="79">
        <v>594330</v>
      </c>
      <c r="BK12" s="79">
        <v>0</v>
      </c>
      <c r="BL12" s="79">
        <v>0</v>
      </c>
      <c r="BM12" s="79">
        <v>0</v>
      </c>
      <c r="BN12" s="79">
        <v>0</v>
      </c>
      <c r="BO12" s="79">
        <v>214443</v>
      </c>
      <c r="BP12" s="79">
        <v>214443</v>
      </c>
      <c r="BQ12" s="79">
        <v>0</v>
      </c>
      <c r="BR12" s="79">
        <v>0</v>
      </c>
      <c r="BS12" s="79">
        <v>0</v>
      </c>
      <c r="BT12" s="79">
        <v>0</v>
      </c>
      <c r="BU12" s="79">
        <v>169707</v>
      </c>
      <c r="BV12" s="79">
        <v>169707</v>
      </c>
      <c r="BW12" s="79">
        <v>3801729</v>
      </c>
      <c r="BX12" s="79">
        <v>601979</v>
      </c>
      <c r="BY12" s="79">
        <v>333261</v>
      </c>
      <c r="BZ12" s="79">
        <f>5004567+905778-BW12-BX12-BY12</f>
        <v>1173376</v>
      </c>
      <c r="CA12" s="79">
        <v>17701103</v>
      </c>
      <c r="CB12" s="79">
        <v>23611448</v>
      </c>
      <c r="CC12" s="79">
        <v>2086669</v>
      </c>
      <c r="CD12" s="79">
        <v>372302</v>
      </c>
      <c r="CE12" s="79"/>
      <c r="CF12" s="79"/>
      <c r="CG12" s="79"/>
      <c r="CH12" s="79">
        <v>5442181</v>
      </c>
      <c r="CI12" s="79">
        <v>455000</v>
      </c>
      <c r="CJ12" s="79">
        <v>155000</v>
      </c>
      <c r="CK12" s="79">
        <v>24500</v>
      </c>
      <c r="CL12" s="79">
        <f>610000+24500-CI12-CJ12-CK12</f>
        <v>0</v>
      </c>
      <c r="CM12" s="79">
        <v>0</v>
      </c>
      <c r="CN12" s="79">
        <v>634500</v>
      </c>
      <c r="CO12" s="79">
        <f>503723+1081928</f>
        <v>1585651</v>
      </c>
      <c r="CP12" s="79">
        <f>254951+245841</f>
        <v>500792</v>
      </c>
      <c r="CQ12" s="79">
        <f>195042+206884</f>
        <v>401926</v>
      </c>
      <c r="CR12" s="79">
        <f>1211728.29+1661355+731981.71+563899-CO12-CP12-CQ12</f>
        <v>1680595</v>
      </c>
      <c r="CS12" s="79">
        <v>0</v>
      </c>
      <c r="CT12" s="79">
        <v>4168964</v>
      </c>
      <c r="CU12" s="79">
        <v>0</v>
      </c>
      <c r="CV12" s="79">
        <v>0</v>
      </c>
      <c r="CW12" s="79">
        <v>0</v>
      </c>
      <c r="CX12" s="79">
        <v>0</v>
      </c>
      <c r="CY12" s="79">
        <v>0</v>
      </c>
      <c r="CZ12" s="79">
        <v>0</v>
      </c>
      <c r="DA12" s="79">
        <v>112122</v>
      </c>
      <c r="DB12" s="79">
        <v>37422</v>
      </c>
      <c r="DC12" s="79">
        <v>44097</v>
      </c>
      <c r="DD12" s="79">
        <f>186886+60623-DA12-DB12-DC12</f>
        <v>53868</v>
      </c>
      <c r="DE12" s="79">
        <v>2749796</v>
      </c>
      <c r="DF12" s="79">
        <v>2997305</v>
      </c>
      <c r="DG12" s="79">
        <v>0</v>
      </c>
      <c r="DH12" s="79">
        <v>0</v>
      </c>
      <c r="DI12" s="79">
        <v>0</v>
      </c>
      <c r="DJ12" s="79">
        <v>0</v>
      </c>
      <c r="DK12" s="79">
        <v>0</v>
      </c>
      <c r="DL12" s="79">
        <v>0</v>
      </c>
      <c r="DM12" s="79">
        <v>0</v>
      </c>
      <c r="DN12" s="79">
        <v>0</v>
      </c>
      <c r="DO12" s="79">
        <v>0</v>
      </c>
      <c r="DP12" s="79">
        <v>0</v>
      </c>
      <c r="DQ12" s="79">
        <v>0</v>
      </c>
      <c r="DR12" s="79"/>
      <c r="DS12" s="79">
        <v>172151</v>
      </c>
      <c r="DT12" s="79">
        <v>64963</v>
      </c>
      <c r="DU12" s="79">
        <v>76427</v>
      </c>
      <c r="DV12" s="79">
        <f>330208+165368-DS12-DT12-DU12</f>
        <v>182035</v>
      </c>
      <c r="DW12" s="79">
        <v>0</v>
      </c>
      <c r="DX12" s="79">
        <v>495576</v>
      </c>
      <c r="DY12" s="79">
        <v>829528</v>
      </c>
      <c r="DZ12" s="79">
        <v>154278</v>
      </c>
      <c r="EA12" s="79">
        <v>107212</v>
      </c>
      <c r="EB12" s="79">
        <f>1291346+424935-DY12-DZ12-EA12</f>
        <v>625263</v>
      </c>
      <c r="EC12" s="79">
        <v>0</v>
      </c>
      <c r="ED12" s="79">
        <v>1716281</v>
      </c>
      <c r="EE12" s="79">
        <v>379235</v>
      </c>
      <c r="EF12" s="79">
        <v>50148</v>
      </c>
      <c r="EG12" s="79">
        <v>33872</v>
      </c>
      <c r="EH12" s="79">
        <f>678534+248312-EE12-EF12-EG12</f>
        <v>463591</v>
      </c>
      <c r="EI12" s="79">
        <v>215564</v>
      </c>
      <c r="EJ12" s="79">
        <v>1142410</v>
      </c>
      <c r="EK12" s="79">
        <v>0</v>
      </c>
      <c r="EL12" s="79">
        <v>65820</v>
      </c>
      <c r="EM12" s="79">
        <v>66481</v>
      </c>
      <c r="EN12" s="79">
        <f>100736+67055-EK12-EL12-EM12</f>
        <v>35490</v>
      </c>
      <c r="EO12" s="79">
        <v>103985</v>
      </c>
      <c r="EP12" s="79">
        <v>271776</v>
      </c>
      <c r="EQ12" s="79">
        <v>0</v>
      </c>
      <c r="ER12" s="79">
        <v>0</v>
      </c>
      <c r="ES12" s="79">
        <v>0</v>
      </c>
      <c r="ET12" s="79">
        <v>0</v>
      </c>
      <c r="EU12" s="79">
        <v>185595</v>
      </c>
      <c r="EV12" s="79">
        <v>185595</v>
      </c>
      <c r="EW12" s="79">
        <v>18461</v>
      </c>
      <c r="EX12" s="79">
        <v>6627</v>
      </c>
      <c r="EY12" s="79">
        <v>0</v>
      </c>
      <c r="EZ12" s="79">
        <f>75822+29926-EW12-EX12-EY12</f>
        <v>80660</v>
      </c>
      <c r="FA12" s="79">
        <v>83245</v>
      </c>
      <c r="FB12" s="79">
        <v>188993</v>
      </c>
      <c r="FC12" s="79">
        <v>0</v>
      </c>
      <c r="FD12" s="79">
        <v>0</v>
      </c>
      <c r="FE12" s="79">
        <v>0</v>
      </c>
      <c r="FF12" s="79">
        <v>0</v>
      </c>
      <c r="FG12" s="79">
        <v>561365</v>
      </c>
      <c r="FH12" s="79">
        <v>561365</v>
      </c>
      <c r="FI12" s="79">
        <v>0</v>
      </c>
      <c r="FJ12" s="79">
        <v>0</v>
      </c>
      <c r="FK12" s="79">
        <v>0</v>
      </c>
      <c r="FL12" s="79">
        <v>0</v>
      </c>
      <c r="FM12" s="79">
        <v>0</v>
      </c>
      <c r="FN12" s="79">
        <v>0</v>
      </c>
      <c r="FO12" s="79">
        <v>0</v>
      </c>
      <c r="FP12" s="79">
        <v>0</v>
      </c>
      <c r="FQ12" s="79">
        <v>0</v>
      </c>
      <c r="FR12" s="79">
        <v>0</v>
      </c>
      <c r="FS12" s="79">
        <v>1908418</v>
      </c>
      <c r="FT12" s="79">
        <v>1908418</v>
      </c>
      <c r="FU12" s="79">
        <v>0</v>
      </c>
      <c r="FV12" s="79">
        <v>0</v>
      </c>
      <c r="FW12" s="79">
        <v>0</v>
      </c>
      <c r="FX12" s="79">
        <v>0</v>
      </c>
      <c r="FY12" s="79">
        <v>200802</v>
      </c>
      <c r="FZ12" s="79">
        <v>200802</v>
      </c>
      <c r="GA12" s="79">
        <v>0</v>
      </c>
      <c r="GB12" s="79">
        <v>0</v>
      </c>
      <c r="GC12" s="79">
        <v>0</v>
      </c>
      <c r="GD12" s="79">
        <v>0</v>
      </c>
      <c r="GE12" s="79">
        <v>265351</v>
      </c>
      <c r="GF12" s="79">
        <v>265351</v>
      </c>
      <c r="GG12" s="79">
        <v>93366</v>
      </c>
      <c r="GH12" s="79">
        <v>25731</v>
      </c>
      <c r="GI12" s="79">
        <v>18077</v>
      </c>
      <c r="GJ12" s="79">
        <f>147204+44723-GG12-GH12-GI12</f>
        <v>54753</v>
      </c>
      <c r="GK12" s="79">
        <v>330044</v>
      </c>
      <c r="GL12" s="79">
        <v>521971</v>
      </c>
      <c r="GM12" s="79">
        <v>5732183</v>
      </c>
      <c r="GN12" s="79">
        <v>1433083</v>
      </c>
      <c r="GO12" s="79">
        <v>1069714</v>
      </c>
      <c r="GP12" s="79">
        <f>9705165.29+4392157.71-GM12-GN12-GO12</f>
        <v>5862343</v>
      </c>
      <c r="GQ12" s="79">
        <v>6604165</v>
      </c>
      <c r="GR12" s="79">
        <v>20701488</v>
      </c>
      <c r="GS12" s="79">
        <v>0</v>
      </c>
      <c r="GT12" s="79">
        <v>0</v>
      </c>
      <c r="GU12" s="79">
        <v>0</v>
      </c>
      <c r="GV12" s="79">
        <v>0</v>
      </c>
      <c r="GW12" s="79">
        <v>0</v>
      </c>
      <c r="GX12" s="79">
        <v>0</v>
      </c>
      <c r="GY12" s="82">
        <v>5732183</v>
      </c>
      <c r="GZ12" s="82">
        <v>1433083</v>
      </c>
      <c r="HA12" s="82">
        <v>1069714</v>
      </c>
      <c r="HB12" s="82">
        <v>5862343</v>
      </c>
      <c r="HC12" s="82">
        <v>6604165</v>
      </c>
      <c r="HD12" s="82">
        <v>20701488</v>
      </c>
      <c r="HF12" s="7">
        <f>SUM(AZ12:AZ12)</f>
        <v>1264222</v>
      </c>
      <c r="HG12" s="7" t="e">
        <f>#REF!-HF12</f>
        <v>#REF!</v>
      </c>
      <c r="HH12" s="7" t="e">
        <f>SUM(#REF!)</f>
        <v>#REF!</v>
      </c>
      <c r="HI12" s="7" t="e">
        <f>#REF!-HH12</f>
        <v>#REF!</v>
      </c>
      <c r="HJ12" s="7">
        <f>SUM(BA12:BA12)</f>
        <v>1650000</v>
      </c>
      <c r="HK12" s="7" t="e">
        <f>#REF!-HJ12</f>
        <v>#REF!</v>
      </c>
      <c r="HL12" s="7">
        <f>SUM(BB12:BB12)</f>
        <v>157223</v>
      </c>
      <c r="HM12" s="7" t="e">
        <f>#REF!-HL12</f>
        <v>#REF!</v>
      </c>
      <c r="HN12" s="7" t="e">
        <f>SUM(#REF!)</f>
        <v>#REF!</v>
      </c>
      <c r="HO12" s="7" t="e">
        <f>#REF!-HN12</f>
        <v>#REF!</v>
      </c>
      <c r="HP12" s="7" t="e">
        <f>SUM(#REF!)</f>
        <v>#REF!</v>
      </c>
      <c r="HQ12" s="7" t="e">
        <f>#REF!-HP12</f>
        <v>#REF!</v>
      </c>
      <c r="HR12" s="7" t="e">
        <f>SUM(#REF!)</f>
        <v>#REF!</v>
      </c>
      <c r="HS12" s="7" t="e">
        <f>#REF!-HR12</f>
        <v>#REF!</v>
      </c>
      <c r="HT12" s="7" t="e">
        <f>SUM(#REF!)</f>
        <v>#REF!</v>
      </c>
      <c r="HU12" s="7" t="e">
        <f>#REF!-HT12</f>
        <v>#REF!</v>
      </c>
      <c r="HV12" s="7" t="e">
        <f>SUM(#REF!)</f>
        <v>#REF!</v>
      </c>
      <c r="HW12" s="7" t="e">
        <f>#REF!-HV12</f>
        <v>#REF!</v>
      </c>
      <c r="HX12" s="7" t="e">
        <f>SUM(#REF!)</f>
        <v>#REF!</v>
      </c>
      <c r="HY12" s="7" t="e">
        <f>#REF!-HX12</f>
        <v>#REF!</v>
      </c>
      <c r="HZ12" s="7">
        <f>SUM(BC12:BC12)</f>
        <v>254219</v>
      </c>
      <c r="IA12" s="7" t="e">
        <f>#REF!-HZ12</f>
        <v>#REF!</v>
      </c>
      <c r="IB12" s="7">
        <f>SUM(BD12:BD12)</f>
        <v>0</v>
      </c>
      <c r="IC12" s="7" t="e">
        <f>#REF!-IB12</f>
        <v>#REF!</v>
      </c>
      <c r="ID12" s="7">
        <f t="shared" si="1"/>
        <v>594330</v>
      </c>
      <c r="IE12" s="7">
        <f t="shared" si="2"/>
        <v>0</v>
      </c>
      <c r="IF12" s="7">
        <f t="shared" si="3"/>
        <v>214443</v>
      </c>
      <c r="IG12" s="7">
        <f t="shared" si="4"/>
        <v>0</v>
      </c>
      <c r="IH12" s="7">
        <f t="shared" si="5"/>
        <v>169707</v>
      </c>
      <c r="II12" s="7">
        <f t="shared" si="6"/>
        <v>0</v>
      </c>
      <c r="IJ12" s="7">
        <f t="shared" si="7"/>
        <v>23611448</v>
      </c>
      <c r="IK12" s="7">
        <f t="shared" si="8"/>
        <v>0</v>
      </c>
      <c r="IL12" s="7">
        <f t="shared" si="9"/>
        <v>2458971</v>
      </c>
      <c r="IM12" s="7">
        <f t="shared" si="10"/>
        <v>2983210</v>
      </c>
      <c r="IN12" s="7">
        <f t="shared" si="11"/>
        <v>634500</v>
      </c>
      <c r="IO12" s="7">
        <f t="shared" si="12"/>
        <v>0</v>
      </c>
      <c r="IP12" s="7">
        <f t="shared" si="13"/>
        <v>4168964</v>
      </c>
      <c r="IQ12" s="7">
        <f t="shared" si="14"/>
        <v>0</v>
      </c>
      <c r="IR12" s="7">
        <f t="shared" si="15"/>
        <v>0</v>
      </c>
      <c r="IS12" s="7">
        <f t="shared" si="16"/>
        <v>0</v>
      </c>
      <c r="IT12" s="7">
        <f t="shared" si="17"/>
        <v>2997305</v>
      </c>
      <c r="IU12" s="7">
        <f t="shared" si="18"/>
        <v>0</v>
      </c>
      <c r="IV12" s="7">
        <f t="shared" si="19"/>
        <v>0</v>
      </c>
      <c r="IW12" s="7">
        <f t="shared" si="20"/>
        <v>0</v>
      </c>
      <c r="IX12" s="7">
        <f t="shared" si="21"/>
        <v>0</v>
      </c>
      <c r="IY12" s="7">
        <f t="shared" si="22"/>
        <v>0</v>
      </c>
      <c r="IZ12" s="7">
        <f t="shared" si="23"/>
        <v>495576</v>
      </c>
      <c r="JA12" s="7">
        <f t="shared" si="24"/>
        <v>0</v>
      </c>
      <c r="JB12" s="7">
        <f t="shared" si="25"/>
        <v>1716281</v>
      </c>
      <c r="JC12" s="7">
        <f t="shared" si="26"/>
        <v>0</v>
      </c>
      <c r="JD12" s="7">
        <f t="shared" si="27"/>
        <v>1142410</v>
      </c>
      <c r="JE12" s="7">
        <f t="shared" si="28"/>
        <v>0</v>
      </c>
      <c r="JF12" s="7">
        <f t="shared" si="29"/>
        <v>271776</v>
      </c>
      <c r="JG12" s="7">
        <f t="shared" si="30"/>
        <v>0</v>
      </c>
      <c r="JH12" s="7">
        <f t="shared" si="31"/>
        <v>185595</v>
      </c>
      <c r="JI12" s="7">
        <f t="shared" si="32"/>
        <v>0</v>
      </c>
      <c r="JJ12" s="7">
        <f t="shared" si="33"/>
        <v>188993</v>
      </c>
      <c r="JK12" s="7">
        <f t="shared" si="34"/>
        <v>0</v>
      </c>
      <c r="JL12" s="7">
        <f t="shared" si="35"/>
        <v>561365</v>
      </c>
      <c r="JM12" s="7">
        <f t="shared" si="36"/>
        <v>0</v>
      </c>
      <c r="JN12" s="7">
        <f t="shared" si="37"/>
        <v>0</v>
      </c>
      <c r="JO12" s="7">
        <f t="shared" si="38"/>
        <v>0</v>
      </c>
      <c r="JP12" s="7">
        <f t="shared" si="39"/>
        <v>1908418</v>
      </c>
      <c r="JQ12" s="7">
        <f t="shared" si="40"/>
        <v>0</v>
      </c>
      <c r="JR12" s="7">
        <f t="shared" si="41"/>
        <v>200802</v>
      </c>
      <c r="JS12" s="7">
        <f t="shared" si="42"/>
        <v>0</v>
      </c>
      <c r="JT12" s="7">
        <f t="shared" si="43"/>
        <v>265351</v>
      </c>
      <c r="JU12" s="7">
        <f t="shared" si="44"/>
        <v>0</v>
      </c>
      <c r="JV12" s="7">
        <f t="shared" si="45"/>
        <v>521971</v>
      </c>
      <c r="JW12" s="7">
        <f t="shared" si="46"/>
        <v>0</v>
      </c>
      <c r="JX12" s="7">
        <f t="shared" si="47"/>
        <v>20701488</v>
      </c>
      <c r="JY12" s="7">
        <f t="shared" si="48"/>
        <v>0</v>
      </c>
      <c r="JZ12" s="7">
        <f t="shared" si="49"/>
        <v>0</v>
      </c>
      <c r="KA12" s="7">
        <f t="shared" si="50"/>
        <v>0</v>
      </c>
      <c r="KB12" s="7">
        <f t="shared" si="51"/>
        <v>20701488</v>
      </c>
      <c r="KC12" s="7">
        <f t="shared" si="52"/>
        <v>0</v>
      </c>
      <c r="KE12" s="7" t="e">
        <f t="shared" si="0"/>
        <v>#REF!</v>
      </c>
      <c r="KG12" s="5" t="e">
        <f t="shared" si="53"/>
        <v>#REF!</v>
      </c>
    </row>
    <row r="13" spans="1:293" x14ac:dyDescent="0.15">
      <c r="A13" s="119" t="s">
        <v>226</v>
      </c>
      <c r="B13" s="17" t="s">
        <v>342</v>
      </c>
      <c r="C13" s="38">
        <v>181464</v>
      </c>
      <c r="D13" s="38">
        <v>2013</v>
      </c>
      <c r="E13" s="38">
        <v>1</v>
      </c>
      <c r="F13" s="38">
        <v>9</v>
      </c>
      <c r="G13" s="39">
        <v>9625</v>
      </c>
      <c r="H13" s="39">
        <v>7948</v>
      </c>
      <c r="I13" s="40">
        <v>1198984903</v>
      </c>
      <c r="J13" s="40"/>
      <c r="K13" s="40">
        <v>0</v>
      </c>
      <c r="L13" s="40"/>
      <c r="M13" s="40">
        <v>16489568</v>
      </c>
      <c r="N13" s="40"/>
      <c r="O13" s="40">
        <v>0</v>
      </c>
      <c r="P13" s="40"/>
      <c r="Q13" s="40">
        <v>330608163</v>
      </c>
      <c r="R13" s="40"/>
      <c r="S13" s="40">
        <v>119894903</v>
      </c>
      <c r="T13" s="40"/>
      <c r="U13" s="40">
        <v>19799</v>
      </c>
      <c r="V13" s="40"/>
      <c r="W13" s="40">
        <v>30419</v>
      </c>
      <c r="X13" s="40"/>
      <c r="Y13" s="40">
        <v>22514</v>
      </c>
      <c r="Z13" s="40"/>
      <c r="AA13" s="40">
        <v>33134</v>
      </c>
      <c r="AB13" s="40"/>
      <c r="AC13" s="56">
        <v>10</v>
      </c>
      <c r="AD13" s="56">
        <v>10</v>
      </c>
      <c r="AE13" s="56">
        <v>0</v>
      </c>
      <c r="AF13" s="57">
        <v>4175388</v>
      </c>
      <c r="AG13" s="57">
        <v>3102116</v>
      </c>
      <c r="AH13" s="57">
        <v>309306</v>
      </c>
      <c r="AI13" s="57">
        <v>143842</v>
      </c>
      <c r="AJ13" s="57">
        <f>(988722+33461)/AK13</f>
        <v>140602.88858321871</v>
      </c>
      <c r="AK13" s="58">
        <v>7.27</v>
      </c>
      <c r="AL13" s="57">
        <f>(988722+33461)/AM13</f>
        <v>113575.88888888889</v>
      </c>
      <c r="AM13" s="58">
        <v>9</v>
      </c>
      <c r="AN13" s="57">
        <f>(603118+25815)/AO13</f>
        <v>83857.733333333337</v>
      </c>
      <c r="AO13" s="58">
        <v>7.5</v>
      </c>
      <c r="AP13" s="57">
        <f>(603118+25815)/AQ13</f>
        <v>78616.625</v>
      </c>
      <c r="AQ13" s="58">
        <v>8</v>
      </c>
      <c r="AR13" s="57">
        <f>(1494131+48755)/AS13</f>
        <v>68664.263462394301</v>
      </c>
      <c r="AS13" s="58">
        <v>22.47</v>
      </c>
      <c r="AT13" s="57">
        <f>(1494131+48755)/AU13</f>
        <v>49770.516129032258</v>
      </c>
      <c r="AU13" s="58">
        <v>31</v>
      </c>
      <c r="AV13" s="57">
        <f>(692172+26046)/AW13</f>
        <v>48924.93188010899</v>
      </c>
      <c r="AW13" s="58">
        <v>14.68</v>
      </c>
      <c r="AX13" s="57">
        <f>(692172+26046)/AY13</f>
        <v>34200.857142857145</v>
      </c>
      <c r="AY13" s="58">
        <v>21</v>
      </c>
      <c r="AZ13" s="79">
        <v>655135</v>
      </c>
      <c r="BA13" s="79">
        <v>1125000</v>
      </c>
      <c r="BB13" s="79">
        <v>58325</v>
      </c>
      <c r="BC13" s="79">
        <v>56177</v>
      </c>
      <c r="BD13" s="79">
        <v>189372</v>
      </c>
      <c r="BE13" s="79">
        <v>3300</v>
      </c>
      <c r="BF13" s="79">
        <v>32311</v>
      </c>
      <c r="BG13" s="79">
        <v>823</v>
      </c>
      <c r="BH13" s="79">
        <f>140066+79179-BE13-BF13-BG13</f>
        <v>182811</v>
      </c>
      <c r="BI13" s="79">
        <v>49427</v>
      </c>
      <c r="BJ13" s="79">
        <v>268672</v>
      </c>
      <c r="BK13" s="79">
        <v>72532</v>
      </c>
      <c r="BL13" s="79">
        <v>61436</v>
      </c>
      <c r="BM13" s="79">
        <v>0</v>
      </c>
      <c r="BN13" s="79">
        <f>139067+6937-BK13-BL13-BM13</f>
        <v>12036</v>
      </c>
      <c r="BO13" s="79">
        <v>0</v>
      </c>
      <c r="BP13" s="79">
        <v>146004</v>
      </c>
      <c r="BQ13" s="79">
        <v>6036</v>
      </c>
      <c r="BR13" s="79">
        <v>2798</v>
      </c>
      <c r="BS13" s="79">
        <v>56</v>
      </c>
      <c r="BT13" s="79">
        <f>19476+6426-BQ13-BR13-BS13</f>
        <v>17012</v>
      </c>
      <c r="BU13" s="79">
        <v>225552</v>
      </c>
      <c r="BV13" s="79">
        <v>251454</v>
      </c>
      <c r="BW13" s="79">
        <v>6054188</v>
      </c>
      <c r="BX13" s="79">
        <v>2067493</v>
      </c>
      <c r="BY13" s="79">
        <v>1215908</v>
      </c>
      <c r="BZ13" s="79">
        <f>10958838+5971014-BW13-BX13-BY13</f>
        <v>7592263</v>
      </c>
      <c r="CA13" s="79">
        <v>12034198</v>
      </c>
      <c r="CB13" s="79">
        <v>28964050</v>
      </c>
      <c r="CC13" s="79">
        <v>2468579</v>
      </c>
      <c r="CD13" s="79">
        <v>420048</v>
      </c>
      <c r="CE13" s="79">
        <v>399396</v>
      </c>
      <c r="CF13" s="79">
        <f>4175388+3102116-CC13-CD13-CE13</f>
        <v>3989481</v>
      </c>
      <c r="CG13" s="79">
        <v>0</v>
      </c>
      <c r="CH13" s="79">
        <v>7277504</v>
      </c>
      <c r="CI13" s="79">
        <v>465000</v>
      </c>
      <c r="CJ13" s="79">
        <v>5500</v>
      </c>
      <c r="CK13" s="79">
        <v>1000</v>
      </c>
      <c r="CL13" s="79">
        <f>470500+8062-CI13-CJ13-CK13</f>
        <v>7062</v>
      </c>
      <c r="CM13" s="79">
        <v>0</v>
      </c>
      <c r="CN13" s="79">
        <v>478562</v>
      </c>
      <c r="CO13" s="79">
        <f>364146+963345</f>
        <v>1327491</v>
      </c>
      <c r="CP13" s="79">
        <f>276882+220720</f>
        <v>497602</v>
      </c>
      <c r="CQ13" s="79">
        <f>163093+201208</f>
        <v>364301</v>
      </c>
      <c r="CR13" s="79">
        <f>988722+1494131+603118+692172-CO13-CP13-CQ13</f>
        <v>1588749</v>
      </c>
      <c r="CS13" s="84">
        <v>0</v>
      </c>
      <c r="CT13" s="79">
        <v>3778143</v>
      </c>
      <c r="CU13" s="79">
        <v>3603</v>
      </c>
      <c r="CV13" s="79">
        <f>9811+15331</f>
        <v>25142</v>
      </c>
      <c r="CW13" s="79">
        <f>0</f>
        <v>0</v>
      </c>
      <c r="CX13" s="79">
        <f>33461+48755+25815+26046-CU13-CV13-CW13</f>
        <v>105332</v>
      </c>
      <c r="CY13" s="79">
        <v>0</v>
      </c>
      <c r="CZ13" s="79">
        <v>134077</v>
      </c>
      <c r="DA13" s="79">
        <v>0</v>
      </c>
      <c r="DB13" s="79">
        <v>0</v>
      </c>
      <c r="DC13" s="79">
        <v>0</v>
      </c>
      <c r="DD13" s="79">
        <v>0</v>
      </c>
      <c r="DE13" s="79">
        <v>4656914</v>
      </c>
      <c r="DF13" s="79">
        <v>4656914</v>
      </c>
      <c r="DG13" s="79">
        <v>0</v>
      </c>
      <c r="DH13" s="79">
        <v>0</v>
      </c>
      <c r="DI13" s="79">
        <v>0</v>
      </c>
      <c r="DJ13" s="79">
        <v>0</v>
      </c>
      <c r="DK13" s="79">
        <v>0</v>
      </c>
      <c r="DL13" s="79">
        <v>0</v>
      </c>
      <c r="DM13" s="79">
        <v>0</v>
      </c>
      <c r="DN13" s="79">
        <v>606927</v>
      </c>
      <c r="DO13" s="79">
        <v>149895</v>
      </c>
      <c r="DP13" s="79">
        <f>639591+170461-DM13-DN13-DO13</f>
        <v>53230</v>
      </c>
      <c r="DQ13" s="79">
        <v>0</v>
      </c>
      <c r="DR13" s="79">
        <v>810052</v>
      </c>
      <c r="DS13" s="79">
        <v>186915</v>
      </c>
      <c r="DT13" s="79">
        <v>59796</v>
      </c>
      <c r="DU13" s="79">
        <v>53523</v>
      </c>
      <c r="DV13" s="79">
        <f>309306+143842-DS13-DT13-DU13</f>
        <v>152914</v>
      </c>
      <c r="DW13" s="79">
        <v>0</v>
      </c>
      <c r="DX13" s="79">
        <v>453148</v>
      </c>
      <c r="DY13" s="79">
        <v>833608</v>
      </c>
      <c r="DZ13" s="79">
        <v>211276</v>
      </c>
      <c r="EA13" s="79">
        <v>105000</v>
      </c>
      <c r="EB13" s="79">
        <f>1464936+695425-DY13-DZ13-EA13</f>
        <v>1010477</v>
      </c>
      <c r="EC13" s="79">
        <v>246749</v>
      </c>
      <c r="ED13" s="79">
        <v>2407110</v>
      </c>
      <c r="EE13" s="79">
        <v>433266</v>
      </c>
      <c r="EF13" s="79">
        <v>57953</v>
      </c>
      <c r="EG13" s="79">
        <v>46963</v>
      </c>
      <c r="EH13" s="79">
        <f>626202+213603-EE13-EF13-EG13</f>
        <v>301623</v>
      </c>
      <c r="EI13" s="79">
        <v>2586787</v>
      </c>
      <c r="EJ13" s="79">
        <v>3426592</v>
      </c>
      <c r="EK13" s="79">
        <v>228497</v>
      </c>
      <c r="EL13" s="79">
        <v>128551</v>
      </c>
      <c r="EM13" s="79">
        <v>74025</v>
      </c>
      <c r="EN13" s="79">
        <f>395954+108368-EK13-EL13-EM13</f>
        <v>73249</v>
      </c>
      <c r="EO13" s="79">
        <v>15060</v>
      </c>
      <c r="EP13" s="79">
        <v>519382</v>
      </c>
      <c r="EQ13" s="79">
        <v>0</v>
      </c>
      <c r="ER13" s="79">
        <v>0</v>
      </c>
      <c r="ES13" s="79">
        <v>0</v>
      </c>
      <c r="ET13" s="79">
        <v>0</v>
      </c>
      <c r="EU13" s="79">
        <v>115821</v>
      </c>
      <c r="EV13" s="79">
        <v>115821</v>
      </c>
      <c r="EW13" s="79">
        <v>3300</v>
      </c>
      <c r="EX13" s="79">
        <v>32311</v>
      </c>
      <c r="EY13" s="79">
        <v>823</v>
      </c>
      <c r="EZ13" s="79">
        <f>140066+79179-EW13-EX13-EY13</f>
        <v>182811</v>
      </c>
      <c r="FA13" s="79">
        <v>49427</v>
      </c>
      <c r="FB13" s="79">
        <v>268672</v>
      </c>
      <c r="FC13" s="79">
        <v>0</v>
      </c>
      <c r="FD13" s="79">
        <v>0</v>
      </c>
      <c r="FE13" s="79">
        <v>0</v>
      </c>
      <c r="FF13" s="79">
        <v>0</v>
      </c>
      <c r="FG13" s="79">
        <v>54404</v>
      </c>
      <c r="FH13" s="79">
        <v>54404</v>
      </c>
      <c r="FI13" s="79">
        <v>0</v>
      </c>
      <c r="FJ13" s="79">
        <v>0</v>
      </c>
      <c r="FK13" s="79">
        <v>0</v>
      </c>
      <c r="FL13" s="79">
        <v>0</v>
      </c>
      <c r="FM13" s="79">
        <v>15527</v>
      </c>
      <c r="FN13" s="79">
        <v>15527</v>
      </c>
      <c r="FO13" s="79">
        <v>0</v>
      </c>
      <c r="FP13" s="79">
        <v>0</v>
      </c>
      <c r="FQ13" s="79">
        <v>0</v>
      </c>
      <c r="FR13" s="79">
        <v>0</v>
      </c>
      <c r="FS13" s="79">
        <v>1997506</v>
      </c>
      <c r="FT13" s="79">
        <v>1997506</v>
      </c>
      <c r="FU13" s="79">
        <v>0</v>
      </c>
      <c r="FV13" s="79">
        <v>0</v>
      </c>
      <c r="FW13" s="79">
        <v>0</v>
      </c>
      <c r="FX13" s="79">
        <v>0</v>
      </c>
      <c r="FY13" s="79">
        <v>250324</v>
      </c>
      <c r="FZ13" s="79">
        <v>250324</v>
      </c>
      <c r="GA13" s="79">
        <v>2679</v>
      </c>
      <c r="GB13" s="79">
        <v>3144</v>
      </c>
      <c r="GC13" s="79">
        <v>2805</v>
      </c>
      <c r="GD13" s="79">
        <f>7110+8635-GA13-GB13-GC13</f>
        <v>7117</v>
      </c>
      <c r="GE13" s="79">
        <v>516326</v>
      </c>
      <c r="GF13" s="79">
        <v>532071</v>
      </c>
      <c r="GG13" s="79">
        <v>101250</v>
      </c>
      <c r="GH13" s="79">
        <v>19244</v>
      </c>
      <c r="GI13" s="79">
        <v>18178</v>
      </c>
      <c r="GJ13" s="79">
        <f>166365+93680-GG13-GH13-GI13</f>
        <v>121373</v>
      </c>
      <c r="GK13" s="79">
        <v>1524273</v>
      </c>
      <c r="GL13" s="79">
        <v>1784318</v>
      </c>
      <c r="GM13" s="79">
        <v>6054188</v>
      </c>
      <c r="GN13" s="79">
        <v>2067494</v>
      </c>
      <c r="GO13" s="79">
        <v>1215909</v>
      </c>
      <c r="GP13" s="79">
        <f>10960487+5970522-GM13-GN13-GO13</f>
        <v>7593418</v>
      </c>
      <c r="GQ13" s="79">
        <v>12029118</v>
      </c>
      <c r="GR13" s="79">
        <v>28960127</v>
      </c>
      <c r="GS13" s="79">
        <v>0</v>
      </c>
      <c r="GT13" s="79">
        <v>0</v>
      </c>
      <c r="GU13" s="79">
        <v>0</v>
      </c>
      <c r="GV13" s="79">
        <v>0</v>
      </c>
      <c r="GW13" s="79">
        <v>0</v>
      </c>
      <c r="GX13" s="79">
        <v>0</v>
      </c>
      <c r="GY13" s="82">
        <v>6054188</v>
      </c>
      <c r="GZ13" s="82">
        <v>2067494</v>
      </c>
      <c r="HA13" s="82">
        <v>1215909</v>
      </c>
      <c r="HB13" s="82">
        <v>7593418</v>
      </c>
      <c r="HC13" s="82">
        <v>12029118</v>
      </c>
      <c r="HD13" s="82">
        <v>28960127</v>
      </c>
      <c r="HF13" s="7">
        <f>SUM(AZ13:AZ13)</f>
        <v>655135</v>
      </c>
      <c r="HG13" s="7" t="e">
        <f>#REF!-HF13</f>
        <v>#REF!</v>
      </c>
      <c r="HH13" s="7" t="e">
        <f>SUM(#REF!)</f>
        <v>#REF!</v>
      </c>
      <c r="HI13" s="7" t="e">
        <f>#REF!-HH13</f>
        <v>#REF!</v>
      </c>
      <c r="HJ13" s="7">
        <f>SUM(BA13:BA13)</f>
        <v>1125000</v>
      </c>
      <c r="HK13" s="7" t="e">
        <f>#REF!-HJ13</f>
        <v>#REF!</v>
      </c>
      <c r="HL13" s="7">
        <f>SUM(BB13:BB13)</f>
        <v>58325</v>
      </c>
      <c r="HM13" s="7" t="e">
        <f>#REF!-HL13</f>
        <v>#REF!</v>
      </c>
      <c r="HN13" s="7" t="e">
        <f>SUM(#REF!)</f>
        <v>#REF!</v>
      </c>
      <c r="HO13" s="7" t="e">
        <f>#REF!-HN13</f>
        <v>#REF!</v>
      </c>
      <c r="HP13" s="7" t="e">
        <f>SUM(#REF!)</f>
        <v>#REF!</v>
      </c>
      <c r="HQ13" s="7" t="e">
        <f>#REF!-HP13</f>
        <v>#REF!</v>
      </c>
      <c r="HR13" s="7" t="e">
        <f>SUM(#REF!)</f>
        <v>#REF!</v>
      </c>
      <c r="HS13" s="7" t="e">
        <f>#REF!-HR13</f>
        <v>#REF!</v>
      </c>
      <c r="HT13" s="7" t="e">
        <f>SUM(#REF!)</f>
        <v>#REF!</v>
      </c>
      <c r="HU13" s="7" t="e">
        <f>#REF!-HT13</f>
        <v>#REF!</v>
      </c>
      <c r="HV13" s="7" t="e">
        <f>SUM(#REF!)</f>
        <v>#REF!</v>
      </c>
      <c r="HW13" s="7" t="e">
        <f>#REF!-HV13</f>
        <v>#REF!</v>
      </c>
      <c r="HX13" s="7" t="e">
        <f>SUM(#REF!)</f>
        <v>#REF!</v>
      </c>
      <c r="HY13" s="7" t="e">
        <f>#REF!-HX13</f>
        <v>#REF!</v>
      </c>
      <c r="HZ13" s="7">
        <f>SUM(BC13:BC13)</f>
        <v>56177</v>
      </c>
      <c r="IA13" s="7" t="e">
        <f>#REF!-HZ13</f>
        <v>#REF!</v>
      </c>
      <c r="IB13" s="7">
        <f>SUM(BD13:BD13)</f>
        <v>189372</v>
      </c>
      <c r="IC13" s="7" t="e">
        <f>#REF!-IB13</f>
        <v>#REF!</v>
      </c>
      <c r="ID13" s="7">
        <f t="shared" si="1"/>
        <v>268672</v>
      </c>
      <c r="IE13" s="7">
        <f t="shared" si="2"/>
        <v>0</v>
      </c>
      <c r="IF13" s="7">
        <f t="shared" si="3"/>
        <v>146004</v>
      </c>
      <c r="IG13" s="7">
        <f t="shared" si="4"/>
        <v>0</v>
      </c>
      <c r="IH13" s="7">
        <f t="shared" si="5"/>
        <v>251454</v>
      </c>
      <c r="II13" s="7">
        <f t="shared" si="6"/>
        <v>0</v>
      </c>
      <c r="IJ13" s="7">
        <f t="shared" si="7"/>
        <v>28964050</v>
      </c>
      <c r="IK13" s="7">
        <f t="shared" si="8"/>
        <v>0</v>
      </c>
      <c r="IL13" s="7">
        <f t="shared" si="9"/>
        <v>7277504</v>
      </c>
      <c r="IM13" s="7">
        <f t="shared" si="10"/>
        <v>0</v>
      </c>
      <c r="IN13" s="7">
        <f t="shared" si="11"/>
        <v>478562</v>
      </c>
      <c r="IO13" s="7">
        <f t="shared" si="12"/>
        <v>0</v>
      </c>
      <c r="IP13" s="7">
        <f t="shared" si="13"/>
        <v>3778143</v>
      </c>
      <c r="IQ13" s="7">
        <f t="shared" si="14"/>
        <v>0</v>
      </c>
      <c r="IR13" s="7">
        <f t="shared" si="15"/>
        <v>134077</v>
      </c>
      <c r="IS13" s="7">
        <f t="shared" si="16"/>
        <v>0</v>
      </c>
      <c r="IT13" s="7">
        <f t="shared" si="17"/>
        <v>4656914</v>
      </c>
      <c r="IU13" s="7">
        <f t="shared" si="18"/>
        <v>0</v>
      </c>
      <c r="IV13" s="7">
        <f>SUM(DM13:DQ13)</f>
        <v>810052</v>
      </c>
      <c r="IW13" s="7">
        <f>DR13-IV13</f>
        <v>0</v>
      </c>
      <c r="IX13" s="7">
        <f>SUM(DM13:DQ13)</f>
        <v>810052</v>
      </c>
      <c r="IY13" s="7">
        <f>DR13-IX13</f>
        <v>0</v>
      </c>
      <c r="IZ13" s="7">
        <f t="shared" si="23"/>
        <v>453148</v>
      </c>
      <c r="JA13" s="7">
        <f t="shared" si="24"/>
        <v>0</v>
      </c>
      <c r="JB13" s="7">
        <f t="shared" si="25"/>
        <v>2407110</v>
      </c>
      <c r="JC13" s="7">
        <f t="shared" si="26"/>
        <v>0</v>
      </c>
      <c r="JD13" s="7">
        <f t="shared" si="27"/>
        <v>3426592</v>
      </c>
      <c r="JE13" s="7">
        <f t="shared" si="28"/>
        <v>0</v>
      </c>
      <c r="JF13" s="7">
        <f t="shared" si="29"/>
        <v>519382</v>
      </c>
      <c r="JG13" s="7">
        <f t="shared" si="30"/>
        <v>0</v>
      </c>
      <c r="JH13" s="7">
        <f t="shared" si="31"/>
        <v>115821</v>
      </c>
      <c r="JI13" s="7">
        <f t="shared" si="32"/>
        <v>0</v>
      </c>
      <c r="JJ13" s="7">
        <f t="shared" si="33"/>
        <v>268672</v>
      </c>
      <c r="JK13" s="7">
        <f t="shared" si="34"/>
        <v>0</v>
      </c>
      <c r="JL13" s="7">
        <f t="shared" si="35"/>
        <v>54404</v>
      </c>
      <c r="JM13" s="7">
        <f t="shared" si="36"/>
        <v>0</v>
      </c>
      <c r="JN13" s="7">
        <f t="shared" si="37"/>
        <v>15527</v>
      </c>
      <c r="JO13" s="7">
        <f t="shared" si="38"/>
        <v>0</v>
      </c>
      <c r="JP13" s="7">
        <f t="shared" si="39"/>
        <v>1997506</v>
      </c>
      <c r="JQ13" s="7">
        <f t="shared" si="40"/>
        <v>0</v>
      </c>
      <c r="JR13" s="7">
        <f t="shared" si="41"/>
        <v>250324</v>
      </c>
      <c r="JS13" s="7">
        <f t="shared" si="42"/>
        <v>0</v>
      </c>
      <c r="JT13" s="7">
        <f t="shared" si="43"/>
        <v>532071</v>
      </c>
      <c r="JU13" s="7">
        <f t="shared" si="44"/>
        <v>0</v>
      </c>
      <c r="JV13" s="7">
        <f t="shared" si="45"/>
        <v>1784318</v>
      </c>
      <c r="JW13" s="7">
        <f t="shared" si="46"/>
        <v>0</v>
      </c>
      <c r="JX13" s="7">
        <f t="shared" si="47"/>
        <v>28960127</v>
      </c>
      <c r="JY13" s="7">
        <f t="shared" si="48"/>
        <v>0</v>
      </c>
      <c r="JZ13" s="7">
        <f t="shared" si="49"/>
        <v>0</v>
      </c>
      <c r="KA13" s="7">
        <f t="shared" si="50"/>
        <v>0</v>
      </c>
      <c r="KB13" s="7">
        <f t="shared" si="51"/>
        <v>28960127</v>
      </c>
      <c r="KC13" s="7">
        <f t="shared" si="52"/>
        <v>0</v>
      </c>
      <c r="KE13" s="7" t="e">
        <f t="shared" si="0"/>
        <v>#REF!</v>
      </c>
      <c r="KG13" s="5" t="e">
        <f t="shared" si="53"/>
        <v>#REF!</v>
      </c>
    </row>
    <row r="14" spans="1:293" x14ac:dyDescent="0.15">
      <c r="A14" s="119" t="s">
        <v>227</v>
      </c>
      <c r="B14" s="17" t="s">
        <v>342</v>
      </c>
      <c r="C14" s="41">
        <v>110635</v>
      </c>
      <c r="D14" s="38">
        <v>2013</v>
      </c>
      <c r="E14" s="38">
        <v>1</v>
      </c>
      <c r="F14" s="38">
        <v>4</v>
      </c>
      <c r="G14" s="39">
        <v>12282</v>
      </c>
      <c r="H14" s="39">
        <v>13492</v>
      </c>
      <c r="I14" s="40">
        <v>2643634000</v>
      </c>
      <c r="J14" s="40"/>
      <c r="K14" s="40">
        <v>24280000</v>
      </c>
      <c r="L14" s="40"/>
      <c r="M14" s="40">
        <v>116992000</v>
      </c>
      <c r="N14" s="40"/>
      <c r="O14" s="40">
        <v>428268000</v>
      </c>
      <c r="P14" s="40"/>
      <c r="Q14" s="40">
        <v>2186491000</v>
      </c>
      <c r="R14" s="40"/>
      <c r="S14" s="40">
        <v>2492780000</v>
      </c>
      <c r="T14" s="40"/>
      <c r="U14" s="40">
        <v>31492</v>
      </c>
      <c r="V14" s="40"/>
      <c r="W14" s="40">
        <v>54370</v>
      </c>
      <c r="X14" s="40"/>
      <c r="Y14" s="40">
        <v>32886</v>
      </c>
      <c r="Z14" s="40"/>
      <c r="AA14" s="40">
        <v>55764</v>
      </c>
      <c r="AB14" s="40"/>
      <c r="AC14" s="59">
        <v>13</v>
      </c>
      <c r="AD14" s="59">
        <v>15</v>
      </c>
      <c r="AE14" s="59">
        <v>0</v>
      </c>
      <c r="AF14" s="57">
        <v>5592569</v>
      </c>
      <c r="AG14" s="57">
        <v>4355452</v>
      </c>
      <c r="AH14" s="57">
        <v>545459</v>
      </c>
      <c r="AI14" s="57">
        <v>293768</v>
      </c>
      <c r="AJ14" s="57">
        <v>666275.08333333337</v>
      </c>
      <c r="AK14" s="58">
        <v>12</v>
      </c>
      <c r="AL14" s="57">
        <v>615023.15384615387</v>
      </c>
      <c r="AM14" s="58">
        <v>13</v>
      </c>
      <c r="AN14" s="57">
        <v>212430.38461538462</v>
      </c>
      <c r="AO14" s="58">
        <v>13</v>
      </c>
      <c r="AP14" s="57">
        <v>197256.78571428571</v>
      </c>
      <c r="AQ14" s="58">
        <v>14</v>
      </c>
      <c r="AR14" s="57">
        <v>194373.8783269962</v>
      </c>
      <c r="AS14" s="58">
        <v>26.3</v>
      </c>
      <c r="AT14" s="57">
        <v>176277</v>
      </c>
      <c r="AU14" s="58">
        <v>29</v>
      </c>
      <c r="AV14" s="57">
        <v>97849.045454545456</v>
      </c>
      <c r="AW14" s="58">
        <v>22</v>
      </c>
      <c r="AX14" s="57">
        <v>86107.16</v>
      </c>
      <c r="AY14" s="58">
        <v>25</v>
      </c>
      <c r="AZ14" s="79">
        <v>10902716</v>
      </c>
      <c r="BA14" s="85">
        <v>250000</v>
      </c>
      <c r="BB14" s="85">
        <v>3845677</v>
      </c>
      <c r="BC14" s="79">
        <v>1083362</v>
      </c>
      <c r="BD14" s="85">
        <v>3388690</v>
      </c>
      <c r="BE14" s="85">
        <v>7496</v>
      </c>
      <c r="BF14" s="85">
        <v>113865</v>
      </c>
      <c r="BG14" s="85">
        <v>47512</v>
      </c>
      <c r="BH14" s="85">
        <v>1219441</v>
      </c>
      <c r="BI14" s="85">
        <v>245</v>
      </c>
      <c r="BJ14" s="85">
        <v>1388559</v>
      </c>
      <c r="BK14" s="85">
        <v>3417023</v>
      </c>
      <c r="BL14" s="85">
        <v>49680</v>
      </c>
      <c r="BM14" s="85">
        <v>47054</v>
      </c>
      <c r="BN14" s="85">
        <v>2873517</v>
      </c>
      <c r="BO14" s="85">
        <v>5100203</v>
      </c>
      <c r="BP14" s="85">
        <v>11487477</v>
      </c>
      <c r="BQ14" s="85">
        <v>163170</v>
      </c>
      <c r="BR14" s="85">
        <v>1213</v>
      </c>
      <c r="BS14" s="85">
        <v>16819</v>
      </c>
      <c r="BT14" s="85">
        <v>914328</v>
      </c>
      <c r="BU14" s="85">
        <v>2417709</v>
      </c>
      <c r="BV14" s="85">
        <v>3513239</v>
      </c>
      <c r="BW14" s="85">
        <v>37660428</v>
      </c>
      <c r="BX14" s="85">
        <v>9492944</v>
      </c>
      <c r="BY14" s="85">
        <v>1419146</v>
      </c>
      <c r="BZ14" s="85">
        <v>12263664</v>
      </c>
      <c r="CA14" s="85">
        <v>33651198</v>
      </c>
      <c r="CB14" s="85">
        <v>94487380</v>
      </c>
      <c r="CC14" s="85">
        <v>2855825</v>
      </c>
      <c r="CD14" s="85">
        <v>420122</v>
      </c>
      <c r="CE14" s="85">
        <v>378082</v>
      </c>
      <c r="CF14" s="85">
        <v>6293992</v>
      </c>
      <c r="CG14" s="85">
        <v>52512</v>
      </c>
      <c r="CH14" s="85">
        <v>10000533</v>
      </c>
      <c r="CI14" s="85">
        <v>900000</v>
      </c>
      <c r="CJ14" s="85">
        <v>392000</v>
      </c>
      <c r="CK14" s="85">
        <v>46434</v>
      </c>
      <c r="CL14" s="85">
        <v>47934</v>
      </c>
      <c r="CM14" s="85">
        <v>0</v>
      </c>
      <c r="CN14" s="85">
        <v>1386368</v>
      </c>
      <c r="CO14" s="85">
        <v>6880842</v>
      </c>
      <c r="CP14" s="85">
        <v>2873019</v>
      </c>
      <c r="CQ14" s="85">
        <v>1422177</v>
      </c>
      <c r="CR14" s="85">
        <v>6845570</v>
      </c>
      <c r="CS14" s="85">
        <v>0</v>
      </c>
      <c r="CT14" s="85">
        <v>18021608</v>
      </c>
      <c r="CU14" s="85">
        <v>0</v>
      </c>
      <c r="CV14" s="79">
        <v>0</v>
      </c>
      <c r="CW14" s="79">
        <v>0</v>
      </c>
      <c r="CX14" s="79">
        <v>0</v>
      </c>
      <c r="CY14" s="79">
        <v>0</v>
      </c>
      <c r="CZ14" s="79">
        <v>0</v>
      </c>
      <c r="DA14" s="79">
        <v>1253841</v>
      </c>
      <c r="DB14" s="85">
        <v>309784</v>
      </c>
      <c r="DC14" s="85">
        <v>270020</v>
      </c>
      <c r="DD14" s="85">
        <v>14145868</v>
      </c>
      <c r="DE14" s="85">
        <v>0</v>
      </c>
      <c r="DF14" s="85">
        <v>15979513</v>
      </c>
      <c r="DG14" s="85">
        <v>0</v>
      </c>
      <c r="DH14" s="79">
        <v>0</v>
      </c>
      <c r="DI14" s="79">
        <v>0</v>
      </c>
      <c r="DJ14" s="79">
        <v>0</v>
      </c>
      <c r="DK14" s="79">
        <v>0</v>
      </c>
      <c r="DL14" s="79">
        <v>0</v>
      </c>
      <c r="DM14" s="79">
        <v>2060537</v>
      </c>
      <c r="DN14" s="79">
        <v>0</v>
      </c>
      <c r="DO14" s="79">
        <v>0</v>
      </c>
      <c r="DP14" s="79">
        <v>0</v>
      </c>
      <c r="DQ14" s="79">
        <v>54615</v>
      </c>
      <c r="DR14" s="79">
        <v>2115152</v>
      </c>
      <c r="DS14" s="79">
        <v>313329</v>
      </c>
      <c r="DT14" s="85">
        <v>93532</v>
      </c>
      <c r="DU14" s="85">
        <v>75602</v>
      </c>
      <c r="DV14" s="85">
        <v>356764</v>
      </c>
      <c r="DW14" s="85">
        <v>73178</v>
      </c>
      <c r="DX14" s="85">
        <v>912405</v>
      </c>
      <c r="DY14" s="85">
        <v>1434458</v>
      </c>
      <c r="DZ14" s="85">
        <v>475497</v>
      </c>
      <c r="EA14" s="85">
        <v>314895</v>
      </c>
      <c r="EB14" s="85">
        <v>3204685</v>
      </c>
      <c r="EC14" s="85">
        <v>158862</v>
      </c>
      <c r="ED14" s="85">
        <v>5588397</v>
      </c>
      <c r="EE14" s="85">
        <v>571296</v>
      </c>
      <c r="EF14" s="85">
        <v>67748</v>
      </c>
      <c r="EG14" s="85">
        <v>63411</v>
      </c>
      <c r="EH14" s="85">
        <v>1032936</v>
      </c>
      <c r="EI14" s="85">
        <v>162279</v>
      </c>
      <c r="EJ14" s="85">
        <v>1897670</v>
      </c>
      <c r="EK14" s="85">
        <v>2357731</v>
      </c>
      <c r="EL14" s="85">
        <v>505670</v>
      </c>
      <c r="EM14" s="85">
        <v>331046</v>
      </c>
      <c r="EN14" s="85">
        <v>415827</v>
      </c>
      <c r="EO14" s="85">
        <v>9169</v>
      </c>
      <c r="EP14" s="85">
        <v>3619443</v>
      </c>
      <c r="EQ14" s="85">
        <v>1159977</v>
      </c>
      <c r="ER14" s="85">
        <v>385286</v>
      </c>
      <c r="ES14" s="85">
        <v>131470</v>
      </c>
      <c r="ET14" s="85">
        <v>328636</v>
      </c>
      <c r="EU14" s="85">
        <v>1873979</v>
      </c>
      <c r="EV14" s="85">
        <v>3879348</v>
      </c>
      <c r="EW14" s="85">
        <v>10741</v>
      </c>
      <c r="EX14" s="85">
        <v>59171</v>
      </c>
      <c r="EY14" s="85">
        <v>36244</v>
      </c>
      <c r="EZ14" s="85">
        <v>415969</v>
      </c>
      <c r="FA14" s="85">
        <v>37519</v>
      </c>
      <c r="FB14" s="85">
        <v>559644</v>
      </c>
      <c r="FC14" s="85">
        <v>52396</v>
      </c>
      <c r="FD14" s="85">
        <v>10481</v>
      </c>
      <c r="FE14" s="85">
        <v>10139</v>
      </c>
      <c r="FF14" s="85">
        <v>1360057</v>
      </c>
      <c r="FG14" s="85">
        <v>2313560</v>
      </c>
      <c r="FH14" s="85">
        <v>3746633</v>
      </c>
      <c r="FI14" s="85">
        <v>7486</v>
      </c>
      <c r="FJ14" s="79">
        <v>11410</v>
      </c>
      <c r="FK14" s="79">
        <v>37200</v>
      </c>
      <c r="FL14" s="79">
        <v>0</v>
      </c>
      <c r="FM14" s="79">
        <v>84350</v>
      </c>
      <c r="FN14" s="79">
        <v>140446</v>
      </c>
      <c r="FO14" s="79">
        <v>0</v>
      </c>
      <c r="FP14" s="85">
        <v>0</v>
      </c>
      <c r="FQ14" s="85">
        <v>0</v>
      </c>
      <c r="FR14" s="85">
        <v>0</v>
      </c>
      <c r="FS14" s="85">
        <v>0</v>
      </c>
      <c r="FT14" s="85">
        <v>0</v>
      </c>
      <c r="FU14" s="85">
        <v>234273</v>
      </c>
      <c r="FV14" s="85">
        <v>33267</v>
      </c>
      <c r="FW14" s="85">
        <v>22003</v>
      </c>
      <c r="FX14" s="85">
        <v>484876</v>
      </c>
      <c r="FY14" s="85">
        <v>456406</v>
      </c>
      <c r="FZ14" s="85">
        <v>1230825</v>
      </c>
      <c r="GA14" s="85">
        <v>1160</v>
      </c>
      <c r="GB14" s="85">
        <v>125</v>
      </c>
      <c r="GC14" s="85">
        <v>800</v>
      </c>
      <c r="GD14" s="85">
        <v>29579</v>
      </c>
      <c r="GE14" s="85">
        <v>1436338</v>
      </c>
      <c r="GF14" s="85">
        <v>1468002</v>
      </c>
      <c r="GG14" s="85">
        <v>6155190</v>
      </c>
      <c r="GH14" s="85">
        <v>190097</v>
      </c>
      <c r="GI14" s="85">
        <v>123748</v>
      </c>
      <c r="GJ14" s="85">
        <v>1842696</v>
      </c>
      <c r="GK14" s="85">
        <v>11268672</v>
      </c>
      <c r="GL14" s="85">
        <v>19580403</v>
      </c>
      <c r="GM14" s="85">
        <v>26249082</v>
      </c>
      <c r="GN14" s="85">
        <v>5827209</v>
      </c>
      <c r="GO14" s="85">
        <v>3263271</v>
      </c>
      <c r="GP14" s="85">
        <v>23104509</v>
      </c>
      <c r="GQ14" s="85">
        <v>31682319</v>
      </c>
      <c r="GR14" s="85">
        <v>90126390</v>
      </c>
      <c r="GS14" s="85">
        <v>1872154</v>
      </c>
      <c r="GT14" s="79">
        <v>575611</v>
      </c>
      <c r="GU14" s="79">
        <v>45388</v>
      </c>
      <c r="GV14" s="79">
        <v>151263</v>
      </c>
      <c r="GW14" s="79">
        <v>236149</v>
      </c>
      <c r="GX14" s="79">
        <v>2880565</v>
      </c>
      <c r="GY14" s="79">
        <v>1872154</v>
      </c>
      <c r="GZ14" s="85">
        <v>575611</v>
      </c>
      <c r="HA14" s="85">
        <v>45388</v>
      </c>
      <c r="HB14" s="85">
        <v>90277653</v>
      </c>
      <c r="HC14" s="85">
        <v>236149</v>
      </c>
      <c r="HD14" s="85">
        <v>93006955</v>
      </c>
      <c r="HF14" s="7">
        <f>SUM(AZ14:AZ14)</f>
        <v>10902716</v>
      </c>
      <c r="HG14" s="7" t="e">
        <f>#REF!-HF14</f>
        <v>#REF!</v>
      </c>
      <c r="HH14" s="7" t="e">
        <f>SUM(#REF!)</f>
        <v>#REF!</v>
      </c>
      <c r="HI14" s="7" t="e">
        <f>#REF!-HH14</f>
        <v>#REF!</v>
      </c>
      <c r="HJ14" s="7">
        <f>SUM(BA14:BA14)</f>
        <v>250000</v>
      </c>
      <c r="HK14" s="7" t="e">
        <f>#REF!-HJ14</f>
        <v>#REF!</v>
      </c>
      <c r="HL14" s="7">
        <f>SUM(BB14:BB14)</f>
        <v>3845677</v>
      </c>
      <c r="HM14" s="7" t="e">
        <f>#REF!-HL14</f>
        <v>#REF!</v>
      </c>
      <c r="HN14" s="7" t="e">
        <f>SUM(#REF!)</f>
        <v>#REF!</v>
      </c>
      <c r="HO14" s="7" t="e">
        <f>#REF!-HN14</f>
        <v>#REF!</v>
      </c>
      <c r="HP14" s="7" t="e">
        <f>SUM(#REF!)</f>
        <v>#REF!</v>
      </c>
      <c r="HQ14" s="7" t="e">
        <f>#REF!-HP14</f>
        <v>#REF!</v>
      </c>
      <c r="HR14" s="7" t="e">
        <f>SUM(#REF!)</f>
        <v>#REF!</v>
      </c>
      <c r="HS14" s="7" t="e">
        <f>#REF!-HR14</f>
        <v>#REF!</v>
      </c>
      <c r="HT14" s="7" t="e">
        <f>SUM(#REF!)</f>
        <v>#REF!</v>
      </c>
      <c r="HU14" s="7" t="e">
        <f>#REF!-HT14</f>
        <v>#REF!</v>
      </c>
      <c r="HV14" s="7" t="e">
        <f>SUM(#REF!)</f>
        <v>#REF!</v>
      </c>
      <c r="HW14" s="7" t="e">
        <f>#REF!-HV14</f>
        <v>#REF!</v>
      </c>
      <c r="HX14" s="7" t="e">
        <f>SUM(#REF!)</f>
        <v>#REF!</v>
      </c>
      <c r="HY14" s="7" t="e">
        <f>#REF!-HX14</f>
        <v>#REF!</v>
      </c>
      <c r="HZ14" s="7">
        <f>SUM(BC14:BC14)</f>
        <v>1083362</v>
      </c>
      <c r="IA14" s="7" t="e">
        <f>#REF!-HZ14</f>
        <v>#REF!</v>
      </c>
      <c r="IB14" s="7">
        <f>SUM(BD14:BD14)</f>
        <v>3388690</v>
      </c>
      <c r="IC14" s="7" t="e">
        <f>#REF!-IB14</f>
        <v>#REF!</v>
      </c>
      <c r="ID14" s="7">
        <f t="shared" si="1"/>
        <v>1388559</v>
      </c>
      <c r="IE14" s="7">
        <f t="shared" si="2"/>
        <v>0</v>
      </c>
      <c r="IF14" s="7">
        <f t="shared" si="3"/>
        <v>11487477</v>
      </c>
      <c r="IG14" s="7">
        <f t="shared" si="4"/>
        <v>0</v>
      </c>
      <c r="IH14" s="7">
        <f t="shared" si="5"/>
        <v>3513239</v>
      </c>
      <c r="II14" s="7">
        <f t="shared" si="6"/>
        <v>0</v>
      </c>
      <c r="IJ14" s="7">
        <f t="shared" si="7"/>
        <v>94487380</v>
      </c>
      <c r="IK14" s="7">
        <f t="shared" si="8"/>
        <v>0</v>
      </c>
      <c r="IL14" s="7">
        <f t="shared" si="9"/>
        <v>10000533</v>
      </c>
      <c r="IM14" s="7">
        <f t="shared" si="10"/>
        <v>0</v>
      </c>
      <c r="IN14" s="7">
        <f t="shared" si="11"/>
        <v>1386368</v>
      </c>
      <c r="IO14" s="7">
        <f t="shared" si="12"/>
        <v>0</v>
      </c>
      <c r="IP14" s="7">
        <f t="shared" si="13"/>
        <v>18021608</v>
      </c>
      <c r="IQ14" s="7">
        <f t="shared" si="14"/>
        <v>0</v>
      </c>
      <c r="IR14" s="7">
        <f t="shared" si="15"/>
        <v>0</v>
      </c>
      <c r="IS14" s="7">
        <f t="shared" si="16"/>
        <v>0</v>
      </c>
      <c r="IT14" s="7">
        <f t="shared" si="17"/>
        <v>15979513</v>
      </c>
      <c r="IU14" s="7">
        <f t="shared" si="18"/>
        <v>0</v>
      </c>
      <c r="IV14" s="7">
        <f t="shared" si="19"/>
        <v>0</v>
      </c>
      <c r="IW14" s="7">
        <f t="shared" si="20"/>
        <v>0</v>
      </c>
      <c r="IX14" s="7">
        <f t="shared" si="21"/>
        <v>2115152</v>
      </c>
      <c r="IY14" s="7">
        <f t="shared" si="22"/>
        <v>0</v>
      </c>
      <c r="IZ14" s="7">
        <f t="shared" si="23"/>
        <v>912405</v>
      </c>
      <c r="JA14" s="7">
        <f t="shared" si="24"/>
        <v>0</v>
      </c>
      <c r="JB14" s="7">
        <f t="shared" si="25"/>
        <v>5588397</v>
      </c>
      <c r="JC14" s="7">
        <f t="shared" si="26"/>
        <v>0</v>
      </c>
      <c r="JD14" s="7">
        <f t="shared" si="27"/>
        <v>1897670</v>
      </c>
      <c r="JE14" s="7">
        <f t="shared" si="28"/>
        <v>0</v>
      </c>
      <c r="JF14" s="7">
        <f t="shared" si="29"/>
        <v>3619443</v>
      </c>
      <c r="JG14" s="7">
        <f t="shared" si="30"/>
        <v>0</v>
      </c>
      <c r="JH14" s="7">
        <f t="shared" si="31"/>
        <v>3879348</v>
      </c>
      <c r="JI14" s="7">
        <f t="shared" si="32"/>
        <v>0</v>
      </c>
      <c r="JJ14" s="7">
        <f t="shared" si="33"/>
        <v>559644</v>
      </c>
      <c r="JK14" s="7">
        <f t="shared" si="34"/>
        <v>0</v>
      </c>
      <c r="JL14" s="7">
        <f t="shared" si="35"/>
        <v>3746633</v>
      </c>
      <c r="JM14" s="7">
        <f t="shared" si="36"/>
        <v>0</v>
      </c>
      <c r="JN14" s="7">
        <f t="shared" si="37"/>
        <v>140446</v>
      </c>
      <c r="JO14" s="7">
        <f t="shared" si="38"/>
        <v>0</v>
      </c>
      <c r="JP14" s="7">
        <f t="shared" si="39"/>
        <v>0</v>
      </c>
      <c r="JQ14" s="7">
        <f t="shared" si="40"/>
        <v>0</v>
      </c>
      <c r="JR14" s="7">
        <f t="shared" si="41"/>
        <v>1230825</v>
      </c>
      <c r="JS14" s="7">
        <f t="shared" si="42"/>
        <v>0</v>
      </c>
      <c r="JT14" s="7">
        <f t="shared" si="43"/>
        <v>1468002</v>
      </c>
      <c r="JU14" s="7">
        <f t="shared" si="44"/>
        <v>0</v>
      </c>
      <c r="JV14" s="7">
        <f t="shared" si="45"/>
        <v>19580403</v>
      </c>
      <c r="JW14" s="7">
        <f t="shared" si="46"/>
        <v>0</v>
      </c>
      <c r="JX14" s="7">
        <f t="shared" si="47"/>
        <v>90126390</v>
      </c>
      <c r="JY14" s="7">
        <f t="shared" si="48"/>
        <v>0</v>
      </c>
      <c r="JZ14" s="7">
        <f t="shared" si="49"/>
        <v>2880565</v>
      </c>
      <c r="KA14" s="7">
        <f t="shared" si="50"/>
        <v>0</v>
      </c>
      <c r="KB14" s="7">
        <f t="shared" si="51"/>
        <v>93006955</v>
      </c>
      <c r="KC14" s="7">
        <f t="shared" si="52"/>
        <v>0</v>
      </c>
      <c r="KE14" s="7" t="e">
        <f t="shared" si="0"/>
        <v>#REF!</v>
      </c>
      <c r="KG14" s="5" t="e">
        <f t="shared" si="53"/>
        <v>#REF!</v>
      </c>
    </row>
    <row r="15" spans="1:293" x14ac:dyDescent="0.15">
      <c r="A15" s="119" t="s">
        <v>210</v>
      </c>
      <c r="B15" s="17" t="s">
        <v>400</v>
      </c>
      <c r="C15" s="38">
        <v>169248</v>
      </c>
      <c r="D15" s="38">
        <v>2013</v>
      </c>
      <c r="E15" s="38">
        <v>1</v>
      </c>
      <c r="F15" s="38">
        <v>9</v>
      </c>
      <c r="G15" s="39">
        <v>8170</v>
      </c>
      <c r="H15" s="42">
        <v>10113</v>
      </c>
      <c r="I15" s="40">
        <v>417668905</v>
      </c>
      <c r="J15" s="40"/>
      <c r="K15" s="40">
        <v>1842315</v>
      </c>
      <c r="L15" s="40"/>
      <c r="M15" s="40">
        <v>13702817</v>
      </c>
      <c r="N15" s="40"/>
      <c r="O15" s="40">
        <v>20398914</v>
      </c>
      <c r="P15" s="40"/>
      <c r="Q15" s="40">
        <v>142881234</v>
      </c>
      <c r="R15" s="40"/>
      <c r="S15" s="40">
        <v>284572670</v>
      </c>
      <c r="T15" s="40"/>
      <c r="U15" s="40">
        <v>20126</v>
      </c>
      <c r="V15" s="43"/>
      <c r="W15" s="40">
        <v>32846</v>
      </c>
      <c r="X15" s="40"/>
      <c r="Y15" s="40">
        <v>21568</v>
      </c>
      <c r="Z15" s="43"/>
      <c r="AA15" s="40">
        <v>34288</v>
      </c>
      <c r="AB15" s="40"/>
      <c r="AC15" s="56">
        <v>7</v>
      </c>
      <c r="AD15" s="56">
        <v>10</v>
      </c>
      <c r="AE15" s="56">
        <v>0</v>
      </c>
      <c r="AF15" s="57">
        <v>2709016</v>
      </c>
      <c r="AG15" s="57">
        <v>2050868</v>
      </c>
      <c r="AH15" s="57">
        <v>314121</v>
      </c>
      <c r="AI15" s="57">
        <v>140419</v>
      </c>
      <c r="AJ15" s="57">
        <f>1147529/AK15</f>
        <v>229505.8</v>
      </c>
      <c r="AK15" s="58">
        <v>5</v>
      </c>
      <c r="AL15" s="57">
        <f>1147529/AM15</f>
        <v>229505.8</v>
      </c>
      <c r="AM15" s="58">
        <v>5</v>
      </c>
      <c r="AN15" s="57">
        <f>1020322/AO15</f>
        <v>127540.25</v>
      </c>
      <c r="AO15" s="58">
        <v>8</v>
      </c>
      <c r="AP15" s="57">
        <f>1020322/AQ15</f>
        <v>127540.25</v>
      </c>
      <c r="AQ15" s="58">
        <v>8</v>
      </c>
      <c r="AR15" s="57">
        <f>2210280/AS15</f>
        <v>119474.5945945946</v>
      </c>
      <c r="AS15" s="58">
        <v>18.5</v>
      </c>
      <c r="AT15" s="57">
        <f>2210280/AU15</f>
        <v>116330.52631578948</v>
      </c>
      <c r="AU15" s="58">
        <v>19</v>
      </c>
      <c r="AV15" s="57">
        <f>861173/AW15</f>
        <v>74884.608695652176</v>
      </c>
      <c r="AW15" s="58">
        <v>11.5</v>
      </c>
      <c r="AX15" s="57">
        <f>861173/AY15</f>
        <v>71764.416666666672</v>
      </c>
      <c r="AY15" s="58">
        <v>12</v>
      </c>
      <c r="AZ15" s="87">
        <v>1671711.7</v>
      </c>
      <c r="BA15" s="87">
        <v>875000</v>
      </c>
      <c r="BB15" s="87">
        <v>400558.18</v>
      </c>
      <c r="BC15" s="87">
        <v>159649.88</v>
      </c>
      <c r="BD15" s="87">
        <v>489103.23</v>
      </c>
      <c r="BE15" s="87">
        <v>66890.55</v>
      </c>
      <c r="BF15" s="87">
        <v>64260</v>
      </c>
      <c r="BG15" s="87">
        <v>36950</v>
      </c>
      <c r="BH15" s="87">
        <f>417426.09+302929-BE15-BF15-BG15</f>
        <v>552254.54</v>
      </c>
      <c r="BI15" s="87">
        <v>50000</v>
      </c>
      <c r="BJ15" s="87">
        <v>770355</v>
      </c>
      <c r="BK15" s="87">
        <v>12796</v>
      </c>
      <c r="BL15" s="87">
        <v>0</v>
      </c>
      <c r="BM15" s="87">
        <v>1815</v>
      </c>
      <c r="BN15" s="87">
        <f>19147+1815-BK15-BL15-BM15</f>
        <v>6351</v>
      </c>
      <c r="BO15" s="87">
        <v>61356</v>
      </c>
      <c r="BP15" s="87">
        <v>82318</v>
      </c>
      <c r="BQ15" s="87">
        <v>19345</v>
      </c>
      <c r="BR15" s="87">
        <v>0</v>
      </c>
      <c r="BS15" s="87">
        <v>850</v>
      </c>
      <c r="BT15" s="87">
        <f>19605+961.3-BQ15-BR15-BS15</f>
        <v>371.29999999999927</v>
      </c>
      <c r="BU15" s="87">
        <v>4804</v>
      </c>
      <c r="BV15" s="87">
        <v>25370</v>
      </c>
      <c r="BW15" s="87">
        <v>3750119.3</v>
      </c>
      <c r="BX15" s="87">
        <v>721407.22</v>
      </c>
      <c r="BY15" s="87">
        <v>216626.35</v>
      </c>
      <c r="BZ15" s="87">
        <f>5142468.45+771767.34-BW15-BX15-BY15</f>
        <v>1226082.9200000002</v>
      </c>
      <c r="CA15" s="87">
        <v>21766386.460000001</v>
      </c>
      <c r="CB15" s="87">
        <v>27680622</v>
      </c>
      <c r="CC15" s="87">
        <v>1755742</v>
      </c>
      <c r="CD15" s="87">
        <v>260756</v>
      </c>
      <c r="CE15" s="87">
        <v>318115</v>
      </c>
      <c r="CF15" s="87">
        <f>2709016+2050868-CC15-CD15-CE15</f>
        <v>2425271</v>
      </c>
      <c r="CG15" s="87">
        <v>230336</v>
      </c>
      <c r="CH15" s="87">
        <v>4990220</v>
      </c>
      <c r="CI15" s="87">
        <v>600000</v>
      </c>
      <c r="CJ15" s="87">
        <v>0</v>
      </c>
      <c r="CK15" s="87">
        <v>0</v>
      </c>
      <c r="CL15" s="87">
        <v>0</v>
      </c>
      <c r="CM15" s="87">
        <v>0</v>
      </c>
      <c r="CN15" s="87">
        <v>600000</v>
      </c>
      <c r="CO15" s="87">
        <f>442086+1409277</f>
        <v>1851363</v>
      </c>
      <c r="CP15" s="87">
        <f>355397+363388</f>
        <v>718785</v>
      </c>
      <c r="CQ15" s="87">
        <f>281766+255229</f>
        <v>536995</v>
      </c>
      <c r="CR15" s="87">
        <f>1147529+2210280+1020322+861173-CO15-CP15-CQ15</f>
        <v>2132161</v>
      </c>
      <c r="CS15" s="87">
        <v>0</v>
      </c>
      <c r="CT15" s="87">
        <v>5239304</v>
      </c>
      <c r="CU15" s="87">
        <v>0</v>
      </c>
      <c r="CV15" s="87">
        <v>0</v>
      </c>
      <c r="CW15" s="87">
        <v>0</v>
      </c>
      <c r="CX15" s="87">
        <v>0</v>
      </c>
      <c r="CY15" s="87">
        <v>0</v>
      </c>
      <c r="CZ15" s="87">
        <v>0</v>
      </c>
      <c r="DA15" s="87">
        <v>272803</v>
      </c>
      <c r="DB15" s="87">
        <v>65506</v>
      </c>
      <c r="DC15" s="87">
        <v>56743</v>
      </c>
      <c r="DD15" s="87">
        <f>388026+118718-DA15-DB15-DC15</f>
        <v>111692</v>
      </c>
      <c r="DE15" s="87">
        <v>3449625</v>
      </c>
      <c r="DF15" s="87">
        <v>3956369</v>
      </c>
      <c r="DG15" s="87">
        <v>0</v>
      </c>
      <c r="DH15" s="87">
        <v>0</v>
      </c>
      <c r="DI15" s="87">
        <v>0</v>
      </c>
      <c r="DJ15" s="87">
        <v>0</v>
      </c>
      <c r="DK15" s="87">
        <v>0</v>
      </c>
      <c r="DL15" s="87">
        <v>0</v>
      </c>
      <c r="DM15" s="87">
        <v>0</v>
      </c>
      <c r="DN15" s="87">
        <v>0</v>
      </c>
      <c r="DO15" s="87">
        <v>0</v>
      </c>
      <c r="DP15" s="87">
        <v>0</v>
      </c>
      <c r="DQ15" s="87">
        <v>0</v>
      </c>
      <c r="DR15" s="87">
        <v>0</v>
      </c>
      <c r="DS15" s="87">
        <v>135450</v>
      </c>
      <c r="DT15" s="87">
        <v>107917</v>
      </c>
      <c r="DU15" s="87">
        <v>41006</v>
      </c>
      <c r="DV15" s="87">
        <f>314121+140419-DS15-DT15-DU15</f>
        <v>170167</v>
      </c>
      <c r="DW15" s="87">
        <v>64511</v>
      </c>
      <c r="DX15" s="87">
        <v>519051</v>
      </c>
      <c r="DY15" s="87">
        <v>596394</v>
      </c>
      <c r="DZ15" s="87">
        <v>202699</v>
      </c>
      <c r="EA15" s="87">
        <v>140493</v>
      </c>
      <c r="EB15" s="87">
        <f>1116142+606272-DY15-DZ15-EA15</f>
        <v>782828</v>
      </c>
      <c r="EC15" s="87">
        <v>160009</v>
      </c>
      <c r="ED15" s="87">
        <v>1882423</v>
      </c>
      <c r="EE15" s="87">
        <v>233404</v>
      </c>
      <c r="EF15" s="87">
        <v>28923</v>
      </c>
      <c r="EG15" s="87">
        <v>27078</v>
      </c>
      <c r="EH15" s="87">
        <f>318378+109571-EE15-EF15-EG15</f>
        <v>138544</v>
      </c>
      <c r="EI15" s="87">
        <v>164248</v>
      </c>
      <c r="EJ15" s="87">
        <v>592197</v>
      </c>
      <c r="EK15" s="87">
        <v>321074</v>
      </c>
      <c r="EL15" s="87">
        <v>80468</v>
      </c>
      <c r="EM15" s="87">
        <v>49902</v>
      </c>
      <c r="EN15" s="87">
        <f>462582+126946-EK15-EL15-EM15</f>
        <v>138084</v>
      </c>
      <c r="EO15" s="87">
        <v>6209</v>
      </c>
      <c r="EP15" s="87">
        <v>595737</v>
      </c>
      <c r="EQ15" s="87">
        <v>159254</v>
      </c>
      <c r="ER15" s="87">
        <v>45789</v>
      </c>
      <c r="ES15" s="87">
        <v>38331</v>
      </c>
      <c r="ET15" s="87">
        <f>260395+102850-EQ15-ER15-ES15</f>
        <v>119871</v>
      </c>
      <c r="EU15" s="87">
        <v>543771</v>
      </c>
      <c r="EV15" s="87">
        <v>907016</v>
      </c>
      <c r="EW15" s="87">
        <v>0</v>
      </c>
      <c r="EX15" s="87">
        <v>0</v>
      </c>
      <c r="EY15" s="87">
        <v>0</v>
      </c>
      <c r="EZ15" s="87">
        <v>0</v>
      </c>
      <c r="FA15" s="87">
        <v>317499</v>
      </c>
      <c r="FB15" s="87">
        <v>317499</v>
      </c>
      <c r="FC15" s="87">
        <v>152767</v>
      </c>
      <c r="FD15" s="87">
        <v>29609</v>
      </c>
      <c r="FE15" s="87">
        <v>12581</v>
      </c>
      <c r="FF15" s="87">
        <f>220880+31839-FC15-FD15-FE15</f>
        <v>57762</v>
      </c>
      <c r="FG15" s="87">
        <v>4905320</v>
      </c>
      <c r="FH15" s="87">
        <v>5158039</v>
      </c>
      <c r="FI15" s="87">
        <v>0</v>
      </c>
      <c r="FJ15" s="87">
        <v>0</v>
      </c>
      <c r="FK15" s="87">
        <v>0</v>
      </c>
      <c r="FL15" s="87">
        <v>0</v>
      </c>
      <c r="FM15" s="87">
        <v>99019</v>
      </c>
      <c r="FN15" s="87">
        <v>99019</v>
      </c>
      <c r="FO15" s="87">
        <v>0</v>
      </c>
      <c r="FP15" s="87">
        <v>0</v>
      </c>
      <c r="FQ15" s="87">
        <v>0</v>
      </c>
      <c r="FR15" s="87">
        <v>0</v>
      </c>
      <c r="FS15" s="87">
        <v>0</v>
      </c>
      <c r="FT15" s="87">
        <v>0</v>
      </c>
      <c r="FU15" s="87">
        <v>59055</v>
      </c>
      <c r="FV15" s="87">
        <v>0</v>
      </c>
      <c r="FW15" s="87">
        <v>0</v>
      </c>
      <c r="FX15" s="87">
        <f>61109+0-FU15-FV15-FW15</f>
        <v>2054</v>
      </c>
      <c r="FY15" s="87">
        <v>370488</v>
      </c>
      <c r="FZ15" s="87">
        <v>431597</v>
      </c>
      <c r="GA15" s="87">
        <v>101040</v>
      </c>
      <c r="GB15" s="87">
        <v>9100</v>
      </c>
      <c r="GC15" s="87">
        <v>1095</v>
      </c>
      <c r="GD15" s="87">
        <f>113189+4664-GA15-GB15-GC15</f>
        <v>6618</v>
      </c>
      <c r="GE15" s="87">
        <v>2974</v>
      </c>
      <c r="GF15" s="87">
        <v>120827</v>
      </c>
      <c r="GG15" s="87">
        <v>501753</v>
      </c>
      <c r="GH15" s="87">
        <v>115553</v>
      </c>
      <c r="GI15" s="87">
        <v>38394</v>
      </c>
      <c r="GJ15" s="87">
        <f>699403+134429.47-GG15-GH15-GI15</f>
        <v>178132.46999999997</v>
      </c>
      <c r="GK15" s="87">
        <v>944367</v>
      </c>
      <c r="GL15" s="87">
        <v>1778199</v>
      </c>
      <c r="GM15" s="87">
        <v>6704099</v>
      </c>
      <c r="GN15" s="87">
        <v>1666105</v>
      </c>
      <c r="GO15" s="87">
        <v>1260733</v>
      </c>
      <c r="GP15" s="87">
        <f>10621050+5308071.47-GM15-GN15-GO15</f>
        <v>6298184.4699999988</v>
      </c>
      <c r="GQ15" s="87">
        <v>11258376</v>
      </c>
      <c r="GR15" s="87">
        <v>27187497</v>
      </c>
      <c r="GS15" s="87">
        <v>0</v>
      </c>
      <c r="GT15" s="87">
        <v>0</v>
      </c>
      <c r="GU15" s="87">
        <v>0</v>
      </c>
      <c r="GV15" s="87">
        <v>0</v>
      </c>
      <c r="GW15" s="87">
        <v>0</v>
      </c>
      <c r="GX15" s="87">
        <v>0</v>
      </c>
      <c r="GY15" s="87">
        <v>6704099</v>
      </c>
      <c r="GZ15" s="87">
        <v>1666105</v>
      </c>
      <c r="HA15" s="87">
        <v>1260733</v>
      </c>
      <c r="HB15" s="87">
        <f>10621050+5308071.47-GY15-GZ15-HA15</f>
        <v>6298184.4699999988</v>
      </c>
      <c r="HC15" s="87">
        <v>11258376</v>
      </c>
      <c r="HD15" s="87">
        <v>27187497</v>
      </c>
      <c r="HF15" s="7">
        <f>SUM(AZ15:AZ15)</f>
        <v>1671711.7</v>
      </c>
      <c r="HG15" s="7" t="e">
        <f>#REF!-HF15</f>
        <v>#REF!</v>
      </c>
      <c r="HH15" s="7" t="e">
        <f>SUM(#REF!)</f>
        <v>#REF!</v>
      </c>
      <c r="HI15" s="7" t="e">
        <f>#REF!-HH15</f>
        <v>#REF!</v>
      </c>
      <c r="HJ15" s="7">
        <f>SUM(BA15:BA15)</f>
        <v>875000</v>
      </c>
      <c r="HK15" s="7" t="e">
        <f>#REF!-HJ15</f>
        <v>#REF!</v>
      </c>
      <c r="HL15" s="7">
        <f>SUM(BB15:BB15)</f>
        <v>400558.18</v>
      </c>
      <c r="HM15" s="7" t="e">
        <f>#REF!-HL15</f>
        <v>#REF!</v>
      </c>
      <c r="HN15" s="7" t="e">
        <f>SUM(#REF!)</f>
        <v>#REF!</v>
      </c>
      <c r="HO15" s="7" t="e">
        <f>#REF!-HN15</f>
        <v>#REF!</v>
      </c>
      <c r="HP15" s="7" t="e">
        <f>SUM(#REF!)</f>
        <v>#REF!</v>
      </c>
      <c r="HQ15" s="7" t="e">
        <f>#REF!-HP15</f>
        <v>#REF!</v>
      </c>
      <c r="HR15" s="7" t="e">
        <f>SUM(#REF!)</f>
        <v>#REF!</v>
      </c>
      <c r="HS15" s="7" t="e">
        <f>#REF!-HR15</f>
        <v>#REF!</v>
      </c>
      <c r="HT15" s="7" t="e">
        <f>SUM(#REF!)</f>
        <v>#REF!</v>
      </c>
      <c r="HU15" s="7" t="e">
        <f>#REF!-HT15</f>
        <v>#REF!</v>
      </c>
      <c r="HV15" s="7" t="e">
        <f>SUM(#REF!)</f>
        <v>#REF!</v>
      </c>
      <c r="HW15" s="7" t="e">
        <f>#REF!-HV15</f>
        <v>#REF!</v>
      </c>
      <c r="HX15" s="7" t="e">
        <f>SUM(#REF!)</f>
        <v>#REF!</v>
      </c>
      <c r="HY15" s="7" t="e">
        <f>#REF!-HX15</f>
        <v>#REF!</v>
      </c>
      <c r="HZ15" s="7">
        <f>SUM(BC15:BC15)</f>
        <v>159649.88</v>
      </c>
      <c r="IA15" s="7" t="e">
        <f>#REF!-HZ15</f>
        <v>#REF!</v>
      </c>
      <c r="IB15" s="7">
        <f>SUM(BD15:BD15)</f>
        <v>489103.23</v>
      </c>
      <c r="IC15" s="7" t="e">
        <f>#REF!-IB15</f>
        <v>#REF!</v>
      </c>
      <c r="ID15" s="7">
        <f t="shared" si="1"/>
        <v>770355.09000000008</v>
      </c>
      <c r="IE15" s="7">
        <f t="shared" si="2"/>
        <v>-9.0000000083819032E-2</v>
      </c>
      <c r="IF15" s="7">
        <f t="shared" si="3"/>
        <v>82318</v>
      </c>
      <c r="IG15" s="7">
        <f t="shared" si="4"/>
        <v>0</v>
      </c>
      <c r="IH15" s="7">
        <f t="shared" si="5"/>
        <v>25370.3</v>
      </c>
      <c r="II15" s="7">
        <f t="shared" si="6"/>
        <v>-0.2999999999992724</v>
      </c>
      <c r="IJ15" s="7">
        <f t="shared" si="7"/>
        <v>27680622.25</v>
      </c>
      <c r="IK15" s="7">
        <f t="shared" si="8"/>
        <v>-0.25</v>
      </c>
      <c r="IL15" s="7">
        <f t="shared" si="9"/>
        <v>4990220</v>
      </c>
      <c r="IM15" s="7">
        <f t="shared" si="10"/>
        <v>0</v>
      </c>
      <c r="IN15" s="7">
        <f t="shared" si="11"/>
        <v>600000</v>
      </c>
      <c r="IO15" s="7">
        <f t="shared" si="12"/>
        <v>0</v>
      </c>
      <c r="IP15" s="7">
        <f t="shared" si="13"/>
        <v>5239304</v>
      </c>
      <c r="IQ15" s="7">
        <f t="shared" si="14"/>
        <v>0</v>
      </c>
      <c r="IR15" s="7">
        <f t="shared" si="15"/>
        <v>0</v>
      </c>
      <c r="IS15" s="7">
        <f t="shared" si="16"/>
        <v>0</v>
      </c>
      <c r="IT15" s="7">
        <f t="shared" si="17"/>
        <v>3956369</v>
      </c>
      <c r="IU15" s="7">
        <f t="shared" si="18"/>
        <v>0</v>
      </c>
      <c r="IV15" s="7">
        <f t="shared" si="19"/>
        <v>0</v>
      </c>
      <c r="IW15" s="7">
        <f t="shared" si="20"/>
        <v>0</v>
      </c>
      <c r="IX15" s="7">
        <f t="shared" si="21"/>
        <v>0</v>
      </c>
      <c r="IY15" s="7">
        <f t="shared" si="22"/>
        <v>0</v>
      </c>
      <c r="IZ15" s="7">
        <f t="shared" si="23"/>
        <v>519051</v>
      </c>
      <c r="JA15" s="7">
        <f t="shared" si="24"/>
        <v>0</v>
      </c>
      <c r="JB15" s="7">
        <f t="shared" si="25"/>
        <v>1882423</v>
      </c>
      <c r="JC15" s="7">
        <f t="shared" si="26"/>
        <v>0</v>
      </c>
      <c r="JD15" s="7">
        <f t="shared" si="27"/>
        <v>592197</v>
      </c>
      <c r="JE15" s="7">
        <f t="shared" si="28"/>
        <v>0</v>
      </c>
      <c r="JF15" s="7">
        <f t="shared" si="29"/>
        <v>595737</v>
      </c>
      <c r="JG15" s="7">
        <f t="shared" si="30"/>
        <v>0</v>
      </c>
      <c r="JH15" s="7">
        <f t="shared" si="31"/>
        <v>907016</v>
      </c>
      <c r="JI15" s="7">
        <f t="shared" si="32"/>
        <v>0</v>
      </c>
      <c r="JJ15" s="7">
        <f t="shared" si="33"/>
        <v>317499</v>
      </c>
      <c r="JK15" s="7">
        <f t="shared" si="34"/>
        <v>0</v>
      </c>
      <c r="JL15" s="7">
        <f t="shared" si="35"/>
        <v>5158039</v>
      </c>
      <c r="JM15" s="7">
        <f t="shared" si="36"/>
        <v>0</v>
      </c>
      <c r="JN15" s="7">
        <f t="shared" si="37"/>
        <v>99019</v>
      </c>
      <c r="JO15" s="7">
        <f t="shared" si="38"/>
        <v>0</v>
      </c>
      <c r="JP15" s="7">
        <f t="shared" si="39"/>
        <v>0</v>
      </c>
      <c r="JQ15" s="7">
        <f t="shared" si="40"/>
        <v>0</v>
      </c>
      <c r="JR15" s="7">
        <f t="shared" si="41"/>
        <v>431597</v>
      </c>
      <c r="JS15" s="7">
        <f t="shared" si="42"/>
        <v>0</v>
      </c>
      <c r="JT15" s="7">
        <f t="shared" si="43"/>
        <v>120827</v>
      </c>
      <c r="JU15" s="7">
        <f t="shared" si="44"/>
        <v>0</v>
      </c>
      <c r="JV15" s="7">
        <f t="shared" si="45"/>
        <v>1778199.47</v>
      </c>
      <c r="JW15" s="7">
        <f t="shared" si="46"/>
        <v>-0.46999999997206032</v>
      </c>
      <c r="JX15" s="7">
        <f t="shared" si="47"/>
        <v>27187497.469999999</v>
      </c>
      <c r="JY15" s="7">
        <f t="shared" si="48"/>
        <v>-0.4699999988079071</v>
      </c>
      <c r="JZ15" s="7">
        <f t="shared" si="49"/>
        <v>0</v>
      </c>
      <c r="KA15" s="7">
        <f t="shared" si="50"/>
        <v>0</v>
      </c>
      <c r="KB15" s="7">
        <f t="shared" si="51"/>
        <v>27187497.469999999</v>
      </c>
      <c r="KC15" s="7">
        <f t="shared" si="52"/>
        <v>-0.4699999988079071</v>
      </c>
      <c r="KE15" s="7" t="e">
        <f t="shared" si="0"/>
        <v>#REF!</v>
      </c>
      <c r="KG15" s="5" t="e">
        <f t="shared" si="53"/>
        <v>#REF!</v>
      </c>
    </row>
    <row r="16" spans="1:293" x14ac:dyDescent="0.15">
      <c r="A16" s="119" t="s">
        <v>211</v>
      </c>
      <c r="B16" s="17" t="s">
        <v>400</v>
      </c>
      <c r="C16" s="38">
        <v>217882</v>
      </c>
      <c r="D16" s="38">
        <v>2013</v>
      </c>
      <c r="E16" s="38">
        <v>1</v>
      </c>
      <c r="F16" s="38">
        <v>1</v>
      </c>
      <c r="G16" s="39">
        <v>8919</v>
      </c>
      <c r="H16" s="39">
        <v>7643</v>
      </c>
      <c r="I16" s="40">
        <v>722853000</v>
      </c>
      <c r="J16" s="40"/>
      <c r="K16" s="40">
        <v>1450000</v>
      </c>
      <c r="L16" s="40"/>
      <c r="M16" s="40">
        <v>9925000</v>
      </c>
      <c r="N16" s="40"/>
      <c r="O16" s="40">
        <v>24150000</v>
      </c>
      <c r="P16" s="40"/>
      <c r="Q16" s="40">
        <v>120770000</v>
      </c>
      <c r="R16" s="40"/>
      <c r="S16" s="40">
        <v>517793019</v>
      </c>
      <c r="T16" s="40"/>
      <c r="U16" s="40">
        <v>22646</v>
      </c>
      <c r="V16" s="40"/>
      <c r="W16" s="40">
        <v>40070</v>
      </c>
      <c r="X16" s="40"/>
      <c r="Y16" s="40">
        <v>28044</v>
      </c>
      <c r="Z16" s="40"/>
      <c r="AA16" s="40">
        <v>45468</v>
      </c>
      <c r="AB16" s="40"/>
      <c r="AC16" s="56">
        <v>10</v>
      </c>
      <c r="AD16" s="56">
        <v>10</v>
      </c>
      <c r="AE16" s="56">
        <v>0</v>
      </c>
      <c r="AF16" s="57">
        <v>5957444</v>
      </c>
      <c r="AG16" s="57">
        <v>4299612</v>
      </c>
      <c r="AH16" s="57">
        <v>97824</v>
      </c>
      <c r="AI16" s="57">
        <v>332048</v>
      </c>
      <c r="AJ16" s="57">
        <v>685345.85</v>
      </c>
      <c r="AK16" s="58">
        <v>6.5</v>
      </c>
      <c r="AL16" s="57">
        <v>636392.56999999995</v>
      </c>
      <c r="AM16" s="58">
        <v>7</v>
      </c>
      <c r="AN16" s="57">
        <v>166587.87</v>
      </c>
      <c r="AO16" s="58">
        <v>7.5</v>
      </c>
      <c r="AP16" s="57">
        <v>156176.13</v>
      </c>
      <c r="AQ16" s="58">
        <v>8</v>
      </c>
      <c r="AR16" s="57">
        <v>317119.55</v>
      </c>
      <c r="AS16" s="58">
        <v>20</v>
      </c>
      <c r="AT16" s="57">
        <v>288290.5</v>
      </c>
      <c r="AU16" s="58">
        <v>22</v>
      </c>
      <c r="AV16" s="57">
        <v>94725.43</v>
      </c>
      <c r="AW16" s="58">
        <v>14</v>
      </c>
      <c r="AX16" s="57">
        <v>82884.75</v>
      </c>
      <c r="AY16" s="58">
        <v>16</v>
      </c>
      <c r="AZ16" s="79">
        <v>20085943</v>
      </c>
      <c r="BA16" s="79">
        <v>2292793</v>
      </c>
      <c r="BB16" s="79">
        <v>2583000</v>
      </c>
      <c r="BC16" s="79">
        <v>1600785</v>
      </c>
      <c r="BD16" s="79">
        <v>428000</v>
      </c>
      <c r="BE16" s="79">
        <v>0</v>
      </c>
      <c r="BF16" s="79">
        <v>0</v>
      </c>
      <c r="BG16" s="79">
        <v>0</v>
      </c>
      <c r="BH16" s="79">
        <v>0</v>
      </c>
      <c r="BI16" s="79">
        <v>0</v>
      </c>
      <c r="BJ16" s="79">
        <v>0</v>
      </c>
      <c r="BK16" s="79">
        <v>0</v>
      </c>
      <c r="BL16" s="79">
        <v>0</v>
      </c>
      <c r="BM16" s="79">
        <v>0</v>
      </c>
      <c r="BN16" s="79">
        <v>0</v>
      </c>
      <c r="BO16" s="79">
        <v>182010</v>
      </c>
      <c r="BP16" s="79">
        <v>182010</v>
      </c>
      <c r="BQ16" s="79">
        <v>30465</v>
      </c>
      <c r="BR16" s="79">
        <v>0</v>
      </c>
      <c r="BS16" s="79">
        <v>0</v>
      </c>
      <c r="BT16" s="79">
        <v>50939</v>
      </c>
      <c r="BU16" s="79">
        <v>724724</v>
      </c>
      <c r="BV16" s="79">
        <v>806128</v>
      </c>
      <c r="BW16" s="79">
        <v>41730452</v>
      </c>
      <c r="BX16" s="79">
        <v>6321403</v>
      </c>
      <c r="BY16" s="79">
        <v>742478</v>
      </c>
      <c r="BZ16" s="79">
        <v>6552777</v>
      </c>
      <c r="CA16" s="79">
        <v>13714288</v>
      </c>
      <c r="CB16" s="79">
        <v>69061398</v>
      </c>
      <c r="CC16" s="79">
        <v>3345870</v>
      </c>
      <c r="CD16" s="79">
        <v>581694</v>
      </c>
      <c r="CE16" s="79">
        <v>641529</v>
      </c>
      <c r="CF16" s="79">
        <v>5687963</v>
      </c>
      <c r="CG16" s="79">
        <v>982575</v>
      </c>
      <c r="CH16" s="79">
        <v>11239631</v>
      </c>
      <c r="CI16" s="79">
        <v>1203000</v>
      </c>
      <c r="CJ16" s="79">
        <v>285131</v>
      </c>
      <c r="CK16" s="79">
        <v>59250</v>
      </c>
      <c r="CL16" s="79">
        <v>29255</v>
      </c>
      <c r="CM16" s="79">
        <v>0</v>
      </c>
      <c r="CN16" s="79">
        <v>1576636</v>
      </c>
      <c r="CO16" s="79">
        <v>6587976</v>
      </c>
      <c r="CP16" s="79">
        <v>2038084</v>
      </c>
      <c r="CQ16" s="79">
        <v>877144</v>
      </c>
      <c r="CR16" s="79">
        <v>3869500</v>
      </c>
      <c r="CS16" s="79">
        <v>0</v>
      </c>
      <c r="CT16" s="79">
        <v>13372704</v>
      </c>
      <c r="CU16" s="79">
        <v>0</v>
      </c>
      <c r="CV16" s="79">
        <v>0</v>
      </c>
      <c r="CW16" s="79">
        <v>0</v>
      </c>
      <c r="CX16" s="79">
        <v>0</v>
      </c>
      <c r="CY16" s="79">
        <v>0</v>
      </c>
      <c r="CZ16" s="79">
        <v>0</v>
      </c>
      <c r="DA16" s="79">
        <v>1585475</v>
      </c>
      <c r="DB16" s="79">
        <v>271693</v>
      </c>
      <c r="DC16" s="79">
        <v>170534</v>
      </c>
      <c r="DD16" s="79">
        <v>182843</v>
      </c>
      <c r="DE16" s="79">
        <v>11821832</v>
      </c>
      <c r="DF16" s="79">
        <v>14032377</v>
      </c>
      <c r="DG16" s="79">
        <v>0</v>
      </c>
      <c r="DH16" s="79">
        <v>0</v>
      </c>
      <c r="DI16" s="79">
        <v>0</v>
      </c>
      <c r="DJ16" s="79">
        <v>0</v>
      </c>
      <c r="DK16" s="79">
        <v>0</v>
      </c>
      <c r="DL16" s="79">
        <v>0</v>
      </c>
      <c r="DM16" s="79">
        <v>472383</v>
      </c>
      <c r="DN16" s="79">
        <v>0</v>
      </c>
      <c r="DO16" s="79">
        <v>28150</v>
      </c>
      <c r="DP16" s="79">
        <v>0</v>
      </c>
      <c r="DQ16" s="79">
        <v>0</v>
      </c>
      <c r="DR16" s="79">
        <v>500533</v>
      </c>
      <c r="DS16" s="79">
        <v>617524</v>
      </c>
      <c r="DT16" s="79">
        <v>186911</v>
      </c>
      <c r="DU16" s="79">
        <v>91859</v>
      </c>
      <c r="DV16" s="79">
        <v>403578</v>
      </c>
      <c r="DW16" s="79">
        <v>0</v>
      </c>
      <c r="DX16" s="79">
        <v>1299872</v>
      </c>
      <c r="DY16" s="79">
        <v>2451078</v>
      </c>
      <c r="DZ16" s="79">
        <v>489591</v>
      </c>
      <c r="EA16" s="79">
        <v>399794</v>
      </c>
      <c r="EB16" s="79">
        <v>1469139</v>
      </c>
      <c r="EC16" s="79">
        <v>0</v>
      </c>
      <c r="ED16" s="79">
        <v>4809602</v>
      </c>
      <c r="EE16" s="79">
        <v>945430</v>
      </c>
      <c r="EF16" s="79">
        <v>105296</v>
      </c>
      <c r="EG16" s="79">
        <v>107627</v>
      </c>
      <c r="EH16" s="79">
        <v>844247</v>
      </c>
      <c r="EI16" s="79">
        <v>1306278</v>
      </c>
      <c r="EJ16" s="79">
        <v>3308878</v>
      </c>
      <c r="EK16" s="79">
        <v>2483975</v>
      </c>
      <c r="EL16" s="79">
        <v>344770</v>
      </c>
      <c r="EM16" s="79">
        <v>227700</v>
      </c>
      <c r="EN16" s="79">
        <v>381042</v>
      </c>
      <c r="EO16" s="79">
        <v>0</v>
      </c>
      <c r="EP16" s="79">
        <v>3437487</v>
      </c>
      <c r="EQ16" s="79">
        <v>0</v>
      </c>
      <c r="ER16" s="79">
        <v>0</v>
      </c>
      <c r="ES16" s="79">
        <v>0</v>
      </c>
      <c r="ET16" s="79">
        <v>0</v>
      </c>
      <c r="EU16" s="79">
        <v>3019878</v>
      </c>
      <c r="EV16" s="79">
        <v>3019878</v>
      </c>
      <c r="EW16" s="79">
        <v>0</v>
      </c>
      <c r="EX16" s="79">
        <v>0</v>
      </c>
      <c r="EY16" s="79">
        <v>0</v>
      </c>
      <c r="EZ16" s="79">
        <v>0</v>
      </c>
      <c r="FA16" s="79">
        <v>0</v>
      </c>
      <c r="FB16" s="79">
        <v>0</v>
      </c>
      <c r="FC16" s="79">
        <v>1313232</v>
      </c>
      <c r="FD16" s="79">
        <v>63240</v>
      </c>
      <c r="FE16" s="79">
        <v>63240</v>
      </c>
      <c r="FF16" s="79">
        <v>381111</v>
      </c>
      <c r="FG16" s="79">
        <v>3084888</v>
      </c>
      <c r="FH16" s="79">
        <v>4905711</v>
      </c>
      <c r="FI16" s="79">
        <v>0</v>
      </c>
      <c r="FJ16" s="79">
        <v>0</v>
      </c>
      <c r="FK16" s="79">
        <v>0</v>
      </c>
      <c r="FL16" s="79">
        <v>0</v>
      </c>
      <c r="FM16" s="79">
        <v>240897</v>
      </c>
      <c r="FN16" s="79">
        <v>240897</v>
      </c>
      <c r="FO16" s="79">
        <v>0</v>
      </c>
      <c r="FP16" s="79">
        <v>0</v>
      </c>
      <c r="FQ16" s="79">
        <v>0</v>
      </c>
      <c r="FR16" s="79">
        <v>0</v>
      </c>
      <c r="FS16" s="79">
        <v>0</v>
      </c>
      <c r="FT16" s="79">
        <v>0</v>
      </c>
      <c r="FU16" s="79">
        <v>122452</v>
      </c>
      <c r="FV16" s="79">
        <v>10771</v>
      </c>
      <c r="FW16" s="79">
        <v>42192</v>
      </c>
      <c r="FX16" s="79">
        <v>204978</v>
      </c>
      <c r="FY16" s="79">
        <v>117908</v>
      </c>
      <c r="FZ16" s="79">
        <v>498301</v>
      </c>
      <c r="GA16" s="79">
        <v>2504</v>
      </c>
      <c r="GB16" s="79">
        <v>105</v>
      </c>
      <c r="GC16" s="79">
        <v>963</v>
      </c>
      <c r="GD16" s="79">
        <v>6431</v>
      </c>
      <c r="GE16" s="79">
        <v>26410</v>
      </c>
      <c r="GF16" s="79">
        <v>36413</v>
      </c>
      <c r="GG16" s="79">
        <v>1208780</v>
      </c>
      <c r="GH16" s="79">
        <v>144906</v>
      </c>
      <c r="GI16" s="79">
        <v>110044</v>
      </c>
      <c r="GJ16" s="79">
        <v>387707</v>
      </c>
      <c r="GK16" s="79">
        <v>2960730</v>
      </c>
      <c r="GL16" s="79">
        <v>4812167</v>
      </c>
      <c r="GM16" s="79">
        <v>22339679</v>
      </c>
      <c r="GN16" s="79">
        <v>4522192</v>
      </c>
      <c r="GO16" s="79">
        <v>2820026</v>
      </c>
      <c r="GP16" s="79">
        <v>13847794</v>
      </c>
      <c r="GQ16" s="79">
        <v>23561396</v>
      </c>
      <c r="GR16" s="79">
        <v>67091087</v>
      </c>
      <c r="GS16" s="79">
        <v>0</v>
      </c>
      <c r="GT16" s="79">
        <v>0</v>
      </c>
      <c r="GU16" s="79">
        <v>0</v>
      </c>
      <c r="GV16" s="79">
        <v>0</v>
      </c>
      <c r="GW16" s="79">
        <v>1127899</v>
      </c>
      <c r="GX16" s="79">
        <v>1127899</v>
      </c>
      <c r="GY16" s="79">
        <v>22339679</v>
      </c>
      <c r="GZ16" s="79">
        <v>4522192</v>
      </c>
      <c r="HA16" s="79">
        <v>2820026</v>
      </c>
      <c r="HB16" s="79">
        <v>13847794</v>
      </c>
      <c r="HC16" s="79">
        <v>24689295</v>
      </c>
      <c r="HD16" s="79">
        <v>68218986</v>
      </c>
      <c r="HF16" s="7">
        <f>SUM(AZ16:AZ16)</f>
        <v>20085943</v>
      </c>
      <c r="HG16" s="7" t="e">
        <f>#REF!-HF16</f>
        <v>#REF!</v>
      </c>
      <c r="HH16" s="7" t="e">
        <f>SUM(#REF!)</f>
        <v>#REF!</v>
      </c>
      <c r="HI16" s="7" t="e">
        <f>#REF!-HH16</f>
        <v>#REF!</v>
      </c>
      <c r="HJ16" s="7">
        <f>SUM(BA16:BA16)</f>
        <v>2292793</v>
      </c>
      <c r="HK16" s="7" t="e">
        <f>#REF!-HJ16</f>
        <v>#REF!</v>
      </c>
      <c r="HL16" s="7">
        <f>SUM(BB16:BB16)</f>
        <v>2583000</v>
      </c>
      <c r="HM16" s="7" t="e">
        <f>#REF!-HL16</f>
        <v>#REF!</v>
      </c>
      <c r="HN16" s="7" t="e">
        <f>SUM(#REF!)</f>
        <v>#REF!</v>
      </c>
      <c r="HO16" s="7" t="e">
        <f>#REF!-HN16</f>
        <v>#REF!</v>
      </c>
      <c r="HP16" s="7" t="e">
        <f>SUM(#REF!)</f>
        <v>#REF!</v>
      </c>
      <c r="HQ16" s="7" t="e">
        <f>#REF!-HP16</f>
        <v>#REF!</v>
      </c>
      <c r="HR16" s="7" t="e">
        <f>SUM(#REF!)</f>
        <v>#REF!</v>
      </c>
      <c r="HS16" s="7" t="e">
        <f>#REF!-HR16</f>
        <v>#REF!</v>
      </c>
      <c r="HT16" s="7" t="e">
        <f>SUM(#REF!)</f>
        <v>#REF!</v>
      </c>
      <c r="HU16" s="7" t="e">
        <f>#REF!-HT16</f>
        <v>#REF!</v>
      </c>
      <c r="HV16" s="7" t="e">
        <f>SUM(#REF!)</f>
        <v>#REF!</v>
      </c>
      <c r="HW16" s="7" t="e">
        <f>#REF!-HV16</f>
        <v>#REF!</v>
      </c>
      <c r="HX16" s="7" t="e">
        <f>SUM(#REF!)</f>
        <v>#REF!</v>
      </c>
      <c r="HY16" s="7" t="e">
        <f>#REF!-HX16</f>
        <v>#REF!</v>
      </c>
      <c r="HZ16" s="7">
        <f>SUM(BC16:BC16)</f>
        <v>1600785</v>
      </c>
      <c r="IA16" s="7" t="e">
        <f>#REF!-HZ16</f>
        <v>#REF!</v>
      </c>
      <c r="IB16" s="7">
        <f>SUM(BD16:BD16)</f>
        <v>428000</v>
      </c>
      <c r="IC16" s="7" t="e">
        <f>#REF!-IB16</f>
        <v>#REF!</v>
      </c>
      <c r="ID16" s="7">
        <f t="shared" si="1"/>
        <v>0</v>
      </c>
      <c r="IE16" s="7">
        <f t="shared" si="2"/>
        <v>0</v>
      </c>
      <c r="IF16" s="7">
        <f t="shared" si="3"/>
        <v>182010</v>
      </c>
      <c r="IG16" s="7">
        <f t="shared" si="4"/>
        <v>0</v>
      </c>
      <c r="IH16" s="7">
        <f t="shared" si="5"/>
        <v>806128</v>
      </c>
      <c r="II16" s="7">
        <f t="shared" si="6"/>
        <v>0</v>
      </c>
      <c r="IJ16" s="7">
        <f t="shared" si="7"/>
        <v>69061398</v>
      </c>
      <c r="IK16" s="7">
        <f t="shared" si="8"/>
        <v>0</v>
      </c>
      <c r="IL16" s="7">
        <f t="shared" si="9"/>
        <v>11239631</v>
      </c>
      <c r="IM16" s="7">
        <f t="shared" si="10"/>
        <v>0</v>
      </c>
      <c r="IN16" s="7">
        <f t="shared" si="11"/>
        <v>1576636</v>
      </c>
      <c r="IO16" s="7">
        <f t="shared" si="12"/>
        <v>0</v>
      </c>
      <c r="IP16" s="7">
        <f t="shared" si="13"/>
        <v>13372704</v>
      </c>
      <c r="IQ16" s="7">
        <f t="shared" si="14"/>
        <v>0</v>
      </c>
      <c r="IR16" s="7">
        <f t="shared" si="15"/>
        <v>0</v>
      </c>
      <c r="IS16" s="7">
        <f t="shared" si="16"/>
        <v>0</v>
      </c>
      <c r="IT16" s="7">
        <f t="shared" si="17"/>
        <v>14032377</v>
      </c>
      <c r="IU16" s="7">
        <f t="shared" si="18"/>
        <v>0</v>
      </c>
      <c r="IV16" s="7">
        <f t="shared" si="19"/>
        <v>0</v>
      </c>
      <c r="IW16" s="7">
        <f t="shared" si="20"/>
        <v>0</v>
      </c>
      <c r="IX16" s="7">
        <f t="shared" si="21"/>
        <v>500533</v>
      </c>
      <c r="IY16" s="7">
        <f t="shared" si="22"/>
        <v>0</v>
      </c>
      <c r="IZ16" s="7">
        <f t="shared" si="23"/>
        <v>1299872</v>
      </c>
      <c r="JA16" s="7">
        <f t="shared" si="24"/>
        <v>0</v>
      </c>
      <c r="JB16" s="7">
        <f t="shared" si="25"/>
        <v>4809602</v>
      </c>
      <c r="JC16" s="7">
        <f t="shared" si="26"/>
        <v>0</v>
      </c>
      <c r="JD16" s="7">
        <f t="shared" si="27"/>
        <v>3308878</v>
      </c>
      <c r="JE16" s="7">
        <f t="shared" si="28"/>
        <v>0</v>
      </c>
      <c r="JF16" s="7">
        <f t="shared" si="29"/>
        <v>3437487</v>
      </c>
      <c r="JG16" s="7">
        <f t="shared" si="30"/>
        <v>0</v>
      </c>
      <c r="JH16" s="7">
        <f t="shared" si="31"/>
        <v>3019878</v>
      </c>
      <c r="JI16" s="7">
        <f t="shared" si="32"/>
        <v>0</v>
      </c>
      <c r="JJ16" s="7">
        <f t="shared" si="33"/>
        <v>0</v>
      </c>
      <c r="JK16" s="7">
        <f t="shared" si="34"/>
        <v>0</v>
      </c>
      <c r="JL16" s="7">
        <f t="shared" si="35"/>
        <v>4905711</v>
      </c>
      <c r="JM16" s="7">
        <f t="shared" si="36"/>
        <v>0</v>
      </c>
      <c r="JN16" s="7">
        <f t="shared" si="37"/>
        <v>240897</v>
      </c>
      <c r="JO16" s="7">
        <f t="shared" si="38"/>
        <v>0</v>
      </c>
      <c r="JP16" s="7">
        <f t="shared" si="39"/>
        <v>0</v>
      </c>
      <c r="JQ16" s="7">
        <f t="shared" si="40"/>
        <v>0</v>
      </c>
      <c r="JR16" s="7">
        <f t="shared" si="41"/>
        <v>498301</v>
      </c>
      <c r="JS16" s="7">
        <f t="shared" si="42"/>
        <v>0</v>
      </c>
      <c r="JT16" s="7">
        <f t="shared" si="43"/>
        <v>36413</v>
      </c>
      <c r="JU16" s="7">
        <f t="shared" si="44"/>
        <v>0</v>
      </c>
      <c r="JV16" s="7">
        <f t="shared" si="45"/>
        <v>4812167</v>
      </c>
      <c r="JW16" s="7">
        <f t="shared" si="46"/>
        <v>0</v>
      </c>
      <c r="JX16" s="7">
        <f t="shared" si="47"/>
        <v>67091087</v>
      </c>
      <c r="JY16" s="7">
        <f t="shared" si="48"/>
        <v>0</v>
      </c>
      <c r="JZ16" s="7">
        <f t="shared" si="49"/>
        <v>1127899</v>
      </c>
      <c r="KA16" s="7">
        <f t="shared" si="50"/>
        <v>0</v>
      </c>
      <c r="KB16" s="7">
        <f t="shared" si="51"/>
        <v>68218986</v>
      </c>
      <c r="KC16" s="7">
        <f t="shared" si="52"/>
        <v>0</v>
      </c>
      <c r="KE16" s="7" t="e">
        <f t="shared" si="0"/>
        <v>#REF!</v>
      </c>
      <c r="KG16" s="5" t="e">
        <f t="shared" si="53"/>
        <v>#REF!</v>
      </c>
    </row>
    <row r="17" spans="1:293" x14ac:dyDescent="0.15">
      <c r="A17" s="13" t="s">
        <v>212</v>
      </c>
      <c r="B17" s="17" t="s">
        <v>342</v>
      </c>
      <c r="C17" s="41">
        <v>126614</v>
      </c>
      <c r="D17" s="38">
        <v>2013</v>
      </c>
      <c r="E17" s="38">
        <v>1</v>
      </c>
      <c r="F17" s="38">
        <v>4</v>
      </c>
      <c r="G17" s="39">
        <v>13107</v>
      </c>
      <c r="H17" s="39">
        <v>11085</v>
      </c>
      <c r="I17" s="40">
        <v>1115849685</v>
      </c>
      <c r="J17" s="40"/>
      <c r="K17" s="40">
        <v>6183304</v>
      </c>
      <c r="L17" s="40"/>
      <c r="M17" s="40">
        <v>78962112</v>
      </c>
      <c r="N17" s="40"/>
      <c r="O17" s="40">
        <v>55717936</v>
      </c>
      <c r="P17" s="40"/>
      <c r="Q17" s="40">
        <v>686103012</v>
      </c>
      <c r="R17" s="40"/>
      <c r="S17" s="40">
        <v>883303022</v>
      </c>
      <c r="T17" s="40"/>
      <c r="U17" s="40">
        <v>22277</v>
      </c>
      <c r="V17" s="40"/>
      <c r="W17" s="40">
        <v>44173</v>
      </c>
      <c r="X17" s="40"/>
      <c r="Y17" s="40">
        <v>25024</v>
      </c>
      <c r="Z17" s="40"/>
      <c r="AA17" s="40">
        <v>47466</v>
      </c>
      <c r="AB17" s="40"/>
      <c r="AC17" s="59">
        <v>7</v>
      </c>
      <c r="AD17" s="59">
        <v>9</v>
      </c>
      <c r="AE17" s="59">
        <v>0</v>
      </c>
      <c r="AF17" s="57">
        <v>5607208</v>
      </c>
      <c r="AG17" s="57">
        <v>3210710</v>
      </c>
      <c r="AH17" s="57">
        <v>532910</v>
      </c>
      <c r="AI17" s="57">
        <v>342953</v>
      </c>
      <c r="AJ17" s="57">
        <v>844825</v>
      </c>
      <c r="AK17" s="58">
        <v>4</v>
      </c>
      <c r="AL17" s="57">
        <v>675860</v>
      </c>
      <c r="AM17" s="58">
        <v>5</v>
      </c>
      <c r="AN17" s="57">
        <v>241896.5</v>
      </c>
      <c r="AO17" s="58">
        <v>6</v>
      </c>
      <c r="AP17" s="57">
        <v>207339.85714285713</v>
      </c>
      <c r="AQ17" s="58">
        <v>7</v>
      </c>
      <c r="AR17" s="57">
        <v>273749.9411764706</v>
      </c>
      <c r="AS17" s="58">
        <v>17</v>
      </c>
      <c r="AT17" s="57">
        <v>221607.09523809524</v>
      </c>
      <c r="AU17" s="58">
        <v>21</v>
      </c>
      <c r="AV17" s="57">
        <v>98746.769230769234</v>
      </c>
      <c r="AW17" s="58">
        <v>13</v>
      </c>
      <c r="AX17" s="57">
        <v>75512.23529411765</v>
      </c>
      <c r="AY17" s="58">
        <v>17</v>
      </c>
      <c r="AZ17" s="79">
        <v>10206789</v>
      </c>
      <c r="BA17" s="88">
        <v>250000</v>
      </c>
      <c r="BB17" s="79">
        <v>5299494</v>
      </c>
      <c r="BC17" s="79">
        <v>721329</v>
      </c>
      <c r="BD17" s="88">
        <v>0</v>
      </c>
      <c r="BE17" s="88">
        <v>69899</v>
      </c>
      <c r="BF17" s="79">
        <v>138916</v>
      </c>
      <c r="BG17" s="88">
        <v>96975</v>
      </c>
      <c r="BH17" s="88">
        <v>405373</v>
      </c>
      <c r="BI17" s="79">
        <v>32675</v>
      </c>
      <c r="BJ17" s="88">
        <v>743838</v>
      </c>
      <c r="BK17" s="88">
        <v>294775</v>
      </c>
      <c r="BL17" s="88">
        <v>10300</v>
      </c>
      <c r="BM17" s="88">
        <v>26475</v>
      </c>
      <c r="BN17" s="88">
        <v>114595</v>
      </c>
      <c r="BO17" s="79">
        <v>160156</v>
      </c>
      <c r="BP17" s="88">
        <v>606301</v>
      </c>
      <c r="BQ17" s="88">
        <v>0</v>
      </c>
      <c r="BR17" s="88">
        <v>0</v>
      </c>
      <c r="BS17" s="88">
        <v>0</v>
      </c>
      <c r="BT17" s="88">
        <v>25617</v>
      </c>
      <c r="BU17" s="79">
        <v>617981</v>
      </c>
      <c r="BV17" s="88">
        <v>643598</v>
      </c>
      <c r="BW17" s="88">
        <v>30547708</v>
      </c>
      <c r="BX17" s="88">
        <v>4532359</v>
      </c>
      <c r="BY17" s="88">
        <v>547950</v>
      </c>
      <c r="BZ17" s="88">
        <v>705735</v>
      </c>
      <c r="CA17" s="79">
        <v>22000593</v>
      </c>
      <c r="CB17" s="88">
        <v>58334345</v>
      </c>
      <c r="CC17" s="88">
        <v>4086318</v>
      </c>
      <c r="CD17" s="88">
        <v>586973</v>
      </c>
      <c r="CE17" s="88">
        <v>595186</v>
      </c>
      <c r="CF17" s="88">
        <v>3549441</v>
      </c>
      <c r="CG17" s="79">
        <v>0</v>
      </c>
      <c r="CH17" s="88">
        <v>8817918</v>
      </c>
      <c r="CI17" s="88">
        <v>460000</v>
      </c>
      <c r="CJ17" s="88">
        <v>345000</v>
      </c>
      <c r="CK17" s="88">
        <v>48000</v>
      </c>
      <c r="CL17" s="88">
        <v>4273</v>
      </c>
      <c r="CM17" s="79">
        <v>0</v>
      </c>
      <c r="CN17" s="79">
        <v>857273</v>
      </c>
      <c r="CO17" s="88">
        <v>5769896</v>
      </c>
      <c r="CP17" s="88">
        <v>1772979</v>
      </c>
      <c r="CQ17" s="88">
        <v>1086577</v>
      </c>
      <c r="CR17" s="88">
        <v>1889134</v>
      </c>
      <c r="CS17" s="79">
        <v>249550</v>
      </c>
      <c r="CT17" s="88">
        <v>10768136</v>
      </c>
      <c r="CU17" s="88">
        <v>0</v>
      </c>
      <c r="CV17" s="88">
        <v>0</v>
      </c>
      <c r="CW17" s="88">
        <v>0</v>
      </c>
      <c r="CX17" s="88">
        <v>0</v>
      </c>
      <c r="CY17" s="88">
        <v>0</v>
      </c>
      <c r="CZ17" s="88">
        <v>0</v>
      </c>
      <c r="DA17" s="88">
        <v>727635</v>
      </c>
      <c r="DB17" s="79">
        <v>360888</v>
      </c>
      <c r="DC17" s="79">
        <v>277122</v>
      </c>
      <c r="DD17" s="79">
        <v>330516</v>
      </c>
      <c r="DE17" s="79">
        <v>8540018</v>
      </c>
      <c r="DF17" s="79">
        <v>10236179</v>
      </c>
      <c r="DG17" s="79">
        <v>0</v>
      </c>
      <c r="DH17" s="79">
        <v>0</v>
      </c>
      <c r="DI17" s="79">
        <v>0</v>
      </c>
      <c r="DJ17" s="79">
        <v>0</v>
      </c>
      <c r="DK17" s="79">
        <v>0</v>
      </c>
      <c r="DL17" s="79">
        <v>0</v>
      </c>
      <c r="DM17" s="79">
        <v>3377434</v>
      </c>
      <c r="DN17" s="88">
        <v>0</v>
      </c>
      <c r="DO17" s="88">
        <v>0</v>
      </c>
      <c r="DP17" s="79">
        <v>0</v>
      </c>
      <c r="DQ17" s="79">
        <v>922437</v>
      </c>
      <c r="DR17" s="88">
        <v>4299871</v>
      </c>
      <c r="DS17" s="88">
        <v>399193</v>
      </c>
      <c r="DT17" s="88">
        <v>90342</v>
      </c>
      <c r="DU17" s="88">
        <v>116853</v>
      </c>
      <c r="DV17" s="88">
        <v>226221</v>
      </c>
      <c r="DW17" s="79">
        <v>43254</v>
      </c>
      <c r="DX17" s="88">
        <v>875863</v>
      </c>
      <c r="DY17" s="88">
        <v>708216</v>
      </c>
      <c r="DZ17" s="88">
        <v>607448</v>
      </c>
      <c r="EA17" s="88">
        <v>346372</v>
      </c>
      <c r="EB17" s="88">
        <v>1123072</v>
      </c>
      <c r="EC17" s="79">
        <v>0</v>
      </c>
      <c r="ED17" s="88">
        <v>2785108</v>
      </c>
      <c r="EE17" s="88">
        <v>511545</v>
      </c>
      <c r="EF17" s="88">
        <v>109060</v>
      </c>
      <c r="EG17" s="88">
        <v>60038</v>
      </c>
      <c r="EH17" s="88">
        <v>420983</v>
      </c>
      <c r="EI17" s="79">
        <v>33078</v>
      </c>
      <c r="EJ17" s="88">
        <v>1134704</v>
      </c>
      <c r="EK17" s="88">
        <v>2331552</v>
      </c>
      <c r="EL17" s="88">
        <v>705734</v>
      </c>
      <c r="EM17" s="88">
        <v>529440</v>
      </c>
      <c r="EN17" s="88">
        <v>120426</v>
      </c>
      <c r="EO17" s="79">
        <v>0</v>
      </c>
      <c r="EP17" s="88">
        <v>3687152</v>
      </c>
      <c r="EQ17" s="88">
        <v>2601</v>
      </c>
      <c r="ER17" s="88">
        <v>0</v>
      </c>
      <c r="ES17" s="88">
        <v>0</v>
      </c>
      <c r="ET17" s="88">
        <v>44211</v>
      </c>
      <c r="EU17" s="79">
        <v>2228438</v>
      </c>
      <c r="EV17" s="88">
        <v>2275250</v>
      </c>
      <c r="EW17" s="88">
        <v>25108</v>
      </c>
      <c r="EX17" s="79">
        <v>50229</v>
      </c>
      <c r="EY17" s="79">
        <v>50444</v>
      </c>
      <c r="EZ17" s="79">
        <v>203608</v>
      </c>
      <c r="FA17" s="79">
        <v>7157</v>
      </c>
      <c r="FB17" s="88">
        <v>336546</v>
      </c>
      <c r="FC17" s="88">
        <v>96401</v>
      </c>
      <c r="FD17" s="88">
        <v>12777</v>
      </c>
      <c r="FE17" s="88">
        <v>8170</v>
      </c>
      <c r="FF17" s="88">
        <v>79053</v>
      </c>
      <c r="FG17" s="88">
        <v>11921316</v>
      </c>
      <c r="FH17" s="88">
        <v>12117717</v>
      </c>
      <c r="FI17" s="88">
        <v>0</v>
      </c>
      <c r="FJ17" s="88">
        <v>0</v>
      </c>
      <c r="FK17" s="88">
        <v>0</v>
      </c>
      <c r="FL17" s="88">
        <v>0</v>
      </c>
      <c r="FM17" s="79">
        <v>287010</v>
      </c>
      <c r="FN17" s="88">
        <v>287010</v>
      </c>
      <c r="FO17" s="88">
        <v>0</v>
      </c>
      <c r="FP17" s="79">
        <v>0</v>
      </c>
      <c r="FQ17" s="79">
        <v>0</v>
      </c>
      <c r="FR17" s="79">
        <v>0</v>
      </c>
      <c r="FS17" s="79">
        <v>226182</v>
      </c>
      <c r="FT17" s="79">
        <v>226182</v>
      </c>
      <c r="FU17" s="79">
        <v>170263</v>
      </c>
      <c r="FV17" s="88">
        <v>27874</v>
      </c>
      <c r="FW17" s="88">
        <v>20052</v>
      </c>
      <c r="FX17" s="88">
        <v>145095</v>
      </c>
      <c r="FY17" s="79">
        <v>376509</v>
      </c>
      <c r="FZ17" s="88">
        <v>739793</v>
      </c>
      <c r="GA17" s="88">
        <v>2440</v>
      </c>
      <c r="GB17" s="88">
        <v>740</v>
      </c>
      <c r="GC17" s="88">
        <v>1372</v>
      </c>
      <c r="GD17" s="88">
        <v>10950</v>
      </c>
      <c r="GE17" s="79">
        <v>34660</v>
      </c>
      <c r="GF17" s="88">
        <v>50162</v>
      </c>
      <c r="GG17" s="88">
        <v>1113025</v>
      </c>
      <c r="GH17" s="88">
        <v>214279</v>
      </c>
      <c r="GI17" s="88">
        <v>135925</v>
      </c>
      <c r="GJ17" s="88">
        <v>456318</v>
      </c>
      <c r="GK17" s="88">
        <v>4913086</v>
      </c>
      <c r="GL17" s="88">
        <v>6832633</v>
      </c>
      <c r="GM17" s="88">
        <v>19781627</v>
      </c>
      <c r="GN17" s="88">
        <v>4884323</v>
      </c>
      <c r="GO17" s="88">
        <v>3275551</v>
      </c>
      <c r="GP17" s="88">
        <v>8598324</v>
      </c>
      <c r="GQ17" s="79">
        <v>29787672</v>
      </c>
      <c r="GR17" s="88">
        <v>66327497</v>
      </c>
      <c r="GS17" s="88">
        <v>0</v>
      </c>
      <c r="GT17" s="88">
        <v>0</v>
      </c>
      <c r="GU17" s="88">
        <v>0</v>
      </c>
      <c r="GV17" s="88">
        <v>0</v>
      </c>
      <c r="GW17" s="88">
        <v>0</v>
      </c>
      <c r="GX17" s="88">
        <v>0</v>
      </c>
      <c r="GY17" s="88">
        <v>19781627</v>
      </c>
      <c r="GZ17" s="79">
        <v>4884323</v>
      </c>
      <c r="HA17" s="79">
        <v>3275551</v>
      </c>
      <c r="HB17" s="79">
        <v>8598324</v>
      </c>
      <c r="HC17" s="79">
        <v>29787672</v>
      </c>
      <c r="HD17" s="79">
        <v>66327497</v>
      </c>
      <c r="HE17" s="16"/>
      <c r="HF17" s="7">
        <f>SUM(AZ17:AZ17)</f>
        <v>10206789</v>
      </c>
      <c r="HG17" s="7" t="e">
        <f>#REF!-HF17</f>
        <v>#REF!</v>
      </c>
      <c r="HH17" s="7" t="e">
        <f>SUM(#REF!)</f>
        <v>#REF!</v>
      </c>
      <c r="HI17" s="7" t="e">
        <f>#REF!-HH17</f>
        <v>#REF!</v>
      </c>
      <c r="HJ17" s="7">
        <f>SUM(BA17:BA17)</f>
        <v>250000</v>
      </c>
      <c r="HK17" s="7" t="e">
        <f>#REF!-HJ17</f>
        <v>#REF!</v>
      </c>
      <c r="HL17" s="7">
        <f>SUM(BB17:BB17)</f>
        <v>5299494</v>
      </c>
      <c r="HM17" s="7" t="e">
        <f>#REF!-HL17</f>
        <v>#REF!</v>
      </c>
      <c r="HN17" s="7" t="e">
        <f>SUM(#REF!)</f>
        <v>#REF!</v>
      </c>
      <c r="HO17" s="7" t="e">
        <f>#REF!-HN17</f>
        <v>#REF!</v>
      </c>
      <c r="HP17" s="7" t="e">
        <f>SUM(#REF!)</f>
        <v>#REF!</v>
      </c>
      <c r="HQ17" s="7" t="e">
        <f>#REF!-HP17</f>
        <v>#REF!</v>
      </c>
      <c r="HR17" s="7" t="e">
        <f>SUM(#REF!)</f>
        <v>#REF!</v>
      </c>
      <c r="HS17" s="7" t="e">
        <f>#REF!-HR17</f>
        <v>#REF!</v>
      </c>
      <c r="HT17" s="7" t="e">
        <f>SUM(#REF!)</f>
        <v>#REF!</v>
      </c>
      <c r="HU17" s="7" t="e">
        <f>#REF!-HT17</f>
        <v>#REF!</v>
      </c>
      <c r="HV17" s="7" t="e">
        <f>SUM(#REF!)</f>
        <v>#REF!</v>
      </c>
      <c r="HW17" s="7" t="e">
        <f>#REF!-HV17</f>
        <v>#REF!</v>
      </c>
      <c r="HX17" s="7" t="e">
        <f>SUM(#REF!)</f>
        <v>#REF!</v>
      </c>
      <c r="HY17" s="7" t="e">
        <f>#REF!-HX17</f>
        <v>#REF!</v>
      </c>
      <c r="HZ17" s="7">
        <f>SUM(BC17:BC17)</f>
        <v>721329</v>
      </c>
      <c r="IA17" s="7" t="e">
        <f>#REF!-HZ17</f>
        <v>#REF!</v>
      </c>
      <c r="IB17" s="7">
        <f>SUM(BD17:BD17)</f>
        <v>0</v>
      </c>
      <c r="IC17" s="7" t="e">
        <f>#REF!-IB17</f>
        <v>#REF!</v>
      </c>
      <c r="ID17" s="7">
        <f t="shared" si="1"/>
        <v>743838</v>
      </c>
      <c r="IE17" s="7">
        <f t="shared" si="2"/>
        <v>0</v>
      </c>
      <c r="IF17" s="7">
        <f t="shared" si="3"/>
        <v>606301</v>
      </c>
      <c r="IG17" s="7">
        <f t="shared" si="4"/>
        <v>0</v>
      </c>
      <c r="IH17" s="7">
        <f t="shared" si="5"/>
        <v>643598</v>
      </c>
      <c r="II17" s="7">
        <f t="shared" si="6"/>
        <v>0</v>
      </c>
      <c r="IJ17" s="7">
        <f t="shared" si="7"/>
        <v>58334345</v>
      </c>
      <c r="IK17" s="7">
        <f t="shared" si="8"/>
        <v>0</v>
      </c>
      <c r="IL17" s="7">
        <f t="shared" si="9"/>
        <v>8817918</v>
      </c>
      <c r="IM17" s="7">
        <f t="shared" si="10"/>
        <v>0</v>
      </c>
      <c r="IN17" s="7">
        <f t="shared" si="11"/>
        <v>857273</v>
      </c>
      <c r="IO17" s="7">
        <f t="shared" si="12"/>
        <v>0</v>
      </c>
      <c r="IP17" s="7">
        <f t="shared" si="13"/>
        <v>10768136</v>
      </c>
      <c r="IQ17" s="7">
        <f t="shared" si="14"/>
        <v>0</v>
      </c>
      <c r="IR17" s="7">
        <f t="shared" si="15"/>
        <v>0</v>
      </c>
      <c r="IS17" s="7">
        <f t="shared" si="16"/>
        <v>0</v>
      </c>
      <c r="IT17" s="7">
        <f t="shared" si="17"/>
        <v>10236179</v>
      </c>
      <c r="IU17" s="7">
        <f t="shared" si="18"/>
        <v>0</v>
      </c>
      <c r="IV17" s="7">
        <f t="shared" si="19"/>
        <v>0</v>
      </c>
      <c r="IW17" s="7">
        <f t="shared" si="20"/>
        <v>0</v>
      </c>
      <c r="IX17" s="7">
        <f t="shared" si="21"/>
        <v>4299871</v>
      </c>
      <c r="IY17" s="7">
        <f t="shared" si="22"/>
        <v>0</v>
      </c>
      <c r="IZ17" s="7">
        <f t="shared" si="23"/>
        <v>875863</v>
      </c>
      <c r="JA17" s="7">
        <f t="shared" si="24"/>
        <v>0</v>
      </c>
      <c r="JB17" s="7">
        <f t="shared" si="25"/>
        <v>2785108</v>
      </c>
      <c r="JC17" s="7">
        <f t="shared" si="26"/>
        <v>0</v>
      </c>
      <c r="JD17" s="7">
        <f t="shared" si="27"/>
        <v>1134704</v>
      </c>
      <c r="JE17" s="7">
        <f t="shared" si="28"/>
        <v>0</v>
      </c>
      <c r="JF17" s="7">
        <f t="shared" si="29"/>
        <v>3687152</v>
      </c>
      <c r="JG17" s="7">
        <f t="shared" si="30"/>
        <v>0</v>
      </c>
      <c r="JH17" s="7">
        <f t="shared" si="31"/>
        <v>2275250</v>
      </c>
      <c r="JI17" s="7">
        <f t="shared" si="32"/>
        <v>0</v>
      </c>
      <c r="JJ17" s="7">
        <f t="shared" si="33"/>
        <v>336546</v>
      </c>
      <c r="JK17" s="7">
        <f t="shared" si="34"/>
        <v>0</v>
      </c>
      <c r="JL17" s="7">
        <f t="shared" si="35"/>
        <v>12117717</v>
      </c>
      <c r="JM17" s="7">
        <f t="shared" si="36"/>
        <v>0</v>
      </c>
      <c r="JN17" s="7">
        <f t="shared" si="37"/>
        <v>287010</v>
      </c>
      <c r="JO17" s="7">
        <f t="shared" si="38"/>
        <v>0</v>
      </c>
      <c r="JP17" s="7">
        <f t="shared" si="39"/>
        <v>226182</v>
      </c>
      <c r="JQ17" s="7">
        <f t="shared" si="40"/>
        <v>0</v>
      </c>
      <c r="JR17" s="7">
        <f t="shared" si="41"/>
        <v>739793</v>
      </c>
      <c r="JS17" s="7">
        <f t="shared" si="42"/>
        <v>0</v>
      </c>
      <c r="JT17" s="7">
        <f t="shared" si="43"/>
        <v>50162</v>
      </c>
      <c r="JU17" s="7">
        <f t="shared" si="44"/>
        <v>0</v>
      </c>
      <c r="JV17" s="7">
        <f t="shared" si="45"/>
        <v>6832633</v>
      </c>
      <c r="JW17" s="7">
        <f t="shared" si="46"/>
        <v>0</v>
      </c>
      <c r="JX17" s="7">
        <f t="shared" si="47"/>
        <v>66327497</v>
      </c>
      <c r="JY17" s="7">
        <f t="shared" si="48"/>
        <v>0</v>
      </c>
      <c r="JZ17" s="7">
        <f t="shared" si="49"/>
        <v>0</v>
      </c>
      <c r="KA17" s="7">
        <f t="shared" si="50"/>
        <v>0</v>
      </c>
      <c r="KB17" s="7">
        <f t="shared" si="51"/>
        <v>66327497</v>
      </c>
      <c r="KC17" s="7">
        <f t="shared" si="52"/>
        <v>0</v>
      </c>
      <c r="KE17" s="7" t="e">
        <f t="shared" si="0"/>
        <v>#REF!</v>
      </c>
      <c r="KG17" s="5" t="e">
        <f t="shared" si="53"/>
        <v>#REF!</v>
      </c>
    </row>
    <row r="18" spans="1:293" x14ac:dyDescent="0.15">
      <c r="A18" s="119" t="s">
        <v>213</v>
      </c>
      <c r="B18" s="17" t="s">
        <v>400</v>
      </c>
      <c r="C18" s="38">
        <v>126818</v>
      </c>
      <c r="D18" s="38">
        <v>2013</v>
      </c>
      <c r="E18" s="38">
        <v>1</v>
      </c>
      <c r="F18" s="38">
        <v>10</v>
      </c>
      <c r="G18" s="39">
        <v>10953</v>
      </c>
      <c r="H18" s="39">
        <v>11429</v>
      </c>
      <c r="I18" s="40">
        <v>879033361</v>
      </c>
      <c r="J18" s="40"/>
      <c r="K18" s="40">
        <v>373669</v>
      </c>
      <c r="L18" s="40"/>
      <c r="M18" s="40">
        <v>37002861</v>
      </c>
      <c r="N18" s="40"/>
      <c r="O18" s="40">
        <v>1940000</v>
      </c>
      <c r="P18" s="40"/>
      <c r="Q18" s="40">
        <v>527247686</v>
      </c>
      <c r="R18" s="43"/>
      <c r="S18" s="40">
        <v>4121015111</v>
      </c>
      <c r="T18" s="40"/>
      <c r="U18" s="40">
        <v>20324</v>
      </c>
      <c r="V18" s="43"/>
      <c r="W18" s="40">
        <v>36118</v>
      </c>
      <c r="X18" s="43"/>
      <c r="Y18" s="40">
        <v>21964</v>
      </c>
      <c r="Z18" s="40"/>
      <c r="AA18" s="40">
        <v>38456</v>
      </c>
      <c r="AB18" s="40"/>
      <c r="AC18" s="56">
        <v>6</v>
      </c>
      <c r="AD18" s="56">
        <v>10</v>
      </c>
      <c r="AE18" s="56">
        <v>0</v>
      </c>
      <c r="AF18" s="57">
        <v>3879589</v>
      </c>
      <c r="AG18" s="57">
        <v>2953777</v>
      </c>
      <c r="AH18" s="57">
        <v>675443</v>
      </c>
      <c r="AI18" s="57">
        <v>249403</v>
      </c>
      <c r="AJ18" s="57">
        <v>808811.75</v>
      </c>
      <c r="AK18" s="58">
        <v>4</v>
      </c>
      <c r="AL18" s="57">
        <v>647049.4</v>
      </c>
      <c r="AM18" s="58">
        <v>5</v>
      </c>
      <c r="AN18" s="57">
        <v>120418.75</v>
      </c>
      <c r="AO18" s="58">
        <v>8</v>
      </c>
      <c r="AP18" s="57">
        <v>107038.89</v>
      </c>
      <c r="AQ18" s="58">
        <v>9</v>
      </c>
      <c r="AR18" s="57">
        <v>185631.93</v>
      </c>
      <c r="AS18" s="58">
        <v>14.5</v>
      </c>
      <c r="AT18" s="57">
        <v>168228.94</v>
      </c>
      <c r="AU18" s="58">
        <v>16</v>
      </c>
      <c r="AV18" s="57">
        <v>77387.91</v>
      </c>
      <c r="AW18" s="58">
        <v>11.25</v>
      </c>
      <c r="AX18" s="57">
        <v>62186.71</v>
      </c>
      <c r="AY18" s="58">
        <v>14</v>
      </c>
      <c r="AZ18" s="87">
        <v>2094799</v>
      </c>
      <c r="BA18" s="87">
        <v>0</v>
      </c>
      <c r="BB18" s="87">
        <v>108123</v>
      </c>
      <c r="BC18" s="87">
        <v>273817</v>
      </c>
      <c r="BD18" s="87">
        <v>0</v>
      </c>
      <c r="BE18" s="87">
        <v>206168</v>
      </c>
      <c r="BF18" s="87">
        <v>419998</v>
      </c>
      <c r="BG18" s="87">
        <v>60574</v>
      </c>
      <c r="BH18" s="87">
        <v>299329</v>
      </c>
      <c r="BI18" s="87">
        <v>44463</v>
      </c>
      <c r="BJ18" s="87">
        <v>1030532</v>
      </c>
      <c r="BK18" s="87">
        <v>28576</v>
      </c>
      <c r="BL18" s="87">
        <v>1378</v>
      </c>
      <c r="BM18" s="87">
        <v>362</v>
      </c>
      <c r="BN18" s="87">
        <v>46382</v>
      </c>
      <c r="BO18" s="87">
        <v>-2115</v>
      </c>
      <c r="BP18" s="87">
        <v>74583</v>
      </c>
      <c r="BQ18" s="87">
        <v>28576</v>
      </c>
      <c r="BR18" s="87">
        <v>1378</v>
      </c>
      <c r="BS18" s="87">
        <v>362</v>
      </c>
      <c r="BT18" s="87">
        <v>46382</v>
      </c>
      <c r="BU18" s="87">
        <v>-2115</v>
      </c>
      <c r="BV18" s="87">
        <v>74583</v>
      </c>
      <c r="BW18" s="87">
        <v>3561757</v>
      </c>
      <c r="BX18" s="87">
        <v>1676287</v>
      </c>
      <c r="BY18" s="87">
        <v>338760</v>
      </c>
      <c r="BZ18" s="87">
        <v>1168004</v>
      </c>
      <c r="CA18" s="87">
        <v>28047118</v>
      </c>
      <c r="CB18" s="87">
        <v>34791926</v>
      </c>
      <c r="CC18" s="87">
        <v>2975411</v>
      </c>
      <c r="CD18" s="87">
        <v>503377</v>
      </c>
      <c r="CE18" s="87">
        <v>484647</v>
      </c>
      <c r="CF18" s="87">
        <v>2869931</v>
      </c>
      <c r="CG18" s="87">
        <v>151008</v>
      </c>
      <c r="CH18" s="87">
        <v>6984374</v>
      </c>
      <c r="CI18" s="87">
        <v>250000</v>
      </c>
      <c r="CJ18" s="87">
        <v>314866</v>
      </c>
      <c r="CK18" s="87">
        <v>9000</v>
      </c>
      <c r="CL18" s="87">
        <v>45296</v>
      </c>
      <c r="CM18" s="87">
        <v>0</v>
      </c>
      <c r="CN18" s="87">
        <v>619162</v>
      </c>
      <c r="CO18" s="87">
        <v>3863344</v>
      </c>
      <c r="CP18" s="87">
        <v>1694867</v>
      </c>
      <c r="CQ18" s="87">
        <v>610736</v>
      </c>
      <c r="CR18" s="87">
        <v>1546883</v>
      </c>
      <c r="CS18" s="87">
        <v>45044</v>
      </c>
      <c r="CT18" s="87">
        <v>7760874</v>
      </c>
      <c r="CU18" s="87">
        <v>25000</v>
      </c>
      <c r="CV18" s="87">
        <v>11600</v>
      </c>
      <c r="CW18" s="87">
        <v>1200</v>
      </c>
      <c r="CX18" s="87">
        <v>0</v>
      </c>
      <c r="CY18" s="87">
        <v>0</v>
      </c>
      <c r="CZ18" s="87">
        <v>37800</v>
      </c>
      <c r="DA18" s="87">
        <v>491952</v>
      </c>
      <c r="DB18" s="87">
        <v>348651</v>
      </c>
      <c r="DC18" s="87">
        <v>149647</v>
      </c>
      <c r="DD18" s="87">
        <v>71369</v>
      </c>
      <c r="DE18" s="87">
        <v>4111134</v>
      </c>
      <c r="DF18" s="87">
        <v>5172753</v>
      </c>
      <c r="DG18" s="87">
        <v>0</v>
      </c>
      <c r="DH18" s="87">
        <v>0</v>
      </c>
      <c r="DI18" s="87">
        <v>0</v>
      </c>
      <c r="DJ18" s="87">
        <v>0</v>
      </c>
      <c r="DK18" s="87">
        <v>0</v>
      </c>
      <c r="DL18" s="87">
        <v>0</v>
      </c>
      <c r="DM18" s="87">
        <v>0</v>
      </c>
      <c r="DN18" s="87">
        <v>0</v>
      </c>
      <c r="DO18" s="87">
        <v>0</v>
      </c>
      <c r="DP18" s="87">
        <v>0</v>
      </c>
      <c r="DQ18" s="87">
        <v>0</v>
      </c>
      <c r="DR18" s="87">
        <v>0</v>
      </c>
      <c r="DS18" s="87">
        <v>460600</v>
      </c>
      <c r="DT18" s="87">
        <v>181569</v>
      </c>
      <c r="DU18" s="87">
        <v>142517</v>
      </c>
      <c r="DV18" s="87">
        <v>140160</v>
      </c>
      <c r="DW18" s="87">
        <v>8526</v>
      </c>
      <c r="DX18" s="87">
        <v>933372</v>
      </c>
      <c r="DY18" s="87">
        <v>853660</v>
      </c>
      <c r="DZ18" s="87">
        <v>503007</v>
      </c>
      <c r="EA18" s="87">
        <v>280082</v>
      </c>
      <c r="EB18" s="87">
        <v>907950</v>
      </c>
      <c r="EC18" s="87">
        <v>2701</v>
      </c>
      <c r="ED18" s="87">
        <v>2547400</v>
      </c>
      <c r="EE18" s="87">
        <v>645253</v>
      </c>
      <c r="EF18" s="87">
        <v>67690</v>
      </c>
      <c r="EG18" s="87">
        <v>66006</v>
      </c>
      <c r="EH18" s="87">
        <v>177647</v>
      </c>
      <c r="EI18" s="87">
        <v>89307</v>
      </c>
      <c r="EJ18" s="87">
        <v>1045903</v>
      </c>
      <c r="EK18" s="87">
        <v>895111</v>
      </c>
      <c r="EL18" s="87">
        <v>239916</v>
      </c>
      <c r="EM18" s="87">
        <v>148906</v>
      </c>
      <c r="EN18" s="87">
        <v>162135</v>
      </c>
      <c r="EO18" s="87">
        <v>203</v>
      </c>
      <c r="EP18" s="87">
        <v>1446271</v>
      </c>
      <c r="EQ18" s="87">
        <v>143005</v>
      </c>
      <c r="ER18" s="87">
        <v>23356</v>
      </c>
      <c r="ES18" s="87">
        <v>4004</v>
      </c>
      <c r="ET18" s="87">
        <v>47700</v>
      </c>
      <c r="EU18" s="87">
        <v>1608831</v>
      </c>
      <c r="EV18" s="87">
        <v>1826896</v>
      </c>
      <c r="EW18" s="87">
        <v>201439</v>
      </c>
      <c r="EX18" s="87">
        <v>396201</v>
      </c>
      <c r="EY18" s="87">
        <v>60339</v>
      </c>
      <c r="EZ18" s="87">
        <v>205497</v>
      </c>
      <c r="FA18" s="87">
        <v>6428</v>
      </c>
      <c r="FB18" s="87">
        <v>869904</v>
      </c>
      <c r="FC18" s="87">
        <v>25869</v>
      </c>
      <c r="FD18" s="87">
        <v>-3666</v>
      </c>
      <c r="FE18" s="87">
        <v>-173</v>
      </c>
      <c r="FF18" s="87">
        <v>65583</v>
      </c>
      <c r="FG18" s="87">
        <v>19558</v>
      </c>
      <c r="FH18" s="87">
        <v>107171</v>
      </c>
      <c r="FI18" s="87">
        <v>0</v>
      </c>
      <c r="FJ18" s="87">
        <v>0</v>
      </c>
      <c r="FK18" s="87">
        <v>0</v>
      </c>
      <c r="FL18" s="87">
        <v>0</v>
      </c>
      <c r="FM18" s="87">
        <v>79810</v>
      </c>
      <c r="FN18" s="87">
        <v>79810</v>
      </c>
      <c r="FO18" s="87">
        <v>650667</v>
      </c>
      <c r="FP18" s="87">
        <v>189860</v>
      </c>
      <c r="FQ18" s="87">
        <v>176189</v>
      </c>
      <c r="FR18" s="87">
        <v>317557</v>
      </c>
      <c r="FS18" s="87">
        <v>884399</v>
      </c>
      <c r="FT18" s="87">
        <v>2218672</v>
      </c>
      <c r="FU18" s="87">
        <v>16399</v>
      </c>
      <c r="FV18" s="87">
        <v>15</v>
      </c>
      <c r="FW18" s="87">
        <v>0</v>
      </c>
      <c r="FX18" s="87">
        <v>520</v>
      </c>
      <c r="FY18" s="87">
        <v>545575</v>
      </c>
      <c r="FZ18" s="87">
        <v>562509</v>
      </c>
      <c r="GA18" s="87">
        <v>5670</v>
      </c>
      <c r="GB18" s="87">
        <v>7430</v>
      </c>
      <c r="GC18" s="87">
        <v>2438</v>
      </c>
      <c r="GD18" s="87">
        <v>32299</v>
      </c>
      <c r="GE18" s="87">
        <v>399508</v>
      </c>
      <c r="GF18" s="87">
        <v>447345</v>
      </c>
      <c r="GG18" s="87">
        <v>463166</v>
      </c>
      <c r="GH18" s="87">
        <v>229403</v>
      </c>
      <c r="GI18" s="87">
        <v>90009</v>
      </c>
      <c r="GJ18" s="87">
        <v>124300</v>
      </c>
      <c r="GK18" s="87">
        <v>1115657</v>
      </c>
      <c r="GL18" s="87">
        <v>2022535</v>
      </c>
      <c r="GM18" s="87">
        <v>11966546</v>
      </c>
      <c r="GN18" s="87">
        <v>4708142</v>
      </c>
      <c r="GO18" s="87">
        <v>2225547</v>
      </c>
      <c r="GP18" s="87">
        <v>6714827</v>
      </c>
      <c r="GQ18" s="87">
        <v>9067689</v>
      </c>
      <c r="GR18" s="87">
        <v>34682751</v>
      </c>
      <c r="GS18" s="87">
        <v>0</v>
      </c>
      <c r="GT18" s="87">
        <v>0</v>
      </c>
      <c r="GU18" s="87">
        <v>0</v>
      </c>
      <c r="GV18" s="87">
        <v>0</v>
      </c>
      <c r="GW18" s="87">
        <v>0</v>
      </c>
      <c r="GX18" s="87">
        <v>0</v>
      </c>
      <c r="GY18" s="87">
        <v>11966546</v>
      </c>
      <c r="GZ18" s="87">
        <v>4708142</v>
      </c>
      <c r="HA18" s="87">
        <v>2225547</v>
      </c>
      <c r="HB18" s="87">
        <v>6714827</v>
      </c>
      <c r="HC18" s="87">
        <v>9067689</v>
      </c>
      <c r="HD18" s="87">
        <v>34682751</v>
      </c>
      <c r="HE18" s="15"/>
      <c r="HF18" s="7">
        <f>SUM(AZ18:AZ18)</f>
        <v>2094799</v>
      </c>
      <c r="HG18" s="7" t="e">
        <f>#REF!-HF18</f>
        <v>#REF!</v>
      </c>
      <c r="HH18" s="7" t="e">
        <f>SUM(#REF!)</f>
        <v>#REF!</v>
      </c>
      <c r="HI18" s="7" t="e">
        <f>#REF!-HH18</f>
        <v>#REF!</v>
      </c>
      <c r="HJ18" s="7">
        <f>SUM(BA18:BA18)</f>
        <v>0</v>
      </c>
      <c r="HK18" s="7" t="e">
        <f>#REF!-HJ18</f>
        <v>#REF!</v>
      </c>
      <c r="HL18" s="7">
        <f>SUM(BB18:BB18)</f>
        <v>108123</v>
      </c>
      <c r="HM18" s="7" t="e">
        <f>#REF!-HL18</f>
        <v>#REF!</v>
      </c>
      <c r="HN18" s="7" t="e">
        <f>SUM(#REF!)</f>
        <v>#REF!</v>
      </c>
      <c r="HO18" s="7" t="e">
        <f>#REF!-HN18</f>
        <v>#REF!</v>
      </c>
      <c r="HP18" s="7" t="e">
        <f>SUM(#REF!)</f>
        <v>#REF!</v>
      </c>
      <c r="HQ18" s="7" t="e">
        <f>#REF!-HP18</f>
        <v>#REF!</v>
      </c>
      <c r="HR18" s="7" t="e">
        <f>SUM(#REF!)</f>
        <v>#REF!</v>
      </c>
      <c r="HS18" s="7" t="e">
        <f>#REF!-HR18</f>
        <v>#REF!</v>
      </c>
      <c r="HT18" s="7" t="e">
        <f>SUM(#REF!)</f>
        <v>#REF!</v>
      </c>
      <c r="HU18" s="7" t="e">
        <f>#REF!-HT18</f>
        <v>#REF!</v>
      </c>
      <c r="HV18" s="7" t="e">
        <f>SUM(#REF!)</f>
        <v>#REF!</v>
      </c>
      <c r="HW18" s="7" t="e">
        <f>#REF!-HV18</f>
        <v>#REF!</v>
      </c>
      <c r="HX18" s="7" t="e">
        <f>SUM(#REF!)</f>
        <v>#REF!</v>
      </c>
      <c r="HY18" s="7" t="e">
        <f>#REF!-HX18</f>
        <v>#REF!</v>
      </c>
      <c r="HZ18" s="7">
        <f>SUM(BC18:BC18)</f>
        <v>273817</v>
      </c>
      <c r="IA18" s="7" t="e">
        <f>#REF!-HZ18</f>
        <v>#REF!</v>
      </c>
      <c r="IB18" s="7">
        <f>SUM(BD18:BD18)</f>
        <v>0</v>
      </c>
      <c r="IC18" s="7" t="e">
        <f>#REF!-IB18</f>
        <v>#REF!</v>
      </c>
      <c r="ID18" s="7">
        <f t="shared" si="1"/>
        <v>1030532</v>
      </c>
      <c r="IE18" s="7">
        <f t="shared" si="2"/>
        <v>0</v>
      </c>
      <c r="IF18" s="7">
        <f t="shared" si="3"/>
        <v>74583</v>
      </c>
      <c r="IG18" s="7">
        <f t="shared" si="4"/>
        <v>0</v>
      </c>
      <c r="IH18" s="7">
        <f t="shared" si="5"/>
        <v>74583</v>
      </c>
      <c r="II18" s="7">
        <f t="shared" si="6"/>
        <v>0</v>
      </c>
      <c r="IJ18" s="7">
        <f t="shared" si="7"/>
        <v>34791926</v>
      </c>
      <c r="IK18" s="7">
        <f t="shared" si="8"/>
        <v>0</v>
      </c>
      <c r="IL18" s="7">
        <f t="shared" si="9"/>
        <v>6984374</v>
      </c>
      <c r="IM18" s="7">
        <f t="shared" si="10"/>
        <v>0</v>
      </c>
      <c r="IN18" s="7">
        <f t="shared" si="11"/>
        <v>619162</v>
      </c>
      <c r="IO18" s="7">
        <f t="shared" si="12"/>
        <v>0</v>
      </c>
      <c r="IP18" s="7">
        <f t="shared" si="13"/>
        <v>7760874</v>
      </c>
      <c r="IQ18" s="7">
        <f t="shared" si="14"/>
        <v>0</v>
      </c>
      <c r="IR18" s="7">
        <f t="shared" si="15"/>
        <v>37800</v>
      </c>
      <c r="IS18" s="7">
        <f t="shared" si="16"/>
        <v>0</v>
      </c>
      <c r="IT18" s="7">
        <f t="shared" si="17"/>
        <v>5172753</v>
      </c>
      <c r="IU18" s="7">
        <f t="shared" si="18"/>
        <v>0</v>
      </c>
      <c r="IV18" s="7">
        <f t="shared" si="19"/>
        <v>0</v>
      </c>
      <c r="IW18" s="7">
        <f t="shared" si="20"/>
        <v>0</v>
      </c>
      <c r="IX18" s="7">
        <f t="shared" si="21"/>
        <v>0</v>
      </c>
      <c r="IY18" s="7">
        <f t="shared" si="22"/>
        <v>0</v>
      </c>
      <c r="IZ18" s="7">
        <f t="shared" si="23"/>
        <v>933372</v>
      </c>
      <c r="JA18" s="7">
        <f t="shared" si="24"/>
        <v>0</v>
      </c>
      <c r="JB18" s="7">
        <f t="shared" si="25"/>
        <v>2547400</v>
      </c>
      <c r="JC18" s="7">
        <f t="shared" si="26"/>
        <v>0</v>
      </c>
      <c r="JD18" s="7">
        <f t="shared" si="27"/>
        <v>1045903</v>
      </c>
      <c r="JE18" s="7">
        <f t="shared" si="28"/>
        <v>0</v>
      </c>
      <c r="JF18" s="7">
        <f t="shared" si="29"/>
        <v>1446271</v>
      </c>
      <c r="JG18" s="7">
        <f t="shared" si="30"/>
        <v>0</v>
      </c>
      <c r="JH18" s="7">
        <f t="shared" si="31"/>
        <v>1826896</v>
      </c>
      <c r="JI18" s="7">
        <f t="shared" si="32"/>
        <v>0</v>
      </c>
      <c r="JJ18" s="7">
        <f t="shared" si="33"/>
        <v>869904</v>
      </c>
      <c r="JK18" s="7">
        <f t="shared" si="34"/>
        <v>0</v>
      </c>
      <c r="JL18" s="7">
        <f t="shared" si="35"/>
        <v>107171</v>
      </c>
      <c r="JM18" s="7">
        <f t="shared" si="36"/>
        <v>0</v>
      </c>
      <c r="JN18" s="7">
        <f t="shared" si="37"/>
        <v>79810</v>
      </c>
      <c r="JO18" s="7">
        <f t="shared" si="38"/>
        <v>0</v>
      </c>
      <c r="JP18" s="7">
        <f t="shared" si="39"/>
        <v>2218672</v>
      </c>
      <c r="JQ18" s="7">
        <f t="shared" si="40"/>
        <v>0</v>
      </c>
      <c r="JR18" s="7">
        <f t="shared" si="41"/>
        <v>562509</v>
      </c>
      <c r="JS18" s="7">
        <f t="shared" si="42"/>
        <v>0</v>
      </c>
      <c r="JT18" s="7">
        <f t="shared" si="43"/>
        <v>447345</v>
      </c>
      <c r="JU18" s="7">
        <f t="shared" si="44"/>
        <v>0</v>
      </c>
      <c r="JV18" s="7">
        <f t="shared" si="45"/>
        <v>2022535</v>
      </c>
      <c r="JW18" s="7">
        <f t="shared" si="46"/>
        <v>0</v>
      </c>
      <c r="JX18" s="7">
        <f t="shared" si="47"/>
        <v>34682751</v>
      </c>
      <c r="JY18" s="7">
        <f t="shared" si="48"/>
        <v>0</v>
      </c>
      <c r="JZ18" s="7">
        <f t="shared" si="49"/>
        <v>0</v>
      </c>
      <c r="KA18" s="7">
        <f t="shared" si="50"/>
        <v>0</v>
      </c>
      <c r="KB18" s="7">
        <f t="shared" si="51"/>
        <v>34682751</v>
      </c>
      <c r="KC18" s="7">
        <f t="shared" si="52"/>
        <v>0</v>
      </c>
      <c r="KE18" s="7" t="e">
        <f t="shared" si="0"/>
        <v>#REF!</v>
      </c>
      <c r="KG18" s="5" t="e">
        <f t="shared" si="53"/>
        <v>#REF!</v>
      </c>
    </row>
    <row r="19" spans="1:293" x14ac:dyDescent="0.15">
      <c r="A19" s="119" t="s">
        <v>214</v>
      </c>
      <c r="B19" s="17" t="s">
        <v>342</v>
      </c>
      <c r="C19" s="41">
        <v>129020</v>
      </c>
      <c r="D19" s="38">
        <v>2013</v>
      </c>
      <c r="E19" s="38">
        <v>1</v>
      </c>
      <c r="F19" s="38">
        <v>6</v>
      </c>
      <c r="G19" s="39">
        <v>8742</v>
      </c>
      <c r="H19" s="39">
        <v>8428</v>
      </c>
      <c r="I19" s="40">
        <v>998515347</v>
      </c>
      <c r="J19" s="40"/>
      <c r="K19" s="40">
        <v>2932814</v>
      </c>
      <c r="L19" s="40"/>
      <c r="M19" s="40">
        <v>130855338</v>
      </c>
      <c r="N19" s="40"/>
      <c r="O19" s="40">
        <v>22835223</v>
      </c>
      <c r="P19" s="40"/>
      <c r="Q19" s="40">
        <v>1081196163</v>
      </c>
      <c r="R19" s="40"/>
      <c r="S19" s="40">
        <v>8310416281</v>
      </c>
      <c r="T19" s="40"/>
      <c r="U19" s="40">
        <v>23422</v>
      </c>
      <c r="V19" s="40"/>
      <c r="W19" s="40">
        <v>41264</v>
      </c>
      <c r="X19" s="40"/>
      <c r="Y19" s="40">
        <v>26682</v>
      </c>
      <c r="Z19" s="40"/>
      <c r="AA19" s="40">
        <v>44614</v>
      </c>
      <c r="AB19" s="40"/>
      <c r="AC19" s="59">
        <v>11</v>
      </c>
      <c r="AD19" s="59">
        <v>13</v>
      </c>
      <c r="AE19" s="59">
        <v>0</v>
      </c>
      <c r="AF19" s="57">
        <v>6184633</v>
      </c>
      <c r="AG19" s="57">
        <v>5399850</v>
      </c>
      <c r="AH19" s="57">
        <v>636192</v>
      </c>
      <c r="AI19" s="57">
        <v>239816</v>
      </c>
      <c r="AJ19" s="57">
        <v>714090.625</v>
      </c>
      <c r="AK19" s="58">
        <v>8</v>
      </c>
      <c r="AL19" s="57">
        <v>634747.22222222225</v>
      </c>
      <c r="AM19" s="58">
        <v>9</v>
      </c>
      <c r="AN19" s="57">
        <v>338065</v>
      </c>
      <c r="AO19" s="58">
        <v>10</v>
      </c>
      <c r="AP19" s="57">
        <v>307331.81818181818</v>
      </c>
      <c r="AQ19" s="58">
        <v>11</v>
      </c>
      <c r="AR19" s="57">
        <v>178689.57446808511</v>
      </c>
      <c r="AS19" s="58">
        <v>23.5</v>
      </c>
      <c r="AT19" s="57">
        <v>149971.60714285713</v>
      </c>
      <c r="AU19" s="58">
        <v>28</v>
      </c>
      <c r="AV19" s="57">
        <v>85284.681818181823</v>
      </c>
      <c r="AW19" s="58">
        <v>22</v>
      </c>
      <c r="AX19" s="57">
        <v>75050.52</v>
      </c>
      <c r="AY19" s="58">
        <v>25</v>
      </c>
      <c r="AZ19" s="79">
        <v>3701239</v>
      </c>
      <c r="BA19" s="79">
        <v>950000</v>
      </c>
      <c r="BB19" s="79">
        <v>2102631</v>
      </c>
      <c r="BC19" s="79">
        <v>32023</v>
      </c>
      <c r="BD19" s="79">
        <v>0</v>
      </c>
      <c r="BE19" s="79">
        <v>7788</v>
      </c>
      <c r="BF19" s="79">
        <v>12066</v>
      </c>
      <c r="BG19" s="79">
        <v>4172</v>
      </c>
      <c r="BH19" s="79">
        <v>13273</v>
      </c>
      <c r="BI19" s="79">
        <v>0</v>
      </c>
      <c r="BJ19" s="79">
        <v>37299</v>
      </c>
      <c r="BK19" s="79">
        <v>44</v>
      </c>
      <c r="BL19" s="79">
        <v>5577</v>
      </c>
      <c r="BM19" s="79">
        <v>0</v>
      </c>
      <c r="BN19" s="79">
        <v>108206</v>
      </c>
      <c r="BO19" s="79">
        <v>103904</v>
      </c>
      <c r="BP19" s="79">
        <v>217731</v>
      </c>
      <c r="BQ19" s="79">
        <v>48837</v>
      </c>
      <c r="BR19" s="79">
        <v>0</v>
      </c>
      <c r="BS19" s="79">
        <v>76181</v>
      </c>
      <c r="BT19" s="79">
        <v>91174</v>
      </c>
      <c r="BU19" s="79">
        <v>857825</v>
      </c>
      <c r="BV19" s="79">
        <v>1074017</v>
      </c>
      <c r="BW19" s="79">
        <v>11142560</v>
      </c>
      <c r="BX19" s="79">
        <v>6223988</v>
      </c>
      <c r="BY19" s="79">
        <v>4697528</v>
      </c>
      <c r="BZ19" s="79">
        <v>1433557</v>
      </c>
      <c r="CA19" s="79">
        <v>39838389</v>
      </c>
      <c r="CB19" s="79">
        <v>63336022</v>
      </c>
      <c r="CC19" s="79">
        <v>3215481</v>
      </c>
      <c r="CD19" s="79">
        <v>445028</v>
      </c>
      <c r="CE19" s="79">
        <v>465823</v>
      </c>
      <c r="CF19" s="79">
        <v>6767039</v>
      </c>
      <c r="CG19" s="79">
        <v>0</v>
      </c>
      <c r="CH19" s="79">
        <v>10893371</v>
      </c>
      <c r="CI19" s="79">
        <v>1075000</v>
      </c>
      <c r="CJ19" s="79">
        <v>532000</v>
      </c>
      <c r="CK19" s="79">
        <v>53500</v>
      </c>
      <c r="CL19" s="79">
        <v>33781</v>
      </c>
      <c r="CM19" s="79">
        <v>0</v>
      </c>
      <c r="CN19" s="79">
        <v>1694281</v>
      </c>
      <c r="CO19" s="79">
        <v>4665155</v>
      </c>
      <c r="CP19" s="79">
        <v>3461760</v>
      </c>
      <c r="CQ19" s="79">
        <v>2823422</v>
      </c>
      <c r="CR19" s="79">
        <v>5218506</v>
      </c>
      <c r="CS19" s="79">
        <v>0</v>
      </c>
      <c r="CT19" s="79">
        <v>16168843</v>
      </c>
      <c r="CU19" s="79">
        <v>0</v>
      </c>
      <c r="CV19" s="79">
        <v>0</v>
      </c>
      <c r="CW19" s="79">
        <v>0</v>
      </c>
      <c r="CX19" s="79">
        <v>0</v>
      </c>
      <c r="CY19" s="79">
        <v>0</v>
      </c>
      <c r="CZ19" s="79">
        <v>0</v>
      </c>
      <c r="DA19" s="79">
        <v>528919</v>
      </c>
      <c r="DB19" s="79">
        <v>428678</v>
      </c>
      <c r="DC19" s="79">
        <v>240953</v>
      </c>
      <c r="DD19" s="79">
        <v>36767</v>
      </c>
      <c r="DE19" s="79">
        <v>12186945</v>
      </c>
      <c r="DF19" s="79">
        <v>13422262</v>
      </c>
      <c r="DG19" s="79">
        <v>0</v>
      </c>
      <c r="DH19" s="79">
        <v>0</v>
      </c>
      <c r="DI19" s="79">
        <v>0</v>
      </c>
      <c r="DJ19" s="79">
        <v>0</v>
      </c>
      <c r="DK19" s="79">
        <v>0</v>
      </c>
      <c r="DL19" s="79">
        <v>0</v>
      </c>
      <c r="DM19" s="79">
        <v>0</v>
      </c>
      <c r="DN19" s="79">
        <v>0</v>
      </c>
      <c r="DO19" s="79">
        <v>0</v>
      </c>
      <c r="DP19" s="79">
        <v>103560</v>
      </c>
      <c r="DQ19" s="79">
        <v>0</v>
      </c>
      <c r="DR19" s="79">
        <v>103560</v>
      </c>
      <c r="DS19" s="79">
        <v>250929</v>
      </c>
      <c r="DT19" s="79">
        <v>121146</v>
      </c>
      <c r="DU19" s="79">
        <v>92756</v>
      </c>
      <c r="DV19" s="79">
        <v>311177</v>
      </c>
      <c r="DW19" s="79">
        <v>4500</v>
      </c>
      <c r="DX19" s="79">
        <v>780508</v>
      </c>
      <c r="DY19" s="79">
        <v>1141788</v>
      </c>
      <c r="DZ19" s="79">
        <v>898474</v>
      </c>
      <c r="EA19" s="79">
        <v>901306</v>
      </c>
      <c r="EB19" s="79">
        <v>2824785</v>
      </c>
      <c r="EC19" s="79">
        <v>0</v>
      </c>
      <c r="ED19" s="79">
        <v>5766353</v>
      </c>
      <c r="EE19" s="79">
        <v>109707</v>
      </c>
      <c r="EF19" s="79">
        <v>12971</v>
      </c>
      <c r="EG19" s="79">
        <v>8698</v>
      </c>
      <c r="EH19" s="79">
        <v>326088</v>
      </c>
      <c r="EI19" s="79">
        <v>46265</v>
      </c>
      <c r="EJ19" s="79">
        <v>503729</v>
      </c>
      <c r="EK19" s="79">
        <v>2441158</v>
      </c>
      <c r="EL19" s="79">
        <v>1226691</v>
      </c>
      <c r="EM19" s="79">
        <v>1210690</v>
      </c>
      <c r="EN19" s="79">
        <v>452124</v>
      </c>
      <c r="EO19" s="79">
        <v>51244</v>
      </c>
      <c r="EP19" s="79">
        <v>5381907</v>
      </c>
      <c r="EQ19" s="79">
        <v>0</v>
      </c>
      <c r="ER19" s="79">
        <v>0</v>
      </c>
      <c r="ES19" s="79">
        <v>0</v>
      </c>
      <c r="ET19" s="79">
        <v>0</v>
      </c>
      <c r="EU19" s="79">
        <v>2910752</v>
      </c>
      <c r="EV19" s="79">
        <v>2910752</v>
      </c>
      <c r="EW19" s="79">
        <v>0</v>
      </c>
      <c r="EX19" s="79">
        <v>0</v>
      </c>
      <c r="EY19" s="79">
        <v>0</v>
      </c>
      <c r="EZ19" s="79">
        <v>0</v>
      </c>
      <c r="FA19" s="79">
        <v>0</v>
      </c>
      <c r="FB19" s="79">
        <v>0</v>
      </c>
      <c r="FC19" s="79">
        <v>31757</v>
      </c>
      <c r="FD19" s="79">
        <v>32363</v>
      </c>
      <c r="FE19" s="79">
        <v>14292</v>
      </c>
      <c r="FF19" s="79">
        <v>105273</v>
      </c>
      <c r="FG19" s="79">
        <v>1889143</v>
      </c>
      <c r="FH19" s="79">
        <v>2072828</v>
      </c>
      <c r="FI19" s="79">
        <v>0</v>
      </c>
      <c r="FJ19" s="79">
        <v>9690</v>
      </c>
      <c r="FK19" s="79">
        <v>19041</v>
      </c>
      <c r="FL19" s="79">
        <v>0</v>
      </c>
      <c r="FM19" s="79">
        <v>0</v>
      </c>
      <c r="FN19" s="79">
        <v>28731</v>
      </c>
      <c r="FO19" s="79">
        <v>0</v>
      </c>
      <c r="FP19" s="79">
        <v>0</v>
      </c>
      <c r="FQ19" s="79">
        <v>0</v>
      </c>
      <c r="FR19" s="79">
        <v>0</v>
      </c>
      <c r="FS19" s="79">
        <v>0</v>
      </c>
      <c r="FT19" s="79">
        <v>0</v>
      </c>
      <c r="FU19" s="79">
        <v>39430</v>
      </c>
      <c r="FV19" s="79">
        <v>6781</v>
      </c>
      <c r="FW19" s="79">
        <v>8501</v>
      </c>
      <c r="FX19" s="79">
        <v>101894</v>
      </c>
      <c r="FY19" s="79">
        <v>392738</v>
      </c>
      <c r="FZ19" s="79">
        <v>549344</v>
      </c>
      <c r="GA19" s="79">
        <v>2100</v>
      </c>
      <c r="GB19" s="79">
        <v>1605</v>
      </c>
      <c r="GC19" s="79">
        <v>640</v>
      </c>
      <c r="GD19" s="79">
        <v>34719</v>
      </c>
      <c r="GE19" s="79">
        <v>43147</v>
      </c>
      <c r="GF19" s="79">
        <v>82211</v>
      </c>
      <c r="GG19" s="79">
        <v>209928</v>
      </c>
      <c r="GH19" s="79">
        <v>192748</v>
      </c>
      <c r="GI19" s="79">
        <v>74879</v>
      </c>
      <c r="GJ19" s="79">
        <v>440236</v>
      </c>
      <c r="GK19" s="79">
        <v>3144340</v>
      </c>
      <c r="GL19" s="79">
        <v>4062131</v>
      </c>
      <c r="GM19" s="79">
        <v>13711352</v>
      </c>
      <c r="GN19" s="79">
        <v>7369935</v>
      </c>
      <c r="GO19" s="79">
        <v>5914491</v>
      </c>
      <c r="GP19" s="79">
        <v>15446471</v>
      </c>
      <c r="GQ19" s="79">
        <v>20978562</v>
      </c>
      <c r="GR19" s="79">
        <v>63420811</v>
      </c>
      <c r="GS19" s="79">
        <v>0</v>
      </c>
      <c r="GT19" s="79">
        <v>0</v>
      </c>
      <c r="GU19" s="79">
        <v>0</v>
      </c>
      <c r="GV19" s="79">
        <v>0</v>
      </c>
      <c r="GW19" s="79">
        <v>0</v>
      </c>
      <c r="GX19" s="79">
        <v>0</v>
      </c>
      <c r="GY19" s="79">
        <v>13711352</v>
      </c>
      <c r="GZ19" s="79">
        <v>7369935</v>
      </c>
      <c r="HA19" s="79">
        <v>5914491</v>
      </c>
      <c r="HB19" s="79">
        <v>15446471</v>
      </c>
      <c r="HC19" s="79">
        <v>20978562</v>
      </c>
      <c r="HD19" s="79">
        <v>63420811</v>
      </c>
      <c r="HE19" s="14"/>
      <c r="HF19" s="7">
        <f>SUM(AZ19:AZ19)</f>
        <v>3701239</v>
      </c>
      <c r="HG19" s="7" t="e">
        <f>#REF!-HF19</f>
        <v>#REF!</v>
      </c>
      <c r="HH19" s="7" t="e">
        <f>SUM(#REF!)</f>
        <v>#REF!</v>
      </c>
      <c r="HI19" s="7" t="e">
        <f>#REF!-HH19</f>
        <v>#REF!</v>
      </c>
      <c r="HJ19" s="7">
        <f>SUM(BA19:BA19)</f>
        <v>950000</v>
      </c>
      <c r="HK19" s="7" t="e">
        <f>#REF!-HJ19</f>
        <v>#REF!</v>
      </c>
      <c r="HL19" s="7">
        <f>SUM(BB19:BB19)</f>
        <v>2102631</v>
      </c>
      <c r="HM19" s="7" t="e">
        <f>#REF!-HL19</f>
        <v>#REF!</v>
      </c>
      <c r="HN19" s="7" t="e">
        <f>SUM(#REF!)</f>
        <v>#REF!</v>
      </c>
      <c r="HO19" s="7" t="e">
        <f>#REF!-HN19</f>
        <v>#REF!</v>
      </c>
      <c r="HP19" s="7" t="e">
        <f>SUM(#REF!)</f>
        <v>#REF!</v>
      </c>
      <c r="HQ19" s="7" t="e">
        <f>#REF!-HP19</f>
        <v>#REF!</v>
      </c>
      <c r="HR19" s="7" t="e">
        <f>SUM(#REF!)</f>
        <v>#REF!</v>
      </c>
      <c r="HS19" s="7" t="e">
        <f>#REF!-HR19</f>
        <v>#REF!</v>
      </c>
      <c r="HT19" s="7" t="e">
        <f>SUM(#REF!)</f>
        <v>#REF!</v>
      </c>
      <c r="HU19" s="7" t="e">
        <f>#REF!-HT19</f>
        <v>#REF!</v>
      </c>
      <c r="HV19" s="7" t="e">
        <f>SUM(#REF!)</f>
        <v>#REF!</v>
      </c>
      <c r="HW19" s="7" t="e">
        <f>#REF!-HV19</f>
        <v>#REF!</v>
      </c>
      <c r="HX19" s="7" t="e">
        <f>SUM(#REF!)</f>
        <v>#REF!</v>
      </c>
      <c r="HY19" s="7" t="e">
        <f>#REF!-HX19</f>
        <v>#REF!</v>
      </c>
      <c r="HZ19" s="7">
        <f>SUM(BC19:BC19)</f>
        <v>32023</v>
      </c>
      <c r="IA19" s="7" t="e">
        <f>#REF!-HZ19</f>
        <v>#REF!</v>
      </c>
      <c r="IB19" s="7">
        <f>SUM(BD19:BD19)</f>
        <v>0</v>
      </c>
      <c r="IC19" s="7" t="e">
        <f>#REF!-IB19</f>
        <v>#REF!</v>
      </c>
      <c r="ID19" s="7">
        <f t="shared" si="1"/>
        <v>37299</v>
      </c>
      <c r="IE19" s="7">
        <f t="shared" si="2"/>
        <v>0</v>
      </c>
      <c r="IF19" s="7">
        <f t="shared" si="3"/>
        <v>217731</v>
      </c>
      <c r="IG19" s="7">
        <f t="shared" si="4"/>
        <v>0</v>
      </c>
      <c r="IH19" s="7">
        <f t="shared" si="5"/>
        <v>1074017</v>
      </c>
      <c r="II19" s="7">
        <f t="shared" si="6"/>
        <v>0</v>
      </c>
      <c r="IJ19" s="7">
        <f t="shared" si="7"/>
        <v>63336022</v>
      </c>
      <c r="IK19" s="7">
        <f t="shared" si="8"/>
        <v>0</v>
      </c>
      <c r="IL19" s="7">
        <f t="shared" si="9"/>
        <v>10893371</v>
      </c>
      <c r="IM19" s="7">
        <f t="shared" si="10"/>
        <v>0</v>
      </c>
      <c r="IN19" s="7">
        <f t="shared" si="11"/>
        <v>1694281</v>
      </c>
      <c r="IO19" s="7">
        <f t="shared" si="12"/>
        <v>0</v>
      </c>
      <c r="IP19" s="7">
        <f t="shared" si="13"/>
        <v>16168843</v>
      </c>
      <c r="IQ19" s="7">
        <f t="shared" si="14"/>
        <v>0</v>
      </c>
      <c r="IR19" s="7">
        <f t="shared" si="15"/>
        <v>0</v>
      </c>
      <c r="IS19" s="7">
        <f t="shared" si="16"/>
        <v>0</v>
      </c>
      <c r="IT19" s="7">
        <f t="shared" si="17"/>
        <v>13422262</v>
      </c>
      <c r="IU19" s="7">
        <f t="shared" si="18"/>
        <v>0</v>
      </c>
      <c r="IV19" s="7">
        <f t="shared" si="19"/>
        <v>0</v>
      </c>
      <c r="IW19" s="7">
        <f t="shared" si="20"/>
        <v>0</v>
      </c>
      <c r="IX19" s="7">
        <f t="shared" si="21"/>
        <v>103560</v>
      </c>
      <c r="IY19" s="7">
        <f t="shared" si="22"/>
        <v>0</v>
      </c>
      <c r="IZ19" s="7">
        <f t="shared" si="23"/>
        <v>780508</v>
      </c>
      <c r="JA19" s="7">
        <f t="shared" si="24"/>
        <v>0</v>
      </c>
      <c r="JB19" s="7">
        <f t="shared" si="25"/>
        <v>5766353</v>
      </c>
      <c r="JC19" s="7">
        <f t="shared" si="26"/>
        <v>0</v>
      </c>
      <c r="JD19" s="7">
        <f t="shared" si="27"/>
        <v>503729</v>
      </c>
      <c r="JE19" s="7">
        <f t="shared" si="28"/>
        <v>0</v>
      </c>
      <c r="JF19" s="7">
        <f t="shared" si="29"/>
        <v>5381907</v>
      </c>
      <c r="JG19" s="7">
        <f t="shared" si="30"/>
        <v>0</v>
      </c>
      <c r="JH19" s="7">
        <f t="shared" si="31"/>
        <v>2910752</v>
      </c>
      <c r="JI19" s="7">
        <f t="shared" si="32"/>
        <v>0</v>
      </c>
      <c r="JJ19" s="7">
        <f t="shared" si="33"/>
        <v>0</v>
      </c>
      <c r="JK19" s="7">
        <f t="shared" si="34"/>
        <v>0</v>
      </c>
      <c r="JL19" s="7">
        <f t="shared" si="35"/>
        <v>2072828</v>
      </c>
      <c r="JM19" s="7">
        <f t="shared" si="36"/>
        <v>0</v>
      </c>
      <c r="JN19" s="7">
        <f t="shared" si="37"/>
        <v>28731</v>
      </c>
      <c r="JO19" s="7">
        <f t="shared" si="38"/>
        <v>0</v>
      </c>
      <c r="JP19" s="7">
        <f t="shared" si="39"/>
        <v>0</v>
      </c>
      <c r="JQ19" s="7">
        <f t="shared" si="40"/>
        <v>0</v>
      </c>
      <c r="JR19" s="7">
        <f t="shared" si="41"/>
        <v>549344</v>
      </c>
      <c r="JS19" s="7">
        <f t="shared" si="42"/>
        <v>0</v>
      </c>
      <c r="JT19" s="7">
        <f t="shared" si="43"/>
        <v>82211</v>
      </c>
      <c r="JU19" s="7">
        <f t="shared" si="44"/>
        <v>0</v>
      </c>
      <c r="JV19" s="7">
        <f t="shared" si="45"/>
        <v>4062131</v>
      </c>
      <c r="JW19" s="7">
        <f t="shared" si="46"/>
        <v>0</v>
      </c>
      <c r="JX19" s="7">
        <f t="shared" si="47"/>
        <v>63420811</v>
      </c>
      <c r="JY19" s="7">
        <f t="shared" si="48"/>
        <v>0</v>
      </c>
      <c r="JZ19" s="7">
        <f t="shared" si="49"/>
        <v>0</v>
      </c>
      <c r="KA19" s="7">
        <f t="shared" si="50"/>
        <v>0</v>
      </c>
      <c r="KB19" s="7">
        <f t="shared" si="51"/>
        <v>63420811</v>
      </c>
      <c r="KC19" s="7">
        <f t="shared" si="52"/>
        <v>0</v>
      </c>
      <c r="KE19" s="7" t="e">
        <f t="shared" si="0"/>
        <v>#REF!</v>
      </c>
      <c r="KG19" s="5" t="e">
        <f t="shared" si="53"/>
        <v>#REF!</v>
      </c>
    </row>
    <row r="20" spans="1:293" x14ac:dyDescent="0.15">
      <c r="A20" s="119" t="s">
        <v>365</v>
      </c>
      <c r="B20" s="17" t="s">
        <v>400</v>
      </c>
      <c r="C20" s="38">
        <v>198464</v>
      </c>
      <c r="D20" s="38">
        <v>2013</v>
      </c>
      <c r="E20" s="38">
        <v>1</v>
      </c>
      <c r="F20" s="38">
        <v>8</v>
      </c>
      <c r="G20" s="39">
        <v>8582</v>
      </c>
      <c r="H20" s="39">
        <v>12252</v>
      </c>
      <c r="I20" s="40">
        <v>783350806</v>
      </c>
      <c r="J20" s="40"/>
      <c r="K20" s="40">
        <v>3257512</v>
      </c>
      <c r="L20" s="40"/>
      <c r="M20" s="40">
        <v>14555384</v>
      </c>
      <c r="N20" s="40"/>
      <c r="O20" s="40">
        <v>50951670</v>
      </c>
      <c r="P20" s="40"/>
      <c r="Q20" s="40">
        <v>145350498</v>
      </c>
      <c r="R20" s="40"/>
      <c r="S20" s="40">
        <v>431774165</v>
      </c>
      <c r="T20" s="40"/>
      <c r="U20" s="40">
        <v>15294</v>
      </c>
      <c r="V20" s="40"/>
      <c r="W20" s="40">
        <v>29108</v>
      </c>
      <c r="X20" s="40"/>
      <c r="Y20" s="40">
        <v>20096</v>
      </c>
      <c r="Z20" s="40"/>
      <c r="AA20" s="40">
        <v>33910</v>
      </c>
      <c r="AB20" s="40"/>
      <c r="AC20" s="56">
        <v>9</v>
      </c>
      <c r="AD20" s="56">
        <v>10</v>
      </c>
      <c r="AE20" s="56">
        <v>0</v>
      </c>
      <c r="AF20" s="57">
        <v>3925287</v>
      </c>
      <c r="AG20" s="57">
        <v>2521037</v>
      </c>
      <c r="AH20" s="57">
        <v>326965</v>
      </c>
      <c r="AI20" s="57">
        <v>196167</v>
      </c>
      <c r="AJ20" s="57">
        <v>379529.17</v>
      </c>
      <c r="AK20" s="58">
        <v>6</v>
      </c>
      <c r="AL20" s="57">
        <v>325310.71000000002</v>
      </c>
      <c r="AM20" s="58">
        <v>7</v>
      </c>
      <c r="AN20" s="57">
        <v>129701.14</v>
      </c>
      <c r="AO20" s="58">
        <v>7</v>
      </c>
      <c r="AP20" s="57">
        <v>113488.5</v>
      </c>
      <c r="AQ20" s="58">
        <v>8</v>
      </c>
      <c r="AR20" s="57">
        <v>151266.84</v>
      </c>
      <c r="AS20" s="58">
        <v>20.75</v>
      </c>
      <c r="AT20" s="57">
        <v>120722.58</v>
      </c>
      <c r="AU20" s="58">
        <v>26</v>
      </c>
      <c r="AV20" s="57">
        <v>70607.92</v>
      </c>
      <c r="AW20" s="58">
        <v>13.25</v>
      </c>
      <c r="AX20" s="57">
        <v>49239.74</v>
      </c>
      <c r="AY20" s="58">
        <v>19</v>
      </c>
      <c r="AZ20" s="89">
        <v>6117506</v>
      </c>
      <c r="BA20" s="89">
        <v>625000</v>
      </c>
      <c r="BB20" s="89">
        <v>1938303</v>
      </c>
      <c r="BC20" s="89">
        <v>295776</v>
      </c>
      <c r="BD20" s="89">
        <v>146000</v>
      </c>
      <c r="BE20" s="89">
        <v>80311</v>
      </c>
      <c r="BF20" s="89">
        <v>96074</v>
      </c>
      <c r="BG20" s="89">
        <v>33095</v>
      </c>
      <c r="BH20" s="89">
        <v>192389</v>
      </c>
      <c r="BI20" s="89">
        <v>330</v>
      </c>
      <c r="BJ20" s="89">
        <v>402199</v>
      </c>
      <c r="BK20" s="89">
        <v>0</v>
      </c>
      <c r="BL20" s="89">
        <v>0</v>
      </c>
      <c r="BM20" s="89">
        <v>0</v>
      </c>
      <c r="BN20" s="89">
        <v>0</v>
      </c>
      <c r="BO20" s="89">
        <v>125830</v>
      </c>
      <c r="BP20" s="89">
        <v>125830</v>
      </c>
      <c r="BQ20" s="89">
        <v>0</v>
      </c>
      <c r="BR20" s="89">
        <v>0</v>
      </c>
      <c r="BS20" s="89">
        <v>0</v>
      </c>
      <c r="BT20" s="89">
        <v>45800</v>
      </c>
      <c r="BU20" s="89">
        <v>335336</v>
      </c>
      <c r="BV20" s="89">
        <v>381136</v>
      </c>
      <c r="BW20" s="89">
        <v>10163731</v>
      </c>
      <c r="BX20" s="89">
        <v>3155111</v>
      </c>
      <c r="BY20" s="89">
        <v>2276430</v>
      </c>
      <c r="BZ20" s="89">
        <v>11082225</v>
      </c>
      <c r="CA20" s="89">
        <v>9127735</v>
      </c>
      <c r="CB20" s="89">
        <v>35805232</v>
      </c>
      <c r="CC20" s="89">
        <v>2389085</v>
      </c>
      <c r="CD20" s="89">
        <v>430494</v>
      </c>
      <c r="CE20" s="89">
        <v>451579</v>
      </c>
      <c r="CF20" s="89">
        <v>3175166</v>
      </c>
      <c r="CG20" s="89">
        <v>484906</v>
      </c>
      <c r="CH20" s="89">
        <v>6931230</v>
      </c>
      <c r="CI20" s="89">
        <v>350000</v>
      </c>
      <c r="CJ20" s="89">
        <v>273500</v>
      </c>
      <c r="CK20" s="89">
        <v>15000</v>
      </c>
      <c r="CL20" s="89">
        <v>31925</v>
      </c>
      <c r="CM20" s="89">
        <v>0</v>
      </c>
      <c r="CN20" s="89">
        <v>670425</v>
      </c>
      <c r="CO20" s="89">
        <v>3324063</v>
      </c>
      <c r="CP20" s="89">
        <v>1179080</v>
      </c>
      <c r="CQ20" s="89">
        <v>564032</v>
      </c>
      <c r="CR20" s="89">
        <v>2192250</v>
      </c>
      <c r="CS20" s="89">
        <v>0</v>
      </c>
      <c r="CT20" s="89">
        <v>7259425</v>
      </c>
      <c r="CU20" s="89">
        <v>0</v>
      </c>
      <c r="CV20" s="89">
        <v>0</v>
      </c>
      <c r="CW20" s="89">
        <v>0</v>
      </c>
      <c r="CX20" s="89">
        <v>0</v>
      </c>
      <c r="CY20" s="89">
        <v>0</v>
      </c>
      <c r="CZ20" s="89">
        <v>0</v>
      </c>
      <c r="DA20" s="89">
        <v>610333</v>
      </c>
      <c r="DB20" s="89">
        <v>191793</v>
      </c>
      <c r="DC20" s="89">
        <v>133041</v>
      </c>
      <c r="DD20" s="89">
        <v>218072</v>
      </c>
      <c r="DE20" s="89">
        <v>6528912</v>
      </c>
      <c r="DF20" s="89">
        <v>7682151</v>
      </c>
      <c r="DG20" s="89">
        <v>0</v>
      </c>
      <c r="DH20" s="89">
        <v>0</v>
      </c>
      <c r="DI20" s="89">
        <v>0</v>
      </c>
      <c r="DJ20" s="89">
        <v>0</v>
      </c>
      <c r="DK20" s="89">
        <v>0</v>
      </c>
      <c r="DL20" s="89">
        <v>0</v>
      </c>
      <c r="DM20" s="89">
        <v>0</v>
      </c>
      <c r="DN20" s="89">
        <v>0</v>
      </c>
      <c r="DO20" s="89">
        <v>0</v>
      </c>
      <c r="DP20" s="89">
        <v>0</v>
      </c>
      <c r="DQ20" s="89">
        <v>0</v>
      </c>
      <c r="DR20" s="89">
        <v>0</v>
      </c>
      <c r="DS20" s="89">
        <v>169993</v>
      </c>
      <c r="DT20" s="89">
        <v>84643</v>
      </c>
      <c r="DU20" s="89">
        <v>96505</v>
      </c>
      <c r="DV20" s="89">
        <v>171991</v>
      </c>
      <c r="DW20" s="89">
        <v>0</v>
      </c>
      <c r="DX20" s="89">
        <v>523132</v>
      </c>
      <c r="DY20" s="89">
        <v>1578367</v>
      </c>
      <c r="DZ20" s="89">
        <v>474037</v>
      </c>
      <c r="EA20" s="89">
        <v>316765</v>
      </c>
      <c r="EB20" s="89">
        <v>1306902</v>
      </c>
      <c r="EC20" s="89">
        <v>222390</v>
      </c>
      <c r="ED20" s="89">
        <v>3898461</v>
      </c>
      <c r="EE20" s="89">
        <v>493711</v>
      </c>
      <c r="EF20" s="89">
        <v>80652</v>
      </c>
      <c r="EG20" s="89">
        <v>63997</v>
      </c>
      <c r="EH20" s="89">
        <v>618249</v>
      </c>
      <c r="EI20" s="89">
        <v>373135</v>
      </c>
      <c r="EJ20" s="89">
        <v>1629744</v>
      </c>
      <c r="EK20" s="89">
        <v>848751</v>
      </c>
      <c r="EL20" s="89">
        <v>234160</v>
      </c>
      <c r="EM20" s="89">
        <v>83795</v>
      </c>
      <c r="EN20" s="89">
        <v>191334</v>
      </c>
      <c r="EO20" s="89">
        <v>0</v>
      </c>
      <c r="EP20" s="89">
        <v>1358040</v>
      </c>
      <c r="EQ20" s="89">
        <v>13755</v>
      </c>
      <c r="ER20" s="89">
        <v>8011</v>
      </c>
      <c r="ES20" s="89">
        <v>4162</v>
      </c>
      <c r="ET20" s="89">
        <v>24604</v>
      </c>
      <c r="EU20" s="89">
        <v>179754</v>
      </c>
      <c r="EV20" s="89">
        <v>230286</v>
      </c>
      <c r="EW20" s="89">
        <v>44537</v>
      </c>
      <c r="EX20" s="89">
        <v>22956</v>
      </c>
      <c r="EY20" s="89">
        <v>18844</v>
      </c>
      <c r="EZ20" s="89">
        <v>46942</v>
      </c>
      <c r="FA20" s="89">
        <v>451</v>
      </c>
      <c r="FB20" s="89">
        <v>133730</v>
      </c>
      <c r="FC20" s="89">
        <v>293625</v>
      </c>
      <c r="FD20" s="89">
        <v>2860</v>
      </c>
      <c r="FE20" s="89">
        <v>2054</v>
      </c>
      <c r="FF20" s="89">
        <v>191737</v>
      </c>
      <c r="FG20" s="89">
        <v>1421220</v>
      </c>
      <c r="FH20" s="89">
        <v>1911496</v>
      </c>
      <c r="FI20" s="89">
        <v>0</v>
      </c>
      <c r="FJ20" s="89">
        <v>0</v>
      </c>
      <c r="FK20" s="89">
        <v>0</v>
      </c>
      <c r="FL20" s="89">
        <v>0</v>
      </c>
      <c r="FM20" s="89">
        <v>42426</v>
      </c>
      <c r="FN20" s="89">
        <v>42426</v>
      </c>
      <c r="FO20" s="89">
        <v>0</v>
      </c>
      <c r="FP20" s="89">
        <v>0</v>
      </c>
      <c r="FQ20" s="89">
        <v>0</v>
      </c>
      <c r="FR20" s="89">
        <v>0</v>
      </c>
      <c r="FS20" s="89">
        <v>1046316</v>
      </c>
      <c r="FT20" s="89">
        <v>1046316</v>
      </c>
      <c r="FU20" s="89">
        <v>0</v>
      </c>
      <c r="FV20" s="89">
        <v>0</v>
      </c>
      <c r="FW20" s="89">
        <v>0</v>
      </c>
      <c r="FX20" s="89">
        <v>0</v>
      </c>
      <c r="FY20" s="89">
        <v>461488</v>
      </c>
      <c r="FZ20" s="89">
        <v>461488</v>
      </c>
      <c r="GA20" s="89">
        <v>3677</v>
      </c>
      <c r="GB20" s="89">
        <v>1310</v>
      </c>
      <c r="GC20" s="89">
        <v>2215</v>
      </c>
      <c r="GD20" s="89">
        <v>54344</v>
      </c>
      <c r="GE20" s="89">
        <v>10817</v>
      </c>
      <c r="GF20" s="89">
        <v>72363</v>
      </c>
      <c r="GG20" s="89">
        <v>351255</v>
      </c>
      <c r="GH20" s="89">
        <v>79272</v>
      </c>
      <c r="GI20" s="89">
        <v>88177</v>
      </c>
      <c r="GJ20" s="89">
        <v>219101</v>
      </c>
      <c r="GK20" s="89">
        <v>2050976</v>
      </c>
      <c r="GL20" s="89">
        <v>2788781</v>
      </c>
      <c r="GM20" s="89">
        <v>10471152</v>
      </c>
      <c r="GN20" s="89">
        <v>3062768</v>
      </c>
      <c r="GO20" s="89">
        <v>1840166</v>
      </c>
      <c r="GP20" s="89">
        <v>8442617</v>
      </c>
      <c r="GQ20" s="89">
        <v>12822791</v>
      </c>
      <c r="GR20" s="89">
        <v>36639494</v>
      </c>
      <c r="GS20" s="89">
        <v>0</v>
      </c>
      <c r="GT20" s="89">
        <v>0</v>
      </c>
      <c r="GU20" s="89">
        <v>0</v>
      </c>
      <c r="GV20" s="89">
        <v>0</v>
      </c>
      <c r="GW20" s="89">
        <v>0</v>
      </c>
      <c r="GX20" s="89">
        <v>0</v>
      </c>
      <c r="GY20" s="89">
        <v>10471152</v>
      </c>
      <c r="GZ20" s="89">
        <v>3062768</v>
      </c>
      <c r="HA20" s="89">
        <v>1840166</v>
      </c>
      <c r="HB20" s="89">
        <v>8442617</v>
      </c>
      <c r="HC20" s="89">
        <v>12822791</v>
      </c>
      <c r="HD20" s="89">
        <v>36639494</v>
      </c>
      <c r="HF20" s="7">
        <f>SUM(AZ20:AZ20)</f>
        <v>6117506</v>
      </c>
      <c r="HG20" s="7" t="e">
        <f>#REF!-HF20</f>
        <v>#REF!</v>
      </c>
      <c r="HH20" s="7" t="e">
        <f>SUM(#REF!)</f>
        <v>#REF!</v>
      </c>
      <c r="HI20" s="7" t="e">
        <f>#REF!-HH20</f>
        <v>#REF!</v>
      </c>
      <c r="HJ20" s="7">
        <f>SUM(BA20:BA20)</f>
        <v>625000</v>
      </c>
      <c r="HK20" s="7" t="e">
        <f>#REF!-HJ20</f>
        <v>#REF!</v>
      </c>
      <c r="HL20" s="7">
        <f>SUM(BB20:BB20)</f>
        <v>1938303</v>
      </c>
      <c r="HM20" s="7" t="e">
        <f>#REF!-HL20</f>
        <v>#REF!</v>
      </c>
      <c r="HN20" s="7" t="e">
        <f>SUM(#REF!)</f>
        <v>#REF!</v>
      </c>
      <c r="HO20" s="7" t="e">
        <f>#REF!-HN20</f>
        <v>#REF!</v>
      </c>
      <c r="HP20" s="7" t="e">
        <f>SUM(#REF!)</f>
        <v>#REF!</v>
      </c>
      <c r="HQ20" s="7" t="e">
        <f>#REF!-HP20</f>
        <v>#REF!</v>
      </c>
      <c r="HR20" s="7" t="e">
        <f>SUM(#REF!)</f>
        <v>#REF!</v>
      </c>
      <c r="HS20" s="7" t="e">
        <f>#REF!-HR20</f>
        <v>#REF!</v>
      </c>
      <c r="HT20" s="7" t="e">
        <f>SUM(#REF!)</f>
        <v>#REF!</v>
      </c>
      <c r="HU20" s="7" t="e">
        <f>#REF!-HT20</f>
        <v>#REF!</v>
      </c>
      <c r="HV20" s="7" t="e">
        <f>SUM(#REF!)</f>
        <v>#REF!</v>
      </c>
      <c r="HW20" s="7" t="e">
        <f>#REF!-HV20</f>
        <v>#REF!</v>
      </c>
      <c r="HX20" s="7" t="e">
        <f>SUM(#REF!)</f>
        <v>#REF!</v>
      </c>
      <c r="HY20" s="7" t="e">
        <f>#REF!-HX20</f>
        <v>#REF!</v>
      </c>
      <c r="HZ20" s="7">
        <f>SUM(BC20:BC20)</f>
        <v>295776</v>
      </c>
      <c r="IA20" s="7" t="e">
        <f>#REF!-HZ20</f>
        <v>#REF!</v>
      </c>
      <c r="IB20" s="7">
        <f>SUM(BD20:BD20)</f>
        <v>146000</v>
      </c>
      <c r="IC20" s="7" t="e">
        <f>#REF!-IB20</f>
        <v>#REF!</v>
      </c>
      <c r="ID20" s="7">
        <f t="shared" si="1"/>
        <v>402199</v>
      </c>
      <c r="IE20" s="7">
        <f t="shared" si="2"/>
        <v>0</v>
      </c>
      <c r="IF20" s="7">
        <f t="shared" si="3"/>
        <v>125830</v>
      </c>
      <c r="IG20" s="7">
        <f t="shared" si="4"/>
        <v>0</v>
      </c>
      <c r="IH20" s="7">
        <f t="shared" si="5"/>
        <v>381136</v>
      </c>
      <c r="II20" s="7">
        <f t="shared" si="6"/>
        <v>0</v>
      </c>
      <c r="IJ20" s="7">
        <f t="shared" si="7"/>
        <v>35805232</v>
      </c>
      <c r="IK20" s="7">
        <f t="shared" si="8"/>
        <v>0</v>
      </c>
      <c r="IL20" s="7">
        <f t="shared" si="9"/>
        <v>6931230</v>
      </c>
      <c r="IM20" s="7">
        <f t="shared" si="10"/>
        <v>0</v>
      </c>
      <c r="IN20" s="7">
        <f t="shared" si="11"/>
        <v>670425</v>
      </c>
      <c r="IO20" s="7">
        <f t="shared" si="12"/>
        <v>0</v>
      </c>
      <c r="IP20" s="7">
        <f t="shared" si="13"/>
        <v>7259425</v>
      </c>
      <c r="IQ20" s="7">
        <f t="shared" si="14"/>
        <v>0</v>
      </c>
      <c r="IR20" s="7">
        <f t="shared" si="15"/>
        <v>0</v>
      </c>
      <c r="IS20" s="7">
        <f t="shared" si="16"/>
        <v>0</v>
      </c>
      <c r="IT20" s="7">
        <f t="shared" si="17"/>
        <v>7682151</v>
      </c>
      <c r="IU20" s="7">
        <f t="shared" si="18"/>
        <v>0</v>
      </c>
      <c r="IV20" s="7">
        <f t="shared" si="19"/>
        <v>0</v>
      </c>
      <c r="IW20" s="7">
        <f t="shared" si="20"/>
        <v>0</v>
      </c>
      <c r="IX20" s="7">
        <f t="shared" si="21"/>
        <v>0</v>
      </c>
      <c r="IY20" s="7">
        <f t="shared" si="22"/>
        <v>0</v>
      </c>
      <c r="IZ20" s="7">
        <f t="shared" si="23"/>
        <v>523132</v>
      </c>
      <c r="JA20" s="7">
        <f t="shared" si="24"/>
        <v>0</v>
      </c>
      <c r="JB20" s="7">
        <f t="shared" si="25"/>
        <v>3898461</v>
      </c>
      <c r="JC20" s="7">
        <f t="shared" si="26"/>
        <v>0</v>
      </c>
      <c r="JD20" s="7">
        <f t="shared" si="27"/>
        <v>1629744</v>
      </c>
      <c r="JE20" s="7">
        <f t="shared" si="28"/>
        <v>0</v>
      </c>
      <c r="JF20" s="7">
        <f t="shared" si="29"/>
        <v>1358040</v>
      </c>
      <c r="JG20" s="7">
        <f t="shared" si="30"/>
        <v>0</v>
      </c>
      <c r="JH20" s="7">
        <f t="shared" si="31"/>
        <v>230286</v>
      </c>
      <c r="JI20" s="7">
        <f t="shared" si="32"/>
        <v>0</v>
      </c>
      <c r="JJ20" s="7">
        <f t="shared" si="33"/>
        <v>133730</v>
      </c>
      <c r="JK20" s="7">
        <f t="shared" si="34"/>
        <v>0</v>
      </c>
      <c r="JL20" s="7">
        <f t="shared" si="35"/>
        <v>1911496</v>
      </c>
      <c r="JM20" s="7">
        <f t="shared" si="36"/>
        <v>0</v>
      </c>
      <c r="JN20" s="7">
        <f t="shared" si="37"/>
        <v>42426</v>
      </c>
      <c r="JO20" s="7">
        <f t="shared" si="38"/>
        <v>0</v>
      </c>
      <c r="JP20" s="7">
        <f t="shared" si="39"/>
        <v>1046316</v>
      </c>
      <c r="JQ20" s="7">
        <f t="shared" si="40"/>
        <v>0</v>
      </c>
      <c r="JR20" s="7">
        <f t="shared" si="41"/>
        <v>461488</v>
      </c>
      <c r="JS20" s="7">
        <f t="shared" si="42"/>
        <v>0</v>
      </c>
      <c r="JT20" s="7">
        <f t="shared" si="43"/>
        <v>72363</v>
      </c>
      <c r="JU20" s="7">
        <f t="shared" si="44"/>
        <v>0</v>
      </c>
      <c r="JV20" s="7">
        <f t="shared" si="45"/>
        <v>2788781</v>
      </c>
      <c r="JW20" s="7">
        <f t="shared" si="46"/>
        <v>0</v>
      </c>
      <c r="JX20" s="7">
        <f t="shared" si="47"/>
        <v>36639494</v>
      </c>
      <c r="JY20" s="7">
        <f t="shared" si="48"/>
        <v>0</v>
      </c>
      <c r="JZ20" s="7">
        <f t="shared" si="49"/>
        <v>0</v>
      </c>
      <c r="KA20" s="7">
        <f t="shared" si="50"/>
        <v>0</v>
      </c>
      <c r="KB20" s="7">
        <f t="shared" si="51"/>
        <v>36639494</v>
      </c>
      <c r="KC20" s="7">
        <f t="shared" si="52"/>
        <v>0</v>
      </c>
      <c r="KE20" s="7" t="e">
        <f t="shared" si="0"/>
        <v>#REF!</v>
      </c>
      <c r="KG20" s="5" t="e">
        <f t="shared" si="53"/>
        <v>#REF!</v>
      </c>
    </row>
    <row r="21" spans="1:293" x14ac:dyDescent="0.15">
      <c r="A21" s="119" t="s">
        <v>366</v>
      </c>
      <c r="B21" s="17" t="s">
        <v>400</v>
      </c>
      <c r="C21" s="38">
        <v>169798</v>
      </c>
      <c r="D21" s="38">
        <v>2013</v>
      </c>
      <c r="E21" s="38">
        <v>1</v>
      </c>
      <c r="F21" s="38">
        <v>9</v>
      </c>
      <c r="G21" s="39">
        <v>8018</v>
      </c>
      <c r="H21" s="39">
        <v>11049</v>
      </c>
      <c r="I21" s="40">
        <v>331187019</v>
      </c>
      <c r="J21" s="40"/>
      <c r="K21" s="40">
        <v>878828</v>
      </c>
      <c r="L21" s="40"/>
      <c r="M21" s="40">
        <v>17153334</v>
      </c>
      <c r="N21" s="40"/>
      <c r="O21" s="40">
        <v>30451389</v>
      </c>
      <c r="P21" s="40"/>
      <c r="Q21" s="40">
        <v>239680000</v>
      </c>
      <c r="R21" s="40"/>
      <c r="S21" s="40">
        <v>262053943</v>
      </c>
      <c r="T21" s="40"/>
      <c r="U21" s="40">
        <v>17770</v>
      </c>
      <c r="V21" s="40"/>
      <c r="W21" s="40">
        <v>32182</v>
      </c>
      <c r="X21" s="40"/>
      <c r="Y21" s="40">
        <v>19376</v>
      </c>
      <c r="Z21" s="40"/>
      <c r="AA21" s="40">
        <v>34388</v>
      </c>
      <c r="AB21" s="40"/>
      <c r="AC21" s="56">
        <v>9</v>
      </c>
      <c r="AD21" s="56">
        <v>12</v>
      </c>
      <c r="AE21" s="56">
        <v>0</v>
      </c>
      <c r="AF21" s="57">
        <v>3920834</v>
      </c>
      <c r="AG21" s="60">
        <v>3496578</v>
      </c>
      <c r="AH21" s="60">
        <v>289197</v>
      </c>
      <c r="AI21" s="61">
        <v>151753</v>
      </c>
      <c r="AJ21" s="57">
        <f>1322152/AK21</f>
        <v>203408</v>
      </c>
      <c r="AK21" s="58">
        <v>6.5</v>
      </c>
      <c r="AL21" s="57">
        <f>1322152/AM21</f>
        <v>188878.85714285713</v>
      </c>
      <c r="AM21" s="58">
        <v>7</v>
      </c>
      <c r="AN21" s="57">
        <f>938443/AO21</f>
        <v>98783.473684210519</v>
      </c>
      <c r="AO21" s="58">
        <v>9.5</v>
      </c>
      <c r="AP21" s="57">
        <f>938443/AQ21</f>
        <v>93844.3</v>
      </c>
      <c r="AQ21" s="58">
        <v>10</v>
      </c>
      <c r="AR21" s="57">
        <f>1683212/AS21</f>
        <v>99012.470588235301</v>
      </c>
      <c r="AS21" s="58">
        <v>17</v>
      </c>
      <c r="AT21" s="57">
        <f>1683212/AU21</f>
        <v>93511.777777777781</v>
      </c>
      <c r="AU21" s="58">
        <v>18</v>
      </c>
      <c r="AV21" s="57">
        <f>637285/AW21</f>
        <v>57935</v>
      </c>
      <c r="AW21" s="58">
        <v>11</v>
      </c>
      <c r="AX21" s="57">
        <f>637285/AY21</f>
        <v>49021.923076923078</v>
      </c>
      <c r="AY21" s="58">
        <v>13</v>
      </c>
      <c r="AZ21" s="83">
        <v>311162</v>
      </c>
      <c r="BA21" s="83">
        <v>1400000</v>
      </c>
      <c r="BB21" s="83">
        <v>53232</v>
      </c>
      <c r="BC21" s="79">
        <v>495</v>
      </c>
      <c r="BD21" s="79">
        <v>0</v>
      </c>
      <c r="BE21" s="83">
        <v>31353</v>
      </c>
      <c r="BF21" s="83">
        <v>15086</v>
      </c>
      <c r="BG21" s="83">
        <v>16112</v>
      </c>
      <c r="BH21" s="79">
        <f>93784+104411-BE21-BF21-BG21</f>
        <v>135644</v>
      </c>
      <c r="BI21" s="83">
        <v>960</v>
      </c>
      <c r="BJ21" s="83">
        <v>199155</v>
      </c>
      <c r="BK21" s="83">
        <v>3256</v>
      </c>
      <c r="BL21" s="79">
        <v>0</v>
      </c>
      <c r="BM21" s="79">
        <v>0</v>
      </c>
      <c r="BN21" s="79">
        <f>42198+22480-BK21-BL21-BM21</f>
        <v>61422</v>
      </c>
      <c r="BO21" s="83">
        <v>32768</v>
      </c>
      <c r="BP21" s="83">
        <v>97446</v>
      </c>
      <c r="BQ21" s="83">
        <v>5584</v>
      </c>
      <c r="BR21" s="83">
        <v>3853</v>
      </c>
      <c r="BS21" s="79">
        <v>0</v>
      </c>
      <c r="BT21" s="79">
        <f>201947+45177-BQ21-BR21-BS21</f>
        <v>237687</v>
      </c>
      <c r="BU21" s="83">
        <v>207283</v>
      </c>
      <c r="BV21" s="83">
        <v>454407</v>
      </c>
      <c r="BW21" s="83">
        <v>7480887</v>
      </c>
      <c r="BX21" s="83">
        <v>1886906</v>
      </c>
      <c r="BY21" s="83">
        <v>1598245</v>
      </c>
      <c r="BZ21" s="79">
        <f>12603007+7006955-BW21-BX21-BY21</f>
        <v>8643924</v>
      </c>
      <c r="CA21" s="83">
        <v>8187694</v>
      </c>
      <c r="CB21" s="83">
        <v>27797656</v>
      </c>
      <c r="CC21" s="83">
        <v>2308464</v>
      </c>
      <c r="CD21" s="83">
        <v>287514</v>
      </c>
      <c r="CE21" s="83">
        <v>394573</v>
      </c>
      <c r="CF21" s="79">
        <f>3920834+3496578-CC21-CD21-CE21</f>
        <v>4426861</v>
      </c>
      <c r="CG21" s="79">
        <v>0</v>
      </c>
      <c r="CH21" s="83">
        <v>7417412</v>
      </c>
      <c r="CI21" s="83">
        <v>300000</v>
      </c>
      <c r="CJ21" s="83">
        <v>121500</v>
      </c>
      <c r="CK21" s="83">
        <v>2000</v>
      </c>
      <c r="CL21" s="79">
        <f>421500+2000-CI21-CJ21-CK21</f>
        <v>0</v>
      </c>
      <c r="CM21" s="79">
        <v>0</v>
      </c>
      <c r="CN21" s="83">
        <v>423500</v>
      </c>
      <c r="CO21" s="83">
        <f>492237+982746</f>
        <v>1474983</v>
      </c>
      <c r="CP21" s="83">
        <f>301700+394609</f>
        <v>696309</v>
      </c>
      <c r="CQ21" s="83">
        <f>254773+277185</f>
        <v>531958</v>
      </c>
      <c r="CR21" s="79">
        <f>1322152+1683212+938443+637285-CO21-CP21-CQ21</f>
        <v>1877842</v>
      </c>
      <c r="CS21" s="79">
        <v>0</v>
      </c>
      <c r="CT21" s="83">
        <v>4581092</v>
      </c>
      <c r="CU21" s="79">
        <v>0</v>
      </c>
      <c r="CV21" s="79">
        <v>0</v>
      </c>
      <c r="CW21" s="79">
        <v>0</v>
      </c>
      <c r="CX21" s="79">
        <v>0</v>
      </c>
      <c r="CY21" s="79">
        <v>0</v>
      </c>
      <c r="CZ21" s="79">
        <v>0</v>
      </c>
      <c r="DA21" s="83">
        <v>178399</v>
      </c>
      <c r="DB21" s="83">
        <v>64862</v>
      </c>
      <c r="DC21" s="83">
        <v>46496</v>
      </c>
      <c r="DD21" s="79">
        <f>284964+95919-DA21-DB21-DC21</f>
        <v>91126</v>
      </c>
      <c r="DE21" s="83">
        <v>2302607</v>
      </c>
      <c r="DF21" s="83">
        <v>2683490</v>
      </c>
      <c r="DG21" s="79">
        <v>0</v>
      </c>
      <c r="DH21" s="79">
        <v>0</v>
      </c>
      <c r="DI21" s="79">
        <v>0</v>
      </c>
      <c r="DJ21" s="79">
        <v>0</v>
      </c>
      <c r="DK21" s="79">
        <v>0</v>
      </c>
      <c r="DL21" s="79">
        <v>0</v>
      </c>
      <c r="DM21" s="79">
        <v>0</v>
      </c>
      <c r="DN21" s="79">
        <v>0</v>
      </c>
      <c r="DO21" s="79">
        <v>0</v>
      </c>
      <c r="DP21" s="79">
        <v>0</v>
      </c>
      <c r="DQ21" s="79">
        <v>0</v>
      </c>
      <c r="DR21" s="79">
        <v>0</v>
      </c>
      <c r="DS21" s="83">
        <v>180054</v>
      </c>
      <c r="DT21" s="83">
        <v>78088</v>
      </c>
      <c r="DU21" s="83">
        <v>86355</v>
      </c>
      <c r="DV21" s="79">
        <f>289197+151753-DS21-DT21-DU21</f>
        <v>96453</v>
      </c>
      <c r="DW21" s="79">
        <v>0</v>
      </c>
      <c r="DX21" s="83">
        <v>440950</v>
      </c>
      <c r="DY21" s="83">
        <v>208463</v>
      </c>
      <c r="DZ21" s="83">
        <v>108356</v>
      </c>
      <c r="EA21" s="83">
        <v>91845</v>
      </c>
      <c r="EB21" s="79">
        <f>594543+546579-DY21-DZ21-EA21</f>
        <v>732458</v>
      </c>
      <c r="EC21" s="83">
        <v>152679</v>
      </c>
      <c r="ED21" s="83">
        <v>1293801</v>
      </c>
      <c r="EE21" s="83">
        <v>347609</v>
      </c>
      <c r="EF21" s="83">
        <v>88943</v>
      </c>
      <c r="EG21" s="83">
        <v>83328</v>
      </c>
      <c r="EH21" s="79">
        <f>593670+248214-EE21-EF21-EG21</f>
        <v>322004</v>
      </c>
      <c r="EI21" s="83">
        <v>502623</v>
      </c>
      <c r="EJ21" s="83">
        <v>1344507</v>
      </c>
      <c r="EK21" s="83">
        <v>127993</v>
      </c>
      <c r="EL21" s="83">
        <v>97295</v>
      </c>
      <c r="EM21" s="83">
        <v>59105</v>
      </c>
      <c r="EN21" s="79">
        <f>257468+109571-EK21-EL21-EM21</f>
        <v>82646</v>
      </c>
      <c r="EO21" s="79">
        <v>0</v>
      </c>
      <c r="EP21" s="83">
        <v>367039</v>
      </c>
      <c r="EQ21" s="83">
        <v>79056</v>
      </c>
      <c r="ER21" s="83">
        <v>41889</v>
      </c>
      <c r="ES21" s="83">
        <v>31363</v>
      </c>
      <c r="ET21" s="79">
        <f>123513+33893-EQ21-ER21-ES21</f>
        <v>5098</v>
      </c>
      <c r="EU21" s="83">
        <v>619449</v>
      </c>
      <c r="EV21" s="83">
        <v>776855</v>
      </c>
      <c r="EW21" s="83">
        <v>2185</v>
      </c>
      <c r="EX21" s="83">
        <v>3255</v>
      </c>
      <c r="EY21" s="83">
        <v>11155</v>
      </c>
      <c r="EZ21" s="79">
        <f>59137+38436-EW21-EX21-EY21</f>
        <v>80978</v>
      </c>
      <c r="FA21" s="79">
        <v>0</v>
      </c>
      <c r="FB21" s="83">
        <v>97573</v>
      </c>
      <c r="FC21" s="83">
        <v>59155</v>
      </c>
      <c r="FD21" s="83">
        <v>15665</v>
      </c>
      <c r="FE21" s="83">
        <v>35615</v>
      </c>
      <c r="FF21" s="79">
        <f>99831+96041-FC21-FD21-FE21</f>
        <v>85437</v>
      </c>
      <c r="FG21" s="83">
        <v>290672</v>
      </c>
      <c r="FH21" s="83">
        <v>486544</v>
      </c>
      <c r="FI21" s="79">
        <v>0</v>
      </c>
      <c r="FJ21" s="79">
        <v>0</v>
      </c>
      <c r="FK21" s="79">
        <v>0</v>
      </c>
      <c r="FL21" s="79">
        <v>0</v>
      </c>
      <c r="FM21" s="83">
        <v>19287</v>
      </c>
      <c r="FN21" s="83">
        <v>19287</v>
      </c>
      <c r="FO21" s="83">
        <v>1191163</v>
      </c>
      <c r="FP21" s="83">
        <v>450287</v>
      </c>
      <c r="FQ21" s="83">
        <v>393085</v>
      </c>
      <c r="FR21" s="79">
        <f>2197484+1170612-FO21-FP21-FQ21</f>
        <v>1333561</v>
      </c>
      <c r="FS21" s="83">
        <v>2525380</v>
      </c>
      <c r="FT21" s="83">
        <v>5893476</v>
      </c>
      <c r="FU21" s="83">
        <v>8778</v>
      </c>
      <c r="FV21" s="83">
        <v>144</v>
      </c>
      <c r="FW21" s="83">
        <v>1071</v>
      </c>
      <c r="FX21" s="79">
        <f>10204+2660-FU21-FV21-FW21</f>
        <v>2871</v>
      </c>
      <c r="FY21" s="83">
        <v>508503</v>
      </c>
      <c r="FZ21" s="83">
        <v>521367</v>
      </c>
      <c r="GA21" s="83">
        <v>9936</v>
      </c>
      <c r="GB21" s="83">
        <v>4128</v>
      </c>
      <c r="GC21" s="83">
        <v>3430</v>
      </c>
      <c r="GD21" s="79">
        <f>26079+12249-GA21-GB21-GC21</f>
        <v>20834</v>
      </c>
      <c r="GE21" s="83">
        <v>311578</v>
      </c>
      <c r="GF21" s="83">
        <v>349906</v>
      </c>
      <c r="GG21" s="83">
        <v>163763</v>
      </c>
      <c r="GH21" s="83">
        <v>202</v>
      </c>
      <c r="GI21" s="83">
        <v>705</v>
      </c>
      <c r="GJ21" s="79">
        <f>209621+109986-GG21-GH21-GI21</f>
        <v>154937</v>
      </c>
      <c r="GK21" s="83">
        <v>781250</v>
      </c>
      <c r="GL21" s="83">
        <v>1100857</v>
      </c>
      <c r="GM21" s="83">
        <v>6640001</v>
      </c>
      <c r="GN21" s="83">
        <v>2058437</v>
      </c>
      <c r="GO21" s="79">
        <v>1772084</v>
      </c>
      <c r="GP21" s="79">
        <f>12093409+7690219-GM21-GN21-GO21</f>
        <v>9313106</v>
      </c>
      <c r="GQ21" s="83">
        <v>8014028</v>
      </c>
      <c r="GR21" s="83">
        <v>27797656</v>
      </c>
      <c r="GS21" s="79">
        <v>0</v>
      </c>
      <c r="GT21" s="79">
        <v>0</v>
      </c>
      <c r="GU21" s="79">
        <v>0</v>
      </c>
      <c r="GV21" s="79">
        <v>0</v>
      </c>
      <c r="GW21" s="79">
        <v>0</v>
      </c>
      <c r="GX21" s="79">
        <v>0</v>
      </c>
      <c r="GY21" s="90">
        <v>6640001</v>
      </c>
      <c r="GZ21" s="90">
        <v>2058437</v>
      </c>
      <c r="HA21" s="82">
        <v>1772084</v>
      </c>
      <c r="HB21" s="82">
        <v>9313106</v>
      </c>
      <c r="HC21" s="90">
        <v>8014028</v>
      </c>
      <c r="HD21" s="90">
        <v>27797656</v>
      </c>
      <c r="HF21" s="7">
        <f>SUM(AZ21:AZ21)</f>
        <v>311162</v>
      </c>
      <c r="HG21" s="7" t="e">
        <f>#REF!-HF21</f>
        <v>#REF!</v>
      </c>
      <c r="HH21" s="7" t="e">
        <f>SUM(#REF!)</f>
        <v>#REF!</v>
      </c>
      <c r="HI21" s="7" t="e">
        <f>#REF!-HH21</f>
        <v>#REF!</v>
      </c>
      <c r="HJ21" s="7">
        <f>SUM(BA21:BA21)</f>
        <v>1400000</v>
      </c>
      <c r="HK21" s="7" t="e">
        <f>#REF!-HJ21</f>
        <v>#REF!</v>
      </c>
      <c r="HL21" s="7">
        <f>SUM(BB21:BB21)</f>
        <v>53232</v>
      </c>
      <c r="HM21" s="7" t="e">
        <f>#REF!-HL21</f>
        <v>#REF!</v>
      </c>
      <c r="HN21" s="7" t="e">
        <f>SUM(#REF!)</f>
        <v>#REF!</v>
      </c>
      <c r="HO21" s="7" t="e">
        <f>#REF!-HN21</f>
        <v>#REF!</v>
      </c>
      <c r="HP21" s="7" t="e">
        <f>SUM(#REF!)</f>
        <v>#REF!</v>
      </c>
      <c r="HQ21" s="7" t="e">
        <f>#REF!-HP21</f>
        <v>#REF!</v>
      </c>
      <c r="HR21" s="7" t="e">
        <f>SUM(#REF!)</f>
        <v>#REF!</v>
      </c>
      <c r="HS21" s="7" t="e">
        <f>#REF!-HR21</f>
        <v>#REF!</v>
      </c>
      <c r="HT21" s="7" t="e">
        <f>SUM(#REF!)</f>
        <v>#REF!</v>
      </c>
      <c r="HU21" s="7" t="e">
        <f>#REF!-HT21</f>
        <v>#REF!</v>
      </c>
      <c r="HV21" s="7" t="e">
        <f>SUM(#REF!)</f>
        <v>#REF!</v>
      </c>
      <c r="HW21" s="7" t="e">
        <f>#REF!-HV21</f>
        <v>#REF!</v>
      </c>
      <c r="HX21" s="7" t="e">
        <f>SUM(#REF!)</f>
        <v>#REF!</v>
      </c>
      <c r="HY21" s="7" t="e">
        <f>#REF!-HX21</f>
        <v>#REF!</v>
      </c>
      <c r="HZ21" s="7">
        <f>SUM(BC21:BC21)</f>
        <v>495</v>
      </c>
      <c r="IA21" s="7" t="e">
        <f>#REF!-HZ21</f>
        <v>#REF!</v>
      </c>
      <c r="IB21" s="7">
        <f>SUM(BD21:BD21)</f>
        <v>0</v>
      </c>
      <c r="IC21" s="7" t="e">
        <f>#REF!-IB21</f>
        <v>#REF!</v>
      </c>
      <c r="ID21" s="7">
        <f t="shared" si="1"/>
        <v>199155</v>
      </c>
      <c r="IE21" s="7">
        <f t="shared" si="2"/>
        <v>0</v>
      </c>
      <c r="IF21" s="7">
        <f t="shared" si="3"/>
        <v>97446</v>
      </c>
      <c r="IG21" s="7">
        <f t="shared" si="4"/>
        <v>0</v>
      </c>
      <c r="IH21" s="7">
        <f t="shared" si="5"/>
        <v>454407</v>
      </c>
      <c r="II21" s="7">
        <f t="shared" si="6"/>
        <v>0</v>
      </c>
      <c r="IJ21" s="7">
        <f t="shared" si="7"/>
        <v>27797656</v>
      </c>
      <c r="IK21" s="7">
        <f t="shared" si="8"/>
        <v>0</v>
      </c>
      <c r="IL21" s="7">
        <f t="shared" si="9"/>
        <v>7417412</v>
      </c>
      <c r="IM21" s="7">
        <f t="shared" si="10"/>
        <v>0</v>
      </c>
      <c r="IN21" s="7">
        <f t="shared" si="11"/>
        <v>423500</v>
      </c>
      <c r="IO21" s="7">
        <f t="shared" si="12"/>
        <v>0</v>
      </c>
      <c r="IP21" s="7">
        <f t="shared" si="13"/>
        <v>4581092</v>
      </c>
      <c r="IQ21" s="7">
        <f t="shared" si="14"/>
        <v>0</v>
      </c>
      <c r="IR21" s="7">
        <f t="shared" si="15"/>
        <v>0</v>
      </c>
      <c r="IS21" s="7">
        <f t="shared" si="16"/>
        <v>0</v>
      </c>
      <c r="IT21" s="7">
        <f t="shared" si="17"/>
        <v>2683490</v>
      </c>
      <c r="IU21" s="7">
        <f t="shared" si="18"/>
        <v>0</v>
      </c>
      <c r="IV21" s="7">
        <f t="shared" si="19"/>
        <v>0</v>
      </c>
      <c r="IW21" s="7">
        <f t="shared" si="20"/>
        <v>0</v>
      </c>
      <c r="IX21" s="7">
        <f t="shared" si="21"/>
        <v>0</v>
      </c>
      <c r="IY21" s="7">
        <f t="shared" si="22"/>
        <v>0</v>
      </c>
      <c r="IZ21" s="7">
        <f t="shared" si="23"/>
        <v>440950</v>
      </c>
      <c r="JA21" s="7">
        <f t="shared" si="24"/>
        <v>0</v>
      </c>
      <c r="JB21" s="7">
        <f t="shared" si="25"/>
        <v>1293801</v>
      </c>
      <c r="JC21" s="7">
        <f t="shared" si="26"/>
        <v>0</v>
      </c>
      <c r="JD21" s="7">
        <f t="shared" si="27"/>
        <v>1344507</v>
      </c>
      <c r="JE21" s="7">
        <f t="shared" si="28"/>
        <v>0</v>
      </c>
      <c r="JF21" s="7">
        <f t="shared" si="29"/>
        <v>367039</v>
      </c>
      <c r="JG21" s="7">
        <f t="shared" si="30"/>
        <v>0</v>
      </c>
      <c r="JH21" s="7">
        <f t="shared" si="31"/>
        <v>776855</v>
      </c>
      <c r="JI21" s="7">
        <f t="shared" si="32"/>
        <v>0</v>
      </c>
      <c r="JJ21" s="7">
        <f t="shared" si="33"/>
        <v>97573</v>
      </c>
      <c r="JK21" s="7">
        <f t="shared" si="34"/>
        <v>0</v>
      </c>
      <c r="JL21" s="7">
        <f t="shared" si="35"/>
        <v>486544</v>
      </c>
      <c r="JM21" s="7">
        <f t="shared" si="36"/>
        <v>0</v>
      </c>
      <c r="JN21" s="7">
        <f t="shared" si="37"/>
        <v>19287</v>
      </c>
      <c r="JO21" s="7">
        <f t="shared" si="38"/>
        <v>0</v>
      </c>
      <c r="JP21" s="7">
        <f t="shared" si="39"/>
        <v>5893476</v>
      </c>
      <c r="JQ21" s="7">
        <f t="shared" si="40"/>
        <v>0</v>
      </c>
      <c r="JR21" s="7">
        <f t="shared" si="41"/>
        <v>521367</v>
      </c>
      <c r="JS21" s="7">
        <f t="shared" si="42"/>
        <v>0</v>
      </c>
      <c r="JT21" s="7">
        <f>SUM(GA21:GE21)</f>
        <v>349906</v>
      </c>
      <c r="JU21" s="7">
        <f>GF21-JT21</f>
        <v>0</v>
      </c>
      <c r="JV21" s="7">
        <f t="shared" si="45"/>
        <v>1100857</v>
      </c>
      <c r="JW21" s="7">
        <f t="shared" si="46"/>
        <v>0</v>
      </c>
      <c r="JX21" s="7">
        <f t="shared" si="47"/>
        <v>27797656</v>
      </c>
      <c r="JY21" s="7">
        <f t="shared" si="48"/>
        <v>0</v>
      </c>
      <c r="JZ21" s="7">
        <f t="shared" si="49"/>
        <v>0</v>
      </c>
      <c r="KA21" s="7">
        <f t="shared" si="50"/>
        <v>0</v>
      </c>
      <c r="KB21" s="7">
        <f t="shared" si="51"/>
        <v>27797656</v>
      </c>
      <c r="KC21" s="7">
        <f t="shared" si="52"/>
        <v>0</v>
      </c>
      <c r="KE21" s="7" t="e">
        <f t="shared" si="0"/>
        <v>#REF!</v>
      </c>
      <c r="KG21" s="5" t="e">
        <f t="shared" si="53"/>
        <v>#REF!</v>
      </c>
    </row>
    <row r="22" spans="1:293" x14ac:dyDescent="0.15">
      <c r="A22" s="119" t="s">
        <v>367</v>
      </c>
      <c r="B22" s="17" t="s">
        <v>342</v>
      </c>
      <c r="C22" s="41">
        <v>134130</v>
      </c>
      <c r="D22" s="38">
        <v>2013</v>
      </c>
      <c r="E22" s="38">
        <v>1</v>
      </c>
      <c r="F22" s="38">
        <v>5</v>
      </c>
      <c r="G22" s="39">
        <v>13357</v>
      </c>
      <c r="H22" s="39">
        <v>16884</v>
      </c>
      <c r="I22" s="40">
        <v>2369315000</v>
      </c>
      <c r="J22" s="40"/>
      <c r="K22" s="40">
        <v>5950136</v>
      </c>
      <c r="L22" s="40"/>
      <c r="M22" s="40">
        <v>13486762</v>
      </c>
      <c r="N22" s="40"/>
      <c r="O22" s="40">
        <v>88795000</v>
      </c>
      <c r="P22" s="40"/>
      <c r="Q22" s="40">
        <v>129095011</v>
      </c>
      <c r="R22" s="40"/>
      <c r="S22" s="40">
        <v>2237963000</v>
      </c>
      <c r="T22" s="40"/>
      <c r="U22" s="40">
        <v>16310</v>
      </c>
      <c r="V22" s="40"/>
      <c r="W22" s="40">
        <v>38588</v>
      </c>
      <c r="X22" s="40"/>
      <c r="Y22" s="40">
        <v>20580</v>
      </c>
      <c r="Z22" s="40"/>
      <c r="AA22" s="40">
        <v>42858</v>
      </c>
      <c r="AB22" s="40"/>
      <c r="AC22" s="59">
        <v>9</v>
      </c>
      <c r="AD22" s="59">
        <v>12</v>
      </c>
      <c r="AE22" s="59">
        <v>0</v>
      </c>
      <c r="AF22" s="57">
        <v>4377193</v>
      </c>
      <c r="AG22" s="57">
        <v>4399187</v>
      </c>
      <c r="AH22" s="57">
        <v>1089024</v>
      </c>
      <c r="AI22" s="57">
        <v>516416</v>
      </c>
      <c r="AJ22" s="57">
        <v>1335350</v>
      </c>
      <c r="AK22" s="58">
        <v>6</v>
      </c>
      <c r="AL22" s="57">
        <v>1144585.7142857143</v>
      </c>
      <c r="AM22" s="58">
        <v>7</v>
      </c>
      <c r="AN22" s="57">
        <v>289833.33333333331</v>
      </c>
      <c r="AO22" s="58">
        <v>9</v>
      </c>
      <c r="AP22" s="57">
        <v>260850</v>
      </c>
      <c r="AQ22" s="58">
        <v>10</v>
      </c>
      <c r="AR22" s="57">
        <v>240600.60869565216</v>
      </c>
      <c r="AS22" s="58">
        <v>23</v>
      </c>
      <c r="AT22" s="57">
        <v>184460.46666666667</v>
      </c>
      <c r="AU22" s="58">
        <v>30</v>
      </c>
      <c r="AV22" s="57">
        <v>114085.2</v>
      </c>
      <c r="AW22" s="58">
        <v>20</v>
      </c>
      <c r="AX22" s="57">
        <v>91268.160000000003</v>
      </c>
      <c r="AY22" s="58">
        <v>25</v>
      </c>
      <c r="AZ22" s="79">
        <v>21390665</v>
      </c>
      <c r="BA22" s="79">
        <v>500000</v>
      </c>
      <c r="BB22" s="79">
        <v>34052885</v>
      </c>
      <c r="BC22" s="79">
        <v>1060624</v>
      </c>
      <c r="BD22" s="79">
        <v>825582</v>
      </c>
      <c r="BE22" s="79">
        <v>172094</v>
      </c>
      <c r="BF22" s="79">
        <v>173701</v>
      </c>
      <c r="BG22" s="79">
        <v>43190</v>
      </c>
      <c r="BH22" s="79">
        <v>1239631</v>
      </c>
      <c r="BI22" s="79">
        <v>85666</v>
      </c>
      <c r="BJ22" s="79">
        <v>1714282</v>
      </c>
      <c r="BK22" s="79">
        <v>0</v>
      </c>
      <c r="BL22" s="79">
        <v>0</v>
      </c>
      <c r="BM22" s="79">
        <v>0</v>
      </c>
      <c r="BN22" s="79">
        <v>9</v>
      </c>
      <c r="BO22" s="79">
        <v>5936340</v>
      </c>
      <c r="BP22" s="79">
        <v>5936349</v>
      </c>
      <c r="BQ22" s="79">
        <v>2729</v>
      </c>
      <c r="BR22" s="79">
        <v>0</v>
      </c>
      <c r="BS22" s="79">
        <v>0</v>
      </c>
      <c r="BT22" s="79">
        <v>82942</v>
      </c>
      <c r="BU22" s="79">
        <v>1937087</v>
      </c>
      <c r="BV22" s="79">
        <v>2022758</v>
      </c>
      <c r="BW22" s="79">
        <v>75020287</v>
      </c>
      <c r="BX22" s="79">
        <v>13618910</v>
      </c>
      <c r="BY22" s="79">
        <v>2455179</v>
      </c>
      <c r="BZ22" s="79">
        <v>6394831</v>
      </c>
      <c r="CA22" s="79">
        <v>32522037</v>
      </c>
      <c r="CB22" s="79">
        <v>130011244</v>
      </c>
      <c r="CC22" s="79">
        <v>2490319</v>
      </c>
      <c r="CD22" s="79">
        <v>473820</v>
      </c>
      <c r="CE22" s="79">
        <v>496845</v>
      </c>
      <c r="CF22" s="79">
        <v>6088641</v>
      </c>
      <c r="CG22" s="79">
        <v>0</v>
      </c>
      <c r="CH22" s="79">
        <v>9549625</v>
      </c>
      <c r="CI22" s="79">
        <v>2700000</v>
      </c>
      <c r="CJ22" s="79">
        <v>421000</v>
      </c>
      <c r="CK22" s="79">
        <v>80537</v>
      </c>
      <c r="CL22" s="79">
        <v>95048</v>
      </c>
      <c r="CM22" s="79">
        <v>0</v>
      </c>
      <c r="CN22" s="79">
        <v>3296585</v>
      </c>
      <c r="CO22" s="79">
        <v>6763166</v>
      </c>
      <c r="CP22" s="79">
        <v>4331467</v>
      </c>
      <c r="CQ22" s="79">
        <v>807787</v>
      </c>
      <c r="CR22" s="79">
        <v>6533698</v>
      </c>
      <c r="CS22" s="79">
        <v>0</v>
      </c>
      <c r="CT22" s="79">
        <v>18436118</v>
      </c>
      <c r="CU22" s="79">
        <v>200000</v>
      </c>
      <c r="CV22" s="79">
        <v>225000</v>
      </c>
      <c r="CW22" s="79">
        <v>25000</v>
      </c>
      <c r="CX22" s="79">
        <v>55600</v>
      </c>
      <c r="CY22" s="79">
        <v>0</v>
      </c>
      <c r="CZ22" s="79">
        <v>505600</v>
      </c>
      <c r="DA22" s="79">
        <v>1475809</v>
      </c>
      <c r="DB22" s="79">
        <v>332031</v>
      </c>
      <c r="DC22" s="79">
        <v>198470</v>
      </c>
      <c r="DD22" s="79">
        <v>651031</v>
      </c>
      <c r="DE22" s="79">
        <v>20313749</v>
      </c>
      <c r="DF22" s="79">
        <v>22971090</v>
      </c>
      <c r="DG22" s="79">
        <v>0</v>
      </c>
      <c r="DH22" s="79">
        <v>0</v>
      </c>
      <c r="DI22" s="79">
        <v>0</v>
      </c>
      <c r="DJ22" s="79">
        <v>0</v>
      </c>
      <c r="DK22" s="79">
        <v>0</v>
      </c>
      <c r="DL22" s="79">
        <v>0</v>
      </c>
      <c r="DM22" s="79">
        <v>146643</v>
      </c>
      <c r="DN22" s="79">
        <v>0</v>
      </c>
      <c r="DO22" s="79">
        <v>0</v>
      </c>
      <c r="DP22" s="79">
        <v>0</v>
      </c>
      <c r="DQ22" s="79">
        <v>0</v>
      </c>
      <c r="DR22" s="79">
        <v>146643</v>
      </c>
      <c r="DS22" s="79">
        <v>687227</v>
      </c>
      <c r="DT22" s="79">
        <v>232518</v>
      </c>
      <c r="DU22" s="79">
        <v>176621</v>
      </c>
      <c r="DV22" s="79">
        <v>509074</v>
      </c>
      <c r="DW22" s="79">
        <v>0</v>
      </c>
      <c r="DX22" s="79">
        <v>1605440</v>
      </c>
      <c r="DY22" s="79">
        <v>3525976</v>
      </c>
      <c r="DZ22" s="79">
        <v>1143259</v>
      </c>
      <c r="EA22" s="79">
        <v>560880</v>
      </c>
      <c r="EB22" s="79">
        <v>3115477</v>
      </c>
      <c r="EC22" s="79">
        <v>0</v>
      </c>
      <c r="ED22" s="79">
        <v>8345592</v>
      </c>
      <c r="EE22" s="79">
        <v>602848</v>
      </c>
      <c r="EF22" s="79">
        <v>95625</v>
      </c>
      <c r="EG22" s="79">
        <v>72328</v>
      </c>
      <c r="EH22" s="79">
        <v>1242180</v>
      </c>
      <c r="EI22" s="79">
        <v>0</v>
      </c>
      <c r="EJ22" s="79">
        <v>2012981</v>
      </c>
      <c r="EK22" s="79">
        <v>4024092</v>
      </c>
      <c r="EL22" s="79">
        <v>467007</v>
      </c>
      <c r="EM22" s="79">
        <v>238282</v>
      </c>
      <c r="EN22" s="79">
        <v>808154</v>
      </c>
      <c r="EO22" s="79">
        <v>0</v>
      </c>
      <c r="EP22" s="79">
        <v>5537535</v>
      </c>
      <c r="EQ22" s="79">
        <v>223983</v>
      </c>
      <c r="ER22" s="79">
        <v>203321</v>
      </c>
      <c r="ES22" s="79">
        <v>168459</v>
      </c>
      <c r="ET22" s="79">
        <v>647680</v>
      </c>
      <c r="EU22" s="79">
        <v>1875937</v>
      </c>
      <c r="EV22" s="79">
        <v>3119380</v>
      </c>
      <c r="EW22" s="79">
        <v>171209</v>
      </c>
      <c r="EX22" s="79">
        <v>105782</v>
      </c>
      <c r="EY22" s="79">
        <v>42991</v>
      </c>
      <c r="EZ22" s="79">
        <v>725194</v>
      </c>
      <c r="FA22" s="79">
        <v>104078</v>
      </c>
      <c r="FB22" s="79">
        <v>1149254</v>
      </c>
      <c r="FC22" s="79">
        <v>928616</v>
      </c>
      <c r="FD22" s="79">
        <v>202536</v>
      </c>
      <c r="FE22" s="79">
        <v>42511</v>
      </c>
      <c r="FF22" s="79">
        <v>501204</v>
      </c>
      <c r="FG22" s="79">
        <v>16035409</v>
      </c>
      <c r="FH22" s="79">
        <v>17710276</v>
      </c>
      <c r="FI22" s="79">
        <v>847035</v>
      </c>
      <c r="FJ22" s="79">
        <v>42154</v>
      </c>
      <c r="FK22" s="79">
        <v>41500</v>
      </c>
      <c r="FL22" s="79">
        <v>38500</v>
      </c>
      <c r="FM22" s="79">
        <v>154881</v>
      </c>
      <c r="FN22" s="79">
        <v>1124070</v>
      </c>
      <c r="FO22" s="79">
        <v>0</v>
      </c>
      <c r="FP22" s="79">
        <v>0</v>
      </c>
      <c r="FQ22" s="79">
        <v>0</v>
      </c>
      <c r="FR22" s="79">
        <v>0</v>
      </c>
      <c r="FS22" s="79">
        <v>0</v>
      </c>
      <c r="FT22" s="79">
        <v>0</v>
      </c>
      <c r="FU22" s="79">
        <v>279007</v>
      </c>
      <c r="FV22" s="79">
        <v>83483</v>
      </c>
      <c r="FW22" s="79">
        <v>45812</v>
      </c>
      <c r="FX22" s="79">
        <v>615823</v>
      </c>
      <c r="FY22" s="79">
        <v>1779685</v>
      </c>
      <c r="FZ22" s="79">
        <v>2803810</v>
      </c>
      <c r="GA22" s="79">
        <v>0</v>
      </c>
      <c r="GB22" s="79">
        <v>0</v>
      </c>
      <c r="GC22" s="79">
        <v>0</v>
      </c>
      <c r="GD22" s="79">
        <v>3000</v>
      </c>
      <c r="GE22" s="79">
        <v>15475</v>
      </c>
      <c r="GF22" s="79">
        <v>18475</v>
      </c>
      <c r="GG22" s="79">
        <v>838623</v>
      </c>
      <c r="GH22" s="79">
        <v>93618</v>
      </c>
      <c r="GI22" s="79">
        <v>64147</v>
      </c>
      <c r="GJ22" s="79">
        <v>568155</v>
      </c>
      <c r="GK22" s="79">
        <v>7075966</v>
      </c>
      <c r="GL22" s="79">
        <v>8640509</v>
      </c>
      <c r="GM22" s="79">
        <v>25904553</v>
      </c>
      <c r="GN22" s="79">
        <v>8452621</v>
      </c>
      <c r="GO22" s="79">
        <v>3062170</v>
      </c>
      <c r="GP22" s="79">
        <v>21425214</v>
      </c>
      <c r="GQ22" s="79">
        <v>48128425</v>
      </c>
      <c r="GR22" s="79">
        <v>106972983</v>
      </c>
      <c r="GS22" s="79">
        <v>0</v>
      </c>
      <c r="GT22" s="79">
        <v>0</v>
      </c>
      <c r="GU22" s="79">
        <v>0</v>
      </c>
      <c r="GV22" s="79">
        <v>0</v>
      </c>
      <c r="GW22" s="79">
        <v>7557579</v>
      </c>
      <c r="GX22" s="79">
        <v>7557579</v>
      </c>
      <c r="GY22" s="79">
        <v>25904553</v>
      </c>
      <c r="GZ22" s="79">
        <v>8452621</v>
      </c>
      <c r="HA22" s="79">
        <v>3062170</v>
      </c>
      <c r="HB22" s="79">
        <v>21425214</v>
      </c>
      <c r="HC22" s="79">
        <v>55686004</v>
      </c>
      <c r="HD22" s="79">
        <v>114530562</v>
      </c>
      <c r="HE22" s="16"/>
      <c r="HF22" s="7">
        <f>SUM(AZ22:AZ22)</f>
        <v>21390665</v>
      </c>
      <c r="HG22" s="7" t="e">
        <f>#REF!-HF22</f>
        <v>#REF!</v>
      </c>
      <c r="HH22" s="7" t="e">
        <f>SUM(#REF!)</f>
        <v>#REF!</v>
      </c>
      <c r="HI22" s="7" t="e">
        <f>#REF!-HH22</f>
        <v>#REF!</v>
      </c>
      <c r="HJ22" s="7">
        <f>SUM(BA22:BA22)</f>
        <v>500000</v>
      </c>
      <c r="HK22" s="7" t="e">
        <f>#REF!-HJ22</f>
        <v>#REF!</v>
      </c>
      <c r="HL22" s="7">
        <f>SUM(BB22:BB22)</f>
        <v>34052885</v>
      </c>
      <c r="HM22" s="7" t="e">
        <f>#REF!-HL22</f>
        <v>#REF!</v>
      </c>
      <c r="HN22" s="7" t="e">
        <f>SUM(#REF!)</f>
        <v>#REF!</v>
      </c>
      <c r="HO22" s="7" t="e">
        <f>#REF!-HN22</f>
        <v>#REF!</v>
      </c>
      <c r="HP22" s="7" t="e">
        <f>SUM(#REF!)</f>
        <v>#REF!</v>
      </c>
      <c r="HQ22" s="7" t="e">
        <f>#REF!-HP22</f>
        <v>#REF!</v>
      </c>
      <c r="HR22" s="7" t="e">
        <f>SUM(#REF!)</f>
        <v>#REF!</v>
      </c>
      <c r="HS22" s="7" t="e">
        <f>#REF!-HR22</f>
        <v>#REF!</v>
      </c>
      <c r="HT22" s="7" t="e">
        <f>SUM(#REF!)</f>
        <v>#REF!</v>
      </c>
      <c r="HU22" s="7" t="e">
        <f>#REF!-HT22</f>
        <v>#REF!</v>
      </c>
      <c r="HV22" s="7" t="e">
        <f>SUM(#REF!)</f>
        <v>#REF!</v>
      </c>
      <c r="HW22" s="7" t="e">
        <f>#REF!-HV22</f>
        <v>#REF!</v>
      </c>
      <c r="HX22" s="7" t="e">
        <f>SUM(#REF!)</f>
        <v>#REF!</v>
      </c>
      <c r="HY22" s="7" t="e">
        <f>#REF!-HX22</f>
        <v>#REF!</v>
      </c>
      <c r="HZ22" s="7">
        <f>SUM(BC22:BC22)</f>
        <v>1060624</v>
      </c>
      <c r="IA22" s="7" t="e">
        <f>#REF!-HZ22</f>
        <v>#REF!</v>
      </c>
      <c r="IB22" s="7">
        <f>SUM(BD22:BD22)</f>
        <v>825582</v>
      </c>
      <c r="IC22" s="7" t="e">
        <f>#REF!-IB22</f>
        <v>#REF!</v>
      </c>
      <c r="ID22" s="7">
        <f t="shared" si="1"/>
        <v>1714282</v>
      </c>
      <c r="IE22" s="7">
        <f t="shared" si="2"/>
        <v>0</v>
      </c>
      <c r="IF22" s="7">
        <f t="shared" si="3"/>
        <v>5936349</v>
      </c>
      <c r="IG22" s="7">
        <f t="shared" si="4"/>
        <v>0</v>
      </c>
      <c r="IH22" s="7">
        <f t="shared" si="5"/>
        <v>2022758</v>
      </c>
      <c r="II22" s="7">
        <f t="shared" si="6"/>
        <v>0</v>
      </c>
      <c r="IJ22" s="7">
        <f t="shared" si="7"/>
        <v>130011244</v>
      </c>
      <c r="IK22" s="7">
        <f t="shared" si="8"/>
        <v>0</v>
      </c>
      <c r="IL22" s="7">
        <f t="shared" si="9"/>
        <v>9549625</v>
      </c>
      <c r="IM22" s="7">
        <f t="shared" si="10"/>
        <v>0</v>
      </c>
      <c r="IN22" s="7">
        <f t="shared" si="11"/>
        <v>3296585</v>
      </c>
      <c r="IO22" s="7">
        <f t="shared" si="12"/>
        <v>0</v>
      </c>
      <c r="IP22" s="7">
        <f t="shared" si="13"/>
        <v>18436118</v>
      </c>
      <c r="IQ22" s="7">
        <f t="shared" si="14"/>
        <v>0</v>
      </c>
      <c r="IR22" s="7">
        <f t="shared" si="15"/>
        <v>505600</v>
      </c>
      <c r="IS22" s="7">
        <f t="shared" si="16"/>
        <v>0</v>
      </c>
      <c r="IT22" s="7">
        <f t="shared" si="17"/>
        <v>22971090</v>
      </c>
      <c r="IU22" s="7">
        <f t="shared" si="18"/>
        <v>0</v>
      </c>
      <c r="IV22" s="7">
        <f t="shared" si="19"/>
        <v>0</v>
      </c>
      <c r="IW22" s="7">
        <f t="shared" si="20"/>
        <v>0</v>
      </c>
      <c r="IX22" s="7">
        <f t="shared" si="21"/>
        <v>146643</v>
      </c>
      <c r="IY22" s="7">
        <f t="shared" si="22"/>
        <v>0</v>
      </c>
      <c r="IZ22" s="7">
        <f t="shared" si="23"/>
        <v>1605440</v>
      </c>
      <c r="JA22" s="7">
        <f t="shared" si="24"/>
        <v>0</v>
      </c>
      <c r="JB22" s="7">
        <f t="shared" si="25"/>
        <v>8345592</v>
      </c>
      <c r="JC22" s="7">
        <f t="shared" si="26"/>
        <v>0</v>
      </c>
      <c r="JD22" s="7">
        <f t="shared" si="27"/>
        <v>2012981</v>
      </c>
      <c r="JE22" s="7">
        <f t="shared" si="28"/>
        <v>0</v>
      </c>
      <c r="JF22" s="7">
        <f t="shared" si="29"/>
        <v>5537535</v>
      </c>
      <c r="JG22" s="7">
        <f t="shared" si="30"/>
        <v>0</v>
      </c>
      <c r="JH22" s="7">
        <f t="shared" si="31"/>
        <v>3119380</v>
      </c>
      <c r="JI22" s="7">
        <f t="shared" si="32"/>
        <v>0</v>
      </c>
      <c r="JJ22" s="7">
        <f t="shared" si="33"/>
        <v>1149254</v>
      </c>
      <c r="JK22" s="7">
        <f t="shared" si="34"/>
        <v>0</v>
      </c>
      <c r="JL22" s="7">
        <f t="shared" si="35"/>
        <v>17710276</v>
      </c>
      <c r="JM22" s="7">
        <f t="shared" si="36"/>
        <v>0</v>
      </c>
      <c r="JN22" s="7">
        <f t="shared" si="37"/>
        <v>1124070</v>
      </c>
      <c r="JO22" s="7">
        <f t="shared" si="38"/>
        <v>0</v>
      </c>
      <c r="JP22" s="7">
        <f t="shared" si="39"/>
        <v>0</v>
      </c>
      <c r="JQ22" s="7">
        <f t="shared" si="40"/>
        <v>0</v>
      </c>
      <c r="JR22" s="7">
        <f t="shared" si="41"/>
        <v>2803810</v>
      </c>
      <c r="JS22" s="7">
        <f t="shared" si="42"/>
        <v>0</v>
      </c>
      <c r="JT22" s="7">
        <f t="shared" si="43"/>
        <v>18475</v>
      </c>
      <c r="JU22" s="7">
        <f t="shared" si="44"/>
        <v>0</v>
      </c>
      <c r="JV22" s="7">
        <f t="shared" si="45"/>
        <v>8640509</v>
      </c>
      <c r="JW22" s="7">
        <f t="shared" si="46"/>
        <v>0</v>
      </c>
      <c r="JX22" s="7">
        <f t="shared" si="47"/>
        <v>106972983</v>
      </c>
      <c r="JY22" s="7">
        <f t="shared" si="48"/>
        <v>0</v>
      </c>
      <c r="JZ22" s="7">
        <f t="shared" si="49"/>
        <v>7557579</v>
      </c>
      <c r="KA22" s="7">
        <f t="shared" si="50"/>
        <v>0</v>
      </c>
      <c r="KB22" s="7">
        <f t="shared" si="51"/>
        <v>114530562</v>
      </c>
      <c r="KC22" s="7">
        <f t="shared" si="52"/>
        <v>0</v>
      </c>
      <c r="KE22" s="7" t="e">
        <f t="shared" si="0"/>
        <v>#REF!</v>
      </c>
      <c r="KG22" s="5" t="e">
        <f t="shared" si="53"/>
        <v>#REF!</v>
      </c>
    </row>
    <row r="23" spans="1:293" x14ac:dyDescent="0.15">
      <c r="A23" s="119" t="s">
        <v>368</v>
      </c>
      <c r="B23" s="17" t="s">
        <v>344</v>
      </c>
      <c r="C23" s="38">
        <v>137351</v>
      </c>
      <c r="D23" s="38">
        <v>2013</v>
      </c>
      <c r="E23" s="38">
        <v>1</v>
      </c>
      <c r="F23" s="38">
        <v>8</v>
      </c>
      <c r="G23" s="39">
        <v>6985</v>
      </c>
      <c r="H23" s="39">
        <v>8404</v>
      </c>
      <c r="I23" s="40">
        <v>4510093431</v>
      </c>
      <c r="J23" s="40"/>
      <c r="K23" s="40">
        <v>2614969</v>
      </c>
      <c r="L23" s="40"/>
      <c r="M23" s="40">
        <v>19848940</v>
      </c>
      <c r="N23" s="40"/>
      <c r="O23" s="40">
        <v>87191286</v>
      </c>
      <c r="P23" s="40"/>
      <c r="Q23" s="40">
        <v>578268995</v>
      </c>
      <c r="R23" s="40"/>
      <c r="S23" s="40">
        <v>249463487</v>
      </c>
      <c r="T23" s="40"/>
      <c r="U23" s="40">
        <v>17196</v>
      </c>
      <c r="V23" s="40"/>
      <c r="W23" s="40">
        <v>29640</v>
      </c>
      <c r="X23" s="40"/>
      <c r="Y23" s="40">
        <v>21359</v>
      </c>
      <c r="Z23" s="40"/>
      <c r="AA23" s="40">
        <v>33832</v>
      </c>
      <c r="AB23" s="40"/>
      <c r="AC23" s="59">
        <v>8</v>
      </c>
      <c r="AD23" s="59">
        <v>11</v>
      </c>
      <c r="AE23" s="59">
        <v>0</v>
      </c>
      <c r="AF23" s="57">
        <v>3113700</v>
      </c>
      <c r="AG23" s="57">
        <v>3113700</v>
      </c>
      <c r="AH23" s="57">
        <v>326121</v>
      </c>
      <c r="AI23" s="57">
        <v>88611</v>
      </c>
      <c r="AJ23" s="57">
        <v>182668.74</v>
      </c>
      <c r="AK23" s="58">
        <v>6.75</v>
      </c>
      <c r="AL23" s="57">
        <v>154126.75</v>
      </c>
      <c r="AM23" s="58">
        <v>8</v>
      </c>
      <c r="AN23" s="57">
        <v>110242.96</v>
      </c>
      <c r="AO23" s="58">
        <v>6.75</v>
      </c>
      <c r="AP23" s="57">
        <v>82682.22</v>
      </c>
      <c r="AQ23" s="58">
        <v>9</v>
      </c>
      <c r="AR23" s="57">
        <v>81234.490000000005</v>
      </c>
      <c r="AS23" s="58">
        <v>18.5</v>
      </c>
      <c r="AT23" s="57">
        <v>71563.710000000006</v>
      </c>
      <c r="AU23" s="58">
        <v>21</v>
      </c>
      <c r="AV23" s="57">
        <v>38078.720000000001</v>
      </c>
      <c r="AW23" s="58">
        <v>12.5</v>
      </c>
      <c r="AX23" s="57">
        <v>29749</v>
      </c>
      <c r="AY23" s="58">
        <v>16</v>
      </c>
      <c r="AZ23" s="79">
        <v>833436</v>
      </c>
      <c r="BA23" s="79">
        <v>1600000</v>
      </c>
      <c r="BB23" s="79">
        <v>973247</v>
      </c>
      <c r="BC23" s="79">
        <v>0</v>
      </c>
      <c r="BD23" s="79">
        <v>202094</v>
      </c>
      <c r="BE23" s="79">
        <v>0</v>
      </c>
      <c r="BF23" s="79">
        <v>0</v>
      </c>
      <c r="BG23" s="79">
        <v>0</v>
      </c>
      <c r="BH23" s="79">
        <v>0</v>
      </c>
      <c r="BI23" s="79">
        <v>0</v>
      </c>
      <c r="BJ23" s="79">
        <v>0</v>
      </c>
      <c r="BK23" s="79">
        <v>0</v>
      </c>
      <c r="BL23" s="79">
        <v>0</v>
      </c>
      <c r="BM23" s="79">
        <v>0</v>
      </c>
      <c r="BN23" s="79">
        <v>2315</v>
      </c>
      <c r="BO23" s="79">
        <v>0</v>
      </c>
      <c r="BP23" s="79">
        <v>2315</v>
      </c>
      <c r="BQ23" s="79">
        <v>15965</v>
      </c>
      <c r="BR23" s="79">
        <v>0</v>
      </c>
      <c r="BS23" s="79">
        <v>0</v>
      </c>
      <c r="BT23" s="79">
        <v>99943</v>
      </c>
      <c r="BU23" s="79">
        <v>476583</v>
      </c>
      <c r="BV23" s="79">
        <v>592491</v>
      </c>
      <c r="BW23" s="79">
        <v>6699511</v>
      </c>
      <c r="BX23" s="79">
        <v>925268</v>
      </c>
      <c r="BY23" s="79">
        <v>398268</v>
      </c>
      <c r="BZ23" s="79">
        <v>8573412</v>
      </c>
      <c r="CA23" s="79">
        <v>7941952</v>
      </c>
      <c r="CB23" s="79">
        <v>24538411</v>
      </c>
      <c r="CC23" s="79">
        <v>2208687</v>
      </c>
      <c r="CD23" s="79">
        <v>377206</v>
      </c>
      <c r="CE23" s="79">
        <v>374493</v>
      </c>
      <c r="CF23" s="79">
        <v>2082087</v>
      </c>
      <c r="CG23" s="79">
        <v>142673</v>
      </c>
      <c r="CH23" s="79">
        <v>5185146</v>
      </c>
      <c r="CI23" s="79">
        <v>460000</v>
      </c>
      <c r="CJ23" s="79">
        <v>5500</v>
      </c>
      <c r="CK23" s="79">
        <v>0</v>
      </c>
      <c r="CL23" s="79">
        <v>23798</v>
      </c>
      <c r="CM23" s="79">
        <v>0</v>
      </c>
      <c r="CN23" s="79">
        <v>489298</v>
      </c>
      <c r="CO23" s="79">
        <v>1648623</v>
      </c>
      <c r="CP23" s="79">
        <v>556179</v>
      </c>
      <c r="CQ23" s="79">
        <v>422821</v>
      </c>
      <c r="CR23" s="79">
        <v>1328353</v>
      </c>
      <c r="CS23" s="79">
        <v>0</v>
      </c>
      <c r="CT23" s="79">
        <v>3955976</v>
      </c>
      <c r="CU23" s="79">
        <v>0</v>
      </c>
      <c r="CV23" s="79">
        <v>0</v>
      </c>
      <c r="CW23" s="79">
        <v>0</v>
      </c>
      <c r="CX23" s="79">
        <v>0</v>
      </c>
      <c r="CY23" s="79">
        <v>0</v>
      </c>
      <c r="CZ23" s="79">
        <v>0</v>
      </c>
      <c r="DA23" s="79">
        <v>220967</v>
      </c>
      <c r="DB23" s="79">
        <v>36361</v>
      </c>
      <c r="DC23" s="79">
        <v>39076</v>
      </c>
      <c r="DD23" s="79">
        <v>0</v>
      </c>
      <c r="DE23" s="79">
        <v>2068853</v>
      </c>
      <c r="DF23" s="79">
        <v>2365257</v>
      </c>
      <c r="DG23" s="79">
        <v>0</v>
      </c>
      <c r="DH23" s="79">
        <v>0</v>
      </c>
      <c r="DI23" s="79">
        <v>0</v>
      </c>
      <c r="DJ23" s="79">
        <v>0</v>
      </c>
      <c r="DK23" s="79">
        <v>0</v>
      </c>
      <c r="DL23" s="79">
        <v>0</v>
      </c>
      <c r="DM23" s="79">
        <v>56135</v>
      </c>
      <c r="DN23" s="79">
        <v>0</v>
      </c>
      <c r="DO23" s="79">
        <v>5182</v>
      </c>
      <c r="DP23" s="79">
        <v>54955</v>
      </c>
      <c r="DQ23" s="79">
        <v>50944</v>
      </c>
      <c r="DR23" s="79">
        <v>167216</v>
      </c>
      <c r="DS23" s="79">
        <v>206011</v>
      </c>
      <c r="DT23" s="79">
        <v>82859</v>
      </c>
      <c r="DU23" s="79">
        <v>48248</v>
      </c>
      <c r="DV23" s="79">
        <v>77614</v>
      </c>
      <c r="DW23" s="79">
        <v>31636</v>
      </c>
      <c r="DX23" s="79">
        <v>446368</v>
      </c>
      <c r="DY23" s="79">
        <v>864269</v>
      </c>
      <c r="DZ23" s="79">
        <v>363998</v>
      </c>
      <c r="EA23" s="79">
        <v>177484</v>
      </c>
      <c r="EB23" s="79">
        <v>846232</v>
      </c>
      <c r="EC23" s="79">
        <v>9758</v>
      </c>
      <c r="ED23" s="79">
        <v>2261741</v>
      </c>
      <c r="EE23" s="79">
        <v>259987</v>
      </c>
      <c r="EF23" s="79">
        <v>67831</v>
      </c>
      <c r="EG23" s="79">
        <v>32406</v>
      </c>
      <c r="EH23" s="79">
        <v>253804</v>
      </c>
      <c r="EI23" s="79">
        <v>243062</v>
      </c>
      <c r="EJ23" s="79">
        <v>857090</v>
      </c>
      <c r="EK23" s="79">
        <v>495477</v>
      </c>
      <c r="EL23" s="79">
        <v>117399</v>
      </c>
      <c r="EM23" s="79">
        <v>62386</v>
      </c>
      <c r="EN23" s="79">
        <v>114972</v>
      </c>
      <c r="EO23" s="79">
        <v>35033</v>
      </c>
      <c r="EP23" s="79">
        <v>825267</v>
      </c>
      <c r="EQ23" s="79">
        <v>68754</v>
      </c>
      <c r="ER23" s="79">
        <v>0</v>
      </c>
      <c r="ES23" s="79">
        <v>0</v>
      </c>
      <c r="ET23" s="79">
        <v>12954</v>
      </c>
      <c r="EU23" s="79">
        <v>409265</v>
      </c>
      <c r="EV23" s="79">
        <v>490973</v>
      </c>
      <c r="EW23" s="79">
        <v>0</v>
      </c>
      <c r="EX23" s="79">
        <v>0</v>
      </c>
      <c r="EY23" s="79">
        <v>0</v>
      </c>
      <c r="EZ23" s="79">
        <v>0</v>
      </c>
      <c r="FA23" s="79">
        <v>0</v>
      </c>
      <c r="FB23" s="79">
        <v>0</v>
      </c>
      <c r="FC23" s="79">
        <v>144352</v>
      </c>
      <c r="FD23" s="79">
        <v>1442</v>
      </c>
      <c r="FE23" s="79">
        <v>0</v>
      </c>
      <c r="FF23" s="79">
        <v>6123</v>
      </c>
      <c r="FG23" s="79">
        <v>1568148</v>
      </c>
      <c r="FH23" s="79">
        <v>1720065</v>
      </c>
      <c r="FI23" s="79">
        <v>0</v>
      </c>
      <c r="FJ23" s="79">
        <v>0</v>
      </c>
      <c r="FK23" s="79">
        <v>0</v>
      </c>
      <c r="FL23" s="79">
        <v>0</v>
      </c>
      <c r="FM23" s="79">
        <v>105212</v>
      </c>
      <c r="FN23" s="79">
        <v>105212</v>
      </c>
      <c r="FO23" s="79">
        <v>3855</v>
      </c>
      <c r="FP23" s="79">
        <v>8398</v>
      </c>
      <c r="FQ23" s="79">
        <v>3983</v>
      </c>
      <c r="FR23" s="79">
        <v>21926</v>
      </c>
      <c r="FS23" s="79">
        <v>1343717</v>
      </c>
      <c r="FT23" s="79">
        <v>1381879</v>
      </c>
      <c r="FU23" s="79">
        <v>1500</v>
      </c>
      <c r="FV23" s="79">
        <v>0</v>
      </c>
      <c r="FW23" s="79">
        <v>0</v>
      </c>
      <c r="FX23" s="79">
        <v>0</v>
      </c>
      <c r="FY23" s="79">
        <v>333497</v>
      </c>
      <c r="FZ23" s="79">
        <v>334997</v>
      </c>
      <c r="GA23" s="79">
        <v>820</v>
      </c>
      <c r="GB23" s="79">
        <v>424</v>
      </c>
      <c r="GC23" s="79">
        <v>2195</v>
      </c>
      <c r="GD23" s="79">
        <v>12148</v>
      </c>
      <c r="GE23" s="79">
        <v>115317</v>
      </c>
      <c r="GF23" s="79">
        <v>130904</v>
      </c>
      <c r="GG23" s="79">
        <v>89794</v>
      </c>
      <c r="GH23" s="79">
        <v>16086</v>
      </c>
      <c r="GI23" s="79">
        <v>21237</v>
      </c>
      <c r="GJ23" s="79">
        <v>103858</v>
      </c>
      <c r="GK23" s="79">
        <v>1019048</v>
      </c>
      <c r="GL23" s="79">
        <v>1250023</v>
      </c>
      <c r="GM23" s="79">
        <v>6729231</v>
      </c>
      <c r="GN23" s="79">
        <v>1633683</v>
      </c>
      <c r="GO23" s="79">
        <v>1189511</v>
      </c>
      <c r="GP23" s="79">
        <v>4938824</v>
      </c>
      <c r="GQ23" s="79">
        <v>7476163</v>
      </c>
      <c r="GR23" s="79">
        <v>21967412</v>
      </c>
      <c r="GS23" s="79">
        <v>0</v>
      </c>
      <c r="GT23" s="79">
        <v>0</v>
      </c>
      <c r="GU23" s="79">
        <v>0</v>
      </c>
      <c r="GV23" s="79">
        <v>0</v>
      </c>
      <c r="GW23" s="79">
        <v>0</v>
      </c>
      <c r="GX23" s="79">
        <v>0</v>
      </c>
      <c r="GY23" s="79">
        <v>6729231</v>
      </c>
      <c r="GZ23" s="79">
        <v>1633683</v>
      </c>
      <c r="HA23" s="79">
        <v>1189511</v>
      </c>
      <c r="HB23" s="79">
        <v>4938824</v>
      </c>
      <c r="HC23" s="79">
        <v>7476163</v>
      </c>
      <c r="HD23" s="79">
        <v>21967412</v>
      </c>
      <c r="HF23" s="7">
        <f>SUM(AZ23:AZ23)</f>
        <v>833436</v>
      </c>
      <c r="HG23" s="7" t="e">
        <f>#REF!-HF23</f>
        <v>#REF!</v>
      </c>
      <c r="HH23" s="7" t="e">
        <f>SUM(#REF!)</f>
        <v>#REF!</v>
      </c>
      <c r="HI23" s="7" t="e">
        <f>#REF!-HH23</f>
        <v>#REF!</v>
      </c>
      <c r="HJ23" s="7">
        <f>SUM(BA23:BA23)</f>
        <v>1600000</v>
      </c>
      <c r="HK23" s="7" t="e">
        <f>#REF!-HJ23</f>
        <v>#REF!</v>
      </c>
      <c r="HL23" s="7">
        <f>SUM(BB23:BB23)</f>
        <v>973247</v>
      </c>
      <c r="HM23" s="7" t="e">
        <f>#REF!-HL23</f>
        <v>#REF!</v>
      </c>
      <c r="HN23" s="7" t="e">
        <f>SUM(#REF!)</f>
        <v>#REF!</v>
      </c>
      <c r="HO23" s="7" t="e">
        <f>#REF!-HN23</f>
        <v>#REF!</v>
      </c>
      <c r="HP23" s="7" t="e">
        <f>SUM(#REF!)</f>
        <v>#REF!</v>
      </c>
      <c r="HQ23" s="7" t="e">
        <f>#REF!-HP23</f>
        <v>#REF!</v>
      </c>
      <c r="HR23" s="7" t="e">
        <f>SUM(#REF!)</f>
        <v>#REF!</v>
      </c>
      <c r="HS23" s="7" t="e">
        <f>#REF!-HR23</f>
        <v>#REF!</v>
      </c>
      <c r="HT23" s="7" t="e">
        <f>SUM(#REF!)</f>
        <v>#REF!</v>
      </c>
      <c r="HU23" s="7" t="e">
        <f>#REF!-HT23</f>
        <v>#REF!</v>
      </c>
      <c r="HV23" s="7" t="e">
        <f>SUM(#REF!)</f>
        <v>#REF!</v>
      </c>
      <c r="HW23" s="7" t="e">
        <f>#REF!-HV23</f>
        <v>#REF!</v>
      </c>
      <c r="HX23" s="7" t="e">
        <f>SUM(#REF!)</f>
        <v>#REF!</v>
      </c>
      <c r="HY23" s="7" t="e">
        <f>#REF!-HX23</f>
        <v>#REF!</v>
      </c>
      <c r="HZ23" s="7">
        <f>SUM(BC23:BC23)</f>
        <v>0</v>
      </c>
      <c r="IA23" s="7" t="e">
        <f>#REF!-HZ23</f>
        <v>#REF!</v>
      </c>
      <c r="IB23" s="7">
        <f>SUM(BD23:BD23)</f>
        <v>202094</v>
      </c>
      <c r="IC23" s="7" t="e">
        <f>#REF!-IB23</f>
        <v>#REF!</v>
      </c>
      <c r="ID23" s="7">
        <f t="shared" si="1"/>
        <v>0</v>
      </c>
      <c r="IE23" s="7">
        <f t="shared" si="2"/>
        <v>0</v>
      </c>
      <c r="IF23" s="7">
        <f t="shared" si="3"/>
        <v>2315</v>
      </c>
      <c r="IG23" s="7">
        <f t="shared" si="4"/>
        <v>0</v>
      </c>
      <c r="IH23" s="7">
        <f t="shared" si="5"/>
        <v>592491</v>
      </c>
      <c r="II23" s="7">
        <f t="shared" si="6"/>
        <v>0</v>
      </c>
      <c r="IJ23" s="7">
        <f t="shared" si="7"/>
        <v>24538411</v>
      </c>
      <c r="IK23" s="7">
        <f t="shared" si="8"/>
        <v>0</v>
      </c>
      <c r="IL23" s="7">
        <f t="shared" si="9"/>
        <v>5185146</v>
      </c>
      <c r="IM23" s="7">
        <f t="shared" si="10"/>
        <v>0</v>
      </c>
      <c r="IN23" s="7">
        <f t="shared" si="11"/>
        <v>489298</v>
      </c>
      <c r="IO23" s="7">
        <f t="shared" si="12"/>
        <v>0</v>
      </c>
      <c r="IP23" s="7">
        <f t="shared" si="13"/>
        <v>3955976</v>
      </c>
      <c r="IQ23" s="7">
        <f t="shared" si="14"/>
        <v>0</v>
      </c>
      <c r="IR23" s="7">
        <f t="shared" si="15"/>
        <v>0</v>
      </c>
      <c r="IS23" s="7">
        <f t="shared" si="16"/>
        <v>0</v>
      </c>
      <c r="IT23" s="7">
        <f t="shared" si="17"/>
        <v>2365257</v>
      </c>
      <c r="IU23" s="7">
        <f t="shared" si="18"/>
        <v>0</v>
      </c>
      <c r="IV23" s="7">
        <f t="shared" si="19"/>
        <v>0</v>
      </c>
      <c r="IW23" s="7">
        <f t="shared" si="20"/>
        <v>0</v>
      </c>
      <c r="IX23" s="7">
        <f t="shared" si="21"/>
        <v>167216</v>
      </c>
      <c r="IY23" s="7">
        <f t="shared" si="22"/>
        <v>0</v>
      </c>
      <c r="IZ23" s="7">
        <f t="shared" si="23"/>
        <v>446368</v>
      </c>
      <c r="JA23" s="7">
        <f t="shared" si="24"/>
        <v>0</v>
      </c>
      <c r="JB23" s="7">
        <f t="shared" si="25"/>
        <v>2261741</v>
      </c>
      <c r="JC23" s="7">
        <f t="shared" si="26"/>
        <v>0</v>
      </c>
      <c r="JD23" s="7">
        <f t="shared" si="27"/>
        <v>857090</v>
      </c>
      <c r="JE23" s="7">
        <f t="shared" si="28"/>
        <v>0</v>
      </c>
      <c r="JF23" s="7">
        <f t="shared" si="29"/>
        <v>825267</v>
      </c>
      <c r="JG23" s="7">
        <f t="shared" si="30"/>
        <v>0</v>
      </c>
      <c r="JH23" s="7">
        <f t="shared" si="31"/>
        <v>490973</v>
      </c>
      <c r="JI23" s="7">
        <f t="shared" si="32"/>
        <v>0</v>
      </c>
      <c r="JJ23" s="7">
        <f t="shared" si="33"/>
        <v>0</v>
      </c>
      <c r="JK23" s="7">
        <f t="shared" si="34"/>
        <v>0</v>
      </c>
      <c r="JL23" s="7">
        <f t="shared" si="35"/>
        <v>1720065</v>
      </c>
      <c r="JM23" s="7">
        <f t="shared" si="36"/>
        <v>0</v>
      </c>
      <c r="JN23" s="7">
        <f t="shared" si="37"/>
        <v>105212</v>
      </c>
      <c r="JO23" s="7">
        <f t="shared" si="38"/>
        <v>0</v>
      </c>
      <c r="JP23" s="7">
        <f t="shared" si="39"/>
        <v>1381879</v>
      </c>
      <c r="JQ23" s="7">
        <f t="shared" si="40"/>
        <v>0</v>
      </c>
      <c r="JR23" s="7">
        <f t="shared" si="41"/>
        <v>334997</v>
      </c>
      <c r="JS23" s="7">
        <f t="shared" si="42"/>
        <v>0</v>
      </c>
      <c r="JT23" s="7">
        <f t="shared" si="43"/>
        <v>130904</v>
      </c>
      <c r="JU23" s="7">
        <f t="shared" si="44"/>
        <v>0</v>
      </c>
      <c r="JV23" s="7">
        <f t="shared" si="45"/>
        <v>1250023</v>
      </c>
      <c r="JW23" s="7">
        <f t="shared" si="46"/>
        <v>0</v>
      </c>
      <c r="JX23" s="7">
        <f t="shared" si="47"/>
        <v>21967412</v>
      </c>
      <c r="JY23" s="7">
        <f t="shared" si="48"/>
        <v>0</v>
      </c>
      <c r="JZ23" s="7">
        <f t="shared" si="49"/>
        <v>0</v>
      </c>
      <c r="KA23" s="7">
        <f t="shared" si="50"/>
        <v>0</v>
      </c>
      <c r="KB23" s="7">
        <f t="shared" si="51"/>
        <v>21967412</v>
      </c>
      <c r="KC23" s="7">
        <f t="shared" si="52"/>
        <v>0</v>
      </c>
      <c r="KE23" s="7" t="e">
        <f t="shared" si="0"/>
        <v>#REF!</v>
      </c>
      <c r="KG23" s="5" t="e">
        <f t="shared" si="53"/>
        <v>#REF!</v>
      </c>
    </row>
    <row r="24" spans="1:293" s="17" customFormat="1" x14ac:dyDescent="0.15">
      <c r="A24" s="119" t="s">
        <v>432</v>
      </c>
      <c r="B24" s="17" t="s">
        <v>344</v>
      </c>
      <c r="C24" s="38">
        <v>228459</v>
      </c>
      <c r="D24" s="38">
        <v>2013</v>
      </c>
      <c r="E24" s="38">
        <v>1</v>
      </c>
      <c r="F24" s="38">
        <v>8</v>
      </c>
      <c r="G24" s="39">
        <v>18299</v>
      </c>
      <c r="H24" s="42">
        <v>23266</v>
      </c>
      <c r="I24" s="40">
        <v>773070943</v>
      </c>
      <c r="J24" s="40"/>
      <c r="K24" s="40">
        <v>2223402</v>
      </c>
      <c r="L24" s="40"/>
      <c r="M24" s="40">
        <v>14246451</v>
      </c>
      <c r="N24" s="40"/>
      <c r="O24" s="40">
        <v>32748923</v>
      </c>
      <c r="P24" s="40"/>
      <c r="Q24" s="40">
        <v>158683325</v>
      </c>
      <c r="R24" s="40"/>
      <c r="S24" s="40">
        <v>628185594</v>
      </c>
      <c r="T24" s="40"/>
      <c r="U24" s="40">
        <v>18558</v>
      </c>
      <c r="V24" s="40"/>
      <c r="W24" s="40">
        <v>30956</v>
      </c>
      <c r="X24" s="40"/>
      <c r="Y24" s="40">
        <v>18558</v>
      </c>
      <c r="Z24" s="40"/>
      <c r="AA24" s="40">
        <v>30956</v>
      </c>
      <c r="AB24" s="40"/>
      <c r="AC24" s="59">
        <v>7</v>
      </c>
      <c r="AD24" s="59">
        <v>11</v>
      </c>
      <c r="AE24" s="59">
        <v>0</v>
      </c>
      <c r="AF24" s="57">
        <v>3570088</v>
      </c>
      <c r="AG24" s="57">
        <v>3016405</v>
      </c>
      <c r="AH24" s="57">
        <v>309326</v>
      </c>
      <c r="AI24" s="57">
        <v>109593</v>
      </c>
      <c r="AJ24" s="57">
        <v>265939.33100000001</v>
      </c>
      <c r="AK24" s="58">
        <v>4.51</v>
      </c>
      <c r="AL24" s="57">
        <v>239345.41</v>
      </c>
      <c r="AM24" s="58">
        <v>5</v>
      </c>
      <c r="AN24" s="62">
        <v>87042.59</v>
      </c>
      <c r="AO24" s="63">
        <v>8.5</v>
      </c>
      <c r="AP24" s="62">
        <v>82206.89</v>
      </c>
      <c r="AQ24" s="63">
        <v>9</v>
      </c>
      <c r="AR24" s="62">
        <v>103242.22</v>
      </c>
      <c r="AS24" s="63">
        <v>16.25</v>
      </c>
      <c r="AT24" s="62">
        <v>93204.78</v>
      </c>
      <c r="AU24" s="63">
        <v>18</v>
      </c>
      <c r="AV24" s="62">
        <v>51452</v>
      </c>
      <c r="AW24" s="63">
        <v>8.75</v>
      </c>
      <c r="AX24" s="62">
        <v>4501.1000000000004</v>
      </c>
      <c r="AY24" s="63">
        <v>10</v>
      </c>
      <c r="AZ24" s="79">
        <v>598810</v>
      </c>
      <c r="BA24" s="89">
        <v>700000</v>
      </c>
      <c r="BB24" s="89">
        <v>113071</v>
      </c>
      <c r="BC24" s="89">
        <v>265</v>
      </c>
      <c r="BD24" s="89">
        <v>0</v>
      </c>
      <c r="BE24" s="89">
        <v>0</v>
      </c>
      <c r="BF24" s="89">
        <v>0</v>
      </c>
      <c r="BG24" s="89">
        <v>0</v>
      </c>
      <c r="BH24" s="89">
        <v>0</v>
      </c>
      <c r="BI24" s="89">
        <v>0</v>
      </c>
      <c r="BJ24" s="89">
        <v>0</v>
      </c>
      <c r="BK24" s="89">
        <v>0</v>
      </c>
      <c r="BL24" s="89">
        <v>19931</v>
      </c>
      <c r="BM24" s="89">
        <v>19853</v>
      </c>
      <c r="BN24" s="89">
        <v>160100</v>
      </c>
      <c r="BO24" s="89">
        <v>2551</v>
      </c>
      <c r="BP24" s="89">
        <v>202435</v>
      </c>
      <c r="BQ24" s="89">
        <v>0</v>
      </c>
      <c r="BR24" s="89">
        <v>0</v>
      </c>
      <c r="BS24" s="89">
        <v>0</v>
      </c>
      <c r="BT24" s="89">
        <v>0</v>
      </c>
      <c r="BU24" s="89">
        <v>304368</v>
      </c>
      <c r="BV24" s="89">
        <v>304368</v>
      </c>
      <c r="BW24" s="89">
        <v>7466757</v>
      </c>
      <c r="BX24" s="89">
        <v>1597682</v>
      </c>
      <c r="BY24" s="89">
        <v>1146207</v>
      </c>
      <c r="BZ24" s="89">
        <v>5541864</v>
      </c>
      <c r="CA24" s="89">
        <v>12579751</v>
      </c>
      <c r="CB24" s="89">
        <v>28332261</v>
      </c>
      <c r="CC24" s="89">
        <v>2362025</v>
      </c>
      <c r="CD24" s="89">
        <v>455575</v>
      </c>
      <c r="CE24" s="89">
        <v>476136</v>
      </c>
      <c r="CF24" s="89">
        <v>3292757</v>
      </c>
      <c r="CG24" s="89">
        <v>472188</v>
      </c>
      <c r="CH24" s="89">
        <v>7058681</v>
      </c>
      <c r="CI24" s="89">
        <v>625000</v>
      </c>
      <c r="CJ24" s="89">
        <v>1000</v>
      </c>
      <c r="CK24" s="89">
        <v>23500</v>
      </c>
      <c r="CL24" s="89">
        <v>34010</v>
      </c>
      <c r="CM24" s="89">
        <v>0</v>
      </c>
      <c r="CN24" s="89">
        <v>683510</v>
      </c>
      <c r="CO24" s="89">
        <v>1850662</v>
      </c>
      <c r="CP24" s="89">
        <v>567162</v>
      </c>
      <c r="CQ24" s="89">
        <v>435792</v>
      </c>
      <c r="CR24" s="89">
        <v>1210870</v>
      </c>
      <c r="CS24" s="89" t="s">
        <v>399</v>
      </c>
      <c r="CT24" s="89">
        <v>4064486</v>
      </c>
      <c r="CU24" s="89">
        <v>0</v>
      </c>
      <c r="CV24" s="89">
        <v>0</v>
      </c>
      <c r="CW24" s="89">
        <v>0</v>
      </c>
      <c r="CX24" s="89">
        <v>0</v>
      </c>
      <c r="CY24" s="89">
        <v>0</v>
      </c>
      <c r="CZ24" s="89">
        <v>0</v>
      </c>
      <c r="DA24" s="89">
        <v>425017</v>
      </c>
      <c r="DB24" s="89">
        <v>120570</v>
      </c>
      <c r="DC24" s="89">
        <v>37621</v>
      </c>
      <c r="DD24" s="89">
        <v>143854</v>
      </c>
      <c r="DE24" s="89">
        <v>3634656</v>
      </c>
      <c r="DF24" s="89">
        <v>4361718</v>
      </c>
      <c r="DG24" s="89">
        <v>0</v>
      </c>
      <c r="DH24" s="89">
        <v>0</v>
      </c>
      <c r="DI24" s="89">
        <v>0</v>
      </c>
      <c r="DJ24" s="89">
        <v>0</v>
      </c>
      <c r="DK24" s="89">
        <v>0</v>
      </c>
      <c r="DL24" s="89">
        <v>0</v>
      </c>
      <c r="DM24" s="89">
        <v>811945</v>
      </c>
      <c r="DN24" s="89">
        <v>0</v>
      </c>
      <c r="DO24" s="89">
        <v>0</v>
      </c>
      <c r="DP24" s="89">
        <v>4715</v>
      </c>
      <c r="DQ24" s="89">
        <v>2982</v>
      </c>
      <c r="DR24" s="89">
        <v>819642</v>
      </c>
      <c r="DS24" s="89">
        <v>160280</v>
      </c>
      <c r="DT24" s="89">
        <v>83643</v>
      </c>
      <c r="DU24" s="89">
        <v>17159</v>
      </c>
      <c r="DV24" s="89">
        <v>157837</v>
      </c>
      <c r="DW24" s="89">
        <v>0</v>
      </c>
      <c r="DX24" s="89">
        <v>418919</v>
      </c>
      <c r="DY24" s="89">
        <v>571111</v>
      </c>
      <c r="DZ24" s="89">
        <v>275429</v>
      </c>
      <c r="EA24" s="89">
        <v>187239</v>
      </c>
      <c r="EB24" s="89">
        <v>838219</v>
      </c>
      <c r="EC24" s="89">
        <v>280</v>
      </c>
      <c r="ED24" s="89">
        <v>1872278</v>
      </c>
      <c r="EE24" s="89">
        <v>233740</v>
      </c>
      <c r="EF24" s="89">
        <v>57788</v>
      </c>
      <c r="EG24" s="89">
        <v>29568</v>
      </c>
      <c r="EH24" s="89">
        <v>247922</v>
      </c>
      <c r="EI24" s="89">
        <v>126577</v>
      </c>
      <c r="EJ24" s="89">
        <v>695595</v>
      </c>
      <c r="EK24" s="89">
        <v>575681</v>
      </c>
      <c r="EL24" s="89">
        <v>96294</v>
      </c>
      <c r="EM24" s="89">
        <v>111484</v>
      </c>
      <c r="EN24" s="89">
        <v>192790</v>
      </c>
      <c r="EO24" s="89">
        <v>0</v>
      </c>
      <c r="EP24" s="89">
        <v>976249</v>
      </c>
      <c r="EQ24" s="89">
        <v>97584</v>
      </c>
      <c r="ER24" s="89">
        <v>44104</v>
      </c>
      <c r="ES24" s="89">
        <v>13776</v>
      </c>
      <c r="ET24" s="89">
        <v>26013</v>
      </c>
      <c r="EU24" s="89">
        <v>388473</v>
      </c>
      <c r="EV24" s="89">
        <v>569950</v>
      </c>
      <c r="EW24" s="89">
        <v>0</v>
      </c>
      <c r="EX24" s="89">
        <v>0</v>
      </c>
      <c r="EY24" s="89">
        <v>0</v>
      </c>
      <c r="EZ24" s="89">
        <v>0</v>
      </c>
      <c r="FA24" s="89">
        <v>0</v>
      </c>
      <c r="FB24" s="89">
        <v>0</v>
      </c>
      <c r="FC24" s="89">
        <v>48582</v>
      </c>
      <c r="FD24" s="89">
        <v>6009</v>
      </c>
      <c r="FE24" s="89">
        <v>2817</v>
      </c>
      <c r="FF24" s="89">
        <v>68988</v>
      </c>
      <c r="FG24" s="89">
        <v>2675182</v>
      </c>
      <c r="FH24" s="89">
        <v>2801578</v>
      </c>
      <c r="FI24" s="89">
        <v>0</v>
      </c>
      <c r="FJ24" s="89">
        <v>0</v>
      </c>
      <c r="FK24" s="89">
        <v>0</v>
      </c>
      <c r="FL24" s="89">
        <v>0</v>
      </c>
      <c r="FM24" s="89">
        <v>159316</v>
      </c>
      <c r="FN24" s="89">
        <v>159316</v>
      </c>
      <c r="FO24" s="89">
        <v>0</v>
      </c>
      <c r="FP24" s="89">
        <v>10220</v>
      </c>
      <c r="FQ24" s="89">
        <v>10220</v>
      </c>
      <c r="FR24" s="89">
        <v>34895</v>
      </c>
      <c r="FS24" s="89">
        <v>0</v>
      </c>
      <c r="FT24" s="89">
        <v>55335</v>
      </c>
      <c r="FU24" s="89">
        <v>127213</v>
      </c>
      <c r="FV24" s="87">
        <v>6271</v>
      </c>
      <c r="FW24" s="89">
        <v>14718</v>
      </c>
      <c r="FX24" s="89">
        <v>150844</v>
      </c>
      <c r="FY24" s="89">
        <v>145345</v>
      </c>
      <c r="FZ24" s="89">
        <v>444391</v>
      </c>
      <c r="GA24" s="89">
        <v>13850</v>
      </c>
      <c r="GB24" s="89">
        <v>9575</v>
      </c>
      <c r="GC24" s="89">
        <v>10263</v>
      </c>
      <c r="GD24" s="89">
        <v>12718</v>
      </c>
      <c r="GE24" s="89">
        <v>119142</v>
      </c>
      <c r="GF24" s="89">
        <v>165548</v>
      </c>
      <c r="GG24" s="89">
        <v>265536</v>
      </c>
      <c r="GH24" s="89">
        <v>42989</v>
      </c>
      <c r="GI24" s="89">
        <v>16210</v>
      </c>
      <c r="GJ24" s="89">
        <v>160534</v>
      </c>
      <c r="GK24" s="89">
        <v>643114</v>
      </c>
      <c r="GL24" s="89">
        <v>1128383</v>
      </c>
      <c r="GM24" s="89">
        <v>8168226</v>
      </c>
      <c r="GN24" s="89">
        <v>1776629</v>
      </c>
      <c r="GO24" s="89">
        <v>1386503</v>
      </c>
      <c r="GP24" s="89">
        <v>6576966</v>
      </c>
      <c r="GQ24" s="89">
        <v>8367255</v>
      </c>
      <c r="GR24" s="89">
        <v>26275579</v>
      </c>
      <c r="GS24" s="89">
        <v>0</v>
      </c>
      <c r="GT24" s="89">
        <v>0</v>
      </c>
      <c r="GU24" s="89">
        <v>0</v>
      </c>
      <c r="GV24" s="89">
        <v>0</v>
      </c>
      <c r="GW24" s="89">
        <v>0</v>
      </c>
      <c r="GX24" s="89">
        <v>0</v>
      </c>
      <c r="GY24" s="89">
        <v>8168226</v>
      </c>
      <c r="GZ24" s="89">
        <v>1776629</v>
      </c>
      <c r="HA24" s="89">
        <v>1386503</v>
      </c>
      <c r="HB24" s="89">
        <v>6576966</v>
      </c>
      <c r="HC24" s="89">
        <v>8367255</v>
      </c>
      <c r="HD24" s="89">
        <v>26275579</v>
      </c>
      <c r="HE24" s="16"/>
      <c r="HF24" s="7">
        <f>SUM(AZ24:AZ24)</f>
        <v>598810</v>
      </c>
      <c r="HG24" s="7" t="e">
        <f>#REF!-HF24</f>
        <v>#REF!</v>
      </c>
      <c r="HH24" s="7" t="e">
        <f>SUM(#REF!)</f>
        <v>#REF!</v>
      </c>
      <c r="HI24" s="7" t="e">
        <f>#REF!-HH24</f>
        <v>#REF!</v>
      </c>
      <c r="HJ24" s="7">
        <f>SUM(BA24:BA24)</f>
        <v>700000</v>
      </c>
      <c r="HK24" s="7" t="e">
        <f>#REF!-HJ24</f>
        <v>#REF!</v>
      </c>
      <c r="HL24" s="7">
        <f>SUM(BB24:BB24)</f>
        <v>113071</v>
      </c>
      <c r="HM24" s="7" t="e">
        <f>#REF!-HL24</f>
        <v>#REF!</v>
      </c>
      <c r="HN24" s="7" t="e">
        <f>SUM(#REF!)</f>
        <v>#REF!</v>
      </c>
      <c r="HO24" s="7" t="e">
        <f>#REF!-HN24</f>
        <v>#REF!</v>
      </c>
      <c r="HP24" s="7" t="e">
        <f>SUM(#REF!)</f>
        <v>#REF!</v>
      </c>
      <c r="HQ24" s="7" t="e">
        <f>#REF!-HP24</f>
        <v>#REF!</v>
      </c>
      <c r="HR24" s="7" t="e">
        <f>SUM(#REF!)</f>
        <v>#REF!</v>
      </c>
      <c r="HS24" s="7" t="e">
        <f>#REF!-HR24</f>
        <v>#REF!</v>
      </c>
      <c r="HT24" s="7" t="e">
        <f>SUM(#REF!)</f>
        <v>#REF!</v>
      </c>
      <c r="HU24" s="7" t="e">
        <f>#REF!-HT24</f>
        <v>#REF!</v>
      </c>
      <c r="HV24" s="7" t="e">
        <f>SUM(#REF!)</f>
        <v>#REF!</v>
      </c>
      <c r="HW24" s="7" t="e">
        <f>#REF!-HV24</f>
        <v>#REF!</v>
      </c>
      <c r="HX24" s="7" t="e">
        <f>SUM(#REF!)</f>
        <v>#REF!</v>
      </c>
      <c r="HY24" s="7" t="e">
        <f>#REF!-HX24</f>
        <v>#REF!</v>
      </c>
      <c r="HZ24" s="7">
        <f>SUM(BC24:BC24)</f>
        <v>265</v>
      </c>
      <c r="IA24" s="7" t="e">
        <f>#REF!-HZ24</f>
        <v>#REF!</v>
      </c>
      <c r="IB24" s="7">
        <f>SUM(BD24:BD24)</f>
        <v>0</v>
      </c>
      <c r="IC24" s="7" t="e">
        <f>#REF!-IB24</f>
        <v>#REF!</v>
      </c>
      <c r="ID24" s="7">
        <f t="shared" si="1"/>
        <v>0</v>
      </c>
      <c r="IE24" s="7">
        <f t="shared" si="2"/>
        <v>0</v>
      </c>
      <c r="IF24" s="7">
        <f t="shared" si="3"/>
        <v>202435</v>
      </c>
      <c r="IG24" s="7">
        <f t="shared" si="4"/>
        <v>0</v>
      </c>
      <c r="IH24" s="7">
        <f t="shared" si="5"/>
        <v>304368</v>
      </c>
      <c r="II24" s="7">
        <f t="shared" si="6"/>
        <v>0</v>
      </c>
      <c r="IJ24" s="7">
        <f t="shared" si="7"/>
        <v>28332261</v>
      </c>
      <c r="IK24" s="7">
        <f t="shared" si="8"/>
        <v>0</v>
      </c>
      <c r="IL24" s="7">
        <f t="shared" si="9"/>
        <v>7058681</v>
      </c>
      <c r="IM24" s="7">
        <f t="shared" si="10"/>
        <v>0</v>
      </c>
      <c r="IN24" s="7">
        <f t="shared" si="11"/>
        <v>683510</v>
      </c>
      <c r="IO24" s="7">
        <f t="shared" si="12"/>
        <v>0</v>
      </c>
      <c r="IP24" s="7">
        <f t="shared" si="13"/>
        <v>4064486</v>
      </c>
      <c r="IQ24" s="7">
        <f t="shared" si="14"/>
        <v>0</v>
      </c>
      <c r="IR24" s="7">
        <f t="shared" si="15"/>
        <v>0</v>
      </c>
      <c r="IS24" s="7">
        <f t="shared" si="16"/>
        <v>0</v>
      </c>
      <c r="IT24" s="7">
        <f t="shared" si="17"/>
        <v>4361718</v>
      </c>
      <c r="IU24" s="7">
        <f t="shared" si="18"/>
        <v>0</v>
      </c>
      <c r="IV24" s="7">
        <f t="shared" si="19"/>
        <v>0</v>
      </c>
      <c r="IW24" s="7">
        <f t="shared" si="20"/>
        <v>0</v>
      </c>
      <c r="IX24" s="7">
        <f t="shared" si="21"/>
        <v>819642</v>
      </c>
      <c r="IY24" s="7">
        <f t="shared" si="22"/>
        <v>0</v>
      </c>
      <c r="IZ24" s="7">
        <f t="shared" si="23"/>
        <v>418919</v>
      </c>
      <c r="JA24" s="7">
        <f t="shared" si="24"/>
        <v>0</v>
      </c>
      <c r="JB24" s="7">
        <f t="shared" si="25"/>
        <v>1872278</v>
      </c>
      <c r="JC24" s="7">
        <f t="shared" si="26"/>
        <v>0</v>
      </c>
      <c r="JD24" s="7">
        <f t="shared" si="27"/>
        <v>695595</v>
      </c>
      <c r="JE24" s="7">
        <f t="shared" si="28"/>
        <v>0</v>
      </c>
      <c r="JF24" s="7">
        <f t="shared" si="29"/>
        <v>976249</v>
      </c>
      <c r="JG24" s="7">
        <f t="shared" si="30"/>
        <v>0</v>
      </c>
      <c r="JH24" s="7">
        <f t="shared" si="31"/>
        <v>569950</v>
      </c>
      <c r="JI24" s="7">
        <f t="shared" si="32"/>
        <v>0</v>
      </c>
      <c r="JJ24" s="7">
        <f t="shared" si="33"/>
        <v>0</v>
      </c>
      <c r="JK24" s="7">
        <f t="shared" si="34"/>
        <v>0</v>
      </c>
      <c r="JL24" s="7">
        <f t="shared" si="35"/>
        <v>2801578</v>
      </c>
      <c r="JM24" s="7">
        <f t="shared" si="36"/>
        <v>0</v>
      </c>
      <c r="JN24" s="7">
        <f t="shared" si="37"/>
        <v>159316</v>
      </c>
      <c r="JO24" s="7">
        <f t="shared" si="38"/>
        <v>0</v>
      </c>
      <c r="JP24" s="7">
        <f t="shared" si="39"/>
        <v>55335</v>
      </c>
      <c r="JQ24" s="7">
        <f t="shared" si="40"/>
        <v>0</v>
      </c>
      <c r="JR24" s="7">
        <f t="shared" si="41"/>
        <v>444391</v>
      </c>
      <c r="JS24" s="7">
        <f t="shared" si="42"/>
        <v>0</v>
      </c>
      <c r="JT24" s="7">
        <f t="shared" si="43"/>
        <v>165548</v>
      </c>
      <c r="JU24" s="7">
        <f t="shared" si="44"/>
        <v>0</v>
      </c>
      <c r="JV24" s="7">
        <f t="shared" si="45"/>
        <v>1128383</v>
      </c>
      <c r="JW24" s="7">
        <f t="shared" si="46"/>
        <v>0</v>
      </c>
      <c r="JX24" s="7">
        <f t="shared" si="47"/>
        <v>26275579</v>
      </c>
      <c r="JY24" s="7">
        <f t="shared" si="48"/>
        <v>0</v>
      </c>
      <c r="JZ24" s="7">
        <f t="shared" si="49"/>
        <v>0</v>
      </c>
      <c r="KA24" s="7">
        <f t="shared" si="50"/>
        <v>0</v>
      </c>
      <c r="KB24" s="7">
        <f t="shared" si="51"/>
        <v>26275579</v>
      </c>
      <c r="KC24" s="7">
        <f t="shared" si="52"/>
        <v>0</v>
      </c>
      <c r="KD24" s="14"/>
      <c r="KE24" s="7" t="e">
        <f t="shared" si="0"/>
        <v>#REF!</v>
      </c>
      <c r="KG24" s="5" t="e">
        <f t="shared" si="53"/>
        <v>#REF!</v>
      </c>
    </row>
    <row r="25" spans="1:293" x14ac:dyDescent="0.15">
      <c r="A25" s="119" t="s">
        <v>215</v>
      </c>
      <c r="B25" s="17" t="s">
        <v>344</v>
      </c>
      <c r="C25" s="38">
        <v>134097</v>
      </c>
      <c r="D25" s="38">
        <v>2013</v>
      </c>
      <c r="E25" s="38">
        <v>1</v>
      </c>
      <c r="F25" s="38">
        <v>1</v>
      </c>
      <c r="G25" s="39">
        <v>14228</v>
      </c>
      <c r="H25" s="39">
        <v>17715</v>
      </c>
      <c r="I25" s="40">
        <v>958395329</v>
      </c>
      <c r="J25" s="40"/>
      <c r="K25" s="40">
        <v>0</v>
      </c>
      <c r="L25" s="40"/>
      <c r="M25" s="40">
        <v>20083891</v>
      </c>
      <c r="N25" s="40"/>
      <c r="O25" s="40">
        <v>0</v>
      </c>
      <c r="P25" s="40"/>
      <c r="Q25" s="40">
        <v>220406913</v>
      </c>
      <c r="R25" s="40"/>
      <c r="S25" s="40">
        <v>758711467</v>
      </c>
      <c r="T25" s="40"/>
      <c r="U25" s="40">
        <v>17221</v>
      </c>
      <c r="V25" s="40"/>
      <c r="W25" s="40">
        <v>32387</v>
      </c>
      <c r="X25" s="40"/>
      <c r="Y25" s="40">
        <v>21345</v>
      </c>
      <c r="Z25" s="40"/>
      <c r="AA25" s="40">
        <v>38108</v>
      </c>
      <c r="AB25" s="40"/>
      <c r="AC25" s="59">
        <v>9</v>
      </c>
      <c r="AD25" s="59">
        <v>11</v>
      </c>
      <c r="AE25" s="59">
        <v>0</v>
      </c>
      <c r="AF25" s="57">
        <v>5303019</v>
      </c>
      <c r="AG25" s="57">
        <v>3447029</v>
      </c>
      <c r="AH25" s="57">
        <v>688124</v>
      </c>
      <c r="AI25" s="57">
        <v>403937</v>
      </c>
      <c r="AJ25" s="57">
        <f>5690842/AK25</f>
        <v>948473.66666666663</v>
      </c>
      <c r="AK25" s="58">
        <v>6</v>
      </c>
      <c r="AL25" s="57">
        <f>5690842/AM25</f>
        <v>812977.42857142852</v>
      </c>
      <c r="AM25" s="58">
        <v>7</v>
      </c>
      <c r="AN25" s="57">
        <f>1899303/AO25</f>
        <v>237412.875</v>
      </c>
      <c r="AO25" s="58">
        <v>8</v>
      </c>
      <c r="AP25" s="57">
        <f>1899303/AQ25</f>
        <v>211033.66666666666</v>
      </c>
      <c r="AQ25" s="58">
        <v>9</v>
      </c>
      <c r="AR25" s="57">
        <f>5301950/AS25</f>
        <v>265097.5</v>
      </c>
      <c r="AS25" s="58">
        <v>20</v>
      </c>
      <c r="AT25" s="57">
        <f>5301950/AU25</f>
        <v>220914.58333333334</v>
      </c>
      <c r="AU25" s="58">
        <v>24</v>
      </c>
      <c r="AV25" s="57">
        <f>1523836/AW25</f>
        <v>101589.06666666667</v>
      </c>
      <c r="AW25" s="58">
        <v>15</v>
      </c>
      <c r="AX25" s="57">
        <f>1523836/AY25</f>
        <v>80201.894736842107</v>
      </c>
      <c r="AY25" s="58">
        <v>19</v>
      </c>
      <c r="AZ25" s="79">
        <v>17611185</v>
      </c>
      <c r="BA25" s="79">
        <v>300000</v>
      </c>
      <c r="BB25" s="79">
        <v>15297796</v>
      </c>
      <c r="BC25" s="79">
        <v>898062</v>
      </c>
      <c r="BD25" s="79">
        <v>749159</v>
      </c>
      <c r="BE25" s="79">
        <v>0</v>
      </c>
      <c r="BF25" s="79">
        <v>0</v>
      </c>
      <c r="BG25" s="79">
        <v>0</v>
      </c>
      <c r="BH25" s="79">
        <v>0</v>
      </c>
      <c r="BI25" s="79">
        <v>0</v>
      </c>
      <c r="BJ25" s="79">
        <v>0</v>
      </c>
      <c r="BK25" s="79">
        <v>0</v>
      </c>
      <c r="BL25" s="79">
        <v>0</v>
      </c>
      <c r="BM25" s="79">
        <v>0</v>
      </c>
      <c r="BN25" s="79">
        <v>0</v>
      </c>
      <c r="BO25" s="79">
        <v>5194114</v>
      </c>
      <c r="BP25" s="79">
        <v>5194114</v>
      </c>
      <c r="BQ25" s="79">
        <v>300424</v>
      </c>
      <c r="BR25" s="79">
        <v>23310</v>
      </c>
      <c r="BS25" s="79">
        <v>1302</v>
      </c>
      <c r="BT25" s="79">
        <f>488420+27081-BQ25-BR25-BS25</f>
        <v>190465</v>
      </c>
      <c r="BU25" s="79">
        <v>1426080</v>
      </c>
      <c r="BV25" s="79">
        <v>1941581</v>
      </c>
      <c r="BW25" s="79">
        <v>49758377</v>
      </c>
      <c r="BX25" s="79">
        <v>8959255</v>
      </c>
      <c r="BY25" s="79">
        <v>3021562</v>
      </c>
      <c r="BZ25" s="79">
        <f>61195583+9741947-BW25-BX25-BY25</f>
        <v>9198336</v>
      </c>
      <c r="CA25" s="79">
        <v>20444911</v>
      </c>
      <c r="CB25" s="79">
        <v>91382441</v>
      </c>
      <c r="CC25" s="79">
        <v>3120676</v>
      </c>
      <c r="CD25" s="79">
        <v>562384</v>
      </c>
      <c r="CE25" s="79">
        <v>572222</v>
      </c>
      <c r="CF25" s="79">
        <f>5303019+3447029-CC25-CD25-CE25</f>
        <v>4494766</v>
      </c>
      <c r="CG25" s="79">
        <v>794864</v>
      </c>
      <c r="CH25" s="79">
        <v>9544912</v>
      </c>
      <c r="CI25" s="79">
        <v>142500</v>
      </c>
      <c r="CJ25" s="79">
        <v>389924</v>
      </c>
      <c r="CK25" s="79">
        <v>107055</v>
      </c>
      <c r="CL25" s="79">
        <f>1839240+118535-CI25-CJ25-CK25</f>
        <v>1318296</v>
      </c>
      <c r="CM25" s="79">
        <v>0</v>
      </c>
      <c r="CN25" s="79">
        <v>1957775</v>
      </c>
      <c r="CO25" s="79">
        <f>3969604+3691517</f>
        <v>7661121</v>
      </c>
      <c r="CP25" s="79">
        <f>1520987+787893</f>
        <v>2308880</v>
      </c>
      <c r="CQ25" s="79">
        <f>724099+532928</f>
        <v>1257027</v>
      </c>
      <c r="CR25" s="79">
        <f>5690842+5301950+1899303+1523836-CO25-CP25-CQ25</f>
        <v>3188903</v>
      </c>
      <c r="CS25" s="79">
        <v>0</v>
      </c>
      <c r="CT25" s="79">
        <v>14415931</v>
      </c>
      <c r="CU25" s="79">
        <v>0</v>
      </c>
      <c r="CV25" s="79">
        <v>0</v>
      </c>
      <c r="CW25" s="79">
        <v>0</v>
      </c>
      <c r="CX25" s="79">
        <v>0</v>
      </c>
      <c r="CY25" s="79">
        <v>0</v>
      </c>
      <c r="CZ25" s="79">
        <v>0</v>
      </c>
      <c r="DA25" s="79">
        <v>1141275</v>
      </c>
      <c r="DB25" s="79">
        <v>214267</v>
      </c>
      <c r="DC25" s="79">
        <v>194152</v>
      </c>
      <c r="DD25" s="79">
        <f>1587064+467905-DA25-DB25-DC25</f>
        <v>505275</v>
      </c>
      <c r="DE25" s="79">
        <v>10768637</v>
      </c>
      <c r="DF25" s="79">
        <v>12823606</v>
      </c>
      <c r="DG25" s="79">
        <v>0</v>
      </c>
      <c r="DH25" s="79">
        <v>0</v>
      </c>
      <c r="DI25" s="79">
        <v>0</v>
      </c>
      <c r="DJ25" s="79">
        <v>0</v>
      </c>
      <c r="DK25" s="79">
        <v>0</v>
      </c>
      <c r="DL25" s="79">
        <v>0</v>
      </c>
      <c r="DM25" s="79">
        <v>244285</v>
      </c>
      <c r="DN25" s="79">
        <v>0</v>
      </c>
      <c r="DO25" s="79">
        <v>0</v>
      </c>
      <c r="DP25" s="79">
        <f>284201+53574-DM25-DN25-DO25</f>
        <v>93490</v>
      </c>
      <c r="DQ25" s="79">
        <v>133878</v>
      </c>
      <c r="DR25" s="79">
        <v>471653</v>
      </c>
      <c r="DS25" s="79">
        <v>425796</v>
      </c>
      <c r="DT25" s="79">
        <v>110944</v>
      </c>
      <c r="DU25" s="79">
        <v>161470</v>
      </c>
      <c r="DV25" s="79">
        <f>688124+403937-DS25-DT25-DU25</f>
        <v>393851</v>
      </c>
      <c r="DW25" s="79">
        <v>0</v>
      </c>
      <c r="DX25" s="79">
        <v>1092061</v>
      </c>
      <c r="DY25" s="79">
        <v>2501824</v>
      </c>
      <c r="DZ25" s="79">
        <v>871404</v>
      </c>
      <c r="EA25" s="79">
        <v>807562</v>
      </c>
      <c r="EB25" s="79">
        <f>4528364+2266516-DY25-DZ25-EA25</f>
        <v>2614090</v>
      </c>
      <c r="EC25" s="79">
        <v>28361</v>
      </c>
      <c r="ED25" s="79">
        <v>6823241</v>
      </c>
      <c r="EE25" s="79">
        <v>890728</v>
      </c>
      <c r="EF25" s="79">
        <v>161034</v>
      </c>
      <c r="EG25" s="79">
        <v>158636</v>
      </c>
      <c r="EH25" s="79">
        <f>1709903+928763-EE25-EF25-EG25</f>
        <v>1428268</v>
      </c>
      <c r="EI25" s="79">
        <v>1387781</v>
      </c>
      <c r="EJ25" s="79">
        <v>4026447</v>
      </c>
      <c r="EK25" s="79">
        <v>4692265</v>
      </c>
      <c r="EL25" s="79">
        <v>630917</v>
      </c>
      <c r="EM25" s="79">
        <v>157430</v>
      </c>
      <c r="EN25" s="79">
        <f>5713866+283764-EK25-EL25-EM25</f>
        <v>517018</v>
      </c>
      <c r="EO25" s="79">
        <v>1623329</v>
      </c>
      <c r="EP25" s="79">
        <v>7620959</v>
      </c>
      <c r="EQ25" s="79">
        <v>170499</v>
      </c>
      <c r="ER25" s="79">
        <v>19498</v>
      </c>
      <c r="ES25" s="79">
        <v>20631</v>
      </c>
      <c r="ET25" s="79">
        <f>211066+74221-EQ25-ER25-ES25</f>
        <v>74659</v>
      </c>
      <c r="EU25" s="79">
        <v>1615794</v>
      </c>
      <c r="EV25" s="79">
        <v>1901081</v>
      </c>
      <c r="EW25" s="79">
        <v>0</v>
      </c>
      <c r="EX25" s="79">
        <v>0</v>
      </c>
      <c r="EY25" s="79">
        <v>0</v>
      </c>
      <c r="EZ25" s="79">
        <v>0</v>
      </c>
      <c r="FA25" s="79">
        <v>0</v>
      </c>
      <c r="FB25" s="79">
        <v>0</v>
      </c>
      <c r="FC25" s="79">
        <v>165667</v>
      </c>
      <c r="FD25" s="79">
        <v>264120</v>
      </c>
      <c r="FE25" s="79">
        <v>211721</v>
      </c>
      <c r="FF25" s="79">
        <f>485986+269971-FC25-FD25-FE25</f>
        <v>114449</v>
      </c>
      <c r="FG25" s="79">
        <v>11156257</v>
      </c>
      <c r="FH25" s="79">
        <v>11912214</v>
      </c>
      <c r="FI25" s="79">
        <v>293941</v>
      </c>
      <c r="FJ25" s="79">
        <v>0</v>
      </c>
      <c r="FK25" s="79">
        <v>0</v>
      </c>
      <c r="FL25" s="79">
        <f>293941+0-FI25-FJ25-FK25</f>
        <v>0</v>
      </c>
      <c r="FM25" s="79">
        <v>159346</v>
      </c>
      <c r="FN25" s="79">
        <v>453287</v>
      </c>
      <c r="FO25" s="79">
        <v>0</v>
      </c>
      <c r="FP25" s="79">
        <v>0</v>
      </c>
      <c r="FQ25" s="79">
        <v>0</v>
      </c>
      <c r="FR25" s="79">
        <v>0</v>
      </c>
      <c r="FS25" s="79">
        <v>0</v>
      </c>
      <c r="FT25" s="79"/>
      <c r="FU25" s="79">
        <v>93121</v>
      </c>
      <c r="FV25" s="79">
        <v>5279</v>
      </c>
      <c r="FW25" s="79">
        <v>1680</v>
      </c>
      <c r="FX25" s="79">
        <f>152409+79737-FU25-FV25-FW25</f>
        <v>132066</v>
      </c>
      <c r="FY25" s="79">
        <v>1251299</v>
      </c>
      <c r="FZ25" s="79">
        <v>1483445</v>
      </c>
      <c r="GA25" s="79">
        <v>2851</v>
      </c>
      <c r="GB25" s="79">
        <v>8090</v>
      </c>
      <c r="GC25" s="79">
        <v>11254</v>
      </c>
      <c r="GD25" s="79">
        <f>15564+16613-GA25-GB25-GC25</f>
        <v>9982</v>
      </c>
      <c r="GE25" s="79">
        <v>30964</v>
      </c>
      <c r="GF25" s="79">
        <v>63141</v>
      </c>
      <c r="GG25" s="79">
        <v>1498891</v>
      </c>
      <c r="GH25" s="79">
        <v>254414</v>
      </c>
      <c r="GI25" s="79">
        <v>293572</v>
      </c>
      <c r="GJ25" s="79">
        <f>1969362+640754-GG25-GH25-GI25</f>
        <v>563239</v>
      </c>
      <c r="GK25" s="79">
        <v>7572890</v>
      </c>
      <c r="GL25" s="79">
        <v>10183006</v>
      </c>
      <c r="GM25" s="79">
        <v>23427950</v>
      </c>
      <c r="GN25" s="79">
        <v>5801160</v>
      </c>
      <c r="GO25" s="79">
        <v>3954413</v>
      </c>
      <c r="GP25" s="79">
        <f>35774901+12474458-GM25-GN25-GO25</f>
        <v>15065836</v>
      </c>
      <c r="GQ25" s="79">
        <v>36523400</v>
      </c>
      <c r="GR25" s="79">
        <v>84772759</v>
      </c>
      <c r="GS25" s="79">
        <v>0</v>
      </c>
      <c r="GT25" s="79">
        <v>0</v>
      </c>
      <c r="GU25" s="79">
        <v>0</v>
      </c>
      <c r="GV25" s="79">
        <v>0</v>
      </c>
      <c r="GW25" s="79">
        <v>3706921</v>
      </c>
      <c r="GX25" s="79">
        <v>3706921</v>
      </c>
      <c r="GY25" s="79">
        <v>23427950</v>
      </c>
      <c r="GZ25" s="79">
        <v>5801160</v>
      </c>
      <c r="HA25" s="79">
        <v>3954413</v>
      </c>
      <c r="HB25" s="79">
        <f>35774901+12474458-GY25-GZ25-HA25</f>
        <v>15065836</v>
      </c>
      <c r="HC25" s="79">
        <f>3706921+GQ25</f>
        <v>40230321</v>
      </c>
      <c r="HD25" s="79">
        <f>SUM(GY25:HC25)</f>
        <v>88479680</v>
      </c>
      <c r="HE25" s="16"/>
      <c r="HF25" s="7">
        <f>SUM(AZ25:AZ25)</f>
        <v>17611185</v>
      </c>
      <c r="HG25" s="7" t="e">
        <f>#REF!-HF25</f>
        <v>#REF!</v>
      </c>
      <c r="HH25" s="7" t="e">
        <f>SUM(#REF!)</f>
        <v>#REF!</v>
      </c>
      <c r="HI25" s="7" t="e">
        <f>#REF!-HH25</f>
        <v>#REF!</v>
      </c>
      <c r="HJ25" s="7">
        <f>SUM(BA25:BA25)</f>
        <v>300000</v>
      </c>
      <c r="HK25" s="7" t="e">
        <f>#REF!-HJ25</f>
        <v>#REF!</v>
      </c>
      <c r="HL25" s="7">
        <f>SUM(BB25:BB25)</f>
        <v>15297796</v>
      </c>
      <c r="HM25" s="7" t="e">
        <f>#REF!-HL25</f>
        <v>#REF!</v>
      </c>
      <c r="HN25" s="7" t="e">
        <f>SUM(#REF!)</f>
        <v>#REF!</v>
      </c>
      <c r="HO25" s="7" t="e">
        <f>#REF!-HN25</f>
        <v>#REF!</v>
      </c>
      <c r="HP25" s="7" t="e">
        <f>SUM(#REF!)</f>
        <v>#REF!</v>
      </c>
      <c r="HQ25" s="7" t="e">
        <f>#REF!-HP25</f>
        <v>#REF!</v>
      </c>
      <c r="HR25" s="7" t="e">
        <f>SUM(#REF!)</f>
        <v>#REF!</v>
      </c>
      <c r="HS25" s="7" t="e">
        <f>#REF!-HR25</f>
        <v>#REF!</v>
      </c>
      <c r="HT25" s="7" t="e">
        <f>SUM(#REF!)</f>
        <v>#REF!</v>
      </c>
      <c r="HU25" s="7" t="e">
        <f>#REF!-HT25</f>
        <v>#REF!</v>
      </c>
      <c r="HV25" s="7" t="e">
        <f>SUM(#REF!)</f>
        <v>#REF!</v>
      </c>
      <c r="HW25" s="7" t="e">
        <f>#REF!-HV25</f>
        <v>#REF!</v>
      </c>
      <c r="HX25" s="7" t="e">
        <f>SUM(#REF!)</f>
        <v>#REF!</v>
      </c>
      <c r="HY25" s="7" t="e">
        <f>#REF!-HX25</f>
        <v>#REF!</v>
      </c>
      <c r="HZ25" s="7">
        <f>SUM(BC25:BC25)</f>
        <v>898062</v>
      </c>
      <c r="IA25" s="7" t="e">
        <f>#REF!-HZ25</f>
        <v>#REF!</v>
      </c>
      <c r="IB25" s="7">
        <f>SUM(BD25:BD25)</f>
        <v>749159</v>
      </c>
      <c r="IC25" s="7" t="e">
        <f>#REF!-IB25</f>
        <v>#REF!</v>
      </c>
      <c r="ID25" s="7">
        <f t="shared" si="1"/>
        <v>0</v>
      </c>
      <c r="IE25" s="7">
        <f t="shared" si="2"/>
        <v>0</v>
      </c>
      <c r="IF25" s="7">
        <f t="shared" si="3"/>
        <v>5194114</v>
      </c>
      <c r="IG25" s="7">
        <f t="shared" si="4"/>
        <v>0</v>
      </c>
      <c r="IH25" s="7">
        <f t="shared" si="5"/>
        <v>1941581</v>
      </c>
      <c r="II25" s="7">
        <f t="shared" si="6"/>
        <v>0</v>
      </c>
      <c r="IJ25" s="7">
        <f t="shared" si="7"/>
        <v>91382441</v>
      </c>
      <c r="IK25" s="7">
        <f t="shared" si="8"/>
        <v>0</v>
      </c>
      <c r="IL25" s="7">
        <f t="shared" si="9"/>
        <v>9544912</v>
      </c>
      <c r="IM25" s="7">
        <f t="shared" si="10"/>
        <v>0</v>
      </c>
      <c r="IN25" s="7">
        <f t="shared" si="11"/>
        <v>1957775</v>
      </c>
      <c r="IO25" s="7">
        <f t="shared" si="12"/>
        <v>0</v>
      </c>
      <c r="IP25" s="7">
        <f t="shared" si="13"/>
        <v>14415931</v>
      </c>
      <c r="IQ25" s="7">
        <f t="shared" si="14"/>
        <v>0</v>
      </c>
      <c r="IR25" s="7">
        <f t="shared" si="15"/>
        <v>0</v>
      </c>
      <c r="IS25" s="7">
        <f t="shared" si="16"/>
        <v>0</v>
      </c>
      <c r="IT25" s="7">
        <f t="shared" si="17"/>
        <v>12823606</v>
      </c>
      <c r="IU25" s="7">
        <f t="shared" si="18"/>
        <v>0</v>
      </c>
      <c r="IV25" s="7">
        <f t="shared" si="19"/>
        <v>0</v>
      </c>
      <c r="IW25" s="7">
        <f t="shared" si="20"/>
        <v>0</v>
      </c>
      <c r="IX25" s="7">
        <f t="shared" si="21"/>
        <v>471653</v>
      </c>
      <c r="IY25" s="7">
        <f t="shared" si="22"/>
        <v>0</v>
      </c>
      <c r="IZ25" s="7">
        <f t="shared" si="23"/>
        <v>1092061</v>
      </c>
      <c r="JA25" s="7">
        <f t="shared" si="24"/>
        <v>0</v>
      </c>
      <c r="JB25" s="7">
        <f t="shared" si="25"/>
        <v>6823241</v>
      </c>
      <c r="JC25" s="7">
        <f t="shared" si="26"/>
        <v>0</v>
      </c>
      <c r="JD25" s="7">
        <f t="shared" si="27"/>
        <v>4026447</v>
      </c>
      <c r="JE25" s="7">
        <f t="shared" si="28"/>
        <v>0</v>
      </c>
      <c r="JF25" s="7">
        <f t="shared" si="29"/>
        <v>7620959</v>
      </c>
      <c r="JG25" s="7">
        <f t="shared" si="30"/>
        <v>0</v>
      </c>
      <c r="JH25" s="7">
        <f t="shared" si="31"/>
        <v>1901081</v>
      </c>
      <c r="JI25" s="7">
        <f t="shared" si="32"/>
        <v>0</v>
      </c>
      <c r="JJ25" s="7">
        <f t="shared" si="33"/>
        <v>0</v>
      </c>
      <c r="JK25" s="7">
        <f t="shared" si="34"/>
        <v>0</v>
      </c>
      <c r="JL25" s="7">
        <f t="shared" si="35"/>
        <v>11912214</v>
      </c>
      <c r="JM25" s="7">
        <f t="shared" si="36"/>
        <v>0</v>
      </c>
      <c r="JN25" s="7">
        <f t="shared" si="37"/>
        <v>453287</v>
      </c>
      <c r="JO25" s="7">
        <f t="shared" si="38"/>
        <v>0</v>
      </c>
      <c r="JP25" s="7">
        <f t="shared" si="39"/>
        <v>0</v>
      </c>
      <c r="JQ25" s="7">
        <f t="shared" si="40"/>
        <v>0</v>
      </c>
      <c r="JR25" s="7">
        <f t="shared" si="41"/>
        <v>1483445</v>
      </c>
      <c r="JS25" s="7">
        <f t="shared" si="42"/>
        <v>0</v>
      </c>
      <c r="JT25" s="7">
        <f t="shared" si="43"/>
        <v>63141</v>
      </c>
      <c r="JU25" s="7">
        <f t="shared" si="44"/>
        <v>0</v>
      </c>
      <c r="JV25" s="7">
        <f t="shared" si="45"/>
        <v>10183006</v>
      </c>
      <c r="JW25" s="7">
        <f t="shared" si="46"/>
        <v>0</v>
      </c>
      <c r="JX25" s="7">
        <f t="shared" si="47"/>
        <v>84772759</v>
      </c>
      <c r="JY25" s="7">
        <f t="shared" si="48"/>
        <v>0</v>
      </c>
      <c r="JZ25" s="7">
        <f t="shared" si="49"/>
        <v>3706921</v>
      </c>
      <c r="KA25" s="7">
        <f t="shared" si="50"/>
        <v>0</v>
      </c>
      <c r="KB25" s="7">
        <f t="shared" si="51"/>
        <v>88479680</v>
      </c>
      <c r="KC25" s="7">
        <f t="shared" si="52"/>
        <v>0</v>
      </c>
      <c r="KE25" s="7" t="e">
        <f t="shared" si="0"/>
        <v>#REF!</v>
      </c>
      <c r="KG25" s="5" t="e">
        <f t="shared" si="53"/>
        <v>#REF!</v>
      </c>
    </row>
    <row r="26" spans="1:293" x14ac:dyDescent="0.15">
      <c r="A26" s="119" t="s">
        <v>216</v>
      </c>
      <c r="B26" s="17" t="s">
        <v>400</v>
      </c>
      <c r="C26" s="38">
        <v>110556</v>
      </c>
      <c r="D26" s="38">
        <v>2013</v>
      </c>
      <c r="E26" s="38">
        <v>1</v>
      </c>
      <c r="F26" s="38">
        <v>10</v>
      </c>
      <c r="G26" s="44">
        <v>7314</v>
      </c>
      <c r="H26" s="44">
        <v>9836</v>
      </c>
      <c r="I26" s="45">
        <v>394587448</v>
      </c>
      <c r="J26" s="45"/>
      <c r="K26" s="46">
        <v>5626074</v>
      </c>
      <c r="L26" s="45"/>
      <c r="M26" s="47">
        <v>15086786</v>
      </c>
      <c r="N26" s="48"/>
      <c r="O26" s="49">
        <v>71666912</v>
      </c>
      <c r="P26" s="48"/>
      <c r="Q26" s="49">
        <v>167707888</v>
      </c>
      <c r="R26" s="47"/>
      <c r="S26" s="50">
        <v>274395070</v>
      </c>
      <c r="T26" s="48"/>
      <c r="U26" s="49">
        <v>16786</v>
      </c>
      <c r="V26" s="48"/>
      <c r="W26" s="49">
        <v>27946</v>
      </c>
      <c r="X26" s="47"/>
      <c r="Y26" s="48">
        <v>21926</v>
      </c>
      <c r="Z26" s="47"/>
      <c r="AA26" s="50">
        <v>33130</v>
      </c>
      <c r="AB26" s="48"/>
      <c r="AC26" s="56">
        <v>7</v>
      </c>
      <c r="AD26" s="56">
        <v>12</v>
      </c>
      <c r="AE26" s="56">
        <v>0</v>
      </c>
      <c r="AF26" s="64">
        <v>2289997</v>
      </c>
      <c r="AG26" s="65">
        <v>2542167</v>
      </c>
      <c r="AH26" s="66">
        <v>257998</v>
      </c>
      <c r="AI26" s="67">
        <v>150092</v>
      </c>
      <c r="AJ26" s="66">
        <v>426514.18</v>
      </c>
      <c r="AK26" s="58">
        <v>5.5</v>
      </c>
      <c r="AL26" s="57">
        <v>390971.33</v>
      </c>
      <c r="AM26" s="58">
        <v>6</v>
      </c>
      <c r="AN26" s="62">
        <v>152453.47</v>
      </c>
      <c r="AO26" s="63">
        <v>9.5</v>
      </c>
      <c r="AP26" s="62">
        <v>144830.79999999999</v>
      </c>
      <c r="AQ26" s="63">
        <v>10</v>
      </c>
      <c r="AR26" s="64">
        <v>112259.96</v>
      </c>
      <c r="AS26" s="68">
        <v>25</v>
      </c>
      <c r="AT26" s="64">
        <v>100232.11</v>
      </c>
      <c r="AU26" s="69">
        <v>28</v>
      </c>
      <c r="AV26" s="57">
        <v>68370.19</v>
      </c>
      <c r="AW26" s="58">
        <v>21.5</v>
      </c>
      <c r="AX26" s="57">
        <v>56536.88</v>
      </c>
      <c r="AY26" s="58">
        <v>26</v>
      </c>
      <c r="AZ26" s="91">
        <v>4956497</v>
      </c>
      <c r="BA26" s="91">
        <v>1050000</v>
      </c>
      <c r="BB26" s="91">
        <v>1306170</v>
      </c>
      <c r="BC26" s="91">
        <v>458848</v>
      </c>
      <c r="BD26" s="91">
        <v>0</v>
      </c>
      <c r="BE26" s="91">
        <v>0</v>
      </c>
      <c r="BF26" s="91">
        <v>0</v>
      </c>
      <c r="BG26" s="91">
        <v>0</v>
      </c>
      <c r="BH26" s="91">
        <v>0</v>
      </c>
      <c r="BI26" s="91">
        <v>0</v>
      </c>
      <c r="BJ26" s="91">
        <v>0</v>
      </c>
      <c r="BK26" s="91">
        <v>0</v>
      </c>
      <c r="BL26" s="91">
        <v>0</v>
      </c>
      <c r="BM26" s="91">
        <v>0</v>
      </c>
      <c r="BN26" s="91">
        <v>0</v>
      </c>
      <c r="BO26" s="91">
        <v>242272</v>
      </c>
      <c r="BP26" s="91">
        <v>242272</v>
      </c>
      <c r="BQ26" s="91">
        <v>0</v>
      </c>
      <c r="BR26" s="91">
        <v>0</v>
      </c>
      <c r="BS26" s="91">
        <v>0</v>
      </c>
      <c r="BT26" s="91">
        <v>0</v>
      </c>
      <c r="BU26" s="91">
        <v>454924</v>
      </c>
      <c r="BV26" s="91">
        <v>454924</v>
      </c>
      <c r="BW26" s="91">
        <v>9704118</v>
      </c>
      <c r="BX26" s="91">
        <v>1980064</v>
      </c>
      <c r="BY26" s="91">
        <v>1342119</v>
      </c>
      <c r="BZ26" s="91">
        <v>6038679</v>
      </c>
      <c r="CA26" s="91">
        <v>14669793</v>
      </c>
      <c r="CB26" s="91">
        <v>33734773</v>
      </c>
      <c r="CC26" s="92">
        <v>1531625</v>
      </c>
      <c r="CD26" s="92">
        <v>320647</v>
      </c>
      <c r="CE26" s="92">
        <v>363862</v>
      </c>
      <c r="CF26" s="92">
        <v>2616030</v>
      </c>
      <c r="CG26" s="92">
        <v>52212</v>
      </c>
      <c r="CH26" s="92">
        <v>4884376</v>
      </c>
      <c r="CI26" s="92">
        <v>550000</v>
      </c>
      <c r="CJ26" s="92">
        <v>62000</v>
      </c>
      <c r="CK26" s="92">
        <v>23000</v>
      </c>
      <c r="CL26" s="92">
        <v>52000</v>
      </c>
      <c r="CM26" s="92">
        <v>0</v>
      </c>
      <c r="CN26" s="92">
        <v>687000</v>
      </c>
      <c r="CO26" s="92">
        <v>3353273</v>
      </c>
      <c r="CP26" s="92">
        <v>970327</v>
      </c>
      <c r="CQ26" s="92">
        <v>814449</v>
      </c>
      <c r="CR26" s="92">
        <v>2932545</v>
      </c>
      <c r="CS26" s="92">
        <v>0</v>
      </c>
      <c r="CT26" s="92">
        <v>8070594</v>
      </c>
      <c r="CU26" s="92">
        <v>0</v>
      </c>
      <c r="CV26" s="92">
        <v>0</v>
      </c>
      <c r="CW26" s="92">
        <v>0</v>
      </c>
      <c r="CX26" s="92">
        <v>0</v>
      </c>
      <c r="CY26" s="92">
        <v>0</v>
      </c>
      <c r="CZ26" s="92">
        <v>0</v>
      </c>
      <c r="DA26" s="92">
        <v>169204</v>
      </c>
      <c r="DB26" s="92">
        <v>80888</v>
      </c>
      <c r="DC26" s="92">
        <v>37345</v>
      </c>
      <c r="DD26" s="92">
        <v>210714</v>
      </c>
      <c r="DE26" s="92">
        <v>4877885</v>
      </c>
      <c r="DF26" s="92">
        <v>5376036</v>
      </c>
      <c r="DG26" s="92">
        <v>0</v>
      </c>
      <c r="DH26" s="92">
        <v>0</v>
      </c>
      <c r="DI26" s="92">
        <v>0</v>
      </c>
      <c r="DJ26" s="92">
        <v>0</v>
      </c>
      <c r="DK26" s="92">
        <v>0</v>
      </c>
      <c r="DL26" s="92">
        <v>0</v>
      </c>
      <c r="DM26" s="92">
        <v>89967</v>
      </c>
      <c r="DN26" s="92">
        <v>0</v>
      </c>
      <c r="DO26" s="92">
        <v>0</v>
      </c>
      <c r="DP26" s="92">
        <v>0</v>
      </c>
      <c r="DQ26" s="92">
        <v>0</v>
      </c>
      <c r="DR26" s="92">
        <v>89967</v>
      </c>
      <c r="DS26" s="92">
        <v>139930</v>
      </c>
      <c r="DT26" s="92">
        <v>78788</v>
      </c>
      <c r="DU26" s="92">
        <v>72405</v>
      </c>
      <c r="DV26" s="92">
        <v>116967</v>
      </c>
      <c r="DW26" s="92">
        <v>0</v>
      </c>
      <c r="DX26" s="92">
        <v>408090</v>
      </c>
      <c r="DY26" s="92">
        <v>1492677</v>
      </c>
      <c r="DZ26" s="92">
        <v>222314</v>
      </c>
      <c r="EA26" s="92">
        <v>204539</v>
      </c>
      <c r="EB26" s="92">
        <v>1148664</v>
      </c>
      <c r="EC26" s="92">
        <v>0</v>
      </c>
      <c r="ED26" s="92">
        <v>3068194</v>
      </c>
      <c r="EE26" s="92">
        <v>219727</v>
      </c>
      <c r="EF26" s="92">
        <v>29131</v>
      </c>
      <c r="EG26" s="92">
        <v>21379</v>
      </c>
      <c r="EH26" s="92">
        <v>367656</v>
      </c>
      <c r="EI26" s="92">
        <v>373393</v>
      </c>
      <c r="EJ26" s="92">
        <v>1011286</v>
      </c>
      <c r="EK26" s="92">
        <v>738759</v>
      </c>
      <c r="EL26" s="92">
        <v>266881</v>
      </c>
      <c r="EM26" s="92">
        <v>169107</v>
      </c>
      <c r="EN26" s="92">
        <v>467871</v>
      </c>
      <c r="EO26" s="92">
        <v>162086</v>
      </c>
      <c r="EP26" s="92">
        <v>1804704</v>
      </c>
      <c r="EQ26" s="92">
        <v>42184</v>
      </c>
      <c r="ER26" s="92">
        <v>12258</v>
      </c>
      <c r="ES26" s="92">
        <v>4524</v>
      </c>
      <c r="ET26" s="92">
        <v>64723</v>
      </c>
      <c r="EU26" s="92">
        <v>1277923</v>
      </c>
      <c r="EV26" s="92">
        <v>1401612</v>
      </c>
      <c r="EW26" s="92">
        <v>0</v>
      </c>
      <c r="EX26" s="92">
        <v>0</v>
      </c>
      <c r="EY26" s="92">
        <v>0</v>
      </c>
      <c r="EZ26" s="92">
        <v>0</v>
      </c>
      <c r="FA26" s="92">
        <v>0</v>
      </c>
      <c r="FB26" s="92">
        <v>0</v>
      </c>
      <c r="FC26" s="92">
        <v>86369</v>
      </c>
      <c r="FD26" s="92">
        <v>0</v>
      </c>
      <c r="FE26" s="92">
        <v>0</v>
      </c>
      <c r="FF26" s="92">
        <v>160690</v>
      </c>
      <c r="FG26" s="92">
        <v>1177983</v>
      </c>
      <c r="FH26" s="92">
        <v>1425042</v>
      </c>
      <c r="FI26" s="92">
        <v>0</v>
      </c>
      <c r="FJ26" s="92">
        <v>0</v>
      </c>
      <c r="FK26" s="92">
        <v>0</v>
      </c>
      <c r="FL26" s="92">
        <v>0</v>
      </c>
      <c r="FM26" s="92">
        <v>53044</v>
      </c>
      <c r="FN26" s="92">
        <v>53044</v>
      </c>
      <c r="FO26" s="92">
        <v>0</v>
      </c>
      <c r="FP26" s="92">
        <v>0</v>
      </c>
      <c r="FQ26" s="92">
        <v>0</v>
      </c>
      <c r="FR26" s="92">
        <v>0</v>
      </c>
      <c r="FS26" s="92">
        <v>1717956</v>
      </c>
      <c r="FT26" s="92">
        <v>1717956</v>
      </c>
      <c r="FU26" s="92">
        <v>0</v>
      </c>
      <c r="FV26" s="92">
        <v>0</v>
      </c>
      <c r="FW26" s="92">
        <v>0</v>
      </c>
      <c r="FX26" s="92">
        <v>0</v>
      </c>
      <c r="FY26" s="92">
        <v>628435</v>
      </c>
      <c r="FZ26" s="92">
        <v>628435</v>
      </c>
      <c r="GA26" s="92">
        <v>0</v>
      </c>
      <c r="GB26" s="92">
        <v>955</v>
      </c>
      <c r="GC26" s="92">
        <v>120</v>
      </c>
      <c r="GD26" s="92">
        <v>9491</v>
      </c>
      <c r="GE26" s="92">
        <v>410240</v>
      </c>
      <c r="GF26" s="92">
        <v>420806</v>
      </c>
      <c r="GG26" s="92">
        <v>304328</v>
      </c>
      <c r="GH26" s="92">
        <v>28511</v>
      </c>
      <c r="GI26" s="92">
        <v>32912</v>
      </c>
      <c r="GJ26" s="92">
        <v>208345</v>
      </c>
      <c r="GK26" s="92">
        <v>1429076</v>
      </c>
      <c r="GL26" s="92">
        <v>2003172</v>
      </c>
      <c r="GM26" s="92">
        <v>8718043</v>
      </c>
      <c r="GN26" s="92">
        <v>2072700</v>
      </c>
      <c r="GO26" s="92">
        <v>1743642</v>
      </c>
      <c r="GP26" s="92">
        <v>8355696</v>
      </c>
      <c r="GQ26" s="92">
        <v>12160233</v>
      </c>
      <c r="GR26" s="92">
        <v>33050314</v>
      </c>
      <c r="GS26" s="79">
        <v>0</v>
      </c>
      <c r="GT26" s="79">
        <v>0</v>
      </c>
      <c r="GU26" s="79">
        <v>0</v>
      </c>
      <c r="GV26" s="79">
        <v>0</v>
      </c>
      <c r="GW26" s="79">
        <v>0</v>
      </c>
      <c r="GX26" s="79">
        <v>0</v>
      </c>
      <c r="GY26" s="79">
        <v>8718043</v>
      </c>
      <c r="GZ26" s="79">
        <v>2072700</v>
      </c>
      <c r="HA26" s="79">
        <v>1743642</v>
      </c>
      <c r="HB26" s="79">
        <v>8355696</v>
      </c>
      <c r="HC26" s="79">
        <v>12160233</v>
      </c>
      <c r="HD26" s="79">
        <v>33050314</v>
      </c>
      <c r="HF26" s="7">
        <f>SUM(AZ26:AZ26)</f>
        <v>4956497</v>
      </c>
      <c r="HG26" s="7" t="e">
        <f>#REF!-HF26</f>
        <v>#REF!</v>
      </c>
      <c r="HH26" s="7" t="e">
        <f>SUM(#REF!)</f>
        <v>#REF!</v>
      </c>
      <c r="HI26" s="7" t="e">
        <f>#REF!-HH26</f>
        <v>#REF!</v>
      </c>
      <c r="HJ26" s="7">
        <f>SUM(BA26:BA26)</f>
        <v>1050000</v>
      </c>
      <c r="HK26" s="7" t="e">
        <f>#REF!-HJ26</f>
        <v>#REF!</v>
      </c>
      <c r="HL26" s="7">
        <f>SUM(BB26:BB26)</f>
        <v>1306170</v>
      </c>
      <c r="HM26" s="7" t="e">
        <f>#REF!-HL26</f>
        <v>#REF!</v>
      </c>
      <c r="HN26" s="7" t="e">
        <f>SUM(#REF!)</f>
        <v>#REF!</v>
      </c>
      <c r="HO26" s="7" t="e">
        <f>#REF!-HN26</f>
        <v>#REF!</v>
      </c>
      <c r="HP26" s="7" t="e">
        <f>SUM(#REF!)</f>
        <v>#REF!</v>
      </c>
      <c r="HQ26" s="7" t="e">
        <f>#REF!-HP26</f>
        <v>#REF!</v>
      </c>
      <c r="HR26" s="7" t="e">
        <f>SUM(#REF!)</f>
        <v>#REF!</v>
      </c>
      <c r="HS26" s="7" t="e">
        <f>#REF!-HR26</f>
        <v>#REF!</v>
      </c>
      <c r="HT26" s="7" t="e">
        <f>SUM(#REF!)</f>
        <v>#REF!</v>
      </c>
      <c r="HU26" s="7" t="e">
        <f>#REF!-HT26</f>
        <v>#REF!</v>
      </c>
      <c r="HV26" s="7" t="e">
        <f>SUM(#REF!)</f>
        <v>#REF!</v>
      </c>
      <c r="HW26" s="7" t="e">
        <f>#REF!-HV26</f>
        <v>#REF!</v>
      </c>
      <c r="HX26" s="7" t="e">
        <f>SUM(#REF!)</f>
        <v>#REF!</v>
      </c>
      <c r="HY26" s="7" t="e">
        <f>#REF!-HX26</f>
        <v>#REF!</v>
      </c>
      <c r="HZ26" s="7">
        <f>SUM(BC26:BC26)</f>
        <v>458848</v>
      </c>
      <c r="IA26" s="7" t="e">
        <f>#REF!-HZ26</f>
        <v>#REF!</v>
      </c>
      <c r="IB26" s="7">
        <f>SUM(BD26:BD26)</f>
        <v>0</v>
      </c>
      <c r="IC26" s="7" t="e">
        <f>#REF!-IB26</f>
        <v>#REF!</v>
      </c>
      <c r="ID26" s="7">
        <f t="shared" si="1"/>
        <v>0</v>
      </c>
      <c r="IE26" s="7">
        <f t="shared" si="2"/>
        <v>0</v>
      </c>
      <c r="IF26" s="7">
        <f t="shared" si="3"/>
        <v>242272</v>
      </c>
      <c r="IG26" s="7">
        <f t="shared" si="4"/>
        <v>0</v>
      </c>
      <c r="IH26" s="7">
        <f t="shared" si="5"/>
        <v>454924</v>
      </c>
      <c r="II26" s="7">
        <f t="shared" si="6"/>
        <v>0</v>
      </c>
      <c r="IJ26" s="7">
        <f t="shared" si="7"/>
        <v>33734773</v>
      </c>
      <c r="IK26" s="7">
        <f t="shared" si="8"/>
        <v>0</v>
      </c>
      <c r="IL26" s="7">
        <f t="shared" si="9"/>
        <v>4884376</v>
      </c>
      <c r="IM26" s="7">
        <f t="shared" si="10"/>
        <v>0</v>
      </c>
      <c r="IN26" s="7">
        <f t="shared" si="11"/>
        <v>687000</v>
      </c>
      <c r="IO26" s="7">
        <f t="shared" si="12"/>
        <v>0</v>
      </c>
      <c r="IP26" s="7">
        <f t="shared" si="13"/>
        <v>8070594</v>
      </c>
      <c r="IQ26" s="7">
        <f t="shared" si="14"/>
        <v>0</v>
      </c>
      <c r="IR26" s="7">
        <f t="shared" si="15"/>
        <v>0</v>
      </c>
      <c r="IS26" s="7">
        <f t="shared" si="16"/>
        <v>0</v>
      </c>
      <c r="IT26" s="7">
        <f t="shared" si="17"/>
        <v>5376036</v>
      </c>
      <c r="IU26" s="7">
        <f t="shared" si="18"/>
        <v>0</v>
      </c>
      <c r="IV26" s="7">
        <f t="shared" si="19"/>
        <v>0</v>
      </c>
      <c r="IW26" s="7">
        <f t="shared" si="20"/>
        <v>0</v>
      </c>
      <c r="IX26" s="7">
        <f t="shared" si="21"/>
        <v>89967</v>
      </c>
      <c r="IY26" s="7">
        <f t="shared" si="22"/>
        <v>0</v>
      </c>
      <c r="IZ26" s="7">
        <f t="shared" si="23"/>
        <v>408090</v>
      </c>
      <c r="JA26" s="7">
        <f t="shared" si="24"/>
        <v>0</v>
      </c>
      <c r="JB26" s="7">
        <f t="shared" si="25"/>
        <v>3068194</v>
      </c>
      <c r="JC26" s="7">
        <f t="shared" si="26"/>
        <v>0</v>
      </c>
      <c r="JD26" s="7">
        <f t="shared" si="27"/>
        <v>1011286</v>
      </c>
      <c r="JE26" s="7">
        <f t="shared" si="28"/>
        <v>0</v>
      </c>
      <c r="JF26" s="7">
        <f t="shared" si="29"/>
        <v>1804704</v>
      </c>
      <c r="JG26" s="7">
        <f t="shared" si="30"/>
        <v>0</v>
      </c>
      <c r="JH26" s="7">
        <f t="shared" si="31"/>
        <v>1401612</v>
      </c>
      <c r="JI26" s="7">
        <f t="shared" si="32"/>
        <v>0</v>
      </c>
      <c r="JJ26" s="7">
        <f t="shared" si="33"/>
        <v>0</v>
      </c>
      <c r="JK26" s="7">
        <f t="shared" si="34"/>
        <v>0</v>
      </c>
      <c r="JL26" s="7">
        <f t="shared" si="35"/>
        <v>1425042</v>
      </c>
      <c r="JM26" s="7">
        <f t="shared" si="36"/>
        <v>0</v>
      </c>
      <c r="JN26" s="7">
        <f t="shared" si="37"/>
        <v>53044</v>
      </c>
      <c r="JO26" s="7">
        <f t="shared" si="38"/>
        <v>0</v>
      </c>
      <c r="JP26" s="7">
        <f t="shared" si="39"/>
        <v>1717956</v>
      </c>
      <c r="JQ26" s="7">
        <f t="shared" si="40"/>
        <v>0</v>
      </c>
      <c r="JR26" s="7">
        <f t="shared" si="41"/>
        <v>628435</v>
      </c>
      <c r="JS26" s="7">
        <f t="shared" si="42"/>
        <v>0</v>
      </c>
      <c r="JT26" s="7">
        <f t="shared" si="43"/>
        <v>420806</v>
      </c>
      <c r="JU26" s="7">
        <f t="shared" si="44"/>
        <v>0</v>
      </c>
      <c r="JV26" s="7">
        <f t="shared" si="45"/>
        <v>2003172</v>
      </c>
      <c r="JW26" s="7">
        <f t="shared" si="46"/>
        <v>0</v>
      </c>
      <c r="JX26" s="7">
        <f t="shared" si="47"/>
        <v>33050314</v>
      </c>
      <c r="JY26" s="7">
        <f t="shared" si="48"/>
        <v>0</v>
      </c>
      <c r="JZ26" s="7">
        <f t="shared" si="49"/>
        <v>0</v>
      </c>
      <c r="KA26" s="7">
        <f t="shared" si="50"/>
        <v>0</v>
      </c>
      <c r="KB26" s="7">
        <f t="shared" si="51"/>
        <v>33050314</v>
      </c>
      <c r="KC26" s="7">
        <f t="shared" si="52"/>
        <v>0</v>
      </c>
      <c r="KE26" s="7" t="e">
        <f t="shared" si="0"/>
        <v>#REF!</v>
      </c>
      <c r="KG26" s="5" t="e">
        <f t="shared" si="53"/>
        <v>#REF!</v>
      </c>
    </row>
    <row r="27" spans="1:293" x14ac:dyDescent="0.15">
      <c r="A27" s="119" t="s">
        <v>242</v>
      </c>
      <c r="B27" s="17" t="s">
        <v>342</v>
      </c>
      <c r="C27" s="41">
        <v>139959</v>
      </c>
      <c r="D27" s="38">
        <v>2013</v>
      </c>
      <c r="E27" s="38">
        <v>1</v>
      </c>
      <c r="F27" s="38">
        <v>5</v>
      </c>
      <c r="G27" s="39">
        <v>11243</v>
      </c>
      <c r="H27" s="39">
        <v>15016</v>
      </c>
      <c r="I27" s="40">
        <v>1225847104</v>
      </c>
      <c r="J27" s="40"/>
      <c r="K27" s="40">
        <v>9752135</v>
      </c>
      <c r="L27" s="40"/>
      <c r="M27" s="40">
        <v>22384008</v>
      </c>
      <c r="N27" s="40"/>
      <c r="O27" s="40">
        <v>113191100</v>
      </c>
      <c r="P27" s="40"/>
      <c r="Q27" s="40">
        <v>276584857</v>
      </c>
      <c r="R27" s="40"/>
      <c r="S27" s="40">
        <v>1079278524</v>
      </c>
      <c r="T27" s="40"/>
      <c r="U27" s="40">
        <v>20730</v>
      </c>
      <c r="V27" s="40"/>
      <c r="W27" s="40">
        <v>38940</v>
      </c>
      <c r="X27" s="40"/>
      <c r="Y27" s="40">
        <v>21250</v>
      </c>
      <c r="Z27" s="40"/>
      <c r="AA27" s="40">
        <v>39460</v>
      </c>
      <c r="AB27" s="40"/>
      <c r="AC27" s="59">
        <v>9</v>
      </c>
      <c r="AD27" s="59">
        <v>12</v>
      </c>
      <c r="AE27" s="59">
        <v>0</v>
      </c>
      <c r="AF27" s="57">
        <v>4313126</v>
      </c>
      <c r="AG27" s="57">
        <v>5085298</v>
      </c>
      <c r="AH27" s="57">
        <v>1024510</v>
      </c>
      <c r="AI27" s="57">
        <v>516121</v>
      </c>
      <c r="AJ27" s="57">
        <v>1201687.8333333333</v>
      </c>
      <c r="AK27" s="58">
        <v>6</v>
      </c>
      <c r="AL27" s="57">
        <v>1030018.1428571428</v>
      </c>
      <c r="AM27" s="58">
        <v>7</v>
      </c>
      <c r="AN27" s="57">
        <v>270308.55555555556</v>
      </c>
      <c r="AO27" s="58">
        <v>9</v>
      </c>
      <c r="AP27" s="57">
        <v>243277.7</v>
      </c>
      <c r="AQ27" s="58">
        <v>10</v>
      </c>
      <c r="AR27" s="57">
        <v>271468.04761904763</v>
      </c>
      <c r="AS27" s="58">
        <v>21</v>
      </c>
      <c r="AT27" s="57">
        <v>219262.65384615384</v>
      </c>
      <c r="AU27" s="58">
        <v>26</v>
      </c>
      <c r="AV27" s="57">
        <v>103563.65</v>
      </c>
      <c r="AW27" s="58">
        <v>20</v>
      </c>
      <c r="AX27" s="57">
        <v>82850.92</v>
      </c>
      <c r="AY27" s="58">
        <v>25</v>
      </c>
      <c r="AZ27" s="79">
        <v>22514767</v>
      </c>
      <c r="BA27" s="79">
        <v>0</v>
      </c>
      <c r="BB27" s="79">
        <v>27713657</v>
      </c>
      <c r="BC27" s="79">
        <v>1304015</v>
      </c>
      <c r="BD27" s="79">
        <v>5632768</v>
      </c>
      <c r="BE27" s="79">
        <v>3603</v>
      </c>
      <c r="BF27" s="79">
        <v>2013</v>
      </c>
      <c r="BG27" s="79">
        <v>1584</v>
      </c>
      <c r="BH27" s="79">
        <v>9396</v>
      </c>
      <c r="BI27" s="79">
        <v>326526</v>
      </c>
      <c r="BJ27" s="79">
        <v>343122</v>
      </c>
      <c r="BK27" s="79">
        <v>0</v>
      </c>
      <c r="BL27" s="79">
        <v>0</v>
      </c>
      <c r="BM27" s="79">
        <v>0</v>
      </c>
      <c r="BN27" s="79">
        <v>0</v>
      </c>
      <c r="BO27" s="79">
        <v>2037754</v>
      </c>
      <c r="BP27" s="79">
        <v>2037754</v>
      </c>
      <c r="BQ27" s="79">
        <v>0</v>
      </c>
      <c r="BR27" s="79">
        <v>0</v>
      </c>
      <c r="BS27" s="79">
        <v>0</v>
      </c>
      <c r="BT27" s="79">
        <v>3340</v>
      </c>
      <c r="BU27" s="79">
        <v>1014413</v>
      </c>
      <c r="BV27" s="79">
        <v>1017753</v>
      </c>
      <c r="BW27" s="79">
        <v>77594300</v>
      </c>
      <c r="BX27" s="79">
        <v>8469928</v>
      </c>
      <c r="BY27" s="79">
        <v>860070</v>
      </c>
      <c r="BZ27" s="79">
        <v>7222850</v>
      </c>
      <c r="CA27" s="79">
        <v>3973741</v>
      </c>
      <c r="CB27" s="79">
        <v>98120889</v>
      </c>
      <c r="CC27" s="79">
        <v>2466052</v>
      </c>
      <c r="CD27" s="79">
        <v>432257</v>
      </c>
      <c r="CE27" s="79">
        <v>579961</v>
      </c>
      <c r="CF27" s="79">
        <v>7310573</v>
      </c>
      <c r="CG27" s="79">
        <v>0</v>
      </c>
      <c r="CH27" s="79">
        <v>10788843</v>
      </c>
      <c r="CI27" s="79">
        <v>2750000</v>
      </c>
      <c r="CJ27" s="79">
        <v>515944</v>
      </c>
      <c r="CK27" s="79">
        <v>90000</v>
      </c>
      <c r="CL27" s="79">
        <v>84562</v>
      </c>
      <c r="CM27" s="79">
        <v>0</v>
      </c>
      <c r="CN27" s="79">
        <v>3440506</v>
      </c>
      <c r="CO27" s="79">
        <v>7817532</v>
      </c>
      <c r="CP27" s="79">
        <v>2431865</v>
      </c>
      <c r="CQ27" s="79">
        <v>1259680</v>
      </c>
      <c r="CR27" s="79">
        <v>5905929</v>
      </c>
      <c r="CS27" s="79">
        <v>0</v>
      </c>
      <c r="CT27" s="79">
        <v>17415006</v>
      </c>
      <c r="CU27" s="79">
        <v>0</v>
      </c>
      <c r="CV27" s="79">
        <v>0</v>
      </c>
      <c r="CW27" s="79">
        <v>0</v>
      </c>
      <c r="CX27" s="79">
        <v>0</v>
      </c>
      <c r="CY27" s="79">
        <v>0</v>
      </c>
      <c r="CZ27" s="79">
        <v>0</v>
      </c>
      <c r="DA27" s="79">
        <v>3205914</v>
      </c>
      <c r="DB27" s="79">
        <v>516072</v>
      </c>
      <c r="DC27" s="79">
        <v>404813</v>
      </c>
      <c r="DD27" s="79">
        <v>2394457</v>
      </c>
      <c r="DE27" s="79">
        <v>8665828</v>
      </c>
      <c r="DF27" s="79">
        <v>15187084</v>
      </c>
      <c r="DG27" s="79">
        <v>0</v>
      </c>
      <c r="DH27" s="79">
        <v>0</v>
      </c>
      <c r="DI27" s="79">
        <v>0</v>
      </c>
      <c r="DJ27" s="79">
        <v>0</v>
      </c>
      <c r="DK27" s="79">
        <v>0</v>
      </c>
      <c r="DL27" s="79">
        <v>0</v>
      </c>
      <c r="DM27" s="79">
        <v>0</v>
      </c>
      <c r="DN27" s="79">
        <v>0</v>
      </c>
      <c r="DO27" s="79">
        <v>0</v>
      </c>
      <c r="DP27" s="79">
        <v>286500</v>
      </c>
      <c r="DQ27" s="79">
        <v>0</v>
      </c>
      <c r="DR27" s="79">
        <v>286500</v>
      </c>
      <c r="DS27" s="79">
        <v>581531</v>
      </c>
      <c r="DT27" s="79">
        <v>261419</v>
      </c>
      <c r="DU27" s="79">
        <v>167817</v>
      </c>
      <c r="DV27" s="79">
        <v>529864</v>
      </c>
      <c r="DW27" s="79">
        <v>0</v>
      </c>
      <c r="DX27" s="79">
        <v>1540631</v>
      </c>
      <c r="DY27" s="79">
        <v>1373215</v>
      </c>
      <c r="DZ27" s="79">
        <v>672588</v>
      </c>
      <c r="EA27" s="79">
        <v>446257</v>
      </c>
      <c r="EB27" s="79">
        <v>1999202</v>
      </c>
      <c r="EC27" s="79">
        <v>0</v>
      </c>
      <c r="ED27" s="79">
        <v>4491262</v>
      </c>
      <c r="EE27" s="79">
        <v>687579</v>
      </c>
      <c r="EF27" s="79">
        <v>32216</v>
      </c>
      <c r="EG27" s="79">
        <v>30907</v>
      </c>
      <c r="EH27" s="79">
        <v>611036</v>
      </c>
      <c r="EI27" s="79">
        <v>0</v>
      </c>
      <c r="EJ27" s="79">
        <v>1361738</v>
      </c>
      <c r="EK27" s="79">
        <v>4027347</v>
      </c>
      <c r="EL27" s="79">
        <v>457289</v>
      </c>
      <c r="EM27" s="79">
        <v>268671</v>
      </c>
      <c r="EN27" s="79">
        <v>704296</v>
      </c>
      <c r="EO27" s="79">
        <v>3095981</v>
      </c>
      <c r="EP27" s="79">
        <v>8553584</v>
      </c>
      <c r="EQ27" s="79">
        <v>0</v>
      </c>
      <c r="ER27" s="79">
        <v>0</v>
      </c>
      <c r="ES27" s="79">
        <v>0</v>
      </c>
      <c r="ET27" s="79">
        <v>0</v>
      </c>
      <c r="EU27" s="79">
        <v>1590005</v>
      </c>
      <c r="EV27" s="79">
        <v>1590005</v>
      </c>
      <c r="EW27" s="79">
        <v>0</v>
      </c>
      <c r="EX27" s="79">
        <v>0</v>
      </c>
      <c r="EY27" s="79">
        <v>0</v>
      </c>
      <c r="EZ27" s="79">
        <v>0</v>
      </c>
      <c r="FA27" s="79">
        <v>57891</v>
      </c>
      <c r="FB27" s="79">
        <v>57891</v>
      </c>
      <c r="FC27" s="79">
        <v>3014260</v>
      </c>
      <c r="FD27" s="79">
        <v>609998</v>
      </c>
      <c r="FE27" s="79">
        <v>214408</v>
      </c>
      <c r="FF27" s="79">
        <v>2780957</v>
      </c>
      <c r="FG27" s="79">
        <v>17946566</v>
      </c>
      <c r="FH27" s="79">
        <v>24566189</v>
      </c>
      <c r="FI27" s="79">
        <v>0</v>
      </c>
      <c r="FJ27" s="79">
        <v>0</v>
      </c>
      <c r="FK27" s="79">
        <v>0</v>
      </c>
      <c r="FL27" s="79">
        <v>0</v>
      </c>
      <c r="FM27" s="79">
        <v>1033257</v>
      </c>
      <c r="FN27" s="79">
        <v>1033257</v>
      </c>
      <c r="FO27" s="79">
        <v>0</v>
      </c>
      <c r="FP27" s="79">
        <v>0</v>
      </c>
      <c r="FQ27" s="79">
        <v>0</v>
      </c>
      <c r="FR27" s="79">
        <v>0</v>
      </c>
      <c r="FS27" s="79">
        <v>0</v>
      </c>
      <c r="FT27" s="79">
        <v>0</v>
      </c>
      <c r="FU27" s="79">
        <v>0</v>
      </c>
      <c r="FV27" s="79">
        <v>0</v>
      </c>
      <c r="FW27" s="79">
        <v>0</v>
      </c>
      <c r="FX27" s="79">
        <v>0</v>
      </c>
      <c r="FY27" s="79">
        <v>1588413</v>
      </c>
      <c r="FZ27" s="79">
        <v>1588413</v>
      </c>
      <c r="GA27" s="79">
        <v>0</v>
      </c>
      <c r="GB27" s="79">
        <v>0</v>
      </c>
      <c r="GC27" s="79">
        <v>0</v>
      </c>
      <c r="GD27" s="79">
        <v>20633</v>
      </c>
      <c r="GE27" s="79">
        <v>82035</v>
      </c>
      <c r="GF27" s="79">
        <v>102668</v>
      </c>
      <c r="GG27" s="79">
        <v>401827</v>
      </c>
      <c r="GH27" s="79">
        <v>23366</v>
      </c>
      <c r="GI27" s="79">
        <v>5897</v>
      </c>
      <c r="GJ27" s="79">
        <v>118084</v>
      </c>
      <c r="GK27" s="79">
        <v>4351875</v>
      </c>
      <c r="GL27" s="79">
        <v>4901049</v>
      </c>
      <c r="GM27" s="79">
        <v>26325257</v>
      </c>
      <c r="GN27" s="79">
        <v>5953014</v>
      </c>
      <c r="GO27" s="79">
        <v>3859790</v>
      </c>
      <c r="GP27" s="79">
        <v>20666500</v>
      </c>
      <c r="GQ27" s="79">
        <v>40100065</v>
      </c>
      <c r="GR27" s="79">
        <v>96904626</v>
      </c>
      <c r="GS27" s="79">
        <v>0</v>
      </c>
      <c r="GT27" s="79">
        <v>0</v>
      </c>
      <c r="GU27" s="79">
        <v>0</v>
      </c>
      <c r="GV27" s="79">
        <v>0</v>
      </c>
      <c r="GW27" s="79">
        <v>4000000</v>
      </c>
      <c r="GX27" s="79">
        <v>4000000</v>
      </c>
      <c r="GY27" s="79">
        <v>26325257</v>
      </c>
      <c r="GZ27" s="79">
        <v>5953014</v>
      </c>
      <c r="HA27" s="79">
        <v>3859790</v>
      </c>
      <c r="HB27" s="79">
        <v>20666500</v>
      </c>
      <c r="HC27" s="79">
        <v>44100065</v>
      </c>
      <c r="HD27" s="79">
        <v>100904626</v>
      </c>
      <c r="HF27" s="7">
        <f>SUM(AZ27:AZ27)</f>
        <v>22514767</v>
      </c>
      <c r="HG27" s="7" t="e">
        <f>#REF!-HF27</f>
        <v>#REF!</v>
      </c>
      <c r="HH27" s="7" t="e">
        <f>SUM(#REF!)</f>
        <v>#REF!</v>
      </c>
      <c r="HI27" s="7" t="e">
        <f>#REF!-HH27</f>
        <v>#REF!</v>
      </c>
      <c r="HJ27" s="7">
        <f>SUM(BA27:BA27)</f>
        <v>0</v>
      </c>
      <c r="HK27" s="7" t="e">
        <f>#REF!-HJ27</f>
        <v>#REF!</v>
      </c>
      <c r="HL27" s="7">
        <f>SUM(BB27:BB27)</f>
        <v>27713657</v>
      </c>
      <c r="HM27" s="7" t="e">
        <f>#REF!-HL27</f>
        <v>#REF!</v>
      </c>
      <c r="HN27" s="7" t="e">
        <f>SUM(#REF!)</f>
        <v>#REF!</v>
      </c>
      <c r="HO27" s="7" t="e">
        <f>#REF!-HN27</f>
        <v>#REF!</v>
      </c>
      <c r="HP27" s="7" t="e">
        <f>SUM(#REF!)</f>
        <v>#REF!</v>
      </c>
      <c r="HQ27" s="7" t="e">
        <f>#REF!-HP27</f>
        <v>#REF!</v>
      </c>
      <c r="HR27" s="7" t="e">
        <f>SUM(#REF!)</f>
        <v>#REF!</v>
      </c>
      <c r="HS27" s="7" t="e">
        <f>#REF!-HR27</f>
        <v>#REF!</v>
      </c>
      <c r="HT27" s="7" t="e">
        <f>SUM(#REF!)</f>
        <v>#REF!</v>
      </c>
      <c r="HU27" s="7" t="e">
        <f>#REF!-HT27</f>
        <v>#REF!</v>
      </c>
      <c r="HV27" s="7" t="e">
        <f>SUM(#REF!)</f>
        <v>#REF!</v>
      </c>
      <c r="HW27" s="7" t="e">
        <f>#REF!-HV27</f>
        <v>#REF!</v>
      </c>
      <c r="HX27" s="7" t="e">
        <f>SUM(#REF!)</f>
        <v>#REF!</v>
      </c>
      <c r="HY27" s="7" t="e">
        <f>#REF!-HX27</f>
        <v>#REF!</v>
      </c>
      <c r="HZ27" s="7">
        <f>SUM(BC27:BC27)</f>
        <v>1304015</v>
      </c>
      <c r="IA27" s="7" t="e">
        <f>#REF!-HZ27</f>
        <v>#REF!</v>
      </c>
      <c r="IB27" s="7">
        <f>SUM(BD27:BD27)</f>
        <v>5632768</v>
      </c>
      <c r="IC27" s="7" t="e">
        <f>#REF!-IB27</f>
        <v>#REF!</v>
      </c>
      <c r="ID27" s="7">
        <f t="shared" si="1"/>
        <v>343122</v>
      </c>
      <c r="IE27" s="7">
        <f t="shared" si="2"/>
        <v>0</v>
      </c>
      <c r="IF27" s="7">
        <f t="shared" si="3"/>
        <v>2037754</v>
      </c>
      <c r="IG27" s="7">
        <f t="shared" si="4"/>
        <v>0</v>
      </c>
      <c r="IH27" s="7">
        <f t="shared" si="5"/>
        <v>1017753</v>
      </c>
      <c r="II27" s="7">
        <f t="shared" si="6"/>
        <v>0</v>
      </c>
      <c r="IJ27" s="7">
        <f t="shared" si="7"/>
        <v>98120889</v>
      </c>
      <c r="IK27" s="7">
        <f t="shared" si="8"/>
        <v>0</v>
      </c>
      <c r="IL27" s="7">
        <f t="shared" si="9"/>
        <v>10788843</v>
      </c>
      <c r="IM27" s="7">
        <f t="shared" si="10"/>
        <v>0</v>
      </c>
      <c r="IN27" s="7">
        <f t="shared" si="11"/>
        <v>3440506</v>
      </c>
      <c r="IO27" s="7">
        <f t="shared" si="12"/>
        <v>0</v>
      </c>
      <c r="IP27" s="7">
        <f t="shared" si="13"/>
        <v>17415006</v>
      </c>
      <c r="IQ27" s="7">
        <f t="shared" si="14"/>
        <v>0</v>
      </c>
      <c r="IR27" s="7">
        <f t="shared" si="15"/>
        <v>0</v>
      </c>
      <c r="IS27" s="7">
        <f t="shared" si="16"/>
        <v>0</v>
      </c>
      <c r="IT27" s="7">
        <f t="shared" si="17"/>
        <v>15187084</v>
      </c>
      <c r="IU27" s="7">
        <f t="shared" si="18"/>
        <v>0</v>
      </c>
      <c r="IV27" s="7">
        <f t="shared" si="19"/>
        <v>0</v>
      </c>
      <c r="IW27" s="7">
        <f t="shared" si="20"/>
        <v>0</v>
      </c>
      <c r="IX27" s="7">
        <f t="shared" si="21"/>
        <v>286500</v>
      </c>
      <c r="IY27" s="7">
        <f t="shared" si="22"/>
        <v>0</v>
      </c>
      <c r="IZ27" s="7">
        <f t="shared" si="23"/>
        <v>1540631</v>
      </c>
      <c r="JA27" s="7">
        <f t="shared" si="24"/>
        <v>0</v>
      </c>
      <c r="JB27" s="7">
        <f t="shared" si="25"/>
        <v>4491262</v>
      </c>
      <c r="JC27" s="7">
        <f t="shared" si="26"/>
        <v>0</v>
      </c>
      <c r="JD27" s="7">
        <f t="shared" si="27"/>
        <v>1361738</v>
      </c>
      <c r="JE27" s="7">
        <f t="shared" si="28"/>
        <v>0</v>
      </c>
      <c r="JF27" s="7">
        <f t="shared" si="29"/>
        <v>8553584</v>
      </c>
      <c r="JG27" s="7">
        <f t="shared" si="30"/>
        <v>0</v>
      </c>
      <c r="JH27" s="7">
        <f t="shared" si="31"/>
        <v>1590005</v>
      </c>
      <c r="JI27" s="7">
        <f t="shared" si="32"/>
        <v>0</v>
      </c>
      <c r="JJ27" s="7">
        <f t="shared" si="33"/>
        <v>57891</v>
      </c>
      <c r="JK27" s="7">
        <f t="shared" si="34"/>
        <v>0</v>
      </c>
      <c r="JL27" s="7">
        <f t="shared" si="35"/>
        <v>24566189</v>
      </c>
      <c r="JM27" s="7">
        <f t="shared" si="36"/>
        <v>0</v>
      </c>
      <c r="JN27" s="7">
        <f t="shared" si="37"/>
        <v>1033257</v>
      </c>
      <c r="JO27" s="7">
        <f t="shared" si="38"/>
        <v>0</v>
      </c>
      <c r="JP27" s="7">
        <f t="shared" si="39"/>
        <v>0</v>
      </c>
      <c r="JQ27" s="7">
        <f t="shared" si="40"/>
        <v>0</v>
      </c>
      <c r="JR27" s="7">
        <f t="shared" si="41"/>
        <v>1588413</v>
      </c>
      <c r="JS27" s="7">
        <f t="shared" si="42"/>
        <v>0</v>
      </c>
      <c r="JT27" s="7">
        <f t="shared" si="43"/>
        <v>102668</v>
      </c>
      <c r="JU27" s="7">
        <f t="shared" si="44"/>
        <v>0</v>
      </c>
      <c r="JV27" s="7">
        <f t="shared" si="45"/>
        <v>4901049</v>
      </c>
      <c r="JW27" s="7">
        <f t="shared" si="46"/>
        <v>0</v>
      </c>
      <c r="JX27" s="7">
        <f t="shared" si="47"/>
        <v>96904626</v>
      </c>
      <c r="JY27" s="7">
        <f t="shared" si="48"/>
        <v>0</v>
      </c>
      <c r="JZ27" s="7">
        <f t="shared" si="49"/>
        <v>4000000</v>
      </c>
      <c r="KA27" s="7">
        <f t="shared" si="50"/>
        <v>0</v>
      </c>
      <c r="KB27" s="7">
        <f t="shared" si="51"/>
        <v>100904626</v>
      </c>
      <c r="KC27" s="7">
        <f t="shared" si="52"/>
        <v>0</v>
      </c>
      <c r="KE27" s="7" t="e">
        <f t="shared" si="0"/>
        <v>#REF!</v>
      </c>
      <c r="KG27" s="5" t="e">
        <f t="shared" si="53"/>
        <v>#REF!</v>
      </c>
    </row>
    <row r="28" spans="1:293" x14ac:dyDescent="0.15">
      <c r="A28" s="119" t="s">
        <v>243</v>
      </c>
      <c r="B28" s="17" t="s">
        <v>344</v>
      </c>
      <c r="C28" s="38">
        <v>228723</v>
      </c>
      <c r="D28" s="38">
        <v>2013</v>
      </c>
      <c r="E28" s="38">
        <v>1</v>
      </c>
      <c r="F28" s="38">
        <v>1</v>
      </c>
      <c r="G28" s="39">
        <v>9733</v>
      </c>
      <c r="H28" s="39">
        <v>4794</v>
      </c>
      <c r="I28" s="40">
        <v>1311667293</v>
      </c>
      <c r="J28" s="40"/>
      <c r="K28" s="40">
        <v>8592512</v>
      </c>
      <c r="L28" s="40"/>
      <c r="M28" s="40">
        <v>44441888</v>
      </c>
      <c r="N28" s="40"/>
      <c r="O28" s="40">
        <v>223014281</v>
      </c>
      <c r="P28" s="40"/>
      <c r="Q28" s="40">
        <v>496458923</v>
      </c>
      <c r="R28" s="40"/>
      <c r="S28" s="40">
        <v>1240101145</v>
      </c>
      <c r="T28" s="40"/>
      <c r="U28" s="40">
        <v>20634</v>
      </c>
      <c r="V28" s="40"/>
      <c r="W28" s="40">
        <v>39938</v>
      </c>
      <c r="X28" s="40"/>
      <c r="Y28" s="40">
        <v>22254</v>
      </c>
      <c r="Z28" s="40"/>
      <c r="AA28" s="40">
        <v>41558</v>
      </c>
      <c r="AB28" s="40"/>
      <c r="AC28" s="59">
        <v>9</v>
      </c>
      <c r="AD28" s="59">
        <v>8</v>
      </c>
      <c r="AE28" s="59">
        <v>0</v>
      </c>
      <c r="AF28" s="57">
        <v>5829250</v>
      </c>
      <c r="AG28" s="57">
        <v>2775462</v>
      </c>
      <c r="AH28" s="57">
        <v>1070742</v>
      </c>
      <c r="AI28" s="57">
        <v>290657</v>
      </c>
      <c r="AJ28" s="57">
        <v>747584.62</v>
      </c>
      <c r="AK28" s="58">
        <v>6.5</v>
      </c>
      <c r="AL28" s="57">
        <v>694185.71</v>
      </c>
      <c r="AM28" s="58">
        <v>7</v>
      </c>
      <c r="AN28" s="57">
        <v>222708.55</v>
      </c>
      <c r="AO28" s="58">
        <v>5.5</v>
      </c>
      <c r="AP28" s="57">
        <v>204149.5</v>
      </c>
      <c r="AQ28" s="58">
        <v>6</v>
      </c>
      <c r="AR28" s="57">
        <v>215496.67</v>
      </c>
      <c r="AS28" s="58">
        <v>18</v>
      </c>
      <c r="AT28" s="57">
        <v>193947</v>
      </c>
      <c r="AU28" s="58">
        <v>20</v>
      </c>
      <c r="AV28" s="57">
        <v>97610.5</v>
      </c>
      <c r="AW28" s="58">
        <v>10</v>
      </c>
      <c r="AX28" s="57">
        <v>81342.080000000002</v>
      </c>
      <c r="AY28" s="58">
        <v>12</v>
      </c>
      <c r="AZ28" s="87">
        <v>6718772</v>
      </c>
      <c r="BA28" s="87">
        <v>450000</v>
      </c>
      <c r="BB28" s="87">
        <v>6511055</v>
      </c>
      <c r="BC28" s="87">
        <v>1127192</v>
      </c>
      <c r="BD28" s="87">
        <v>300733</v>
      </c>
      <c r="BE28" s="87">
        <v>0</v>
      </c>
      <c r="BF28" s="87">
        <v>0</v>
      </c>
      <c r="BG28" s="87"/>
      <c r="BH28" s="87">
        <v>0</v>
      </c>
      <c r="BI28" s="87">
        <v>0</v>
      </c>
      <c r="BJ28" s="87">
        <v>0</v>
      </c>
      <c r="BK28" s="87">
        <v>215174</v>
      </c>
      <c r="BL28" s="87">
        <v>106200</v>
      </c>
      <c r="BM28" s="87">
        <v>28000</v>
      </c>
      <c r="BN28" s="87">
        <v>1058014</v>
      </c>
      <c r="BO28" s="93">
        <v>2192982</v>
      </c>
      <c r="BP28" s="87">
        <v>3600370</v>
      </c>
      <c r="BQ28" s="87">
        <v>0</v>
      </c>
      <c r="BR28" s="87">
        <v>0</v>
      </c>
      <c r="BS28" s="87">
        <v>0</v>
      </c>
      <c r="BT28" s="87">
        <v>0</v>
      </c>
      <c r="BU28" s="87">
        <v>851713</v>
      </c>
      <c r="BV28" s="87">
        <v>851713</v>
      </c>
      <c r="BW28" s="87">
        <v>30745256</v>
      </c>
      <c r="BX28" s="87">
        <v>6059937</v>
      </c>
      <c r="BY28" s="87">
        <v>438190</v>
      </c>
      <c r="BZ28" s="87">
        <v>2049149</v>
      </c>
      <c r="CA28" s="87">
        <v>22488280</v>
      </c>
      <c r="CB28" s="87">
        <v>61780812</v>
      </c>
      <c r="CC28" s="87">
        <v>3904727</v>
      </c>
      <c r="CD28" s="87">
        <v>500679</v>
      </c>
      <c r="CE28" s="87">
        <v>739633</v>
      </c>
      <c r="CF28" s="87">
        <v>3459673</v>
      </c>
      <c r="CG28" s="87">
        <v>325530</v>
      </c>
      <c r="CH28" s="87">
        <v>8930242</v>
      </c>
      <c r="CI28" s="87">
        <v>975000</v>
      </c>
      <c r="CJ28" s="87">
        <v>385000</v>
      </c>
      <c r="CK28" s="87">
        <v>39000</v>
      </c>
      <c r="CL28" s="87">
        <v>24204</v>
      </c>
      <c r="CM28" s="87">
        <v>0</v>
      </c>
      <c r="CN28" s="87">
        <v>1423204</v>
      </c>
      <c r="CO28" s="87">
        <v>5327406</v>
      </c>
      <c r="CP28" s="87">
        <v>1808055</v>
      </c>
      <c r="CQ28" s="87">
        <v>1073652</v>
      </c>
      <c r="CR28" s="87">
        <v>2730129</v>
      </c>
      <c r="CS28" s="87">
        <v>0</v>
      </c>
      <c r="CT28" s="87">
        <v>10939242</v>
      </c>
      <c r="CU28" s="87">
        <v>0</v>
      </c>
      <c r="CV28" s="87">
        <v>0</v>
      </c>
      <c r="CW28" s="87">
        <v>0</v>
      </c>
      <c r="CX28" s="87">
        <v>0</v>
      </c>
      <c r="CY28" s="87">
        <v>0</v>
      </c>
      <c r="CZ28" s="87">
        <v>0</v>
      </c>
      <c r="DA28" s="87">
        <v>573304</v>
      </c>
      <c r="DB28" s="87">
        <v>213896</v>
      </c>
      <c r="DC28" s="87">
        <v>273761</v>
      </c>
      <c r="DD28" s="87">
        <v>61799</v>
      </c>
      <c r="DE28" s="87">
        <v>9089765</v>
      </c>
      <c r="DF28" s="87">
        <v>10212525</v>
      </c>
      <c r="DG28" s="87">
        <v>0</v>
      </c>
      <c r="DH28" s="87">
        <v>0</v>
      </c>
      <c r="DI28" s="87">
        <v>0</v>
      </c>
      <c r="DJ28" s="87">
        <v>0</v>
      </c>
      <c r="DK28" s="87">
        <v>0</v>
      </c>
      <c r="DL28" s="87">
        <v>0</v>
      </c>
      <c r="DM28" s="87">
        <v>0</v>
      </c>
      <c r="DN28" s="87">
        <v>906250</v>
      </c>
      <c r="DO28" s="87">
        <v>0</v>
      </c>
      <c r="DP28" s="87">
        <v>0</v>
      </c>
      <c r="DQ28" s="87">
        <v>0</v>
      </c>
      <c r="DR28" s="87">
        <v>906250</v>
      </c>
      <c r="DS28" s="87">
        <v>746590</v>
      </c>
      <c r="DT28" s="87">
        <v>185384</v>
      </c>
      <c r="DU28" s="87">
        <v>159765</v>
      </c>
      <c r="DV28" s="87">
        <v>269660</v>
      </c>
      <c r="DW28" s="87">
        <v>27</v>
      </c>
      <c r="DX28" s="87">
        <v>1361426</v>
      </c>
      <c r="DY28" s="87">
        <v>2839023</v>
      </c>
      <c r="DZ28" s="87">
        <v>535434</v>
      </c>
      <c r="EA28" s="87">
        <v>485680</v>
      </c>
      <c r="EB28" s="87">
        <v>1111766</v>
      </c>
      <c r="EC28" s="87">
        <v>0</v>
      </c>
      <c r="ED28" s="87">
        <v>4971903</v>
      </c>
      <c r="EE28" s="87">
        <v>584250</v>
      </c>
      <c r="EF28" s="87">
        <v>68668</v>
      </c>
      <c r="EG28" s="87">
        <v>94985</v>
      </c>
      <c r="EH28" s="87">
        <v>442001</v>
      </c>
      <c r="EI28" s="87">
        <v>157638</v>
      </c>
      <c r="EJ28" s="87">
        <v>1347542</v>
      </c>
      <c r="EK28" s="87">
        <v>1973597</v>
      </c>
      <c r="EL28" s="87">
        <v>611781</v>
      </c>
      <c r="EM28" s="87">
        <v>190125</v>
      </c>
      <c r="EN28" s="87">
        <v>192857</v>
      </c>
      <c r="EO28" s="87">
        <v>146685</v>
      </c>
      <c r="EP28" s="87">
        <v>3115045</v>
      </c>
      <c r="EQ28" s="87">
        <v>769593</v>
      </c>
      <c r="ER28" s="87">
        <v>217760</v>
      </c>
      <c r="ES28" s="87">
        <v>20293</v>
      </c>
      <c r="ET28" s="87">
        <v>2844</v>
      </c>
      <c r="EU28" s="87">
        <v>712520</v>
      </c>
      <c r="EV28" s="87">
        <v>1723010</v>
      </c>
      <c r="EW28" s="87">
        <v>0</v>
      </c>
      <c r="EX28" s="87">
        <v>0</v>
      </c>
      <c r="EY28" s="87">
        <v>0</v>
      </c>
      <c r="EZ28" s="87">
        <v>0</v>
      </c>
      <c r="FA28" s="87">
        <v>0</v>
      </c>
      <c r="FB28" s="87">
        <v>0</v>
      </c>
      <c r="FC28" s="87">
        <v>2000580</v>
      </c>
      <c r="FD28" s="87">
        <v>548316</v>
      </c>
      <c r="FE28" s="87">
        <v>528621</v>
      </c>
      <c r="FF28" s="87">
        <v>769501</v>
      </c>
      <c r="FG28" s="87">
        <v>10086211</v>
      </c>
      <c r="FH28" s="87">
        <v>13933229</v>
      </c>
      <c r="FI28" s="87">
        <v>0</v>
      </c>
      <c r="FJ28" s="87">
        <v>0</v>
      </c>
      <c r="FK28" s="87">
        <v>0</v>
      </c>
      <c r="FL28" s="87">
        <v>0</v>
      </c>
      <c r="FM28" s="87">
        <v>196041</v>
      </c>
      <c r="FN28" s="87">
        <v>196041</v>
      </c>
      <c r="FO28" s="87">
        <v>0</v>
      </c>
      <c r="FP28" s="87">
        <v>0</v>
      </c>
      <c r="FQ28" s="87">
        <v>0</v>
      </c>
      <c r="FR28" s="87">
        <v>0</v>
      </c>
      <c r="FS28" s="87">
        <v>0</v>
      </c>
      <c r="FT28" s="87">
        <v>0</v>
      </c>
      <c r="FU28" s="87">
        <v>0</v>
      </c>
      <c r="FV28" s="87">
        <v>0</v>
      </c>
      <c r="FW28" s="87">
        <v>0</v>
      </c>
      <c r="FX28" s="87">
        <v>0</v>
      </c>
      <c r="FY28" s="87">
        <v>731559</v>
      </c>
      <c r="FZ28" s="87">
        <v>731559</v>
      </c>
      <c r="GA28" s="87">
        <v>1988</v>
      </c>
      <c r="GB28" s="87">
        <v>6300</v>
      </c>
      <c r="GC28" s="87">
        <v>1593</v>
      </c>
      <c r="GD28" s="87">
        <v>28445</v>
      </c>
      <c r="GE28" s="87">
        <v>0</v>
      </c>
      <c r="GF28" s="87">
        <v>38326</v>
      </c>
      <c r="GG28" s="87">
        <v>17715</v>
      </c>
      <c r="GH28" s="87">
        <v>104930</v>
      </c>
      <c r="GI28" s="87">
        <v>127855</v>
      </c>
      <c r="GJ28" s="87">
        <v>83959</v>
      </c>
      <c r="GK28" s="87">
        <v>3466958</v>
      </c>
      <c r="GL28" s="87">
        <v>3801417</v>
      </c>
      <c r="GM28" s="87">
        <v>19713773</v>
      </c>
      <c r="GN28" s="87">
        <v>6092453</v>
      </c>
      <c r="GO28" s="87">
        <v>3734963</v>
      </c>
      <c r="GP28" s="87">
        <v>9176838</v>
      </c>
      <c r="GQ28" s="87">
        <v>24912934</v>
      </c>
      <c r="GR28" s="87">
        <v>63630961</v>
      </c>
      <c r="GS28" s="87">
        <v>0</v>
      </c>
      <c r="GT28" s="93">
        <v>0</v>
      </c>
      <c r="GU28" s="87">
        <v>0</v>
      </c>
      <c r="GV28" s="87">
        <v>0</v>
      </c>
      <c r="GW28" s="87">
        <v>0</v>
      </c>
      <c r="GX28" s="87">
        <v>0</v>
      </c>
      <c r="GY28" s="87">
        <v>19713773</v>
      </c>
      <c r="GZ28" s="87">
        <v>6092453</v>
      </c>
      <c r="HA28" s="87">
        <v>3734963</v>
      </c>
      <c r="HB28" s="87">
        <v>9176838</v>
      </c>
      <c r="HC28" s="87">
        <v>24912934</v>
      </c>
      <c r="HD28" s="87">
        <v>63630961</v>
      </c>
      <c r="HF28" s="7">
        <f>SUM(AZ28:AZ28)</f>
        <v>6718772</v>
      </c>
      <c r="HG28" s="7" t="e">
        <f>#REF!-HF28</f>
        <v>#REF!</v>
      </c>
      <c r="HH28" s="7" t="e">
        <f>SUM(#REF!)</f>
        <v>#REF!</v>
      </c>
      <c r="HI28" s="7" t="e">
        <f>#REF!-HH28</f>
        <v>#REF!</v>
      </c>
      <c r="HJ28" s="7">
        <f>SUM(BA28:BA28)</f>
        <v>450000</v>
      </c>
      <c r="HK28" s="7" t="e">
        <f>#REF!-HJ28</f>
        <v>#REF!</v>
      </c>
      <c r="HL28" s="7">
        <f>SUM(BB28:BB28)</f>
        <v>6511055</v>
      </c>
      <c r="HM28" s="7" t="e">
        <f>#REF!-HL28</f>
        <v>#REF!</v>
      </c>
      <c r="HN28" s="7" t="e">
        <f>SUM(#REF!)</f>
        <v>#REF!</v>
      </c>
      <c r="HO28" s="7" t="e">
        <f>#REF!-HN28</f>
        <v>#REF!</v>
      </c>
      <c r="HP28" s="7" t="e">
        <f>SUM(#REF!)</f>
        <v>#REF!</v>
      </c>
      <c r="HQ28" s="7" t="e">
        <f>#REF!-HP28</f>
        <v>#REF!</v>
      </c>
      <c r="HR28" s="7" t="e">
        <f>SUM(#REF!)</f>
        <v>#REF!</v>
      </c>
      <c r="HS28" s="7" t="e">
        <f>#REF!-HR28</f>
        <v>#REF!</v>
      </c>
      <c r="HT28" s="7" t="e">
        <f>SUM(#REF!)</f>
        <v>#REF!</v>
      </c>
      <c r="HU28" s="7" t="e">
        <f>#REF!-HT28</f>
        <v>#REF!</v>
      </c>
      <c r="HV28" s="7" t="e">
        <f>SUM(#REF!)</f>
        <v>#REF!</v>
      </c>
      <c r="HW28" s="7" t="e">
        <f>#REF!-HV28</f>
        <v>#REF!</v>
      </c>
      <c r="HX28" s="7" t="e">
        <f>SUM(#REF!)</f>
        <v>#REF!</v>
      </c>
      <c r="HY28" s="7" t="e">
        <f>#REF!-HX28</f>
        <v>#REF!</v>
      </c>
      <c r="HZ28" s="7">
        <f>SUM(BC28:BC28)</f>
        <v>1127192</v>
      </c>
      <c r="IA28" s="7" t="e">
        <f>#REF!-HZ28</f>
        <v>#REF!</v>
      </c>
      <c r="IB28" s="7">
        <f>SUM(BD28:BD28)</f>
        <v>300733</v>
      </c>
      <c r="IC28" s="7" t="e">
        <f>#REF!-IB28</f>
        <v>#REF!</v>
      </c>
      <c r="ID28" s="7">
        <f t="shared" si="1"/>
        <v>0</v>
      </c>
      <c r="IE28" s="7">
        <f t="shared" si="2"/>
        <v>0</v>
      </c>
      <c r="IF28" s="7">
        <f t="shared" si="3"/>
        <v>3600370</v>
      </c>
      <c r="IG28" s="7">
        <f t="shared" si="4"/>
        <v>0</v>
      </c>
      <c r="IH28" s="7">
        <f t="shared" si="5"/>
        <v>851713</v>
      </c>
      <c r="II28" s="7">
        <f t="shared" si="6"/>
        <v>0</v>
      </c>
      <c r="IJ28" s="7">
        <f t="shared" si="7"/>
        <v>61780812</v>
      </c>
      <c r="IK28" s="7">
        <f t="shared" si="8"/>
        <v>0</v>
      </c>
      <c r="IL28" s="7">
        <f t="shared" si="9"/>
        <v>8930242</v>
      </c>
      <c r="IM28" s="7">
        <f t="shared" si="10"/>
        <v>0</v>
      </c>
      <c r="IN28" s="7">
        <f t="shared" si="11"/>
        <v>1423204</v>
      </c>
      <c r="IO28" s="7">
        <f t="shared" si="12"/>
        <v>0</v>
      </c>
      <c r="IP28" s="7">
        <f t="shared" si="13"/>
        <v>10939242</v>
      </c>
      <c r="IQ28" s="7">
        <f t="shared" si="14"/>
        <v>0</v>
      </c>
      <c r="IR28" s="7">
        <f t="shared" si="15"/>
        <v>0</v>
      </c>
      <c r="IS28" s="7">
        <f t="shared" si="16"/>
        <v>0</v>
      </c>
      <c r="IT28" s="7">
        <f t="shared" si="17"/>
        <v>10212525</v>
      </c>
      <c r="IU28" s="7">
        <f t="shared" si="18"/>
        <v>0</v>
      </c>
      <c r="IV28" s="7">
        <f t="shared" si="19"/>
        <v>0</v>
      </c>
      <c r="IW28" s="7">
        <f t="shared" si="20"/>
        <v>0</v>
      </c>
      <c r="IX28" s="7">
        <f t="shared" si="21"/>
        <v>906250</v>
      </c>
      <c r="IY28" s="7">
        <f t="shared" si="22"/>
        <v>0</v>
      </c>
      <c r="IZ28" s="7">
        <f t="shared" si="23"/>
        <v>1361426</v>
      </c>
      <c r="JA28" s="7">
        <f t="shared" si="24"/>
        <v>0</v>
      </c>
      <c r="JB28" s="7">
        <f t="shared" si="25"/>
        <v>4971903</v>
      </c>
      <c r="JC28" s="7">
        <f t="shared" si="26"/>
        <v>0</v>
      </c>
      <c r="JD28" s="7">
        <f t="shared" si="27"/>
        <v>1347542</v>
      </c>
      <c r="JE28" s="7">
        <f t="shared" si="28"/>
        <v>0</v>
      </c>
      <c r="JF28" s="7">
        <f t="shared" si="29"/>
        <v>3115045</v>
      </c>
      <c r="JG28" s="7">
        <f t="shared" si="30"/>
        <v>0</v>
      </c>
      <c r="JH28" s="7">
        <f t="shared" si="31"/>
        <v>1723010</v>
      </c>
      <c r="JI28" s="7">
        <f t="shared" si="32"/>
        <v>0</v>
      </c>
      <c r="JJ28" s="7">
        <f t="shared" si="33"/>
        <v>0</v>
      </c>
      <c r="JK28" s="7">
        <f t="shared" si="34"/>
        <v>0</v>
      </c>
      <c r="JL28" s="7">
        <f t="shared" si="35"/>
        <v>13933229</v>
      </c>
      <c r="JM28" s="7">
        <f t="shared" si="36"/>
        <v>0</v>
      </c>
      <c r="JN28" s="7">
        <f t="shared" si="37"/>
        <v>196041</v>
      </c>
      <c r="JO28" s="7">
        <f t="shared" si="38"/>
        <v>0</v>
      </c>
      <c r="JP28" s="7">
        <f t="shared" si="39"/>
        <v>0</v>
      </c>
      <c r="JQ28" s="7">
        <f t="shared" si="40"/>
        <v>0</v>
      </c>
      <c r="JR28" s="7">
        <f t="shared" si="41"/>
        <v>731559</v>
      </c>
      <c r="JS28" s="7">
        <f t="shared" si="42"/>
        <v>0</v>
      </c>
      <c r="JT28" s="7">
        <f t="shared" si="43"/>
        <v>38326</v>
      </c>
      <c r="JU28" s="7">
        <f t="shared" si="44"/>
        <v>0</v>
      </c>
      <c r="JV28" s="7">
        <f t="shared" si="45"/>
        <v>3801417</v>
      </c>
      <c r="JW28" s="7">
        <f t="shared" si="46"/>
        <v>0</v>
      </c>
      <c r="JX28" s="7">
        <f t="shared" si="47"/>
        <v>63630961</v>
      </c>
      <c r="JY28" s="7">
        <f t="shared" si="48"/>
        <v>0</v>
      </c>
      <c r="JZ28" s="7">
        <f t="shared" si="49"/>
        <v>0</v>
      </c>
      <c r="KA28" s="7">
        <f t="shared" si="50"/>
        <v>0</v>
      </c>
      <c r="KB28" s="7">
        <f t="shared" si="51"/>
        <v>63630961</v>
      </c>
      <c r="KC28" s="7">
        <f t="shared" si="52"/>
        <v>0</v>
      </c>
      <c r="KE28" s="7" t="e">
        <f t="shared" si="0"/>
        <v>#REF!</v>
      </c>
      <c r="KG28" s="5" t="e">
        <f t="shared" si="53"/>
        <v>#REF!</v>
      </c>
    </row>
    <row r="29" spans="1:293" x14ac:dyDescent="0.15">
      <c r="A29" s="121" t="s">
        <v>244</v>
      </c>
      <c r="B29" s="17" t="s">
        <v>342</v>
      </c>
      <c r="C29" s="41">
        <v>141574</v>
      </c>
      <c r="D29" s="38">
        <v>2013</v>
      </c>
      <c r="E29" s="38">
        <v>1</v>
      </c>
      <c r="F29" s="38">
        <v>10</v>
      </c>
      <c r="G29" s="39">
        <v>5382</v>
      </c>
      <c r="H29" s="39">
        <v>6339</v>
      </c>
      <c r="I29" s="40">
        <v>1616105000</v>
      </c>
      <c r="J29" s="40"/>
      <c r="K29" s="40">
        <v>0</v>
      </c>
      <c r="L29" s="40"/>
      <c r="M29" s="40">
        <v>45100000</v>
      </c>
      <c r="N29" s="40"/>
      <c r="O29" s="40">
        <v>0</v>
      </c>
      <c r="P29" s="40"/>
      <c r="Q29" s="40">
        <v>608670000</v>
      </c>
      <c r="R29" s="40"/>
      <c r="S29" s="40">
        <v>1616105000</v>
      </c>
      <c r="T29" s="40"/>
      <c r="U29" s="40">
        <v>21243</v>
      </c>
      <c r="V29" s="40"/>
      <c r="W29" s="40">
        <v>37491</v>
      </c>
      <c r="X29" s="40"/>
      <c r="Y29" s="40">
        <v>25029</v>
      </c>
      <c r="Z29" s="40"/>
      <c r="AA29" s="40">
        <v>41277</v>
      </c>
      <c r="AB29" s="40"/>
      <c r="AC29" s="59">
        <v>7</v>
      </c>
      <c r="AD29" s="59">
        <v>13</v>
      </c>
      <c r="AE29" s="59">
        <v>1</v>
      </c>
      <c r="AF29" s="57">
        <v>3875362</v>
      </c>
      <c r="AG29" s="70">
        <v>3290694</v>
      </c>
      <c r="AH29" s="57">
        <v>394914</v>
      </c>
      <c r="AI29" s="57">
        <v>263844</v>
      </c>
      <c r="AJ29" s="57">
        <v>281252.03619909502</v>
      </c>
      <c r="AK29" s="58">
        <v>6.63</v>
      </c>
      <c r="AL29" s="57">
        <v>233087.625</v>
      </c>
      <c r="AM29" s="58">
        <v>8</v>
      </c>
      <c r="AN29" s="57">
        <v>137267.39606126913</v>
      </c>
      <c r="AO29" s="58">
        <v>9.14</v>
      </c>
      <c r="AP29" s="57">
        <v>114056.72727272728</v>
      </c>
      <c r="AQ29" s="58">
        <v>11</v>
      </c>
      <c r="AR29" s="57">
        <v>130838.22393822395</v>
      </c>
      <c r="AS29" s="71">
        <v>18.13</v>
      </c>
      <c r="AT29" s="72">
        <v>91234.5</v>
      </c>
      <c r="AU29" s="71">
        <v>26</v>
      </c>
      <c r="AV29" s="72">
        <v>70921.179624664874</v>
      </c>
      <c r="AW29" s="71">
        <v>14.92</v>
      </c>
      <c r="AX29" s="72">
        <v>55691.789473684214</v>
      </c>
      <c r="AY29" s="71">
        <v>19</v>
      </c>
      <c r="AZ29" s="94">
        <v>3475685</v>
      </c>
      <c r="BA29" s="95">
        <v>736790</v>
      </c>
      <c r="BB29" s="95">
        <v>489912</v>
      </c>
      <c r="BC29" s="97">
        <v>0</v>
      </c>
      <c r="BD29" s="95">
        <v>214943</v>
      </c>
      <c r="BE29" s="95">
        <v>12130</v>
      </c>
      <c r="BF29" s="79">
        <v>47902</v>
      </c>
      <c r="BG29" s="95">
        <v>14498</v>
      </c>
      <c r="BH29" s="95">
        <v>262812</v>
      </c>
      <c r="BI29" s="95">
        <v>16660</v>
      </c>
      <c r="BJ29" s="95">
        <v>354002</v>
      </c>
      <c r="BK29" s="93">
        <v>-7532</v>
      </c>
      <c r="BL29" s="79">
        <v>-947</v>
      </c>
      <c r="BM29" s="79">
        <v>-493</v>
      </c>
      <c r="BN29" s="79">
        <v>-2752</v>
      </c>
      <c r="BO29" s="79">
        <v>556613</v>
      </c>
      <c r="BP29" s="79">
        <v>544889</v>
      </c>
      <c r="BQ29" s="79">
        <v>142566</v>
      </c>
      <c r="BR29" s="79">
        <v>74130</v>
      </c>
      <c r="BS29" s="95">
        <v>4090</v>
      </c>
      <c r="BT29" s="95">
        <v>273488</v>
      </c>
      <c r="BU29" s="95">
        <v>290802</v>
      </c>
      <c r="BV29" s="95">
        <v>785076</v>
      </c>
      <c r="BW29" s="95">
        <v>6128817</v>
      </c>
      <c r="BX29" s="81">
        <v>1548163</v>
      </c>
      <c r="BY29" s="95">
        <v>335576</v>
      </c>
      <c r="BZ29" s="95">
        <v>5578075</v>
      </c>
      <c r="CA29" s="95">
        <v>23426469</v>
      </c>
      <c r="CB29" s="95">
        <v>37017100</v>
      </c>
      <c r="CC29" s="95">
        <v>2325769</v>
      </c>
      <c r="CD29" s="81">
        <v>458227</v>
      </c>
      <c r="CE29" s="95">
        <v>396492</v>
      </c>
      <c r="CF29" s="95">
        <v>3985568</v>
      </c>
      <c r="CG29" s="96">
        <v>974680</v>
      </c>
      <c r="CH29" s="95">
        <v>8140736</v>
      </c>
      <c r="CI29" s="97">
        <v>1244190</v>
      </c>
      <c r="CJ29" s="81">
        <v>240958</v>
      </c>
      <c r="CK29" s="95">
        <v>115140</v>
      </c>
      <c r="CL29" s="95">
        <v>618647</v>
      </c>
      <c r="CM29" s="95">
        <v>0</v>
      </c>
      <c r="CN29" s="95">
        <v>2218935</v>
      </c>
      <c r="CO29" s="95"/>
      <c r="CP29" s="95"/>
      <c r="CQ29" s="95"/>
      <c r="CR29" s="95"/>
      <c r="CS29" s="95"/>
      <c r="CT29" s="95">
        <v>6549566</v>
      </c>
      <c r="CU29" s="95">
        <v>0</v>
      </c>
      <c r="CV29" s="95">
        <v>0</v>
      </c>
      <c r="CW29" s="95">
        <v>0</v>
      </c>
      <c r="CX29" s="95">
        <v>0</v>
      </c>
      <c r="CY29" s="95">
        <v>0</v>
      </c>
      <c r="CZ29" s="96">
        <v>0</v>
      </c>
      <c r="DA29" s="95">
        <v>349369</v>
      </c>
      <c r="DB29" s="96">
        <v>99430</v>
      </c>
      <c r="DC29" s="95">
        <v>45435</v>
      </c>
      <c r="DD29" s="96">
        <v>118621</v>
      </c>
      <c r="DE29" s="95">
        <v>5968259</v>
      </c>
      <c r="DF29" s="95">
        <v>6581114</v>
      </c>
      <c r="DG29" s="95">
        <v>0</v>
      </c>
      <c r="DH29" s="98">
        <v>0</v>
      </c>
      <c r="DI29" s="98">
        <v>0</v>
      </c>
      <c r="DJ29" s="99">
        <v>0</v>
      </c>
      <c r="DK29" s="99">
        <v>0</v>
      </c>
      <c r="DL29" s="98">
        <v>0</v>
      </c>
      <c r="DM29" s="99">
        <v>0</v>
      </c>
      <c r="DN29" s="99">
        <v>0</v>
      </c>
      <c r="DO29" s="98">
        <v>9016</v>
      </c>
      <c r="DP29" s="98">
        <v>0</v>
      </c>
      <c r="DQ29" s="99">
        <v>0</v>
      </c>
      <c r="DR29" s="99">
        <v>9016</v>
      </c>
      <c r="DS29" s="98">
        <v>159833</v>
      </c>
      <c r="DT29" s="99">
        <v>127376</v>
      </c>
      <c r="DU29" s="98">
        <v>78825</v>
      </c>
      <c r="DV29" s="99">
        <v>292724</v>
      </c>
      <c r="DW29" s="98">
        <v>455</v>
      </c>
      <c r="DX29" s="99">
        <v>659213</v>
      </c>
      <c r="DY29" s="98">
        <v>1092536</v>
      </c>
      <c r="DZ29" s="99">
        <v>257241</v>
      </c>
      <c r="EA29" s="98">
        <v>224685</v>
      </c>
      <c r="EB29" s="99">
        <v>1837108</v>
      </c>
      <c r="EC29" s="98">
        <v>0</v>
      </c>
      <c r="ED29" s="99">
        <v>3411570</v>
      </c>
      <c r="EE29" s="98">
        <v>425721</v>
      </c>
      <c r="EF29" s="99">
        <v>28433</v>
      </c>
      <c r="EG29" s="98">
        <v>64497</v>
      </c>
      <c r="EH29" s="99">
        <v>324350</v>
      </c>
      <c r="EI29" s="98">
        <v>736040</v>
      </c>
      <c r="EJ29" s="99">
        <v>1579041</v>
      </c>
      <c r="EK29" s="98">
        <v>570039</v>
      </c>
      <c r="EL29" s="99">
        <v>103584</v>
      </c>
      <c r="EM29" s="99">
        <v>120853</v>
      </c>
      <c r="EN29" s="98">
        <v>170825</v>
      </c>
      <c r="EO29" s="98">
        <v>155742</v>
      </c>
      <c r="EP29" s="98">
        <v>1121043</v>
      </c>
      <c r="EQ29" s="98">
        <v>115986</v>
      </c>
      <c r="ER29" s="99">
        <v>26415</v>
      </c>
      <c r="ES29" s="98">
        <v>3411</v>
      </c>
      <c r="ET29" s="99">
        <v>105457</v>
      </c>
      <c r="EU29" s="99">
        <v>552851</v>
      </c>
      <c r="EV29" s="99">
        <v>804120</v>
      </c>
      <c r="EW29" s="98">
        <v>961</v>
      </c>
      <c r="EX29" s="99">
        <v>1445</v>
      </c>
      <c r="EY29" s="99">
        <v>438</v>
      </c>
      <c r="EZ29" s="99">
        <v>6422</v>
      </c>
      <c r="FA29" s="99">
        <v>11350</v>
      </c>
      <c r="FB29" s="98">
        <v>20616</v>
      </c>
      <c r="FC29" s="99">
        <v>155430</v>
      </c>
      <c r="FD29" s="99">
        <v>58</v>
      </c>
      <c r="FE29" s="99">
        <v>297</v>
      </c>
      <c r="FF29" s="99">
        <v>73919</v>
      </c>
      <c r="FG29" s="98">
        <v>90619</v>
      </c>
      <c r="FH29" s="99">
        <v>320323</v>
      </c>
      <c r="FI29" s="99">
        <v>0</v>
      </c>
      <c r="FJ29" s="99">
        <v>0</v>
      </c>
      <c r="FK29" s="99">
        <v>0</v>
      </c>
      <c r="FL29" s="98">
        <v>0</v>
      </c>
      <c r="FM29" s="98">
        <v>81433</v>
      </c>
      <c r="FN29" s="99">
        <v>81433</v>
      </c>
      <c r="FO29" s="99">
        <v>0</v>
      </c>
      <c r="FP29" s="99">
        <v>0</v>
      </c>
      <c r="FQ29" s="99">
        <v>0</v>
      </c>
      <c r="FR29" s="98">
        <v>0</v>
      </c>
      <c r="FS29" s="98">
        <v>6364321</v>
      </c>
      <c r="FT29" s="98">
        <v>6364321</v>
      </c>
      <c r="FU29" s="99">
        <v>74113</v>
      </c>
      <c r="FV29" s="99">
        <v>11021</v>
      </c>
      <c r="FW29" s="99">
        <v>13152</v>
      </c>
      <c r="FX29" s="93">
        <v>46440</v>
      </c>
      <c r="FY29" s="99">
        <v>119281</v>
      </c>
      <c r="FZ29" s="99">
        <v>264007</v>
      </c>
      <c r="GA29" s="98">
        <v>80</v>
      </c>
      <c r="GB29" s="99">
        <v>346</v>
      </c>
      <c r="GC29" s="99">
        <v>750</v>
      </c>
      <c r="GD29" s="99">
        <v>7347</v>
      </c>
      <c r="GE29" s="99">
        <v>408011</v>
      </c>
      <c r="GF29" s="99">
        <v>416534</v>
      </c>
      <c r="GG29" s="99">
        <v>319964</v>
      </c>
      <c r="GH29" s="98">
        <v>73298</v>
      </c>
      <c r="GI29" s="98">
        <v>34766</v>
      </c>
      <c r="GJ29" s="99">
        <v>313559</v>
      </c>
      <c r="GK29" s="98">
        <v>1074212</v>
      </c>
      <c r="GL29" s="99">
        <v>1815799</v>
      </c>
      <c r="GM29" s="99">
        <v>9063145</v>
      </c>
      <c r="GN29" s="98">
        <v>2387000</v>
      </c>
      <c r="GO29" s="99">
        <v>1630677</v>
      </c>
      <c r="GP29" s="99">
        <v>10739311</v>
      </c>
      <c r="GQ29" s="98">
        <v>16537254</v>
      </c>
      <c r="GR29" s="98">
        <v>40357387</v>
      </c>
      <c r="GS29" s="99">
        <v>0</v>
      </c>
      <c r="GT29" s="98">
        <v>0</v>
      </c>
      <c r="GU29" s="99">
        <v>0</v>
      </c>
      <c r="GV29" s="93">
        <v>0</v>
      </c>
      <c r="GW29" s="99">
        <v>0</v>
      </c>
      <c r="GX29" s="98">
        <v>0</v>
      </c>
      <c r="GY29" s="99">
        <v>9063145</v>
      </c>
      <c r="GZ29" s="99">
        <v>2387000</v>
      </c>
      <c r="HA29" s="99">
        <v>1630677</v>
      </c>
      <c r="HB29" s="98">
        <v>10739311</v>
      </c>
      <c r="HC29" s="99">
        <v>16537254</v>
      </c>
      <c r="HD29" s="99">
        <v>40357387</v>
      </c>
      <c r="HE29" s="18"/>
      <c r="HF29" s="7">
        <f>SUM(AZ29:AZ29)</f>
        <v>3475685</v>
      </c>
      <c r="HG29" s="7" t="e">
        <f>#REF!-HF29</f>
        <v>#REF!</v>
      </c>
      <c r="HH29" s="7" t="e">
        <f>SUM(#REF!)</f>
        <v>#REF!</v>
      </c>
      <c r="HI29" s="7" t="e">
        <f>#REF!-HH29</f>
        <v>#REF!</v>
      </c>
      <c r="HJ29" s="7">
        <f>SUM(BA29:BA29)</f>
        <v>736790</v>
      </c>
      <c r="HK29" s="7" t="e">
        <f>#REF!-HJ29</f>
        <v>#REF!</v>
      </c>
      <c r="HL29" s="7">
        <f>SUM(BB29:BB29)</f>
        <v>489912</v>
      </c>
      <c r="HM29" s="7" t="e">
        <f>#REF!-HL29</f>
        <v>#REF!</v>
      </c>
      <c r="HN29" s="7" t="e">
        <f>SUM(#REF!)</f>
        <v>#REF!</v>
      </c>
      <c r="HO29" s="7" t="e">
        <f>#REF!-HN29</f>
        <v>#REF!</v>
      </c>
      <c r="HP29" s="7" t="e">
        <f>SUM(#REF!)</f>
        <v>#REF!</v>
      </c>
      <c r="HQ29" s="7" t="e">
        <f>#REF!-HP29</f>
        <v>#REF!</v>
      </c>
      <c r="HR29" s="7" t="e">
        <f>SUM(#REF!)</f>
        <v>#REF!</v>
      </c>
      <c r="HS29" s="7" t="e">
        <f>#REF!-HR29</f>
        <v>#REF!</v>
      </c>
      <c r="HT29" s="7" t="e">
        <f>SUM(#REF!)</f>
        <v>#REF!</v>
      </c>
      <c r="HU29" s="7" t="e">
        <f>#REF!-HT29</f>
        <v>#REF!</v>
      </c>
      <c r="HV29" s="7" t="e">
        <f>SUM(#REF!)</f>
        <v>#REF!</v>
      </c>
      <c r="HW29" s="7" t="e">
        <f>#REF!-HV29</f>
        <v>#REF!</v>
      </c>
      <c r="HX29" s="7" t="e">
        <f>SUM(#REF!)</f>
        <v>#REF!</v>
      </c>
      <c r="HY29" s="7" t="e">
        <f>#REF!-HX29</f>
        <v>#REF!</v>
      </c>
      <c r="HZ29" s="7">
        <f>SUM(BC29:BC29)</f>
        <v>0</v>
      </c>
      <c r="IA29" s="7" t="e">
        <f>#REF!-HZ29</f>
        <v>#REF!</v>
      </c>
      <c r="IB29" s="7">
        <f>SUM(BD29:BD29)</f>
        <v>214943</v>
      </c>
      <c r="IC29" s="7" t="e">
        <f>#REF!-IB29</f>
        <v>#REF!</v>
      </c>
      <c r="ID29" s="7">
        <f t="shared" si="1"/>
        <v>354002</v>
      </c>
      <c r="IE29" s="7">
        <f t="shared" si="2"/>
        <v>0</v>
      </c>
      <c r="IF29" s="7">
        <f t="shared" si="3"/>
        <v>544889</v>
      </c>
      <c r="IG29" s="7">
        <f t="shared" si="4"/>
        <v>0</v>
      </c>
      <c r="IH29" s="7">
        <f t="shared" si="5"/>
        <v>785076</v>
      </c>
      <c r="II29" s="7">
        <f t="shared" si="6"/>
        <v>0</v>
      </c>
      <c r="IJ29" s="7">
        <f t="shared" si="7"/>
        <v>37017100</v>
      </c>
      <c r="IK29" s="7">
        <f t="shared" si="8"/>
        <v>0</v>
      </c>
      <c r="IL29" s="7">
        <f t="shared" si="9"/>
        <v>8140736</v>
      </c>
      <c r="IM29" s="7">
        <f t="shared" si="10"/>
        <v>0</v>
      </c>
      <c r="IN29" s="7">
        <f t="shared" si="11"/>
        <v>2218935</v>
      </c>
      <c r="IO29" s="7">
        <f t="shared" si="12"/>
        <v>0</v>
      </c>
      <c r="IP29" s="7">
        <f t="shared" si="13"/>
        <v>0</v>
      </c>
      <c r="IQ29" s="7">
        <f t="shared" si="14"/>
        <v>6549566</v>
      </c>
      <c r="IR29" s="7">
        <f t="shared" si="15"/>
        <v>0</v>
      </c>
      <c r="IS29" s="7">
        <f t="shared" si="16"/>
        <v>0</v>
      </c>
      <c r="IT29" s="7">
        <f t="shared" si="17"/>
        <v>6581114</v>
      </c>
      <c r="IU29" s="7">
        <f t="shared" si="18"/>
        <v>0</v>
      </c>
      <c r="IV29" s="7">
        <f t="shared" si="19"/>
        <v>0</v>
      </c>
      <c r="IW29" s="7">
        <f t="shared" si="20"/>
        <v>0</v>
      </c>
      <c r="IX29" s="7">
        <f t="shared" si="21"/>
        <v>9016</v>
      </c>
      <c r="IY29" s="7">
        <f t="shared" si="22"/>
        <v>0</v>
      </c>
      <c r="IZ29" s="7">
        <f t="shared" si="23"/>
        <v>659213</v>
      </c>
      <c r="JA29" s="7">
        <f t="shared" si="24"/>
        <v>0</v>
      </c>
      <c r="JB29" s="7">
        <f t="shared" si="25"/>
        <v>3411570</v>
      </c>
      <c r="JC29" s="7">
        <f t="shared" si="26"/>
        <v>0</v>
      </c>
      <c r="JD29" s="7">
        <f t="shared" si="27"/>
        <v>1579041</v>
      </c>
      <c r="JE29" s="7">
        <f t="shared" si="28"/>
        <v>0</v>
      </c>
      <c r="JF29" s="7">
        <f t="shared" si="29"/>
        <v>1121043</v>
      </c>
      <c r="JG29" s="7">
        <f t="shared" si="30"/>
        <v>0</v>
      </c>
      <c r="JH29" s="7">
        <f t="shared" si="31"/>
        <v>804120</v>
      </c>
      <c r="JI29" s="7">
        <f t="shared" si="32"/>
        <v>0</v>
      </c>
      <c r="JJ29" s="7">
        <f t="shared" si="33"/>
        <v>20616</v>
      </c>
      <c r="JK29" s="7">
        <f t="shared" si="34"/>
        <v>0</v>
      </c>
      <c r="JL29" s="7">
        <f t="shared" si="35"/>
        <v>320323</v>
      </c>
      <c r="JM29" s="7">
        <f t="shared" si="36"/>
        <v>0</v>
      </c>
      <c r="JN29" s="7">
        <f t="shared" si="37"/>
        <v>81433</v>
      </c>
      <c r="JO29" s="7">
        <f t="shared" si="38"/>
        <v>0</v>
      </c>
      <c r="JP29" s="7">
        <f t="shared" si="39"/>
        <v>6364321</v>
      </c>
      <c r="JQ29" s="7">
        <f t="shared" si="40"/>
        <v>0</v>
      </c>
      <c r="JR29" s="7">
        <f t="shared" si="41"/>
        <v>264007</v>
      </c>
      <c r="JS29" s="7">
        <f t="shared" si="42"/>
        <v>0</v>
      </c>
      <c r="JT29" s="7">
        <f t="shared" si="43"/>
        <v>416534</v>
      </c>
      <c r="JU29" s="7">
        <f t="shared" si="44"/>
        <v>0</v>
      </c>
      <c r="JV29" s="7">
        <f t="shared" si="45"/>
        <v>1815799</v>
      </c>
      <c r="JW29" s="7">
        <f t="shared" si="46"/>
        <v>0</v>
      </c>
      <c r="JX29" s="7">
        <f t="shared" si="47"/>
        <v>40357387</v>
      </c>
      <c r="JY29" s="7">
        <f t="shared" si="48"/>
        <v>0</v>
      </c>
      <c r="JZ29" s="7">
        <f t="shared" si="49"/>
        <v>0</v>
      </c>
      <c r="KA29" s="7">
        <f t="shared" si="50"/>
        <v>0</v>
      </c>
      <c r="KB29" s="7">
        <f t="shared" si="51"/>
        <v>40357387</v>
      </c>
      <c r="KC29" s="7">
        <f t="shared" si="52"/>
        <v>0</v>
      </c>
      <c r="KE29" s="7" t="e">
        <f t="shared" si="0"/>
        <v>#REF!</v>
      </c>
      <c r="KG29" s="5" t="e">
        <f t="shared" si="53"/>
        <v>#REF!</v>
      </c>
    </row>
    <row r="30" spans="1:293" x14ac:dyDescent="0.15">
      <c r="A30" s="119" t="s">
        <v>245</v>
      </c>
      <c r="B30" s="17" t="s">
        <v>342</v>
      </c>
      <c r="C30" s="41">
        <v>225511</v>
      </c>
      <c r="D30" s="38">
        <v>2013</v>
      </c>
      <c r="E30" s="38">
        <v>1</v>
      </c>
      <c r="F30" s="38">
        <v>6</v>
      </c>
      <c r="G30" s="39">
        <v>15877</v>
      </c>
      <c r="H30" s="39">
        <v>15490</v>
      </c>
      <c r="I30" s="40">
        <v>825928747</v>
      </c>
      <c r="J30" s="40"/>
      <c r="K30" s="40">
        <v>1589655</v>
      </c>
      <c r="L30" s="40"/>
      <c r="M30" s="40">
        <v>58000000</v>
      </c>
      <c r="N30" s="40"/>
      <c r="O30" s="40">
        <v>6394194</v>
      </c>
      <c r="P30" s="40"/>
      <c r="Q30" s="40">
        <v>680000000</v>
      </c>
      <c r="R30" s="40"/>
      <c r="S30" s="40">
        <v>640804787</v>
      </c>
      <c r="T30" s="40"/>
      <c r="U30" s="40">
        <v>19841</v>
      </c>
      <c r="V30" s="40"/>
      <c r="W30" s="40">
        <v>30371</v>
      </c>
      <c r="X30" s="40"/>
      <c r="Y30" s="40">
        <v>23791</v>
      </c>
      <c r="Z30" s="40"/>
      <c r="AA30" s="40">
        <v>34321</v>
      </c>
      <c r="AB30" s="40"/>
      <c r="AC30" s="59">
        <v>7</v>
      </c>
      <c r="AD30" s="59">
        <v>9</v>
      </c>
      <c r="AE30" s="59">
        <v>0</v>
      </c>
      <c r="AF30" s="57">
        <v>3180763</v>
      </c>
      <c r="AG30" s="57">
        <v>2158068</v>
      </c>
      <c r="AH30" s="57">
        <v>466650</v>
      </c>
      <c r="AI30" s="57">
        <v>236317</v>
      </c>
      <c r="AJ30" s="57">
        <v>399825.77777777775</v>
      </c>
      <c r="AK30" s="58">
        <v>4.5</v>
      </c>
      <c r="AL30" s="57">
        <v>359843.2</v>
      </c>
      <c r="AM30" s="58">
        <v>5</v>
      </c>
      <c r="AN30" s="57">
        <v>115473.07692307692</v>
      </c>
      <c r="AO30" s="58">
        <v>6.5</v>
      </c>
      <c r="AP30" s="57">
        <v>107225</v>
      </c>
      <c r="AQ30" s="58">
        <v>7</v>
      </c>
      <c r="AR30" s="57">
        <v>212236.34285714285</v>
      </c>
      <c r="AS30" s="58">
        <v>17.5</v>
      </c>
      <c r="AT30" s="57">
        <v>185706.8</v>
      </c>
      <c r="AU30" s="58">
        <v>20</v>
      </c>
      <c r="AV30" s="57">
        <v>82950.444444444438</v>
      </c>
      <c r="AW30" s="58">
        <v>13.5</v>
      </c>
      <c r="AX30" s="57">
        <v>69989.4375</v>
      </c>
      <c r="AY30" s="58">
        <v>16</v>
      </c>
      <c r="AZ30" s="79">
        <v>3148269</v>
      </c>
      <c r="BA30" s="79">
        <v>500000</v>
      </c>
      <c r="BB30" s="79">
        <v>213614</v>
      </c>
      <c r="BC30" s="79">
        <v>393901</v>
      </c>
      <c r="BD30" s="79">
        <v>25000</v>
      </c>
      <c r="BE30" s="79">
        <v>0</v>
      </c>
      <c r="BF30" s="79">
        <v>0</v>
      </c>
      <c r="BG30" s="79">
        <v>0</v>
      </c>
      <c r="BH30" s="79">
        <v>0</v>
      </c>
      <c r="BI30" s="79">
        <v>0</v>
      </c>
      <c r="BJ30" s="79">
        <v>0</v>
      </c>
      <c r="BK30" s="79">
        <v>171545</v>
      </c>
      <c r="BL30" s="79">
        <v>14337</v>
      </c>
      <c r="BM30" s="79">
        <v>2548</v>
      </c>
      <c r="BN30" s="79">
        <v>11486</v>
      </c>
      <c r="BO30" s="79">
        <v>0</v>
      </c>
      <c r="BP30" s="79">
        <v>199916</v>
      </c>
      <c r="BQ30" s="79">
        <v>0</v>
      </c>
      <c r="BR30" s="79">
        <v>0</v>
      </c>
      <c r="BS30" s="79">
        <v>0</v>
      </c>
      <c r="BT30" s="79">
        <v>0</v>
      </c>
      <c r="BU30" s="79">
        <v>401800</v>
      </c>
      <c r="BV30" s="79">
        <v>401800</v>
      </c>
      <c r="BW30" s="79">
        <v>4452329</v>
      </c>
      <c r="BX30" s="79">
        <v>374435</v>
      </c>
      <c r="BY30" s="79">
        <v>28069</v>
      </c>
      <c r="BZ30" s="79">
        <v>726318</v>
      </c>
      <c r="CA30" s="79">
        <v>36443736</v>
      </c>
      <c r="CB30" s="79">
        <v>42024887</v>
      </c>
      <c r="CC30" s="79">
        <v>2201723</v>
      </c>
      <c r="CD30" s="79">
        <v>325868</v>
      </c>
      <c r="CE30" s="79">
        <v>448074</v>
      </c>
      <c r="CF30" s="79">
        <v>2419222</v>
      </c>
      <c r="CG30" s="79">
        <v>0</v>
      </c>
      <c r="CH30" s="79">
        <v>5394887</v>
      </c>
      <c r="CI30" s="79">
        <v>625000</v>
      </c>
      <c r="CJ30" s="79">
        <v>343500</v>
      </c>
      <c r="CK30" s="79">
        <v>12014</v>
      </c>
      <c r="CL30" s="79">
        <v>45621</v>
      </c>
      <c r="CM30" s="79">
        <v>0</v>
      </c>
      <c r="CN30" s="79">
        <v>1026135</v>
      </c>
      <c r="CO30" s="79">
        <v>3381222</v>
      </c>
      <c r="CP30" s="79">
        <v>1116898</v>
      </c>
      <c r="CQ30" s="79">
        <v>617085</v>
      </c>
      <c r="CR30" s="79">
        <v>2268553</v>
      </c>
      <c r="CS30" s="79">
        <v>0</v>
      </c>
      <c r="CT30" s="79">
        <v>7383758</v>
      </c>
      <c r="CU30" s="79">
        <v>0</v>
      </c>
      <c r="CV30" s="79">
        <v>0</v>
      </c>
      <c r="CW30" s="79">
        <v>0</v>
      </c>
      <c r="CX30" s="79">
        <v>0</v>
      </c>
      <c r="CY30" s="79">
        <v>0</v>
      </c>
      <c r="CZ30" s="79">
        <v>0</v>
      </c>
      <c r="DA30" s="79">
        <v>0</v>
      </c>
      <c r="DB30" s="79">
        <v>0</v>
      </c>
      <c r="DC30" s="79">
        <v>0</v>
      </c>
      <c r="DD30" s="79">
        <v>0</v>
      </c>
      <c r="DE30" s="79">
        <v>5878014</v>
      </c>
      <c r="DF30" s="79">
        <v>5878014</v>
      </c>
      <c r="DG30" s="79">
        <v>0</v>
      </c>
      <c r="DH30" s="79">
        <v>0</v>
      </c>
      <c r="DI30" s="79">
        <v>0</v>
      </c>
      <c r="DJ30" s="79">
        <v>0</v>
      </c>
      <c r="DK30" s="79">
        <v>0</v>
      </c>
      <c r="DL30" s="79">
        <v>0</v>
      </c>
      <c r="DM30" s="79">
        <v>0</v>
      </c>
      <c r="DN30" s="79">
        <v>0</v>
      </c>
      <c r="DO30" s="79">
        <v>0</v>
      </c>
      <c r="DP30" s="79">
        <v>0</v>
      </c>
      <c r="DQ30" s="79">
        <v>0</v>
      </c>
      <c r="DR30" s="79">
        <v>0</v>
      </c>
      <c r="DS30" s="79">
        <v>267880</v>
      </c>
      <c r="DT30" s="79">
        <v>79587</v>
      </c>
      <c r="DU30" s="79">
        <v>65645</v>
      </c>
      <c r="DV30" s="79">
        <v>289855</v>
      </c>
      <c r="DW30" s="79">
        <v>0</v>
      </c>
      <c r="DX30" s="79">
        <v>702967</v>
      </c>
      <c r="DY30" s="79">
        <v>574318</v>
      </c>
      <c r="DZ30" s="79">
        <v>296372</v>
      </c>
      <c r="EA30" s="79">
        <v>240619</v>
      </c>
      <c r="EB30" s="79">
        <v>1165536</v>
      </c>
      <c r="EC30" s="79">
        <v>0</v>
      </c>
      <c r="ED30" s="79">
        <v>2276845</v>
      </c>
      <c r="EE30" s="79">
        <v>424476</v>
      </c>
      <c r="EF30" s="79">
        <v>60869</v>
      </c>
      <c r="EG30" s="79">
        <v>50988</v>
      </c>
      <c r="EH30" s="79">
        <v>498904</v>
      </c>
      <c r="EI30" s="79">
        <v>201709</v>
      </c>
      <c r="EJ30" s="79">
        <v>1236946</v>
      </c>
      <c r="EK30" s="79">
        <v>328224</v>
      </c>
      <c r="EL30" s="79">
        <v>185777</v>
      </c>
      <c r="EM30" s="79">
        <v>81507</v>
      </c>
      <c r="EN30" s="79">
        <v>189557</v>
      </c>
      <c r="EO30" s="79">
        <v>0</v>
      </c>
      <c r="EP30" s="79">
        <v>785065</v>
      </c>
      <c r="EQ30" s="79">
        <v>0</v>
      </c>
      <c r="ER30" s="79">
        <v>0</v>
      </c>
      <c r="ES30" s="79">
        <v>0</v>
      </c>
      <c r="ET30" s="79">
        <v>0</v>
      </c>
      <c r="EU30" s="79">
        <v>500478</v>
      </c>
      <c r="EV30" s="79">
        <v>500478</v>
      </c>
      <c r="EW30" s="79">
        <v>0</v>
      </c>
      <c r="EX30" s="79">
        <v>0</v>
      </c>
      <c r="EY30" s="79">
        <v>0</v>
      </c>
      <c r="EZ30" s="79">
        <v>0</v>
      </c>
      <c r="FA30" s="79">
        <v>0</v>
      </c>
      <c r="FB30" s="79">
        <v>0</v>
      </c>
      <c r="FC30" s="79">
        <v>0</v>
      </c>
      <c r="FD30" s="79">
        <v>0</v>
      </c>
      <c r="FE30" s="79">
        <v>0</v>
      </c>
      <c r="FF30" s="79">
        <v>0</v>
      </c>
      <c r="FG30" s="79">
        <v>7298586</v>
      </c>
      <c r="FH30" s="79">
        <v>7298586</v>
      </c>
      <c r="FI30" s="79">
        <v>0</v>
      </c>
      <c r="FJ30" s="79">
        <v>0</v>
      </c>
      <c r="FK30" s="79">
        <v>0</v>
      </c>
      <c r="FL30" s="79">
        <v>0</v>
      </c>
      <c r="FM30" s="79">
        <v>0</v>
      </c>
      <c r="FN30" s="79">
        <v>0</v>
      </c>
      <c r="FO30" s="79">
        <v>0</v>
      </c>
      <c r="FP30" s="79">
        <v>0</v>
      </c>
      <c r="FQ30" s="79">
        <v>0</v>
      </c>
      <c r="FR30" s="79">
        <v>0</v>
      </c>
      <c r="FS30" s="79">
        <v>0</v>
      </c>
      <c r="FT30" s="79">
        <v>0</v>
      </c>
      <c r="FU30" s="79">
        <v>0</v>
      </c>
      <c r="FV30" s="79">
        <v>0</v>
      </c>
      <c r="FW30" s="79">
        <v>0</v>
      </c>
      <c r="FX30" s="79">
        <v>0</v>
      </c>
      <c r="FY30" s="79">
        <v>812798</v>
      </c>
      <c r="FZ30" s="79">
        <v>812798</v>
      </c>
      <c r="GA30" s="79">
        <v>0</v>
      </c>
      <c r="GB30" s="79">
        <v>0</v>
      </c>
      <c r="GC30" s="79">
        <v>0</v>
      </c>
      <c r="GD30" s="79">
        <v>0</v>
      </c>
      <c r="GE30" s="79">
        <v>3780107</v>
      </c>
      <c r="GF30" s="79">
        <v>3780107</v>
      </c>
      <c r="GG30" s="79">
        <v>1281408</v>
      </c>
      <c r="GH30" s="79">
        <v>230571</v>
      </c>
      <c r="GI30" s="79">
        <v>100644</v>
      </c>
      <c r="GJ30" s="79">
        <v>579565</v>
      </c>
      <c r="GK30" s="79">
        <v>3395270</v>
      </c>
      <c r="GL30" s="79">
        <v>5587458</v>
      </c>
      <c r="GM30" s="79">
        <v>9084251</v>
      </c>
      <c r="GN30" s="79">
        <v>2639442</v>
      </c>
      <c r="GO30" s="79">
        <v>1616576</v>
      </c>
      <c r="GP30" s="79">
        <v>7400757</v>
      </c>
      <c r="GQ30" s="79">
        <v>21923018</v>
      </c>
      <c r="GR30" s="79">
        <v>42664044</v>
      </c>
      <c r="GS30" s="79">
        <v>0</v>
      </c>
      <c r="GT30" s="79">
        <v>0</v>
      </c>
      <c r="GU30" s="79">
        <v>0</v>
      </c>
      <c r="GV30" s="79">
        <v>0</v>
      </c>
      <c r="GW30" s="79">
        <v>0</v>
      </c>
      <c r="GX30" s="79">
        <v>0</v>
      </c>
      <c r="GY30" s="79">
        <v>9084251</v>
      </c>
      <c r="GZ30" s="79">
        <v>2639442</v>
      </c>
      <c r="HA30" s="79">
        <v>1616576</v>
      </c>
      <c r="HB30" s="79">
        <v>7400757</v>
      </c>
      <c r="HC30" s="79">
        <v>21923018</v>
      </c>
      <c r="HD30" s="79">
        <v>42664044</v>
      </c>
      <c r="HF30" s="7">
        <f>SUM(AZ30:AZ30)</f>
        <v>3148269</v>
      </c>
      <c r="HG30" s="7" t="e">
        <f>#REF!-HF30</f>
        <v>#REF!</v>
      </c>
      <c r="HH30" s="7" t="e">
        <f>SUM(#REF!)</f>
        <v>#REF!</v>
      </c>
      <c r="HI30" s="7" t="e">
        <f>#REF!-HH30</f>
        <v>#REF!</v>
      </c>
      <c r="HJ30" s="7">
        <f>SUM(BA30:BA30)</f>
        <v>500000</v>
      </c>
      <c r="HK30" s="7" t="e">
        <f>#REF!-HJ30</f>
        <v>#REF!</v>
      </c>
      <c r="HL30" s="7">
        <f>SUM(BB30:BB30)</f>
        <v>213614</v>
      </c>
      <c r="HM30" s="7" t="e">
        <f>#REF!-HL30</f>
        <v>#REF!</v>
      </c>
      <c r="HN30" s="7" t="e">
        <f>SUM(#REF!)</f>
        <v>#REF!</v>
      </c>
      <c r="HO30" s="7" t="e">
        <f>#REF!-HN30</f>
        <v>#REF!</v>
      </c>
      <c r="HP30" s="7" t="e">
        <f>SUM(#REF!)</f>
        <v>#REF!</v>
      </c>
      <c r="HQ30" s="7" t="e">
        <f>#REF!-HP30</f>
        <v>#REF!</v>
      </c>
      <c r="HR30" s="7" t="e">
        <f>SUM(#REF!)</f>
        <v>#REF!</v>
      </c>
      <c r="HS30" s="7" t="e">
        <f>#REF!-HR30</f>
        <v>#REF!</v>
      </c>
      <c r="HT30" s="7" t="e">
        <f>SUM(#REF!)</f>
        <v>#REF!</v>
      </c>
      <c r="HU30" s="7" t="e">
        <f>#REF!-HT30</f>
        <v>#REF!</v>
      </c>
      <c r="HV30" s="7" t="e">
        <f>SUM(#REF!)</f>
        <v>#REF!</v>
      </c>
      <c r="HW30" s="7" t="e">
        <f>#REF!-HV30</f>
        <v>#REF!</v>
      </c>
      <c r="HX30" s="7" t="e">
        <f>SUM(#REF!)</f>
        <v>#REF!</v>
      </c>
      <c r="HY30" s="7" t="e">
        <f>#REF!-HX30</f>
        <v>#REF!</v>
      </c>
      <c r="HZ30" s="7">
        <f>SUM(BC30:BC30)</f>
        <v>393901</v>
      </c>
      <c r="IA30" s="7" t="e">
        <f>#REF!-HZ30</f>
        <v>#REF!</v>
      </c>
      <c r="IB30" s="7">
        <f>SUM(BD30:BD30)</f>
        <v>25000</v>
      </c>
      <c r="IC30" s="7" t="e">
        <f>#REF!-IB30</f>
        <v>#REF!</v>
      </c>
      <c r="ID30" s="7">
        <f t="shared" si="1"/>
        <v>0</v>
      </c>
      <c r="IE30" s="7">
        <f t="shared" si="2"/>
        <v>0</v>
      </c>
      <c r="IF30" s="7">
        <f t="shared" si="3"/>
        <v>199916</v>
      </c>
      <c r="IG30" s="7">
        <f t="shared" si="4"/>
        <v>0</v>
      </c>
      <c r="IH30" s="7">
        <f t="shared" si="5"/>
        <v>401800</v>
      </c>
      <c r="II30" s="7">
        <f t="shared" si="6"/>
        <v>0</v>
      </c>
      <c r="IJ30" s="7">
        <f t="shared" si="7"/>
        <v>42024887</v>
      </c>
      <c r="IK30" s="7">
        <f t="shared" si="8"/>
        <v>0</v>
      </c>
      <c r="IL30" s="7">
        <f t="shared" si="9"/>
        <v>5394887</v>
      </c>
      <c r="IM30" s="7">
        <f t="shared" si="10"/>
        <v>0</v>
      </c>
      <c r="IN30" s="7">
        <f t="shared" si="11"/>
        <v>1026135</v>
      </c>
      <c r="IO30" s="7">
        <f t="shared" si="12"/>
        <v>0</v>
      </c>
      <c r="IP30" s="7">
        <f t="shared" si="13"/>
        <v>7383758</v>
      </c>
      <c r="IQ30" s="7">
        <f t="shared" si="14"/>
        <v>0</v>
      </c>
      <c r="IR30" s="7">
        <f t="shared" si="15"/>
        <v>0</v>
      </c>
      <c r="IS30" s="7">
        <f t="shared" si="16"/>
        <v>0</v>
      </c>
      <c r="IT30" s="7">
        <f t="shared" si="17"/>
        <v>5878014</v>
      </c>
      <c r="IU30" s="7">
        <f t="shared" si="18"/>
        <v>0</v>
      </c>
      <c r="IV30" s="7">
        <f t="shared" si="19"/>
        <v>0</v>
      </c>
      <c r="IW30" s="7">
        <f t="shared" si="20"/>
        <v>0</v>
      </c>
      <c r="IX30" s="7">
        <f t="shared" si="21"/>
        <v>0</v>
      </c>
      <c r="IY30" s="7">
        <f t="shared" si="22"/>
        <v>0</v>
      </c>
      <c r="IZ30" s="7">
        <f t="shared" si="23"/>
        <v>702967</v>
      </c>
      <c r="JA30" s="7">
        <f t="shared" si="24"/>
        <v>0</v>
      </c>
      <c r="JB30" s="7">
        <f t="shared" si="25"/>
        <v>2276845</v>
      </c>
      <c r="JC30" s="7">
        <f t="shared" si="26"/>
        <v>0</v>
      </c>
      <c r="JD30" s="7">
        <f t="shared" si="27"/>
        <v>1236946</v>
      </c>
      <c r="JE30" s="7">
        <f t="shared" si="28"/>
        <v>0</v>
      </c>
      <c r="JF30" s="7">
        <f t="shared" si="29"/>
        <v>785065</v>
      </c>
      <c r="JG30" s="7">
        <f t="shared" si="30"/>
        <v>0</v>
      </c>
      <c r="JH30" s="7">
        <f t="shared" si="31"/>
        <v>500478</v>
      </c>
      <c r="JI30" s="7">
        <f t="shared" si="32"/>
        <v>0</v>
      </c>
      <c r="JJ30" s="7">
        <f t="shared" si="33"/>
        <v>0</v>
      </c>
      <c r="JK30" s="7">
        <f t="shared" si="34"/>
        <v>0</v>
      </c>
      <c r="JL30" s="7">
        <f t="shared" si="35"/>
        <v>7298586</v>
      </c>
      <c r="JM30" s="7">
        <f t="shared" si="36"/>
        <v>0</v>
      </c>
      <c r="JN30" s="7">
        <f t="shared" si="37"/>
        <v>0</v>
      </c>
      <c r="JO30" s="7">
        <f t="shared" si="38"/>
        <v>0</v>
      </c>
      <c r="JP30" s="7">
        <f t="shared" si="39"/>
        <v>0</v>
      </c>
      <c r="JQ30" s="7">
        <f t="shared" si="40"/>
        <v>0</v>
      </c>
      <c r="JR30" s="7">
        <f t="shared" si="41"/>
        <v>812798</v>
      </c>
      <c r="JS30" s="7">
        <f t="shared" si="42"/>
        <v>0</v>
      </c>
      <c r="JT30" s="7">
        <f t="shared" si="43"/>
        <v>3780107</v>
      </c>
      <c r="JU30" s="7">
        <f t="shared" si="44"/>
        <v>0</v>
      </c>
      <c r="JV30" s="7">
        <f t="shared" si="45"/>
        <v>5587458</v>
      </c>
      <c r="JW30" s="7">
        <f t="shared" si="46"/>
        <v>0</v>
      </c>
      <c r="JX30" s="7">
        <f t="shared" si="47"/>
        <v>42664044</v>
      </c>
      <c r="JY30" s="7">
        <f t="shared" si="48"/>
        <v>0</v>
      </c>
      <c r="JZ30" s="7">
        <f t="shared" si="49"/>
        <v>0</v>
      </c>
      <c r="KA30" s="7">
        <f t="shared" si="50"/>
        <v>0</v>
      </c>
      <c r="KB30" s="7">
        <f t="shared" si="51"/>
        <v>42664044</v>
      </c>
      <c r="KC30" s="7">
        <f t="shared" si="52"/>
        <v>0</v>
      </c>
      <c r="KE30" s="7" t="e">
        <f t="shared" si="0"/>
        <v>#REF!</v>
      </c>
      <c r="KG30" s="5" t="e">
        <f t="shared" si="53"/>
        <v>#REF!</v>
      </c>
    </row>
    <row r="31" spans="1:293" x14ac:dyDescent="0.15">
      <c r="A31" s="119" t="s">
        <v>246</v>
      </c>
      <c r="B31" s="17" t="s">
        <v>342</v>
      </c>
      <c r="C31" s="41">
        <v>142285</v>
      </c>
      <c r="D31" s="38">
        <v>2013</v>
      </c>
      <c r="E31" s="38">
        <v>1</v>
      </c>
      <c r="F31" s="38">
        <v>13</v>
      </c>
      <c r="G31" s="39">
        <v>4369</v>
      </c>
      <c r="H31" s="39">
        <v>3728</v>
      </c>
      <c r="I31" s="40">
        <v>368809200</v>
      </c>
      <c r="J31" s="40"/>
      <c r="K31" s="40">
        <v>2125682</v>
      </c>
      <c r="L31" s="40"/>
      <c r="M31" s="40">
        <v>13714370</v>
      </c>
      <c r="N31" s="40"/>
      <c r="O31" s="40">
        <v>25484276</v>
      </c>
      <c r="P31" s="40"/>
      <c r="Q31" s="40">
        <v>162970739</v>
      </c>
      <c r="R31" s="40"/>
      <c r="S31" s="40">
        <v>322145589</v>
      </c>
      <c r="T31" s="40"/>
      <c r="U31" s="40">
        <v>14951</v>
      </c>
      <c r="V31" s="40"/>
      <c r="W31" s="40">
        <v>27739</v>
      </c>
      <c r="X31" s="40"/>
      <c r="Y31" s="40">
        <v>19700</v>
      </c>
      <c r="Z31" s="40"/>
      <c r="AA31" s="40">
        <v>32488</v>
      </c>
      <c r="AB31" s="40"/>
      <c r="AC31" s="59">
        <v>7</v>
      </c>
      <c r="AD31" s="59">
        <v>9</v>
      </c>
      <c r="AE31" s="59">
        <v>0</v>
      </c>
      <c r="AF31" s="57">
        <v>3413090</v>
      </c>
      <c r="AG31" s="57">
        <v>2289657</v>
      </c>
      <c r="AH31" s="57">
        <v>401305</v>
      </c>
      <c r="AI31" s="57">
        <v>160177</v>
      </c>
      <c r="AJ31" s="57">
        <v>134600.75</v>
      </c>
      <c r="AK31" s="58">
        <v>4</v>
      </c>
      <c r="AL31" s="57">
        <v>107680.6</v>
      </c>
      <c r="AM31" s="58">
        <v>5</v>
      </c>
      <c r="AN31" s="57">
        <v>66223.5</v>
      </c>
      <c r="AO31" s="58">
        <v>6</v>
      </c>
      <c r="AP31" s="57">
        <v>56763</v>
      </c>
      <c r="AQ31" s="58">
        <v>7</v>
      </c>
      <c r="AR31" s="57">
        <v>90635.666666666672</v>
      </c>
      <c r="AS31" s="58">
        <v>18</v>
      </c>
      <c r="AT31" s="57">
        <v>85865.368421052626</v>
      </c>
      <c r="AU31" s="58">
        <v>19</v>
      </c>
      <c r="AV31" s="57">
        <v>37349.133333333331</v>
      </c>
      <c r="AW31" s="58">
        <v>15</v>
      </c>
      <c r="AX31" s="57">
        <v>35014.8125</v>
      </c>
      <c r="AY31" s="58">
        <v>16</v>
      </c>
      <c r="AZ31" s="79">
        <v>706748</v>
      </c>
      <c r="BA31" s="79">
        <v>2350000</v>
      </c>
      <c r="BB31" s="79">
        <v>277452</v>
      </c>
      <c r="BC31" s="79">
        <v>17647</v>
      </c>
      <c r="BD31" s="79">
        <v>5450</v>
      </c>
      <c r="BE31" s="79">
        <v>100600</v>
      </c>
      <c r="BF31" s="79">
        <v>16475</v>
      </c>
      <c r="BG31" s="88">
        <v>3520</v>
      </c>
      <c r="BH31" s="79">
        <v>4555</v>
      </c>
      <c r="BI31" s="79">
        <v>0</v>
      </c>
      <c r="BJ31" s="79">
        <v>125150</v>
      </c>
      <c r="BK31" s="79">
        <v>0</v>
      </c>
      <c r="BL31" s="79">
        <v>1455</v>
      </c>
      <c r="BM31" s="79">
        <v>0</v>
      </c>
      <c r="BN31" s="79">
        <v>0</v>
      </c>
      <c r="BO31" s="79">
        <v>216807</v>
      </c>
      <c r="BP31" s="79">
        <v>218262</v>
      </c>
      <c r="BQ31" s="79">
        <v>2543</v>
      </c>
      <c r="BR31" s="79">
        <v>8116</v>
      </c>
      <c r="BS31" s="79">
        <v>0</v>
      </c>
      <c r="BT31" s="79">
        <v>58814</v>
      </c>
      <c r="BU31" s="79">
        <v>379908</v>
      </c>
      <c r="BV31" s="79">
        <v>449381</v>
      </c>
      <c r="BW31" s="79">
        <v>5771977</v>
      </c>
      <c r="BX31" s="79">
        <v>750357</v>
      </c>
      <c r="BY31" s="79">
        <v>490986</v>
      </c>
      <c r="BZ31" s="79">
        <v>2052029</v>
      </c>
      <c r="CA31" s="79">
        <v>10527843</v>
      </c>
      <c r="CB31" s="79">
        <v>19593192</v>
      </c>
      <c r="CC31" s="79">
        <v>2425897</v>
      </c>
      <c r="CD31" s="79">
        <v>396707</v>
      </c>
      <c r="CE31" s="79">
        <v>378157</v>
      </c>
      <c r="CF31" s="79">
        <v>2501986</v>
      </c>
      <c r="CG31" s="79">
        <v>104870</v>
      </c>
      <c r="CH31" s="79">
        <v>5807617</v>
      </c>
      <c r="CI31" s="79">
        <v>300000</v>
      </c>
      <c r="CJ31" s="79">
        <v>10200</v>
      </c>
      <c r="CK31" s="79">
        <v>1000</v>
      </c>
      <c r="CL31" s="79">
        <v>6899</v>
      </c>
      <c r="CM31" s="79">
        <v>0</v>
      </c>
      <c r="CN31" s="79">
        <v>318099</v>
      </c>
      <c r="CO31" s="79">
        <v>1578163</v>
      </c>
      <c r="CP31" s="79">
        <v>410891</v>
      </c>
      <c r="CQ31" s="79">
        <v>295495</v>
      </c>
      <c r="CR31" s="79">
        <v>842874</v>
      </c>
      <c r="CS31" s="79">
        <v>0</v>
      </c>
      <c r="CT31" s="79">
        <v>3127423</v>
      </c>
      <c r="CU31" s="79">
        <v>212500</v>
      </c>
      <c r="CV31" s="79">
        <v>99500</v>
      </c>
      <c r="CW31" s="79">
        <v>20000</v>
      </c>
      <c r="CX31" s="79">
        <v>72800</v>
      </c>
      <c r="CY31" s="79">
        <v>0</v>
      </c>
      <c r="CZ31" s="79">
        <v>404800</v>
      </c>
      <c r="DA31" s="79">
        <v>103431</v>
      </c>
      <c r="DB31" s="79">
        <v>82903</v>
      </c>
      <c r="DC31" s="79">
        <v>0</v>
      </c>
      <c r="DD31" s="79">
        <v>9824</v>
      </c>
      <c r="DE31" s="79">
        <v>1903986</v>
      </c>
      <c r="DF31" s="79">
        <v>2100144</v>
      </c>
      <c r="DG31" s="79">
        <v>0</v>
      </c>
      <c r="DH31" s="79">
        <v>0</v>
      </c>
      <c r="DI31" s="79">
        <v>0</v>
      </c>
      <c r="DJ31" s="79">
        <v>0</v>
      </c>
      <c r="DK31" s="79">
        <v>17500</v>
      </c>
      <c r="DL31" s="79">
        <v>17500</v>
      </c>
      <c r="DM31" s="79">
        <v>0</v>
      </c>
      <c r="DN31" s="79">
        <v>0</v>
      </c>
      <c r="DO31" s="79">
        <v>0</v>
      </c>
      <c r="DP31" s="79">
        <v>0</v>
      </c>
      <c r="DQ31" s="79">
        <v>0</v>
      </c>
      <c r="DR31" s="79">
        <v>0</v>
      </c>
      <c r="DS31" s="79">
        <v>211226</v>
      </c>
      <c r="DT31" s="79">
        <v>170296</v>
      </c>
      <c r="DU31" s="79">
        <v>61182</v>
      </c>
      <c r="DV31" s="79">
        <v>118778</v>
      </c>
      <c r="DW31" s="79">
        <v>54522</v>
      </c>
      <c r="DX31" s="79">
        <v>616004</v>
      </c>
      <c r="DY31" s="79">
        <v>1024255</v>
      </c>
      <c r="DZ31" s="79">
        <v>220603</v>
      </c>
      <c r="EA31" s="79">
        <v>163782</v>
      </c>
      <c r="EB31" s="79">
        <v>976009</v>
      </c>
      <c r="EC31" s="79">
        <v>541</v>
      </c>
      <c r="ED31" s="79">
        <v>2385190</v>
      </c>
      <c r="EE31" s="79">
        <v>204084</v>
      </c>
      <c r="EF31" s="79">
        <v>31126</v>
      </c>
      <c r="EG31" s="79">
        <v>29231</v>
      </c>
      <c r="EH31" s="79">
        <v>182134</v>
      </c>
      <c r="EI31" s="79">
        <v>188444</v>
      </c>
      <c r="EJ31" s="79">
        <v>635019</v>
      </c>
      <c r="EK31" s="79">
        <v>250000</v>
      </c>
      <c r="EL31" s="79">
        <v>176406</v>
      </c>
      <c r="EM31" s="79">
        <v>93691</v>
      </c>
      <c r="EN31" s="79">
        <v>106303</v>
      </c>
      <c r="EO31" s="79">
        <v>0</v>
      </c>
      <c r="EP31" s="79">
        <v>626400</v>
      </c>
      <c r="EQ31" s="79">
        <v>0</v>
      </c>
      <c r="ER31" s="79">
        <v>0</v>
      </c>
      <c r="ES31" s="79">
        <v>0</v>
      </c>
      <c r="ET31" s="79">
        <v>0</v>
      </c>
      <c r="EU31" s="79">
        <v>515422</v>
      </c>
      <c r="EV31" s="79">
        <v>515422</v>
      </c>
      <c r="EW31" s="79">
        <v>85421</v>
      </c>
      <c r="EX31" s="79">
        <v>8975</v>
      </c>
      <c r="EY31" s="79">
        <v>4380</v>
      </c>
      <c r="EZ31" s="79">
        <v>14225</v>
      </c>
      <c r="FA31" s="79">
        <v>0</v>
      </c>
      <c r="FB31" s="79">
        <v>113001</v>
      </c>
      <c r="FC31" s="79">
        <v>604</v>
      </c>
      <c r="FD31" s="79">
        <v>4714</v>
      </c>
      <c r="FE31" s="79">
        <v>473</v>
      </c>
      <c r="FF31" s="79">
        <v>7395</v>
      </c>
      <c r="FG31" s="79">
        <v>145655</v>
      </c>
      <c r="FH31" s="79">
        <v>158841</v>
      </c>
      <c r="FI31" s="79">
        <v>0</v>
      </c>
      <c r="FJ31" s="79">
        <v>0</v>
      </c>
      <c r="FK31" s="79">
        <v>0</v>
      </c>
      <c r="FL31" s="79">
        <v>0</v>
      </c>
      <c r="FM31" s="79">
        <v>0</v>
      </c>
      <c r="FN31" s="79">
        <v>0</v>
      </c>
      <c r="FO31" s="79">
        <v>0</v>
      </c>
      <c r="FP31" s="79">
        <v>0</v>
      </c>
      <c r="FQ31" s="79">
        <v>0</v>
      </c>
      <c r="FR31" s="79">
        <v>0</v>
      </c>
      <c r="FS31" s="79">
        <v>448831</v>
      </c>
      <c r="FT31" s="79">
        <v>448831</v>
      </c>
      <c r="FU31" s="79">
        <v>0</v>
      </c>
      <c r="FV31" s="79">
        <v>0</v>
      </c>
      <c r="FW31" s="79">
        <v>0</v>
      </c>
      <c r="FX31" s="79">
        <v>728</v>
      </c>
      <c r="FY31" s="79">
        <v>256599</v>
      </c>
      <c r="FZ31" s="79">
        <v>257327</v>
      </c>
      <c r="GA31" s="79">
        <v>67</v>
      </c>
      <c r="GB31" s="79">
        <v>510</v>
      </c>
      <c r="GC31" s="79">
        <v>0</v>
      </c>
      <c r="GD31" s="79">
        <v>4220</v>
      </c>
      <c r="GE31" s="79">
        <v>416997</v>
      </c>
      <c r="GF31" s="79">
        <v>421794</v>
      </c>
      <c r="GG31" s="79">
        <v>474854</v>
      </c>
      <c r="GH31" s="79">
        <v>105173</v>
      </c>
      <c r="GI31" s="79">
        <v>86601</v>
      </c>
      <c r="GJ31" s="79">
        <v>169659</v>
      </c>
      <c r="GK31" s="79">
        <v>929886</v>
      </c>
      <c r="GL31" s="79">
        <v>1766173</v>
      </c>
      <c r="GM31" s="79">
        <v>6870502</v>
      </c>
      <c r="GN31" s="79">
        <v>1718004</v>
      </c>
      <c r="GO31" s="79">
        <v>1133992</v>
      </c>
      <c r="GP31" s="79">
        <v>5013834</v>
      </c>
      <c r="GQ31" s="79">
        <v>4983253</v>
      </c>
      <c r="GR31" s="79">
        <v>19719585</v>
      </c>
      <c r="GS31" s="79">
        <v>0</v>
      </c>
      <c r="GT31" s="79">
        <v>0</v>
      </c>
      <c r="GU31" s="79">
        <v>0</v>
      </c>
      <c r="GV31" s="79">
        <v>0</v>
      </c>
      <c r="GW31" s="79">
        <v>0</v>
      </c>
      <c r="GX31" s="79">
        <v>0</v>
      </c>
      <c r="GY31" s="79">
        <v>6870502</v>
      </c>
      <c r="GZ31" s="79">
        <v>1718004</v>
      </c>
      <c r="HA31" s="79">
        <v>1133992</v>
      </c>
      <c r="HB31" s="79">
        <v>5013834</v>
      </c>
      <c r="HC31" s="79">
        <v>4983253</v>
      </c>
      <c r="HD31" s="79">
        <v>19719585</v>
      </c>
      <c r="HF31" s="7">
        <f>SUM(AZ31:AZ31)</f>
        <v>706748</v>
      </c>
      <c r="HG31" s="7" t="e">
        <f>#REF!-HF31</f>
        <v>#REF!</v>
      </c>
      <c r="HH31" s="7" t="e">
        <f>SUM(#REF!)</f>
        <v>#REF!</v>
      </c>
      <c r="HI31" s="7" t="e">
        <f>#REF!-HH31</f>
        <v>#REF!</v>
      </c>
      <c r="HJ31" s="7">
        <f>SUM(BA31:BA31)</f>
        <v>2350000</v>
      </c>
      <c r="HK31" s="7" t="e">
        <f>#REF!-HJ31</f>
        <v>#REF!</v>
      </c>
      <c r="HL31" s="7">
        <f>SUM(BB31:BB31)</f>
        <v>277452</v>
      </c>
      <c r="HM31" s="7" t="e">
        <f>#REF!-HL31</f>
        <v>#REF!</v>
      </c>
      <c r="HN31" s="7" t="e">
        <f>SUM(#REF!)</f>
        <v>#REF!</v>
      </c>
      <c r="HO31" s="7" t="e">
        <f>#REF!-HN31</f>
        <v>#REF!</v>
      </c>
      <c r="HP31" s="7" t="e">
        <f>SUM(#REF!)</f>
        <v>#REF!</v>
      </c>
      <c r="HQ31" s="7" t="e">
        <f>#REF!-HP31</f>
        <v>#REF!</v>
      </c>
      <c r="HR31" s="7" t="e">
        <f>SUM(#REF!)</f>
        <v>#REF!</v>
      </c>
      <c r="HS31" s="7" t="e">
        <f>#REF!-HR31</f>
        <v>#REF!</v>
      </c>
      <c r="HT31" s="7" t="e">
        <f>SUM(#REF!)</f>
        <v>#REF!</v>
      </c>
      <c r="HU31" s="7" t="e">
        <f>#REF!-HT31</f>
        <v>#REF!</v>
      </c>
      <c r="HV31" s="7" t="e">
        <f>SUM(#REF!)</f>
        <v>#REF!</v>
      </c>
      <c r="HW31" s="7" t="e">
        <f>#REF!-HV31</f>
        <v>#REF!</v>
      </c>
      <c r="HX31" s="7" t="e">
        <f>SUM(#REF!)</f>
        <v>#REF!</v>
      </c>
      <c r="HY31" s="7" t="e">
        <f>#REF!-HX31</f>
        <v>#REF!</v>
      </c>
      <c r="HZ31" s="7">
        <f>SUM(BC31:BC31)</f>
        <v>17647</v>
      </c>
      <c r="IA31" s="7" t="e">
        <f>#REF!-HZ31</f>
        <v>#REF!</v>
      </c>
      <c r="IB31" s="7">
        <f>SUM(BD31:BD31)</f>
        <v>5450</v>
      </c>
      <c r="IC31" s="7" t="e">
        <f>#REF!-IB31</f>
        <v>#REF!</v>
      </c>
      <c r="ID31" s="7">
        <f t="shared" si="1"/>
        <v>125150</v>
      </c>
      <c r="IE31" s="7">
        <f t="shared" si="2"/>
        <v>0</v>
      </c>
      <c r="IF31" s="7">
        <f t="shared" si="3"/>
        <v>218262</v>
      </c>
      <c r="IG31" s="7">
        <f t="shared" si="4"/>
        <v>0</v>
      </c>
      <c r="IH31" s="7">
        <f t="shared" si="5"/>
        <v>449381</v>
      </c>
      <c r="II31" s="7">
        <f t="shared" si="6"/>
        <v>0</v>
      </c>
      <c r="IJ31" s="7">
        <f t="shared" si="7"/>
        <v>19593192</v>
      </c>
      <c r="IK31" s="7">
        <f t="shared" si="8"/>
        <v>0</v>
      </c>
      <c r="IL31" s="7">
        <f t="shared" si="9"/>
        <v>5807617</v>
      </c>
      <c r="IM31" s="7">
        <f t="shared" si="10"/>
        <v>0</v>
      </c>
      <c r="IN31" s="7">
        <f t="shared" si="11"/>
        <v>318099</v>
      </c>
      <c r="IO31" s="7">
        <f t="shared" si="12"/>
        <v>0</v>
      </c>
      <c r="IP31" s="7">
        <f t="shared" si="13"/>
        <v>3127423</v>
      </c>
      <c r="IQ31" s="7">
        <f t="shared" si="14"/>
        <v>0</v>
      </c>
      <c r="IR31" s="7">
        <f t="shared" si="15"/>
        <v>404800</v>
      </c>
      <c r="IS31" s="7">
        <f t="shared" si="16"/>
        <v>0</v>
      </c>
      <c r="IT31" s="7">
        <f t="shared" si="17"/>
        <v>2100144</v>
      </c>
      <c r="IU31" s="7">
        <f t="shared" si="18"/>
        <v>0</v>
      </c>
      <c r="IV31" s="7">
        <f t="shared" si="19"/>
        <v>17500</v>
      </c>
      <c r="IW31" s="7">
        <f t="shared" si="20"/>
        <v>0</v>
      </c>
      <c r="IX31" s="7">
        <f t="shared" si="21"/>
        <v>0</v>
      </c>
      <c r="IY31" s="7">
        <f t="shared" si="22"/>
        <v>0</v>
      </c>
      <c r="IZ31" s="7">
        <f t="shared" si="23"/>
        <v>616004</v>
      </c>
      <c r="JA31" s="7">
        <f t="shared" si="24"/>
        <v>0</v>
      </c>
      <c r="JB31" s="7">
        <f t="shared" si="25"/>
        <v>2385190</v>
      </c>
      <c r="JC31" s="7">
        <f t="shared" si="26"/>
        <v>0</v>
      </c>
      <c r="JD31" s="7">
        <f t="shared" si="27"/>
        <v>635019</v>
      </c>
      <c r="JE31" s="7">
        <f t="shared" si="28"/>
        <v>0</v>
      </c>
      <c r="JF31" s="7">
        <f t="shared" si="29"/>
        <v>626400</v>
      </c>
      <c r="JG31" s="7">
        <f t="shared" si="30"/>
        <v>0</v>
      </c>
      <c r="JH31" s="7">
        <f t="shared" si="31"/>
        <v>515422</v>
      </c>
      <c r="JI31" s="7">
        <f t="shared" si="32"/>
        <v>0</v>
      </c>
      <c r="JJ31" s="7">
        <f t="shared" si="33"/>
        <v>113001</v>
      </c>
      <c r="JK31" s="7">
        <f t="shared" si="34"/>
        <v>0</v>
      </c>
      <c r="JL31" s="7">
        <f t="shared" si="35"/>
        <v>158841</v>
      </c>
      <c r="JM31" s="7">
        <f t="shared" si="36"/>
        <v>0</v>
      </c>
      <c r="JN31" s="7">
        <f t="shared" si="37"/>
        <v>0</v>
      </c>
      <c r="JO31" s="7">
        <f t="shared" si="38"/>
        <v>0</v>
      </c>
      <c r="JP31" s="7">
        <f t="shared" si="39"/>
        <v>448831</v>
      </c>
      <c r="JQ31" s="7">
        <f t="shared" si="40"/>
        <v>0</v>
      </c>
      <c r="JR31" s="7">
        <f t="shared" si="41"/>
        <v>257327</v>
      </c>
      <c r="JS31" s="7">
        <f t="shared" si="42"/>
        <v>0</v>
      </c>
      <c r="JT31" s="7">
        <f t="shared" si="43"/>
        <v>421794</v>
      </c>
      <c r="JU31" s="7">
        <f t="shared" si="44"/>
        <v>0</v>
      </c>
      <c r="JV31" s="7">
        <f t="shared" si="45"/>
        <v>1766173</v>
      </c>
      <c r="JW31" s="7">
        <f t="shared" si="46"/>
        <v>0</v>
      </c>
      <c r="JX31" s="7">
        <f t="shared" si="47"/>
        <v>19719585</v>
      </c>
      <c r="JY31" s="7">
        <f t="shared" si="48"/>
        <v>0</v>
      </c>
      <c r="JZ31" s="7">
        <f t="shared" si="49"/>
        <v>0</v>
      </c>
      <c r="KA31" s="7">
        <f t="shared" si="50"/>
        <v>0</v>
      </c>
      <c r="KB31" s="7">
        <f t="shared" si="51"/>
        <v>19719585</v>
      </c>
      <c r="KC31" s="7">
        <f t="shared" si="52"/>
        <v>0</v>
      </c>
      <c r="KE31" s="7" t="e">
        <f t="shared" si="0"/>
        <v>#REF!</v>
      </c>
      <c r="KG31" s="5" t="e">
        <f t="shared" si="53"/>
        <v>#REF!</v>
      </c>
    </row>
    <row r="32" spans="1:293" x14ac:dyDescent="0.15">
      <c r="A32" s="119" t="s">
        <v>247</v>
      </c>
      <c r="B32" s="17" t="s">
        <v>342</v>
      </c>
      <c r="C32" s="41">
        <v>145637</v>
      </c>
      <c r="D32" s="38">
        <v>2013</v>
      </c>
      <c r="E32" s="38">
        <v>1</v>
      </c>
      <c r="F32" s="38">
        <v>3</v>
      </c>
      <c r="G32" s="39">
        <v>17984</v>
      </c>
      <c r="H32" s="39">
        <v>14297</v>
      </c>
      <c r="I32" s="40">
        <v>5164846000</v>
      </c>
      <c r="J32" s="40"/>
      <c r="K32" s="40">
        <v>9681588</v>
      </c>
      <c r="L32" s="40"/>
      <c r="M32" s="40">
        <v>88516959</v>
      </c>
      <c r="N32" s="40"/>
      <c r="O32" s="40">
        <v>117649677</v>
      </c>
      <c r="P32" s="40"/>
      <c r="Q32" s="40">
        <v>838743648</v>
      </c>
      <c r="R32" s="40"/>
      <c r="S32" s="40">
        <v>3825983000</v>
      </c>
      <c r="T32" s="40"/>
      <c r="U32" s="40">
        <v>27648</v>
      </c>
      <c r="V32" s="40"/>
      <c r="W32" s="40">
        <v>41790</v>
      </c>
      <c r="X32" s="40"/>
      <c r="Y32" s="40">
        <v>29002</v>
      </c>
      <c r="Z32" s="40"/>
      <c r="AA32" s="40">
        <v>43144</v>
      </c>
      <c r="AB32" s="40"/>
      <c r="AC32" s="59">
        <v>10</v>
      </c>
      <c r="AD32" s="59">
        <v>11</v>
      </c>
      <c r="AE32" s="59">
        <v>0</v>
      </c>
      <c r="AF32" s="57">
        <v>6237762</v>
      </c>
      <c r="AG32" s="57">
        <v>4632685</v>
      </c>
      <c r="AH32" s="57">
        <v>1282423</v>
      </c>
      <c r="AI32" s="57">
        <v>372492</v>
      </c>
      <c r="AJ32" s="57">
        <v>518404</v>
      </c>
      <c r="AK32" s="58">
        <v>8</v>
      </c>
      <c r="AL32" s="57">
        <v>518404</v>
      </c>
      <c r="AM32" s="58">
        <v>8</v>
      </c>
      <c r="AN32" s="57">
        <v>149243.55555555556</v>
      </c>
      <c r="AO32" s="58">
        <v>9</v>
      </c>
      <c r="AP32" s="57">
        <v>149243.55555555556</v>
      </c>
      <c r="AQ32" s="58">
        <v>9</v>
      </c>
      <c r="AR32" s="57">
        <v>163894</v>
      </c>
      <c r="AS32" s="58">
        <v>22</v>
      </c>
      <c r="AT32" s="57">
        <v>163894</v>
      </c>
      <c r="AU32" s="58">
        <v>22</v>
      </c>
      <c r="AV32" s="57">
        <v>71931.588235294112</v>
      </c>
      <c r="AW32" s="58">
        <v>17</v>
      </c>
      <c r="AX32" s="57">
        <v>71931.588235294112</v>
      </c>
      <c r="AY32" s="58">
        <v>17</v>
      </c>
      <c r="AZ32" s="79">
        <v>9331259</v>
      </c>
      <c r="BA32" s="79">
        <v>260000</v>
      </c>
      <c r="BB32" s="79">
        <v>3535125</v>
      </c>
      <c r="BC32" s="79">
        <v>960298</v>
      </c>
      <c r="BD32" s="79">
        <v>1461785</v>
      </c>
      <c r="BE32" s="79">
        <v>112931</v>
      </c>
      <c r="BF32" s="79">
        <v>336443</v>
      </c>
      <c r="BG32" s="79">
        <v>59492</v>
      </c>
      <c r="BH32" s="79">
        <v>1082873</v>
      </c>
      <c r="BI32" s="79">
        <v>74023</v>
      </c>
      <c r="BJ32" s="79">
        <v>1665762</v>
      </c>
      <c r="BK32" s="79">
        <v>331749</v>
      </c>
      <c r="BL32" s="79">
        <v>200338</v>
      </c>
      <c r="BM32" s="79">
        <v>83506</v>
      </c>
      <c r="BN32" s="79">
        <v>214502</v>
      </c>
      <c r="BO32" s="79">
        <v>1117555</v>
      </c>
      <c r="BP32" s="79">
        <v>1947650</v>
      </c>
      <c r="BQ32" s="79">
        <v>387757</v>
      </c>
      <c r="BR32" s="79">
        <v>336561</v>
      </c>
      <c r="BS32" s="79">
        <v>0</v>
      </c>
      <c r="BT32" s="79">
        <v>0</v>
      </c>
      <c r="BU32" s="79">
        <v>76555</v>
      </c>
      <c r="BV32" s="79">
        <v>800873</v>
      </c>
      <c r="BW32" s="79">
        <v>27856766</v>
      </c>
      <c r="BX32" s="79">
        <v>16940623</v>
      </c>
      <c r="BY32" s="79">
        <v>992655</v>
      </c>
      <c r="BZ32" s="79">
        <v>8833383</v>
      </c>
      <c r="CA32" s="79">
        <v>25102094</v>
      </c>
      <c r="CB32" s="79">
        <v>79725521</v>
      </c>
      <c r="CC32" s="79">
        <v>3756265</v>
      </c>
      <c r="CD32" s="79">
        <v>477335</v>
      </c>
      <c r="CE32" s="79">
        <v>614284</v>
      </c>
      <c r="CF32" s="79">
        <v>6022563</v>
      </c>
      <c r="CG32" s="79">
        <v>0</v>
      </c>
      <c r="CH32" s="79">
        <v>10870447</v>
      </c>
      <c r="CI32" s="79">
        <v>1585000</v>
      </c>
      <c r="CJ32" s="79">
        <v>575000</v>
      </c>
      <c r="CK32" s="79">
        <v>38290</v>
      </c>
      <c r="CL32" s="79">
        <v>17606</v>
      </c>
      <c r="CM32" s="79">
        <v>0</v>
      </c>
      <c r="CN32" s="79">
        <v>2215896</v>
      </c>
      <c r="CO32" s="79">
        <v>4025747</v>
      </c>
      <c r="CP32" s="79">
        <v>2278945</v>
      </c>
      <c r="CQ32" s="79">
        <v>788041</v>
      </c>
      <c r="CR32" s="79">
        <v>3226196</v>
      </c>
      <c r="CS32" s="79">
        <v>0</v>
      </c>
      <c r="CT32" s="79">
        <v>10318929</v>
      </c>
      <c r="CU32" s="79">
        <v>0</v>
      </c>
      <c r="CV32" s="79">
        <v>0</v>
      </c>
      <c r="CW32" s="79">
        <v>0</v>
      </c>
      <c r="CX32" s="79">
        <v>0</v>
      </c>
      <c r="CY32" s="79">
        <v>0</v>
      </c>
      <c r="CZ32" s="79">
        <v>0</v>
      </c>
      <c r="DA32" s="79">
        <v>1460301</v>
      </c>
      <c r="DB32" s="79">
        <v>653650</v>
      </c>
      <c r="DC32" s="79">
        <v>222832</v>
      </c>
      <c r="DD32" s="79">
        <v>151628</v>
      </c>
      <c r="DE32" s="79">
        <v>11123829</v>
      </c>
      <c r="DF32" s="79">
        <v>13612240</v>
      </c>
      <c r="DG32" s="79">
        <v>0</v>
      </c>
      <c r="DH32" s="79">
        <v>0</v>
      </c>
      <c r="DI32" s="79">
        <v>0</v>
      </c>
      <c r="DJ32" s="79">
        <v>0</v>
      </c>
      <c r="DK32" s="79">
        <v>0</v>
      </c>
      <c r="DL32" s="79">
        <v>0</v>
      </c>
      <c r="DM32" s="79">
        <v>1508256</v>
      </c>
      <c r="DN32" s="79">
        <v>1598002</v>
      </c>
      <c r="DO32" s="79">
        <v>337505</v>
      </c>
      <c r="DP32" s="79">
        <v>0</v>
      </c>
      <c r="DQ32" s="79">
        <v>0</v>
      </c>
      <c r="DR32" s="79">
        <v>3443763</v>
      </c>
      <c r="DS32" s="79">
        <v>791972</v>
      </c>
      <c r="DT32" s="79">
        <v>317382</v>
      </c>
      <c r="DU32" s="79">
        <v>123743</v>
      </c>
      <c r="DV32" s="79">
        <v>421818</v>
      </c>
      <c r="DW32" s="79">
        <v>0</v>
      </c>
      <c r="DX32" s="79">
        <v>1654915</v>
      </c>
      <c r="DY32" s="79">
        <v>1196242</v>
      </c>
      <c r="DZ32" s="79">
        <v>770206</v>
      </c>
      <c r="EA32" s="79">
        <v>473847</v>
      </c>
      <c r="EB32" s="79">
        <v>2248156</v>
      </c>
      <c r="EC32" s="79">
        <v>0</v>
      </c>
      <c r="ED32" s="79">
        <v>4688451</v>
      </c>
      <c r="EE32" s="79">
        <v>720284</v>
      </c>
      <c r="EF32" s="79">
        <v>324593</v>
      </c>
      <c r="EG32" s="79">
        <v>119706</v>
      </c>
      <c r="EH32" s="79">
        <v>780013</v>
      </c>
      <c r="EI32" s="79">
        <v>0</v>
      </c>
      <c r="EJ32" s="79">
        <v>1944596</v>
      </c>
      <c r="EK32" s="79">
        <v>1366072</v>
      </c>
      <c r="EL32" s="79">
        <v>965386</v>
      </c>
      <c r="EM32" s="79">
        <v>357315</v>
      </c>
      <c r="EN32" s="79">
        <v>810276</v>
      </c>
      <c r="EO32" s="79">
        <v>0</v>
      </c>
      <c r="EP32" s="79">
        <v>3499049</v>
      </c>
      <c r="EQ32" s="79">
        <v>0</v>
      </c>
      <c r="ER32" s="79">
        <v>0</v>
      </c>
      <c r="ES32" s="79">
        <v>0</v>
      </c>
      <c r="ET32" s="79">
        <v>0</v>
      </c>
      <c r="EU32" s="79">
        <v>3911849</v>
      </c>
      <c r="EV32" s="79">
        <v>3911849</v>
      </c>
      <c r="EW32" s="79">
        <v>118869</v>
      </c>
      <c r="EX32" s="79">
        <v>215456</v>
      </c>
      <c r="EY32" s="79">
        <v>34773</v>
      </c>
      <c r="EZ32" s="79">
        <v>607149</v>
      </c>
      <c r="FA32" s="79">
        <v>135017</v>
      </c>
      <c r="FB32" s="79">
        <v>1111264</v>
      </c>
      <c r="FC32" s="79">
        <v>0</v>
      </c>
      <c r="FD32" s="79">
        <v>0</v>
      </c>
      <c r="FE32" s="79">
        <v>0</v>
      </c>
      <c r="FF32" s="79">
        <v>0</v>
      </c>
      <c r="FG32" s="79">
        <v>16109440</v>
      </c>
      <c r="FH32" s="79">
        <v>16109440</v>
      </c>
      <c r="FI32" s="79">
        <v>0</v>
      </c>
      <c r="FJ32" s="79">
        <v>0</v>
      </c>
      <c r="FK32" s="79">
        <v>0</v>
      </c>
      <c r="FL32" s="79">
        <v>0</v>
      </c>
      <c r="FM32" s="79">
        <v>320022</v>
      </c>
      <c r="FN32" s="79">
        <v>320022</v>
      </c>
      <c r="FO32" s="79">
        <v>0</v>
      </c>
      <c r="FP32" s="79">
        <v>0</v>
      </c>
      <c r="FQ32" s="79">
        <v>0</v>
      </c>
      <c r="FR32" s="79">
        <v>0</v>
      </c>
      <c r="FS32" s="79">
        <v>0</v>
      </c>
      <c r="FT32" s="79">
        <v>0</v>
      </c>
      <c r="FU32" s="79">
        <v>14418</v>
      </c>
      <c r="FV32" s="79">
        <v>1190</v>
      </c>
      <c r="FW32" s="79">
        <v>530</v>
      </c>
      <c r="FX32" s="79">
        <v>29884</v>
      </c>
      <c r="FY32" s="79">
        <v>517147</v>
      </c>
      <c r="FZ32" s="79">
        <v>563169</v>
      </c>
      <c r="GA32" s="79">
        <v>2698</v>
      </c>
      <c r="GB32" s="79">
        <v>1593</v>
      </c>
      <c r="GC32" s="79">
        <v>973</v>
      </c>
      <c r="GD32" s="79">
        <v>8675</v>
      </c>
      <c r="GE32" s="79">
        <v>110343</v>
      </c>
      <c r="GF32" s="79">
        <v>124282</v>
      </c>
      <c r="GG32" s="79">
        <v>275165</v>
      </c>
      <c r="GH32" s="79">
        <v>149297</v>
      </c>
      <c r="GI32" s="79">
        <v>55952</v>
      </c>
      <c r="GJ32" s="79">
        <v>132854</v>
      </c>
      <c r="GK32" s="79">
        <v>3665900</v>
      </c>
      <c r="GL32" s="79">
        <v>4279168</v>
      </c>
      <c r="GM32" s="79">
        <v>16821289</v>
      </c>
      <c r="GN32" s="79">
        <v>8328036</v>
      </c>
      <c r="GO32" s="79">
        <v>3167791</v>
      </c>
      <c r="GP32" s="79">
        <v>14456817</v>
      </c>
      <c r="GQ32" s="79">
        <v>35893547</v>
      </c>
      <c r="GR32" s="79">
        <v>78667480</v>
      </c>
      <c r="GS32" s="79">
        <v>0</v>
      </c>
      <c r="GT32" s="79">
        <v>0</v>
      </c>
      <c r="GU32" s="79">
        <v>0</v>
      </c>
      <c r="GV32" s="79">
        <v>0</v>
      </c>
      <c r="GW32" s="79">
        <v>603300</v>
      </c>
      <c r="GX32" s="79">
        <v>603300</v>
      </c>
      <c r="GY32" s="79">
        <v>16821289</v>
      </c>
      <c r="GZ32" s="79">
        <v>8328036</v>
      </c>
      <c r="HA32" s="79">
        <v>3167791</v>
      </c>
      <c r="HB32" s="79">
        <v>14456817</v>
      </c>
      <c r="HC32" s="79">
        <v>36496847</v>
      </c>
      <c r="HD32" s="79">
        <v>79270780</v>
      </c>
      <c r="HF32" s="7">
        <f>SUM(AZ32:AZ32)</f>
        <v>9331259</v>
      </c>
      <c r="HG32" s="7" t="e">
        <f>#REF!-HF32</f>
        <v>#REF!</v>
      </c>
      <c r="HH32" s="7" t="e">
        <f>SUM(#REF!)</f>
        <v>#REF!</v>
      </c>
      <c r="HI32" s="7" t="e">
        <f>#REF!-HH32</f>
        <v>#REF!</v>
      </c>
      <c r="HJ32" s="7">
        <f>SUM(BA32:BA32)</f>
        <v>260000</v>
      </c>
      <c r="HK32" s="7" t="e">
        <f>#REF!-HJ32</f>
        <v>#REF!</v>
      </c>
      <c r="HL32" s="7">
        <f>SUM(BB32:BB32)</f>
        <v>3535125</v>
      </c>
      <c r="HM32" s="7" t="e">
        <f>#REF!-HL32</f>
        <v>#REF!</v>
      </c>
      <c r="HN32" s="7" t="e">
        <f>SUM(#REF!)</f>
        <v>#REF!</v>
      </c>
      <c r="HO32" s="7" t="e">
        <f>#REF!-HN32</f>
        <v>#REF!</v>
      </c>
      <c r="HP32" s="7" t="e">
        <f>SUM(#REF!)</f>
        <v>#REF!</v>
      </c>
      <c r="HQ32" s="7" t="e">
        <f>#REF!-HP32</f>
        <v>#REF!</v>
      </c>
      <c r="HR32" s="7" t="e">
        <f>SUM(#REF!)</f>
        <v>#REF!</v>
      </c>
      <c r="HS32" s="7" t="e">
        <f>#REF!-HR32</f>
        <v>#REF!</v>
      </c>
      <c r="HT32" s="7" t="e">
        <f>SUM(#REF!)</f>
        <v>#REF!</v>
      </c>
      <c r="HU32" s="7" t="e">
        <f>#REF!-HT32</f>
        <v>#REF!</v>
      </c>
      <c r="HV32" s="7" t="e">
        <f>SUM(#REF!)</f>
        <v>#REF!</v>
      </c>
      <c r="HW32" s="7" t="e">
        <f>#REF!-HV32</f>
        <v>#REF!</v>
      </c>
      <c r="HX32" s="7" t="e">
        <f>SUM(#REF!)</f>
        <v>#REF!</v>
      </c>
      <c r="HY32" s="7" t="e">
        <f>#REF!-HX32</f>
        <v>#REF!</v>
      </c>
      <c r="HZ32" s="7">
        <f>SUM(BC32:BC32)</f>
        <v>960298</v>
      </c>
      <c r="IA32" s="7" t="e">
        <f>#REF!-HZ32</f>
        <v>#REF!</v>
      </c>
      <c r="IB32" s="7">
        <f>SUM(BD32:BD32)</f>
        <v>1461785</v>
      </c>
      <c r="IC32" s="7" t="e">
        <f>#REF!-IB32</f>
        <v>#REF!</v>
      </c>
      <c r="ID32" s="7">
        <f t="shared" si="1"/>
        <v>1665762</v>
      </c>
      <c r="IE32" s="7">
        <f t="shared" si="2"/>
        <v>0</v>
      </c>
      <c r="IF32" s="7">
        <f t="shared" si="3"/>
        <v>1947650</v>
      </c>
      <c r="IG32" s="7">
        <f t="shared" si="4"/>
        <v>0</v>
      </c>
      <c r="IH32" s="7">
        <f t="shared" si="5"/>
        <v>800873</v>
      </c>
      <c r="II32" s="7">
        <f t="shared" si="6"/>
        <v>0</v>
      </c>
      <c r="IJ32" s="7">
        <f t="shared" si="7"/>
        <v>79725521</v>
      </c>
      <c r="IK32" s="7">
        <f t="shared" si="8"/>
        <v>0</v>
      </c>
      <c r="IL32" s="7">
        <f t="shared" si="9"/>
        <v>10870447</v>
      </c>
      <c r="IM32" s="7">
        <f t="shared" si="10"/>
        <v>0</v>
      </c>
      <c r="IN32" s="7">
        <f t="shared" si="11"/>
        <v>2215896</v>
      </c>
      <c r="IO32" s="7">
        <f t="shared" si="12"/>
        <v>0</v>
      </c>
      <c r="IP32" s="7">
        <f t="shared" si="13"/>
        <v>10318929</v>
      </c>
      <c r="IQ32" s="7">
        <f t="shared" si="14"/>
        <v>0</v>
      </c>
      <c r="IR32" s="7">
        <f t="shared" si="15"/>
        <v>0</v>
      </c>
      <c r="IS32" s="7">
        <f t="shared" si="16"/>
        <v>0</v>
      </c>
      <c r="IT32" s="7">
        <f t="shared" si="17"/>
        <v>13612240</v>
      </c>
      <c r="IU32" s="7">
        <f t="shared" si="18"/>
        <v>0</v>
      </c>
      <c r="IV32" s="7">
        <f t="shared" si="19"/>
        <v>0</v>
      </c>
      <c r="IW32" s="7">
        <f t="shared" si="20"/>
        <v>0</v>
      </c>
      <c r="IX32" s="7">
        <f t="shared" si="21"/>
        <v>3443763</v>
      </c>
      <c r="IY32" s="7">
        <f t="shared" si="22"/>
        <v>0</v>
      </c>
      <c r="IZ32" s="7">
        <f t="shared" si="23"/>
        <v>1654915</v>
      </c>
      <c r="JA32" s="7">
        <f t="shared" si="24"/>
        <v>0</v>
      </c>
      <c r="JB32" s="7">
        <f t="shared" si="25"/>
        <v>4688451</v>
      </c>
      <c r="JC32" s="7">
        <f t="shared" si="26"/>
        <v>0</v>
      </c>
      <c r="JD32" s="7">
        <f t="shared" si="27"/>
        <v>1944596</v>
      </c>
      <c r="JE32" s="7">
        <f t="shared" si="28"/>
        <v>0</v>
      </c>
      <c r="JF32" s="7">
        <f t="shared" si="29"/>
        <v>3499049</v>
      </c>
      <c r="JG32" s="7">
        <f t="shared" si="30"/>
        <v>0</v>
      </c>
      <c r="JH32" s="7">
        <f t="shared" si="31"/>
        <v>3911849</v>
      </c>
      <c r="JI32" s="7">
        <f t="shared" si="32"/>
        <v>0</v>
      </c>
      <c r="JJ32" s="7">
        <f t="shared" si="33"/>
        <v>1111264</v>
      </c>
      <c r="JK32" s="7">
        <f t="shared" si="34"/>
        <v>0</v>
      </c>
      <c r="JL32" s="7">
        <f t="shared" si="35"/>
        <v>16109440</v>
      </c>
      <c r="JM32" s="7">
        <f t="shared" si="36"/>
        <v>0</v>
      </c>
      <c r="JN32" s="7">
        <f t="shared" si="37"/>
        <v>320022</v>
      </c>
      <c r="JO32" s="7">
        <f t="shared" si="38"/>
        <v>0</v>
      </c>
      <c r="JP32" s="7">
        <f t="shared" si="39"/>
        <v>0</v>
      </c>
      <c r="JQ32" s="7">
        <f t="shared" si="40"/>
        <v>0</v>
      </c>
      <c r="JR32" s="7">
        <f t="shared" si="41"/>
        <v>563169</v>
      </c>
      <c r="JS32" s="7">
        <f t="shared" si="42"/>
        <v>0</v>
      </c>
      <c r="JT32" s="7">
        <f t="shared" si="43"/>
        <v>124282</v>
      </c>
      <c r="JU32" s="7">
        <f t="shared" si="44"/>
        <v>0</v>
      </c>
      <c r="JV32" s="7">
        <f t="shared" si="45"/>
        <v>4279168</v>
      </c>
      <c r="JW32" s="7">
        <f t="shared" si="46"/>
        <v>0</v>
      </c>
      <c r="JX32" s="7">
        <f t="shared" si="47"/>
        <v>78667480</v>
      </c>
      <c r="JY32" s="7">
        <f t="shared" si="48"/>
        <v>0</v>
      </c>
      <c r="JZ32" s="7">
        <f t="shared" si="49"/>
        <v>603300</v>
      </c>
      <c r="KA32" s="7">
        <f t="shared" si="50"/>
        <v>0</v>
      </c>
      <c r="KB32" s="7">
        <f t="shared" si="51"/>
        <v>79270780</v>
      </c>
      <c r="KC32" s="7">
        <f t="shared" si="52"/>
        <v>0</v>
      </c>
      <c r="KE32" s="7" t="e">
        <f t="shared" si="0"/>
        <v>#REF!</v>
      </c>
      <c r="KG32" s="5" t="e">
        <f t="shared" si="53"/>
        <v>#REF!</v>
      </c>
    </row>
    <row r="33" spans="1:293" x14ac:dyDescent="0.15">
      <c r="A33" s="119" t="s">
        <v>248</v>
      </c>
      <c r="B33" s="17" t="s">
        <v>344</v>
      </c>
      <c r="C33" s="38">
        <v>110662</v>
      </c>
      <c r="D33" s="38">
        <v>2013</v>
      </c>
      <c r="E33" s="38">
        <v>1</v>
      </c>
      <c r="F33" s="38">
        <v>3</v>
      </c>
      <c r="G33" s="39">
        <v>15176</v>
      </c>
      <c r="H33" s="39">
        <v>15773</v>
      </c>
      <c r="I33" s="43">
        <v>1602836139</v>
      </c>
      <c r="J33" s="40"/>
      <c r="K33" s="43">
        <v>4424805</v>
      </c>
      <c r="L33" s="40"/>
      <c r="M33" s="43">
        <v>45525028</v>
      </c>
      <c r="N33" s="40"/>
      <c r="O33" s="40">
        <v>52123117</v>
      </c>
      <c r="P33" s="40">
        <v>72262</v>
      </c>
      <c r="Q33" s="43">
        <v>445168823</v>
      </c>
      <c r="R33" s="40"/>
      <c r="S33" s="43">
        <v>1182802057</v>
      </c>
      <c r="T33" s="40"/>
      <c r="U33" s="40">
        <v>20594</v>
      </c>
      <c r="V33" s="43"/>
      <c r="W33" s="43">
        <v>42044</v>
      </c>
      <c r="X33" s="43"/>
      <c r="Y33" s="40">
        <v>23116</v>
      </c>
      <c r="Z33" s="43"/>
      <c r="AA33" s="40">
        <v>44566</v>
      </c>
      <c r="AB33" s="40"/>
      <c r="AC33" s="59">
        <v>11</v>
      </c>
      <c r="AD33" s="59">
        <v>13</v>
      </c>
      <c r="AE33" s="59">
        <v>0</v>
      </c>
      <c r="AF33" s="62">
        <v>6523825</v>
      </c>
      <c r="AG33" s="62">
        <v>5760334</v>
      </c>
      <c r="AH33" s="57">
        <v>1020061</v>
      </c>
      <c r="AI33" s="57">
        <v>336935</v>
      </c>
      <c r="AJ33" s="62">
        <v>685798.821</v>
      </c>
      <c r="AK33" s="63">
        <v>8.51</v>
      </c>
      <c r="AL33" s="62">
        <v>582929</v>
      </c>
      <c r="AM33" s="63">
        <v>10</v>
      </c>
      <c r="AN33" s="62">
        <v>165230.481</v>
      </c>
      <c r="AO33" s="63">
        <v>10.51</v>
      </c>
      <c r="AP33" s="62">
        <v>144576.671</v>
      </c>
      <c r="AQ33" s="63">
        <v>12</v>
      </c>
      <c r="AR33" s="62">
        <v>205997.391</v>
      </c>
      <c r="AS33" s="63">
        <v>24.51</v>
      </c>
      <c r="AT33" s="62">
        <v>174032.28099999999</v>
      </c>
      <c r="AU33" s="63">
        <v>29</v>
      </c>
      <c r="AV33" s="62">
        <v>80239.81</v>
      </c>
      <c r="AW33" s="63">
        <v>20.5</v>
      </c>
      <c r="AX33" s="62">
        <v>65796.641000000003</v>
      </c>
      <c r="AY33" s="63">
        <v>25</v>
      </c>
      <c r="AZ33" s="87">
        <v>4930838</v>
      </c>
      <c r="BA33" s="87">
        <v>621077</v>
      </c>
      <c r="BB33" s="87">
        <v>0</v>
      </c>
      <c r="BC33" s="87">
        <v>1084213</v>
      </c>
      <c r="BD33" s="87">
        <v>827889</v>
      </c>
      <c r="BE33" s="87">
        <v>0</v>
      </c>
      <c r="BF33" s="87">
        <v>0</v>
      </c>
      <c r="BG33" s="87">
        <v>0</v>
      </c>
      <c r="BH33" s="87">
        <v>0</v>
      </c>
      <c r="BI33" s="87">
        <v>0</v>
      </c>
      <c r="BJ33" s="87">
        <v>0</v>
      </c>
      <c r="BK33" s="87">
        <v>0</v>
      </c>
      <c r="BL33" s="87">
        <v>0</v>
      </c>
      <c r="BM33" s="87">
        <v>0</v>
      </c>
      <c r="BN33" s="87">
        <v>0</v>
      </c>
      <c r="BO33" s="87">
        <v>0</v>
      </c>
      <c r="BP33" s="87">
        <v>0</v>
      </c>
      <c r="BQ33" s="87">
        <v>0</v>
      </c>
      <c r="BR33" s="87">
        <v>300</v>
      </c>
      <c r="BS33" s="87">
        <v>0</v>
      </c>
      <c r="BT33" s="87">
        <v>121898</v>
      </c>
      <c r="BU33" s="87">
        <v>3248219</v>
      </c>
      <c r="BV33" s="87">
        <v>3370417</v>
      </c>
      <c r="BW33" s="87">
        <v>24585648</v>
      </c>
      <c r="BX33" s="87">
        <v>21695044</v>
      </c>
      <c r="BY33" s="87">
        <v>176773</v>
      </c>
      <c r="BZ33" s="87">
        <v>1008753</v>
      </c>
      <c r="CA33" s="87">
        <v>29194047</v>
      </c>
      <c r="CB33" s="87">
        <v>76660265</v>
      </c>
      <c r="CC33" s="87">
        <v>3512760</v>
      </c>
      <c r="CD33" s="87">
        <v>611207</v>
      </c>
      <c r="CE33" s="87">
        <v>537975</v>
      </c>
      <c r="CF33" s="87">
        <v>7622217</v>
      </c>
      <c r="CG33" s="87">
        <v>19319</v>
      </c>
      <c r="CH33" s="87">
        <v>12303478</v>
      </c>
      <c r="CI33" s="87">
        <v>1866028</v>
      </c>
      <c r="CJ33" s="87">
        <v>1412347</v>
      </c>
      <c r="CK33" s="87">
        <v>41184</v>
      </c>
      <c r="CL33" s="87">
        <v>56003</v>
      </c>
      <c r="CM33" s="87">
        <v>0</v>
      </c>
      <c r="CN33" s="87">
        <v>3375562</v>
      </c>
      <c r="CO33" s="87">
        <v>4477408</v>
      </c>
      <c r="CP33" s="87">
        <v>4172582</v>
      </c>
      <c r="CQ33" s="87">
        <v>879904</v>
      </c>
      <c r="CR33" s="87">
        <v>4726168</v>
      </c>
      <c r="CS33" s="87">
        <v>0</v>
      </c>
      <c r="CT33" s="87">
        <v>14256062</v>
      </c>
      <c r="CU33" s="79">
        <v>77785</v>
      </c>
      <c r="CV33" s="79">
        <v>61003</v>
      </c>
      <c r="CW33" s="79">
        <v>17810</v>
      </c>
      <c r="CX33" s="79">
        <v>14497</v>
      </c>
      <c r="CY33" s="79">
        <v>0</v>
      </c>
      <c r="CZ33" s="79">
        <v>171095</v>
      </c>
      <c r="DA33" s="79">
        <v>1304924</v>
      </c>
      <c r="DB33" s="79">
        <v>891770</v>
      </c>
      <c r="DC33" s="79">
        <v>182839</v>
      </c>
      <c r="DD33" s="79">
        <v>260134</v>
      </c>
      <c r="DE33" s="79">
        <v>12258412</v>
      </c>
      <c r="DF33" s="79">
        <v>14898079</v>
      </c>
      <c r="DG33" s="87">
        <v>5250</v>
      </c>
      <c r="DH33" s="87">
        <v>6250</v>
      </c>
      <c r="DI33" s="87">
        <v>0</v>
      </c>
      <c r="DJ33" s="87">
        <v>0</v>
      </c>
      <c r="DK33" s="87">
        <v>58196</v>
      </c>
      <c r="DL33" s="87">
        <v>69696</v>
      </c>
      <c r="DM33" s="87">
        <v>85201</v>
      </c>
      <c r="DN33" s="87">
        <v>0</v>
      </c>
      <c r="DO33" s="87">
        <v>96345</v>
      </c>
      <c r="DP33" s="87">
        <v>75758</v>
      </c>
      <c r="DQ33" s="87">
        <v>137867</v>
      </c>
      <c r="DR33" s="87">
        <v>395171</v>
      </c>
      <c r="DS33" s="87">
        <v>402262</v>
      </c>
      <c r="DT33" s="87">
        <v>420559</v>
      </c>
      <c r="DU33" s="87">
        <v>90446</v>
      </c>
      <c r="DV33" s="87">
        <v>443729</v>
      </c>
      <c r="DW33" s="87">
        <v>0</v>
      </c>
      <c r="DX33" s="87">
        <v>1356996</v>
      </c>
      <c r="DY33" s="87">
        <v>701437</v>
      </c>
      <c r="DZ33" s="87">
        <v>884043</v>
      </c>
      <c r="EA33" s="87">
        <v>183167</v>
      </c>
      <c r="EB33" s="87">
        <v>2204178</v>
      </c>
      <c r="EC33" s="87">
        <v>0</v>
      </c>
      <c r="ED33" s="87">
        <v>3972825</v>
      </c>
      <c r="EE33" s="87">
        <v>375650</v>
      </c>
      <c r="EF33" s="87">
        <v>71607</v>
      </c>
      <c r="EG33" s="87">
        <v>56270</v>
      </c>
      <c r="EH33" s="87">
        <v>682765</v>
      </c>
      <c r="EI33" s="87">
        <v>20702</v>
      </c>
      <c r="EJ33" s="87">
        <v>1206994</v>
      </c>
      <c r="EK33" s="87">
        <v>1003109</v>
      </c>
      <c r="EL33" s="87">
        <v>1124338</v>
      </c>
      <c r="EM33" s="87">
        <v>248627</v>
      </c>
      <c r="EN33" s="87">
        <v>310579</v>
      </c>
      <c r="EO33" s="87">
        <v>74848</v>
      </c>
      <c r="EP33" s="87">
        <v>2761501</v>
      </c>
      <c r="EQ33" s="87">
        <v>510870</v>
      </c>
      <c r="ER33" s="87">
        <v>120948</v>
      </c>
      <c r="ES33" s="87">
        <v>19621</v>
      </c>
      <c r="ET33" s="87">
        <v>129902</v>
      </c>
      <c r="EU33" s="87">
        <v>596611</v>
      </c>
      <c r="EV33" s="87">
        <v>1377952</v>
      </c>
      <c r="EW33" s="87">
        <v>0</v>
      </c>
      <c r="EX33" s="87">
        <v>0</v>
      </c>
      <c r="EY33" s="87">
        <v>0</v>
      </c>
      <c r="EZ33" s="87">
        <v>0</v>
      </c>
      <c r="FA33" s="87">
        <v>0</v>
      </c>
      <c r="FB33" s="87">
        <v>0</v>
      </c>
      <c r="FC33" s="87">
        <v>633191</v>
      </c>
      <c r="FD33" s="87">
        <v>195178</v>
      </c>
      <c r="FE33" s="87">
        <v>131504</v>
      </c>
      <c r="FF33" s="87">
        <v>792070</v>
      </c>
      <c r="FG33" s="87">
        <v>3824227</v>
      </c>
      <c r="FH33" s="87">
        <v>5576170</v>
      </c>
      <c r="FI33" s="87">
        <v>0</v>
      </c>
      <c r="FJ33" s="87">
        <v>0</v>
      </c>
      <c r="FK33" s="87">
        <v>0</v>
      </c>
      <c r="FL33" s="87">
        <v>0</v>
      </c>
      <c r="FM33" s="87">
        <v>225568</v>
      </c>
      <c r="FN33" s="87">
        <v>225568</v>
      </c>
      <c r="FO33" s="87">
        <v>0</v>
      </c>
      <c r="FP33" s="87">
        <v>0</v>
      </c>
      <c r="FQ33" s="87">
        <v>0</v>
      </c>
      <c r="FR33" s="87">
        <v>0</v>
      </c>
      <c r="FS33" s="87">
        <v>2561958</v>
      </c>
      <c r="FT33" s="87">
        <v>2561958</v>
      </c>
      <c r="FU33" s="87">
        <v>218695</v>
      </c>
      <c r="FV33" s="87">
        <v>35188</v>
      </c>
      <c r="FW33" s="87">
        <v>53960</v>
      </c>
      <c r="FX33" s="87">
        <v>418672</v>
      </c>
      <c r="FY33" s="87">
        <v>689489</v>
      </c>
      <c r="FZ33" s="87">
        <v>1416004</v>
      </c>
      <c r="GA33" s="87">
        <v>9538</v>
      </c>
      <c r="GB33" s="87">
        <v>8184</v>
      </c>
      <c r="GC33" s="87">
        <v>1855</v>
      </c>
      <c r="GD33" s="87">
        <v>16055</v>
      </c>
      <c r="GE33" s="87">
        <v>113489</v>
      </c>
      <c r="GF33" s="87">
        <v>149121</v>
      </c>
      <c r="GG33" s="87">
        <v>879301</v>
      </c>
      <c r="GH33" s="87">
        <v>372638</v>
      </c>
      <c r="GI33" s="87">
        <v>145331</v>
      </c>
      <c r="GJ33" s="87">
        <v>718523</v>
      </c>
      <c r="GK33" s="87">
        <v>4407028</v>
      </c>
      <c r="GL33" s="87">
        <v>6522821</v>
      </c>
      <c r="GM33" s="87">
        <v>16063409</v>
      </c>
      <c r="GN33" s="87">
        <v>10387842</v>
      </c>
      <c r="GO33" s="87">
        <v>2686838</v>
      </c>
      <c r="GP33" s="87">
        <v>18471250</v>
      </c>
      <c r="GQ33" s="87">
        <v>24987714</v>
      </c>
      <c r="GR33" s="87">
        <v>72597053</v>
      </c>
      <c r="GS33" s="87">
        <v>0</v>
      </c>
      <c r="GT33" s="87">
        <v>0</v>
      </c>
      <c r="GU33" s="87">
        <v>0</v>
      </c>
      <c r="GV33" s="87">
        <v>0</v>
      </c>
      <c r="GW33" s="87">
        <v>0</v>
      </c>
      <c r="GX33" s="87">
        <v>0</v>
      </c>
      <c r="GY33" s="87">
        <v>16063409</v>
      </c>
      <c r="GZ33" s="87">
        <v>10387842</v>
      </c>
      <c r="HA33" s="87">
        <v>2686838</v>
      </c>
      <c r="HB33" s="87">
        <v>18471250</v>
      </c>
      <c r="HC33" s="87">
        <v>24987714</v>
      </c>
      <c r="HD33" s="87">
        <v>72597053</v>
      </c>
      <c r="HE33" s="14"/>
      <c r="HF33" s="7">
        <f>SUM(AZ33:AZ33)</f>
        <v>4930838</v>
      </c>
      <c r="HG33" s="7" t="e">
        <f>#REF!-HF33</f>
        <v>#REF!</v>
      </c>
      <c r="HH33" s="7" t="e">
        <f>SUM(#REF!)</f>
        <v>#REF!</v>
      </c>
      <c r="HI33" s="7" t="e">
        <f>#REF!-HH33</f>
        <v>#REF!</v>
      </c>
      <c r="HJ33" s="7">
        <f>SUM(BA33:BA33)</f>
        <v>621077</v>
      </c>
      <c r="HK33" s="7" t="e">
        <f>#REF!-HJ33</f>
        <v>#REF!</v>
      </c>
      <c r="HL33" s="7">
        <f>SUM(BB33:BB33)</f>
        <v>0</v>
      </c>
      <c r="HM33" s="7" t="e">
        <f>#REF!-HL33</f>
        <v>#REF!</v>
      </c>
      <c r="HN33" s="7" t="e">
        <f>SUM(#REF!)</f>
        <v>#REF!</v>
      </c>
      <c r="HO33" s="7" t="e">
        <f>#REF!-HN33</f>
        <v>#REF!</v>
      </c>
      <c r="HP33" s="7" t="e">
        <f>SUM(#REF!)</f>
        <v>#REF!</v>
      </c>
      <c r="HQ33" s="7" t="e">
        <f>#REF!-HP33</f>
        <v>#REF!</v>
      </c>
      <c r="HR33" s="7" t="e">
        <f>SUM(#REF!)</f>
        <v>#REF!</v>
      </c>
      <c r="HS33" s="7" t="e">
        <f>#REF!-HR33</f>
        <v>#REF!</v>
      </c>
      <c r="HT33" s="7" t="e">
        <f>SUM(#REF!)</f>
        <v>#REF!</v>
      </c>
      <c r="HU33" s="7" t="e">
        <f>#REF!-HT33</f>
        <v>#REF!</v>
      </c>
      <c r="HV33" s="7" t="e">
        <f>SUM(#REF!)</f>
        <v>#REF!</v>
      </c>
      <c r="HW33" s="7" t="e">
        <f>#REF!-HV33</f>
        <v>#REF!</v>
      </c>
      <c r="HX33" s="7" t="e">
        <f>SUM(#REF!)</f>
        <v>#REF!</v>
      </c>
      <c r="HY33" s="7" t="e">
        <f>#REF!-HX33</f>
        <v>#REF!</v>
      </c>
      <c r="HZ33" s="7">
        <f>SUM(BC33:BC33)</f>
        <v>1084213</v>
      </c>
      <c r="IA33" s="7" t="e">
        <f>#REF!-HZ33</f>
        <v>#REF!</v>
      </c>
      <c r="IB33" s="7">
        <f>SUM(BD33:BD33)</f>
        <v>827889</v>
      </c>
      <c r="IC33" s="7" t="e">
        <f>#REF!-IB33</f>
        <v>#REF!</v>
      </c>
      <c r="ID33" s="7">
        <f t="shared" si="1"/>
        <v>0</v>
      </c>
      <c r="IE33" s="7">
        <f t="shared" si="2"/>
        <v>0</v>
      </c>
      <c r="IF33" s="7">
        <f t="shared" si="3"/>
        <v>0</v>
      </c>
      <c r="IG33" s="7">
        <f t="shared" si="4"/>
        <v>0</v>
      </c>
      <c r="IH33" s="7">
        <f t="shared" si="5"/>
        <v>3370417</v>
      </c>
      <c r="II33" s="7">
        <f t="shared" si="6"/>
        <v>0</v>
      </c>
      <c r="IJ33" s="7">
        <f t="shared" si="7"/>
        <v>76660265</v>
      </c>
      <c r="IK33" s="7">
        <f t="shared" si="8"/>
        <v>0</v>
      </c>
      <c r="IL33" s="7">
        <f t="shared" si="9"/>
        <v>12303478</v>
      </c>
      <c r="IM33" s="7">
        <f t="shared" si="10"/>
        <v>0</v>
      </c>
      <c r="IN33" s="7">
        <f t="shared" si="11"/>
        <v>3375562</v>
      </c>
      <c r="IO33" s="7">
        <f t="shared" si="12"/>
        <v>0</v>
      </c>
      <c r="IP33" s="7">
        <f t="shared" si="13"/>
        <v>14256062</v>
      </c>
      <c r="IQ33" s="7">
        <f t="shared" si="14"/>
        <v>0</v>
      </c>
      <c r="IR33" s="7">
        <f t="shared" si="15"/>
        <v>171095</v>
      </c>
      <c r="IS33" s="7">
        <f t="shared" si="16"/>
        <v>0</v>
      </c>
      <c r="IT33" s="7">
        <f t="shared" si="17"/>
        <v>14898079</v>
      </c>
      <c r="IU33" s="7">
        <f t="shared" si="18"/>
        <v>0</v>
      </c>
      <c r="IV33" s="7">
        <f t="shared" si="19"/>
        <v>69696</v>
      </c>
      <c r="IW33" s="7">
        <f t="shared" si="20"/>
        <v>0</v>
      </c>
      <c r="IX33" s="7">
        <f t="shared" si="21"/>
        <v>395171</v>
      </c>
      <c r="IY33" s="7">
        <f t="shared" si="22"/>
        <v>0</v>
      </c>
      <c r="IZ33" s="7">
        <f t="shared" si="23"/>
        <v>1356996</v>
      </c>
      <c r="JA33" s="7">
        <f t="shared" si="24"/>
        <v>0</v>
      </c>
      <c r="JB33" s="7">
        <f t="shared" si="25"/>
        <v>3972825</v>
      </c>
      <c r="JC33" s="7">
        <f t="shared" si="26"/>
        <v>0</v>
      </c>
      <c r="JD33" s="7">
        <f t="shared" si="27"/>
        <v>1206994</v>
      </c>
      <c r="JE33" s="7">
        <f t="shared" si="28"/>
        <v>0</v>
      </c>
      <c r="JF33" s="7">
        <f t="shared" si="29"/>
        <v>2761501</v>
      </c>
      <c r="JG33" s="7">
        <f t="shared" si="30"/>
        <v>0</v>
      </c>
      <c r="JH33" s="7">
        <f t="shared" si="31"/>
        <v>1377952</v>
      </c>
      <c r="JI33" s="7">
        <f t="shared" si="32"/>
        <v>0</v>
      </c>
      <c r="JJ33" s="7">
        <f t="shared" si="33"/>
        <v>0</v>
      </c>
      <c r="JK33" s="7">
        <f t="shared" si="34"/>
        <v>0</v>
      </c>
      <c r="JL33" s="7">
        <f t="shared" si="35"/>
        <v>5576170</v>
      </c>
      <c r="JM33" s="7">
        <f t="shared" si="36"/>
        <v>0</v>
      </c>
      <c r="JN33" s="7">
        <f t="shared" si="37"/>
        <v>225568</v>
      </c>
      <c r="JO33" s="7">
        <f t="shared" si="38"/>
        <v>0</v>
      </c>
      <c r="JP33" s="7">
        <f t="shared" si="39"/>
        <v>2561958</v>
      </c>
      <c r="JQ33" s="7">
        <f t="shared" si="40"/>
        <v>0</v>
      </c>
      <c r="JR33" s="7">
        <f t="shared" si="41"/>
        <v>1416004</v>
      </c>
      <c r="JS33" s="7">
        <f t="shared" si="42"/>
        <v>0</v>
      </c>
      <c r="JT33" s="7">
        <f t="shared" si="43"/>
        <v>149121</v>
      </c>
      <c r="JU33" s="7">
        <f t="shared" si="44"/>
        <v>0</v>
      </c>
      <c r="JV33" s="7">
        <f t="shared" si="45"/>
        <v>6522821</v>
      </c>
      <c r="JW33" s="7">
        <f t="shared" si="46"/>
        <v>0</v>
      </c>
      <c r="JX33" s="7">
        <f t="shared" si="47"/>
        <v>72597053</v>
      </c>
      <c r="JY33" s="7">
        <f t="shared" si="48"/>
        <v>0</v>
      </c>
      <c r="JZ33" s="7">
        <f t="shared" si="49"/>
        <v>0</v>
      </c>
      <c r="KA33" s="7">
        <f t="shared" si="50"/>
        <v>0</v>
      </c>
      <c r="KB33" s="7">
        <f t="shared" si="51"/>
        <v>72597053</v>
      </c>
      <c r="KC33" s="7">
        <f t="shared" si="52"/>
        <v>0</v>
      </c>
      <c r="KE33" s="7" t="e">
        <f t="shared" ref="KE33:KE62" si="54">SUM(HG33,HI33,HK33,HM33,HO33,HQ33,HS33,HU33,HW33,HY33,IA33,IC33,IE33,IG33,II33,IK33,IM33,IO33,IQ33,IS33,IU33,IY33,JA33,,JE33,JG33,JI33,JK33,JM33,JO33,JQ33,JS33,JU33,JW33,JY33,KA33,KC33)</f>
        <v>#REF!</v>
      </c>
      <c r="KG33" s="5" t="e">
        <f t="shared" si="53"/>
        <v>#REF!</v>
      </c>
    </row>
    <row r="34" spans="1:293" x14ac:dyDescent="0.15">
      <c r="A34" s="119" t="s">
        <v>249</v>
      </c>
      <c r="B34" s="17" t="s">
        <v>342</v>
      </c>
      <c r="C34" s="41">
        <v>153658</v>
      </c>
      <c r="D34" s="38">
        <v>2013</v>
      </c>
      <c r="E34" s="38">
        <v>1</v>
      </c>
      <c r="F34" s="38">
        <v>3</v>
      </c>
      <c r="G34" s="39">
        <v>9419</v>
      </c>
      <c r="H34" s="39">
        <v>10030</v>
      </c>
      <c r="I34" s="40">
        <v>2641702772</v>
      </c>
      <c r="J34" s="40"/>
      <c r="K34" s="40">
        <v>10265171</v>
      </c>
      <c r="L34" s="40"/>
      <c r="M34" s="40">
        <v>86320273</v>
      </c>
      <c r="N34" s="40"/>
      <c r="O34" s="40">
        <v>145575000</v>
      </c>
      <c r="P34" s="40"/>
      <c r="Q34" s="40">
        <v>1171304838</v>
      </c>
      <c r="R34" s="40"/>
      <c r="S34" s="40">
        <v>1005323395</v>
      </c>
      <c r="T34" s="40"/>
      <c r="U34" s="40">
        <v>17627</v>
      </c>
      <c r="V34" s="40"/>
      <c r="W34" s="40">
        <v>35849</v>
      </c>
      <c r="X34" s="40"/>
      <c r="Y34" s="40">
        <v>21832</v>
      </c>
      <c r="Z34" s="40"/>
      <c r="AA34" s="40">
        <v>40054</v>
      </c>
      <c r="AB34" s="40"/>
      <c r="AC34" s="59">
        <v>11</v>
      </c>
      <c r="AD34" s="59">
        <v>13</v>
      </c>
      <c r="AE34" s="59">
        <v>0</v>
      </c>
      <c r="AF34" s="57">
        <v>5664562</v>
      </c>
      <c r="AG34" s="57">
        <v>4928937</v>
      </c>
      <c r="AH34" s="57">
        <v>843107</v>
      </c>
      <c r="AI34" s="57">
        <v>432007</v>
      </c>
      <c r="AJ34" s="57">
        <v>779676.1176470588</v>
      </c>
      <c r="AK34" s="58">
        <v>8.5</v>
      </c>
      <c r="AL34" s="57">
        <v>662724.69999999995</v>
      </c>
      <c r="AM34" s="58">
        <v>10</v>
      </c>
      <c r="AN34" s="57">
        <v>198904</v>
      </c>
      <c r="AO34" s="58">
        <v>10.5</v>
      </c>
      <c r="AP34" s="57">
        <v>174041</v>
      </c>
      <c r="AQ34" s="58">
        <v>12</v>
      </c>
      <c r="AR34" s="57">
        <v>197437.86555260161</v>
      </c>
      <c r="AS34" s="58">
        <v>26.33</v>
      </c>
      <c r="AT34" s="57">
        <v>157531.48484848486</v>
      </c>
      <c r="AU34" s="58">
        <v>33</v>
      </c>
      <c r="AV34" s="57">
        <v>79554.045454545456</v>
      </c>
      <c r="AW34" s="58">
        <v>22</v>
      </c>
      <c r="AX34" s="57">
        <v>64821.814814814818</v>
      </c>
      <c r="AY34" s="58">
        <v>27</v>
      </c>
      <c r="AZ34" s="79">
        <v>21654881</v>
      </c>
      <c r="BA34" s="88">
        <v>1259150</v>
      </c>
      <c r="BB34" s="88">
        <v>13916328</v>
      </c>
      <c r="BC34" s="88">
        <v>1358027</v>
      </c>
      <c r="BD34" s="88">
        <v>2716467</v>
      </c>
      <c r="BE34" s="88">
        <v>44766</v>
      </c>
      <c r="BF34" s="88">
        <v>201412</v>
      </c>
      <c r="BG34" s="79">
        <v>84035</v>
      </c>
      <c r="BH34" s="88">
        <v>813271</v>
      </c>
      <c r="BI34" s="79">
        <v>22620</v>
      </c>
      <c r="BJ34" s="79">
        <v>1166104</v>
      </c>
      <c r="BK34" s="88">
        <v>583610</v>
      </c>
      <c r="BL34" s="79">
        <v>132932</v>
      </c>
      <c r="BM34" s="88">
        <v>48738</v>
      </c>
      <c r="BN34" s="79">
        <v>276032</v>
      </c>
      <c r="BO34" s="79">
        <v>1286583</v>
      </c>
      <c r="BP34" s="88">
        <v>2327895</v>
      </c>
      <c r="BQ34" s="88">
        <v>804053</v>
      </c>
      <c r="BR34" s="79">
        <v>11124</v>
      </c>
      <c r="BS34" s="88">
        <v>6040</v>
      </c>
      <c r="BT34" s="79">
        <v>93490</v>
      </c>
      <c r="BU34" s="79">
        <v>6177773</v>
      </c>
      <c r="BV34" s="88">
        <v>7092480</v>
      </c>
      <c r="BW34" s="88">
        <v>55798680</v>
      </c>
      <c r="BX34" s="88">
        <v>10435413</v>
      </c>
      <c r="BY34" s="88">
        <v>955289</v>
      </c>
      <c r="BZ34" s="88">
        <v>3425935</v>
      </c>
      <c r="CA34" s="79">
        <v>36538465</v>
      </c>
      <c r="CB34" s="88">
        <v>107153782</v>
      </c>
      <c r="CC34" s="88">
        <v>3210512</v>
      </c>
      <c r="CD34" s="88">
        <v>588846</v>
      </c>
      <c r="CE34" s="88">
        <v>604106</v>
      </c>
      <c r="CF34" s="88">
        <v>6190035</v>
      </c>
      <c r="CG34" s="79">
        <v>523160</v>
      </c>
      <c r="CH34" s="79">
        <v>11116659</v>
      </c>
      <c r="CI34" s="88">
        <v>1984776</v>
      </c>
      <c r="CJ34" s="88">
        <v>731493</v>
      </c>
      <c r="CK34" s="88">
        <v>116488</v>
      </c>
      <c r="CL34" s="88">
        <v>22861</v>
      </c>
      <c r="CM34" s="79">
        <v>0</v>
      </c>
      <c r="CN34" s="79">
        <v>2855618</v>
      </c>
      <c r="CO34" s="88">
        <v>7820053</v>
      </c>
      <c r="CP34" s="88">
        <v>2024119</v>
      </c>
      <c r="CQ34" s="88">
        <v>1385676</v>
      </c>
      <c r="CR34" s="79">
        <v>4434619</v>
      </c>
      <c r="CS34" s="79">
        <v>0</v>
      </c>
      <c r="CT34" s="79">
        <v>15664467</v>
      </c>
      <c r="CU34" s="88">
        <v>150000</v>
      </c>
      <c r="CV34" s="88">
        <v>300000</v>
      </c>
      <c r="CW34" s="88">
        <v>0</v>
      </c>
      <c r="CX34" s="88">
        <v>0</v>
      </c>
      <c r="CY34" s="79">
        <v>0</v>
      </c>
      <c r="CZ34" s="79">
        <v>450000</v>
      </c>
      <c r="DA34" s="88">
        <v>1596976</v>
      </c>
      <c r="DB34" s="88">
        <v>312547</v>
      </c>
      <c r="DC34" s="88">
        <v>202521</v>
      </c>
      <c r="DD34" s="79">
        <v>215659</v>
      </c>
      <c r="DE34" s="79">
        <v>12898102</v>
      </c>
      <c r="DF34" s="88">
        <v>15225805</v>
      </c>
      <c r="DG34" s="88">
        <v>0</v>
      </c>
      <c r="DH34" s="79">
        <v>0</v>
      </c>
      <c r="DI34" s="79">
        <v>0</v>
      </c>
      <c r="DJ34" s="79">
        <v>0</v>
      </c>
      <c r="DK34" s="79">
        <v>0</v>
      </c>
      <c r="DL34" s="88">
        <v>0</v>
      </c>
      <c r="DM34" s="88">
        <v>0</v>
      </c>
      <c r="DN34" s="79">
        <v>0</v>
      </c>
      <c r="DO34" s="79">
        <v>0</v>
      </c>
      <c r="DP34" s="79">
        <v>0</v>
      </c>
      <c r="DQ34" s="79">
        <v>0</v>
      </c>
      <c r="DR34" s="79">
        <v>0</v>
      </c>
      <c r="DS34" s="79">
        <v>477455</v>
      </c>
      <c r="DT34" s="88">
        <v>208546</v>
      </c>
      <c r="DU34" s="88">
        <v>122441</v>
      </c>
      <c r="DV34" s="88">
        <v>466672</v>
      </c>
      <c r="DW34" s="79">
        <v>0</v>
      </c>
      <c r="DX34" s="79">
        <v>1275114</v>
      </c>
      <c r="DY34" s="88">
        <v>701651</v>
      </c>
      <c r="DZ34" s="88">
        <v>981626</v>
      </c>
      <c r="EA34" s="88">
        <v>595830</v>
      </c>
      <c r="EB34" s="88">
        <v>2539248</v>
      </c>
      <c r="EC34" s="79">
        <v>0</v>
      </c>
      <c r="ED34" s="79">
        <v>4818355</v>
      </c>
      <c r="EE34" s="88">
        <v>650314</v>
      </c>
      <c r="EF34" s="88">
        <v>107598</v>
      </c>
      <c r="EG34" s="88">
        <v>79612</v>
      </c>
      <c r="EH34" s="88">
        <v>846746</v>
      </c>
      <c r="EI34" s="79">
        <v>0</v>
      </c>
      <c r="EJ34" s="88">
        <v>1684270</v>
      </c>
      <c r="EK34" s="88">
        <v>1956310</v>
      </c>
      <c r="EL34" s="88">
        <v>808973</v>
      </c>
      <c r="EM34" s="88">
        <v>423274</v>
      </c>
      <c r="EN34" s="88">
        <v>508211</v>
      </c>
      <c r="EO34" s="79">
        <v>0</v>
      </c>
      <c r="EP34" s="79">
        <v>3696768</v>
      </c>
      <c r="EQ34" s="88">
        <v>459252</v>
      </c>
      <c r="ER34" s="88">
        <v>182083</v>
      </c>
      <c r="ES34" s="88">
        <v>96969</v>
      </c>
      <c r="ET34" s="88">
        <v>238488</v>
      </c>
      <c r="EU34" s="79">
        <v>2440000</v>
      </c>
      <c r="EV34" s="88">
        <v>3416792</v>
      </c>
      <c r="EW34" s="88">
        <v>51359</v>
      </c>
      <c r="EX34" s="88">
        <v>107515</v>
      </c>
      <c r="EY34" s="79">
        <v>61986</v>
      </c>
      <c r="EZ34" s="88">
        <v>281909</v>
      </c>
      <c r="FA34" s="79">
        <v>27040</v>
      </c>
      <c r="FB34" s="79">
        <v>529809</v>
      </c>
      <c r="FC34" s="88">
        <v>807478</v>
      </c>
      <c r="FD34" s="88">
        <v>500</v>
      </c>
      <c r="FE34" s="88">
        <v>500</v>
      </c>
      <c r="FF34" s="88">
        <v>1222202</v>
      </c>
      <c r="FG34" s="79">
        <v>35352299</v>
      </c>
      <c r="FH34" s="88">
        <v>37382979</v>
      </c>
      <c r="FI34" s="88">
        <v>0</v>
      </c>
      <c r="FJ34" s="79">
        <v>0</v>
      </c>
      <c r="FK34" s="79">
        <v>0</v>
      </c>
      <c r="FL34" s="79">
        <v>0</v>
      </c>
      <c r="FM34" s="79">
        <v>311225</v>
      </c>
      <c r="FN34" s="79">
        <v>311225</v>
      </c>
      <c r="FO34" s="79">
        <v>0</v>
      </c>
      <c r="FP34" s="79">
        <v>0</v>
      </c>
      <c r="FQ34" s="79">
        <v>0</v>
      </c>
      <c r="FR34" s="79">
        <v>0</v>
      </c>
      <c r="FS34" s="79">
        <v>0</v>
      </c>
      <c r="FT34" s="88">
        <v>0</v>
      </c>
      <c r="FU34" s="88">
        <v>79615</v>
      </c>
      <c r="FV34" s="88">
        <v>17839</v>
      </c>
      <c r="FW34" s="88">
        <v>19681</v>
      </c>
      <c r="FX34" s="88">
        <v>331493</v>
      </c>
      <c r="FY34" s="79">
        <v>225688</v>
      </c>
      <c r="FZ34" s="79">
        <v>674316</v>
      </c>
      <c r="GA34" s="79">
        <v>2139</v>
      </c>
      <c r="GB34" s="79">
        <v>3475</v>
      </c>
      <c r="GC34" s="88">
        <v>984</v>
      </c>
      <c r="GD34" s="88">
        <v>14824</v>
      </c>
      <c r="GE34" s="79">
        <v>200322</v>
      </c>
      <c r="GF34" s="88">
        <v>221744</v>
      </c>
      <c r="GG34" s="88">
        <v>1699480</v>
      </c>
      <c r="GH34" s="88">
        <v>224577</v>
      </c>
      <c r="GI34" s="88">
        <v>118233</v>
      </c>
      <c r="GJ34" s="88">
        <v>740406</v>
      </c>
      <c r="GK34" s="79">
        <v>4862610</v>
      </c>
      <c r="GL34" s="79">
        <v>7645306</v>
      </c>
      <c r="GM34" s="88">
        <v>21647370</v>
      </c>
      <c r="GN34" s="88">
        <v>6599737</v>
      </c>
      <c r="GO34" s="88">
        <v>3828301</v>
      </c>
      <c r="GP34" s="88">
        <v>18053373</v>
      </c>
      <c r="GQ34" s="79">
        <v>56840446</v>
      </c>
      <c r="GR34" s="88">
        <v>106969227</v>
      </c>
      <c r="GS34" s="88">
        <v>0</v>
      </c>
      <c r="GT34" s="79">
        <v>0</v>
      </c>
      <c r="GU34" s="79">
        <v>0</v>
      </c>
      <c r="GV34" s="79">
        <v>0</v>
      </c>
      <c r="GW34" s="79">
        <v>0</v>
      </c>
      <c r="GX34" s="79">
        <v>0</v>
      </c>
      <c r="GY34" s="79">
        <v>21647370</v>
      </c>
      <c r="GZ34" s="88">
        <v>6599737</v>
      </c>
      <c r="HA34" s="88">
        <v>3828301</v>
      </c>
      <c r="HB34" s="88">
        <v>18053373</v>
      </c>
      <c r="HC34" s="79">
        <v>56840446</v>
      </c>
      <c r="HD34" s="88">
        <v>106969227</v>
      </c>
      <c r="HF34" s="7">
        <f>SUM(AZ34:AZ34)</f>
        <v>21654881</v>
      </c>
      <c r="HG34" s="7" t="e">
        <f>#REF!-HF34</f>
        <v>#REF!</v>
      </c>
      <c r="HH34" s="7" t="e">
        <f>SUM(#REF!)</f>
        <v>#REF!</v>
      </c>
      <c r="HI34" s="7" t="e">
        <f>#REF!-HH34</f>
        <v>#REF!</v>
      </c>
      <c r="HJ34" s="7">
        <f>SUM(BA34:BA34)</f>
        <v>1259150</v>
      </c>
      <c r="HK34" s="7" t="e">
        <f>#REF!-HJ34</f>
        <v>#REF!</v>
      </c>
      <c r="HL34" s="7">
        <f>SUM(BB34:BB34)</f>
        <v>13916328</v>
      </c>
      <c r="HM34" s="7" t="e">
        <f>#REF!-HL34</f>
        <v>#REF!</v>
      </c>
      <c r="HN34" s="7" t="e">
        <f>SUM(#REF!)</f>
        <v>#REF!</v>
      </c>
      <c r="HO34" s="7" t="e">
        <f>#REF!-HN34</f>
        <v>#REF!</v>
      </c>
      <c r="HP34" s="7" t="e">
        <f>SUM(#REF!)</f>
        <v>#REF!</v>
      </c>
      <c r="HQ34" s="7" t="e">
        <f>#REF!-HP34</f>
        <v>#REF!</v>
      </c>
      <c r="HR34" s="7" t="e">
        <f>SUM(#REF!)</f>
        <v>#REF!</v>
      </c>
      <c r="HS34" s="7" t="e">
        <f>#REF!-HR34</f>
        <v>#REF!</v>
      </c>
      <c r="HT34" s="7" t="e">
        <f>SUM(#REF!)</f>
        <v>#REF!</v>
      </c>
      <c r="HU34" s="7" t="e">
        <f>#REF!-HT34</f>
        <v>#REF!</v>
      </c>
      <c r="HV34" s="7" t="e">
        <f>SUM(#REF!)</f>
        <v>#REF!</v>
      </c>
      <c r="HW34" s="7" t="e">
        <f>#REF!-HV34</f>
        <v>#REF!</v>
      </c>
      <c r="HX34" s="7" t="e">
        <f>SUM(#REF!)</f>
        <v>#REF!</v>
      </c>
      <c r="HY34" s="7" t="e">
        <f>#REF!-HX34</f>
        <v>#REF!</v>
      </c>
      <c r="HZ34" s="7">
        <f>SUM(BC34:BC34)</f>
        <v>1358027</v>
      </c>
      <c r="IA34" s="7" t="e">
        <f>#REF!-HZ34</f>
        <v>#REF!</v>
      </c>
      <c r="IB34" s="7">
        <f>SUM(BD34:BD34)</f>
        <v>2716467</v>
      </c>
      <c r="IC34" s="7" t="e">
        <f>#REF!-IB34</f>
        <v>#REF!</v>
      </c>
      <c r="ID34" s="7">
        <f t="shared" si="1"/>
        <v>1166104</v>
      </c>
      <c r="IE34" s="7">
        <f t="shared" si="2"/>
        <v>0</v>
      </c>
      <c r="IF34" s="7">
        <f t="shared" si="3"/>
        <v>2327895</v>
      </c>
      <c r="IG34" s="7">
        <f t="shared" si="4"/>
        <v>0</v>
      </c>
      <c r="IH34" s="7">
        <f t="shared" si="5"/>
        <v>7092480</v>
      </c>
      <c r="II34" s="7">
        <f t="shared" si="6"/>
        <v>0</v>
      </c>
      <c r="IJ34" s="7">
        <f t="shared" si="7"/>
        <v>107153782</v>
      </c>
      <c r="IK34" s="7">
        <f t="shared" si="8"/>
        <v>0</v>
      </c>
      <c r="IL34" s="7">
        <f t="shared" si="9"/>
        <v>11116659</v>
      </c>
      <c r="IM34" s="7">
        <f t="shared" si="10"/>
        <v>0</v>
      </c>
      <c r="IN34" s="7">
        <f t="shared" si="11"/>
        <v>2855618</v>
      </c>
      <c r="IO34" s="7">
        <f t="shared" si="12"/>
        <v>0</v>
      </c>
      <c r="IP34" s="7">
        <f t="shared" si="13"/>
        <v>15664467</v>
      </c>
      <c r="IQ34" s="7">
        <f t="shared" si="14"/>
        <v>0</v>
      </c>
      <c r="IR34" s="7">
        <f t="shared" si="15"/>
        <v>450000</v>
      </c>
      <c r="IS34" s="7">
        <f t="shared" si="16"/>
        <v>0</v>
      </c>
      <c r="IT34" s="7">
        <f t="shared" si="17"/>
        <v>15225805</v>
      </c>
      <c r="IU34" s="7">
        <f t="shared" si="18"/>
        <v>0</v>
      </c>
      <c r="IV34" s="7">
        <f t="shared" si="19"/>
        <v>0</v>
      </c>
      <c r="IW34" s="7">
        <f t="shared" si="20"/>
        <v>0</v>
      </c>
      <c r="IX34" s="7">
        <f t="shared" si="21"/>
        <v>0</v>
      </c>
      <c r="IY34" s="7">
        <f t="shared" si="22"/>
        <v>0</v>
      </c>
      <c r="IZ34" s="7">
        <f t="shared" si="23"/>
        <v>1275114</v>
      </c>
      <c r="JA34" s="7">
        <f t="shared" si="24"/>
        <v>0</v>
      </c>
      <c r="JB34" s="7">
        <f t="shared" si="25"/>
        <v>4818355</v>
      </c>
      <c r="JC34" s="7">
        <f t="shared" si="26"/>
        <v>0</v>
      </c>
      <c r="JD34" s="7">
        <f t="shared" si="27"/>
        <v>1684270</v>
      </c>
      <c r="JE34" s="7">
        <f t="shared" si="28"/>
        <v>0</v>
      </c>
      <c r="JF34" s="7">
        <f t="shared" si="29"/>
        <v>3696768</v>
      </c>
      <c r="JG34" s="7">
        <f t="shared" si="30"/>
        <v>0</v>
      </c>
      <c r="JH34" s="7">
        <f t="shared" si="31"/>
        <v>3416792</v>
      </c>
      <c r="JI34" s="7">
        <f t="shared" si="32"/>
        <v>0</v>
      </c>
      <c r="JJ34" s="7">
        <f t="shared" si="33"/>
        <v>529809</v>
      </c>
      <c r="JK34" s="7">
        <f t="shared" si="34"/>
        <v>0</v>
      </c>
      <c r="JL34" s="7">
        <f t="shared" si="35"/>
        <v>37382979</v>
      </c>
      <c r="JM34" s="7">
        <f t="shared" si="36"/>
        <v>0</v>
      </c>
      <c r="JN34" s="7">
        <f t="shared" si="37"/>
        <v>311225</v>
      </c>
      <c r="JO34" s="7">
        <f t="shared" si="38"/>
        <v>0</v>
      </c>
      <c r="JP34" s="7">
        <f t="shared" si="39"/>
        <v>0</v>
      </c>
      <c r="JQ34" s="7">
        <f t="shared" si="40"/>
        <v>0</v>
      </c>
      <c r="JR34" s="7">
        <f t="shared" si="41"/>
        <v>674316</v>
      </c>
      <c r="JS34" s="7">
        <f t="shared" si="42"/>
        <v>0</v>
      </c>
      <c r="JT34" s="7">
        <f t="shared" si="43"/>
        <v>221744</v>
      </c>
      <c r="JU34" s="7">
        <f t="shared" si="44"/>
        <v>0</v>
      </c>
      <c r="JV34" s="7">
        <f t="shared" si="45"/>
        <v>7645306</v>
      </c>
      <c r="JW34" s="7">
        <f t="shared" si="46"/>
        <v>0</v>
      </c>
      <c r="JX34" s="7">
        <f t="shared" si="47"/>
        <v>106969227</v>
      </c>
      <c r="JY34" s="7">
        <f t="shared" si="48"/>
        <v>0</v>
      </c>
      <c r="JZ34" s="7">
        <f t="shared" si="49"/>
        <v>0</v>
      </c>
      <c r="KA34" s="7">
        <f t="shared" si="50"/>
        <v>0</v>
      </c>
      <c r="KB34" s="7">
        <f t="shared" si="51"/>
        <v>106969227</v>
      </c>
      <c r="KC34" s="7">
        <f t="shared" si="52"/>
        <v>0</v>
      </c>
      <c r="KE34" s="7" t="e">
        <f t="shared" si="54"/>
        <v>#REF!</v>
      </c>
      <c r="KG34" s="5" t="e">
        <f t="shared" si="53"/>
        <v>#REF!</v>
      </c>
    </row>
    <row r="35" spans="1:293" x14ac:dyDescent="0.15">
      <c r="A35" s="13" t="s">
        <v>250</v>
      </c>
      <c r="B35" s="17" t="s">
        <v>344</v>
      </c>
      <c r="C35" s="38">
        <v>102368</v>
      </c>
      <c r="D35" s="38">
        <v>2013</v>
      </c>
      <c r="E35" s="38">
        <v>1</v>
      </c>
      <c r="F35" s="38">
        <v>2</v>
      </c>
      <c r="G35" s="39">
        <v>13495</v>
      </c>
      <c r="H35" s="39">
        <v>10525</v>
      </c>
      <c r="I35" s="43">
        <v>1030723369</v>
      </c>
      <c r="J35" s="40"/>
      <c r="K35" s="43">
        <v>4651085</v>
      </c>
      <c r="L35" s="40"/>
      <c r="M35" s="43">
        <v>35753363</v>
      </c>
      <c r="N35" s="40"/>
      <c r="O35" s="43">
        <v>71809129</v>
      </c>
      <c r="P35" s="40"/>
      <c r="Q35" s="43">
        <v>467433966</v>
      </c>
      <c r="R35" s="40"/>
      <c r="S35" s="40">
        <v>794672497</v>
      </c>
      <c r="T35" s="40"/>
      <c r="U35" s="40">
        <v>16247</v>
      </c>
      <c r="V35" s="40"/>
      <c r="W35" s="40">
        <v>28359</v>
      </c>
      <c r="X35" s="40"/>
      <c r="Y35" s="40">
        <v>18920</v>
      </c>
      <c r="Z35" s="40"/>
      <c r="AA35" s="40">
        <v>31030</v>
      </c>
      <c r="AB35" s="40"/>
      <c r="AC35" s="59">
        <v>7</v>
      </c>
      <c r="AD35" s="59">
        <v>11</v>
      </c>
      <c r="AE35" s="59">
        <v>0</v>
      </c>
      <c r="AF35" s="57">
        <v>3687195</v>
      </c>
      <c r="AG35" s="62">
        <v>3194627</v>
      </c>
      <c r="AH35" s="62">
        <v>1005558</v>
      </c>
      <c r="AI35" s="62">
        <v>377236</v>
      </c>
      <c r="AJ35" s="62">
        <v>879124</v>
      </c>
      <c r="AK35" s="63">
        <v>4.5</v>
      </c>
      <c r="AL35" s="62">
        <v>791211.6</v>
      </c>
      <c r="AM35" s="63">
        <v>5</v>
      </c>
      <c r="AN35" s="62">
        <v>197643</v>
      </c>
      <c r="AO35" s="63">
        <v>8.5</v>
      </c>
      <c r="AP35" s="62">
        <v>186653</v>
      </c>
      <c r="AQ35" s="63">
        <v>9</v>
      </c>
      <c r="AR35" s="62">
        <v>184849.37</v>
      </c>
      <c r="AS35" s="63">
        <v>17.5</v>
      </c>
      <c r="AT35" s="62">
        <v>161743.20000000001</v>
      </c>
      <c r="AU35" s="63">
        <v>20</v>
      </c>
      <c r="AV35" s="57">
        <v>84638.399999999994</v>
      </c>
      <c r="AW35" s="58">
        <v>17.5</v>
      </c>
      <c r="AX35" s="57">
        <v>74058.600000000006</v>
      </c>
      <c r="AY35" s="58">
        <v>20</v>
      </c>
      <c r="AZ35" s="87">
        <v>9679617</v>
      </c>
      <c r="BA35" s="87">
        <v>609776</v>
      </c>
      <c r="BB35" s="87">
        <v>2933564</v>
      </c>
      <c r="BC35" s="87">
        <v>1070073</v>
      </c>
      <c r="BD35" s="87">
        <v>0</v>
      </c>
      <c r="BE35" s="87">
        <v>0</v>
      </c>
      <c r="BF35" s="87">
        <v>0</v>
      </c>
      <c r="BG35" s="87">
        <v>0</v>
      </c>
      <c r="BH35" s="87">
        <v>0</v>
      </c>
      <c r="BI35" s="87">
        <v>0</v>
      </c>
      <c r="BJ35" s="87">
        <v>0</v>
      </c>
      <c r="BK35" s="87">
        <v>0</v>
      </c>
      <c r="BL35" s="87">
        <v>0</v>
      </c>
      <c r="BM35" s="87">
        <v>0</v>
      </c>
      <c r="BN35" s="87">
        <v>0</v>
      </c>
      <c r="BO35" s="87">
        <v>197788</v>
      </c>
      <c r="BP35" s="87">
        <v>197788</v>
      </c>
      <c r="BQ35" s="87">
        <v>0</v>
      </c>
      <c r="BR35" s="87">
        <v>0</v>
      </c>
      <c r="BS35" s="87">
        <v>137837</v>
      </c>
      <c r="BT35" s="87">
        <v>1338639</v>
      </c>
      <c r="BU35" s="87">
        <v>2173037</v>
      </c>
      <c r="BV35" s="87">
        <v>3649513</v>
      </c>
      <c r="BW35" s="87">
        <v>29475730</v>
      </c>
      <c r="BX35" s="87">
        <v>8609008</v>
      </c>
      <c r="BY35" s="87">
        <v>868074</v>
      </c>
      <c r="BZ35" s="87">
        <v>1867928</v>
      </c>
      <c r="CA35" s="87">
        <v>21537021</v>
      </c>
      <c r="CB35" s="87">
        <v>62357761</v>
      </c>
      <c r="CC35" s="87">
        <v>2478449</v>
      </c>
      <c r="CD35" s="87">
        <v>424274</v>
      </c>
      <c r="CE35" s="87">
        <v>329003</v>
      </c>
      <c r="CF35" s="87">
        <v>3650096</v>
      </c>
      <c r="CG35" s="87">
        <v>83302</v>
      </c>
      <c r="CH35" s="87">
        <v>6965124</v>
      </c>
      <c r="CI35" s="87">
        <v>500000</v>
      </c>
      <c r="CJ35" s="87">
        <v>581620</v>
      </c>
      <c r="CK35" s="87">
        <v>179806</v>
      </c>
      <c r="CL35" s="87">
        <v>17196</v>
      </c>
      <c r="CM35" s="87">
        <v>0</v>
      </c>
      <c r="CN35" s="87">
        <v>1278622</v>
      </c>
      <c r="CO35" s="87">
        <v>4597117</v>
      </c>
      <c r="CP35" s="87">
        <v>1854941</v>
      </c>
      <c r="CQ35" s="87">
        <v>1116279</v>
      </c>
      <c r="CR35" s="87">
        <v>2783724</v>
      </c>
      <c r="CS35" s="87">
        <v>0</v>
      </c>
      <c r="CT35" s="87">
        <v>10352061</v>
      </c>
      <c r="CU35" s="87">
        <v>0</v>
      </c>
      <c r="CV35" s="93">
        <v>0</v>
      </c>
      <c r="CW35" s="93">
        <v>0</v>
      </c>
      <c r="CX35" s="93">
        <v>0</v>
      </c>
      <c r="CY35" s="87">
        <v>0</v>
      </c>
      <c r="CZ35" s="87">
        <v>0</v>
      </c>
      <c r="DA35" s="87">
        <v>1574290</v>
      </c>
      <c r="DB35" s="87">
        <v>671726</v>
      </c>
      <c r="DC35" s="87">
        <v>253218</v>
      </c>
      <c r="DD35" s="87">
        <v>438600</v>
      </c>
      <c r="DE35" s="87">
        <v>7415988</v>
      </c>
      <c r="DF35" s="87">
        <v>10353822</v>
      </c>
      <c r="DG35" s="87">
        <v>0</v>
      </c>
      <c r="DH35" s="87">
        <v>0</v>
      </c>
      <c r="DI35" s="87">
        <v>0</v>
      </c>
      <c r="DJ35" s="87">
        <v>0</v>
      </c>
      <c r="DK35" s="87">
        <v>0</v>
      </c>
      <c r="DL35" s="87">
        <v>0</v>
      </c>
      <c r="DM35" s="87">
        <v>0</v>
      </c>
      <c r="DN35" s="87">
        <v>0</v>
      </c>
      <c r="DO35" s="87">
        <v>0</v>
      </c>
      <c r="DP35" s="87">
        <v>0</v>
      </c>
      <c r="DQ35" s="87">
        <v>0</v>
      </c>
      <c r="DR35" s="87">
        <v>0</v>
      </c>
      <c r="DS35" s="87">
        <v>584510</v>
      </c>
      <c r="DT35" s="87">
        <v>293111</v>
      </c>
      <c r="DU35" s="87">
        <v>116276</v>
      </c>
      <c r="DV35" s="87">
        <v>388897</v>
      </c>
      <c r="DW35" s="87">
        <v>0</v>
      </c>
      <c r="DX35" s="87">
        <v>1382794</v>
      </c>
      <c r="DY35" s="87">
        <v>1736634</v>
      </c>
      <c r="DZ35" s="87">
        <v>739290</v>
      </c>
      <c r="EA35" s="87">
        <v>624998</v>
      </c>
      <c r="EB35" s="87">
        <v>1869739</v>
      </c>
      <c r="EC35" s="87">
        <v>0</v>
      </c>
      <c r="ED35" s="87">
        <v>4970661</v>
      </c>
      <c r="EE35" s="87">
        <v>756522</v>
      </c>
      <c r="EF35" s="87">
        <v>104808</v>
      </c>
      <c r="EG35" s="87">
        <v>70436</v>
      </c>
      <c r="EH35" s="87">
        <v>404402</v>
      </c>
      <c r="EI35" s="87">
        <v>215392</v>
      </c>
      <c r="EJ35" s="87">
        <v>1551560</v>
      </c>
      <c r="EK35" s="87">
        <v>1374551</v>
      </c>
      <c r="EL35" s="87">
        <v>367003</v>
      </c>
      <c r="EM35" s="87">
        <v>276272</v>
      </c>
      <c r="EN35" s="87">
        <v>293051</v>
      </c>
      <c r="EO35" s="87">
        <v>36338</v>
      </c>
      <c r="EP35" s="87">
        <v>2347215</v>
      </c>
      <c r="EQ35" s="87">
        <v>146166</v>
      </c>
      <c r="ER35" s="87">
        <v>98447</v>
      </c>
      <c r="ES35" s="87">
        <v>81112</v>
      </c>
      <c r="ET35" s="87">
        <v>122725</v>
      </c>
      <c r="EU35" s="87">
        <v>1584907</v>
      </c>
      <c r="EV35" s="87">
        <v>2033357</v>
      </c>
      <c r="EW35" s="87">
        <v>0</v>
      </c>
      <c r="EX35" s="87">
        <v>0</v>
      </c>
      <c r="EY35" s="87">
        <v>0</v>
      </c>
      <c r="EZ35" s="87">
        <v>0</v>
      </c>
      <c r="FA35" s="87">
        <v>0</v>
      </c>
      <c r="FB35" s="87">
        <v>0</v>
      </c>
      <c r="FC35" s="87">
        <v>520625</v>
      </c>
      <c r="FD35" s="87">
        <v>40012</v>
      </c>
      <c r="FE35" s="87">
        <v>39892</v>
      </c>
      <c r="FF35" s="87">
        <v>1620035</v>
      </c>
      <c r="FG35" s="87">
        <v>12259900</v>
      </c>
      <c r="FH35" s="87">
        <v>14480464</v>
      </c>
      <c r="FI35" s="87">
        <v>0</v>
      </c>
      <c r="FJ35" s="87">
        <v>0</v>
      </c>
      <c r="FK35" s="87">
        <v>0</v>
      </c>
      <c r="FL35" s="87">
        <v>0</v>
      </c>
      <c r="FM35" s="87">
        <v>277597</v>
      </c>
      <c r="FN35" s="87">
        <v>277597</v>
      </c>
      <c r="FO35" s="87">
        <v>0</v>
      </c>
      <c r="FP35" s="87">
        <v>0</v>
      </c>
      <c r="FQ35" s="87">
        <v>0</v>
      </c>
      <c r="FR35" s="87">
        <v>0</v>
      </c>
      <c r="FS35" s="87">
        <v>0</v>
      </c>
      <c r="FT35" s="87">
        <v>0</v>
      </c>
      <c r="FU35" s="87">
        <v>158246</v>
      </c>
      <c r="FV35" s="87">
        <v>17639</v>
      </c>
      <c r="FW35" s="87">
        <v>12852</v>
      </c>
      <c r="FX35" s="87">
        <v>299846</v>
      </c>
      <c r="FY35" s="87">
        <v>16032</v>
      </c>
      <c r="FZ35" s="87">
        <v>504615</v>
      </c>
      <c r="GA35" s="87">
        <v>3101</v>
      </c>
      <c r="GB35" s="87">
        <v>1075</v>
      </c>
      <c r="GC35" s="87">
        <v>1600</v>
      </c>
      <c r="GD35" s="87">
        <v>7372</v>
      </c>
      <c r="GE35" s="87">
        <v>1494861</v>
      </c>
      <c r="GF35" s="87">
        <v>1508009</v>
      </c>
      <c r="GG35" s="87">
        <v>554285</v>
      </c>
      <c r="GH35" s="87">
        <v>99095</v>
      </c>
      <c r="GI35" s="87">
        <v>62767</v>
      </c>
      <c r="GJ35" s="87">
        <v>255815</v>
      </c>
      <c r="GK35" s="87">
        <v>3246331</v>
      </c>
      <c r="GL35" s="87">
        <v>4218293</v>
      </c>
      <c r="GM35" s="87">
        <v>14984496</v>
      </c>
      <c r="GN35" s="87">
        <v>5293041</v>
      </c>
      <c r="GO35" s="87">
        <v>3164511</v>
      </c>
      <c r="GP35" s="87">
        <v>12151498</v>
      </c>
      <c r="GQ35" s="87">
        <v>26630648</v>
      </c>
      <c r="GR35" s="87">
        <v>62224194</v>
      </c>
      <c r="GS35" s="87">
        <v>0</v>
      </c>
      <c r="GT35" s="87">
        <v>0</v>
      </c>
      <c r="GU35" s="87">
        <v>0</v>
      </c>
      <c r="GV35" s="87">
        <v>0</v>
      </c>
      <c r="GW35" s="87">
        <v>0</v>
      </c>
      <c r="GX35" s="87">
        <v>0</v>
      </c>
      <c r="GY35" s="87">
        <v>14984496</v>
      </c>
      <c r="GZ35" s="87">
        <v>5293041</v>
      </c>
      <c r="HA35" s="87">
        <v>3164511</v>
      </c>
      <c r="HB35" s="87">
        <v>12151498</v>
      </c>
      <c r="HC35" s="87">
        <v>26630648</v>
      </c>
      <c r="HD35" s="87">
        <v>62224194</v>
      </c>
      <c r="HF35" s="7">
        <f>SUM(AZ35:AZ35)</f>
        <v>9679617</v>
      </c>
      <c r="HG35" s="7" t="e">
        <f>#REF!-HF35</f>
        <v>#REF!</v>
      </c>
      <c r="HH35" s="7" t="e">
        <f>SUM(#REF!)</f>
        <v>#REF!</v>
      </c>
      <c r="HI35" s="7" t="e">
        <f>#REF!-HH35</f>
        <v>#REF!</v>
      </c>
      <c r="HJ35" s="7">
        <f>SUM(BA35:BA35)</f>
        <v>609776</v>
      </c>
      <c r="HK35" s="7" t="e">
        <f>#REF!-HJ35</f>
        <v>#REF!</v>
      </c>
      <c r="HL35" s="7">
        <f>SUM(BB35:BB35)</f>
        <v>2933564</v>
      </c>
      <c r="HM35" s="7" t="e">
        <f>#REF!-HL35</f>
        <v>#REF!</v>
      </c>
      <c r="HN35" s="7" t="e">
        <f>SUM(#REF!)</f>
        <v>#REF!</v>
      </c>
      <c r="HO35" s="7" t="e">
        <f>#REF!-HN35</f>
        <v>#REF!</v>
      </c>
      <c r="HP35" s="7" t="e">
        <f>SUM(#REF!)</f>
        <v>#REF!</v>
      </c>
      <c r="HQ35" s="7" t="e">
        <f>#REF!-HP35</f>
        <v>#REF!</v>
      </c>
      <c r="HR35" s="7" t="e">
        <f>SUM(#REF!)</f>
        <v>#REF!</v>
      </c>
      <c r="HS35" s="7" t="e">
        <f>#REF!-HR35</f>
        <v>#REF!</v>
      </c>
      <c r="HT35" s="7" t="e">
        <f>SUM(#REF!)</f>
        <v>#REF!</v>
      </c>
      <c r="HU35" s="7" t="e">
        <f>#REF!-HT35</f>
        <v>#REF!</v>
      </c>
      <c r="HV35" s="7" t="e">
        <f>SUM(#REF!)</f>
        <v>#REF!</v>
      </c>
      <c r="HW35" s="7" t="e">
        <f>#REF!-HV35</f>
        <v>#REF!</v>
      </c>
      <c r="HX35" s="7" t="e">
        <f>SUM(#REF!)</f>
        <v>#REF!</v>
      </c>
      <c r="HY35" s="7" t="e">
        <f>#REF!-HX35</f>
        <v>#REF!</v>
      </c>
      <c r="HZ35" s="7">
        <f>SUM(BC35:BC35)</f>
        <v>1070073</v>
      </c>
      <c r="IA35" s="7" t="e">
        <f>#REF!-HZ35</f>
        <v>#REF!</v>
      </c>
      <c r="IB35" s="7">
        <f>SUM(BD35:BD35)</f>
        <v>0</v>
      </c>
      <c r="IC35" s="7" t="e">
        <f>#REF!-IB35</f>
        <v>#REF!</v>
      </c>
      <c r="ID35" s="7">
        <f t="shared" si="1"/>
        <v>0</v>
      </c>
      <c r="IE35" s="7">
        <f t="shared" si="2"/>
        <v>0</v>
      </c>
      <c r="IF35" s="7">
        <f t="shared" si="3"/>
        <v>197788</v>
      </c>
      <c r="IG35" s="7">
        <f t="shared" si="4"/>
        <v>0</v>
      </c>
      <c r="IH35" s="7">
        <f t="shared" si="5"/>
        <v>3649513</v>
      </c>
      <c r="II35" s="7">
        <f t="shared" si="6"/>
        <v>0</v>
      </c>
      <c r="IJ35" s="7">
        <f t="shared" si="7"/>
        <v>62357761</v>
      </c>
      <c r="IK35" s="7">
        <f t="shared" si="8"/>
        <v>0</v>
      </c>
      <c r="IL35" s="7">
        <f t="shared" si="9"/>
        <v>6965124</v>
      </c>
      <c r="IM35" s="7">
        <f t="shared" si="10"/>
        <v>0</v>
      </c>
      <c r="IN35" s="7">
        <f t="shared" si="11"/>
        <v>1278622</v>
      </c>
      <c r="IO35" s="7">
        <f t="shared" si="12"/>
        <v>0</v>
      </c>
      <c r="IP35" s="7">
        <f t="shared" si="13"/>
        <v>10352061</v>
      </c>
      <c r="IQ35" s="7">
        <f t="shared" si="14"/>
        <v>0</v>
      </c>
      <c r="IR35" s="7">
        <f t="shared" si="15"/>
        <v>0</v>
      </c>
      <c r="IS35" s="7">
        <f t="shared" si="16"/>
        <v>0</v>
      </c>
      <c r="IT35" s="7">
        <f t="shared" si="17"/>
        <v>10353822</v>
      </c>
      <c r="IU35" s="7">
        <f t="shared" si="18"/>
        <v>0</v>
      </c>
      <c r="IV35" s="7">
        <f t="shared" si="19"/>
        <v>0</v>
      </c>
      <c r="IW35" s="7">
        <f t="shared" si="20"/>
        <v>0</v>
      </c>
      <c r="IX35" s="7">
        <f t="shared" si="21"/>
        <v>0</v>
      </c>
      <c r="IY35" s="7">
        <f t="shared" si="22"/>
        <v>0</v>
      </c>
      <c r="IZ35" s="7">
        <f t="shared" si="23"/>
        <v>1382794</v>
      </c>
      <c r="JA35" s="7">
        <f t="shared" si="24"/>
        <v>0</v>
      </c>
      <c r="JB35" s="7">
        <f t="shared" si="25"/>
        <v>4970661</v>
      </c>
      <c r="JC35" s="7">
        <f t="shared" si="26"/>
        <v>0</v>
      </c>
      <c r="JD35" s="7">
        <f t="shared" si="27"/>
        <v>1551560</v>
      </c>
      <c r="JE35" s="7">
        <f t="shared" si="28"/>
        <v>0</v>
      </c>
      <c r="JF35" s="7">
        <f t="shared" si="29"/>
        <v>2347215</v>
      </c>
      <c r="JG35" s="7">
        <f t="shared" si="30"/>
        <v>0</v>
      </c>
      <c r="JH35" s="7">
        <f t="shared" si="31"/>
        <v>2033357</v>
      </c>
      <c r="JI35" s="7">
        <f t="shared" si="32"/>
        <v>0</v>
      </c>
      <c r="JJ35" s="7">
        <f t="shared" si="33"/>
        <v>0</v>
      </c>
      <c r="JK35" s="7">
        <f t="shared" si="34"/>
        <v>0</v>
      </c>
      <c r="JL35" s="7">
        <f t="shared" si="35"/>
        <v>14480464</v>
      </c>
      <c r="JM35" s="7">
        <f t="shared" si="36"/>
        <v>0</v>
      </c>
      <c r="JN35" s="7">
        <f t="shared" si="37"/>
        <v>277597</v>
      </c>
      <c r="JO35" s="7">
        <f t="shared" si="38"/>
        <v>0</v>
      </c>
      <c r="JP35" s="7">
        <f t="shared" si="39"/>
        <v>0</v>
      </c>
      <c r="JQ35" s="7">
        <f t="shared" si="40"/>
        <v>0</v>
      </c>
      <c r="JR35" s="7">
        <f t="shared" si="41"/>
        <v>504615</v>
      </c>
      <c r="JS35" s="7">
        <f t="shared" si="42"/>
        <v>0</v>
      </c>
      <c r="JT35" s="7">
        <f t="shared" si="43"/>
        <v>1508009</v>
      </c>
      <c r="JU35" s="7">
        <f t="shared" si="44"/>
        <v>0</v>
      </c>
      <c r="JV35" s="7">
        <f t="shared" si="45"/>
        <v>4218293</v>
      </c>
      <c r="JW35" s="7">
        <f t="shared" si="46"/>
        <v>0</v>
      </c>
      <c r="JX35" s="7">
        <f t="shared" si="47"/>
        <v>62224194</v>
      </c>
      <c r="JY35" s="7">
        <f t="shared" si="48"/>
        <v>0</v>
      </c>
      <c r="JZ35" s="7">
        <f t="shared" si="49"/>
        <v>0</v>
      </c>
      <c r="KA35" s="7">
        <f t="shared" si="50"/>
        <v>0</v>
      </c>
      <c r="KB35" s="7">
        <f t="shared" si="51"/>
        <v>62224194</v>
      </c>
      <c r="KC35" s="7">
        <f t="shared" si="52"/>
        <v>0</v>
      </c>
      <c r="KE35" s="7" t="e">
        <f t="shared" si="54"/>
        <v>#REF!</v>
      </c>
      <c r="KG35" s="5" t="e">
        <f t="shared" si="53"/>
        <v>#REF!</v>
      </c>
    </row>
    <row r="36" spans="1:293" x14ac:dyDescent="0.15">
      <c r="A36" s="26" t="s">
        <v>251</v>
      </c>
      <c r="B36" s="17" t="s">
        <v>342</v>
      </c>
      <c r="C36" s="41">
        <v>155317</v>
      </c>
      <c r="D36" s="38">
        <v>2013</v>
      </c>
      <c r="E36" s="38">
        <v>1</v>
      </c>
      <c r="F36" s="38">
        <v>2</v>
      </c>
      <c r="G36" s="39">
        <v>8502</v>
      </c>
      <c r="H36" s="39">
        <v>8415</v>
      </c>
      <c r="I36" s="40">
        <v>1144222000</v>
      </c>
      <c r="J36" s="40"/>
      <c r="K36" s="40">
        <v>3710132</v>
      </c>
      <c r="L36" s="40"/>
      <c r="M36" s="40">
        <v>38520160</v>
      </c>
      <c r="N36" s="40"/>
      <c r="O36" s="40">
        <v>49852218</v>
      </c>
      <c r="P36" s="40"/>
      <c r="Q36" s="40">
        <v>256700000</v>
      </c>
      <c r="R36" s="40"/>
      <c r="S36" s="40">
        <v>823839840</v>
      </c>
      <c r="T36" s="40"/>
      <c r="U36" s="40">
        <v>20368</v>
      </c>
      <c r="V36" s="40"/>
      <c r="W36" s="40">
        <v>32851</v>
      </c>
      <c r="X36" s="40"/>
      <c r="Y36" s="40">
        <v>21538</v>
      </c>
      <c r="Z36" s="40"/>
      <c r="AA36" s="40">
        <v>34022</v>
      </c>
      <c r="AB36" s="40"/>
      <c r="AC36" s="59">
        <v>7</v>
      </c>
      <c r="AD36" s="59">
        <v>11</v>
      </c>
      <c r="AE36" s="59">
        <v>0</v>
      </c>
      <c r="AF36" s="57">
        <v>5927509</v>
      </c>
      <c r="AG36" s="57">
        <v>4441579</v>
      </c>
      <c r="AH36" s="57">
        <v>1203076</v>
      </c>
      <c r="AI36" s="57">
        <v>465563</v>
      </c>
      <c r="AJ36" s="57">
        <v>1829469.111111111</v>
      </c>
      <c r="AK36" s="58">
        <v>4.5</v>
      </c>
      <c r="AL36" s="57">
        <v>1646522.2</v>
      </c>
      <c r="AM36" s="58">
        <v>5</v>
      </c>
      <c r="AN36" s="57">
        <v>185067.41176470587</v>
      </c>
      <c r="AO36" s="58">
        <v>8.5</v>
      </c>
      <c r="AP36" s="57">
        <v>174785.88888888888</v>
      </c>
      <c r="AQ36" s="58">
        <v>9</v>
      </c>
      <c r="AR36" s="57">
        <v>234815.65714285715</v>
      </c>
      <c r="AS36" s="58">
        <v>17.5</v>
      </c>
      <c r="AT36" s="57">
        <v>205463.7</v>
      </c>
      <c r="AU36" s="58">
        <v>20</v>
      </c>
      <c r="AV36" s="57">
        <v>79283.028571428571</v>
      </c>
      <c r="AW36" s="58">
        <v>17.5</v>
      </c>
      <c r="AX36" s="57">
        <v>69372.649999999994</v>
      </c>
      <c r="AY36" s="58">
        <v>20</v>
      </c>
      <c r="AZ36" s="79">
        <v>5518253</v>
      </c>
      <c r="BA36" s="79">
        <v>150000</v>
      </c>
      <c r="BB36" s="79">
        <v>0</v>
      </c>
      <c r="BC36" s="79">
        <v>64104</v>
      </c>
      <c r="BD36" s="79">
        <v>0</v>
      </c>
      <c r="BE36" s="79">
        <v>0</v>
      </c>
      <c r="BF36" s="79">
        <v>0</v>
      </c>
      <c r="BG36" s="79">
        <v>0</v>
      </c>
      <c r="BH36" s="79">
        <v>0</v>
      </c>
      <c r="BI36" s="79">
        <v>13847</v>
      </c>
      <c r="BJ36" s="79">
        <v>13847</v>
      </c>
      <c r="BK36" s="79">
        <v>0</v>
      </c>
      <c r="BL36" s="79">
        <v>0</v>
      </c>
      <c r="BM36" s="79">
        <v>0</v>
      </c>
      <c r="BN36" s="79">
        <v>0</v>
      </c>
      <c r="BO36" s="79">
        <v>2636480</v>
      </c>
      <c r="BP36" s="79">
        <v>2636480</v>
      </c>
      <c r="BQ36" s="79">
        <v>1718</v>
      </c>
      <c r="BR36" s="79">
        <v>0</v>
      </c>
      <c r="BS36" s="79">
        <v>0</v>
      </c>
      <c r="BT36" s="79">
        <v>5079</v>
      </c>
      <c r="BU36" s="79">
        <v>998688</v>
      </c>
      <c r="BV36" s="79">
        <v>1005485</v>
      </c>
      <c r="BW36" s="79">
        <v>20949893</v>
      </c>
      <c r="BX36" s="79">
        <v>16412415</v>
      </c>
      <c r="BY36" s="79">
        <v>130891</v>
      </c>
      <c r="BZ36" s="79">
        <v>225727</v>
      </c>
      <c r="CA36" s="79">
        <v>55395242</v>
      </c>
      <c r="CB36" s="79">
        <v>93114168</v>
      </c>
      <c r="CC36" s="79">
        <v>4203195</v>
      </c>
      <c r="CD36" s="79">
        <v>611614</v>
      </c>
      <c r="CE36" s="79">
        <v>459436</v>
      </c>
      <c r="CF36" s="79">
        <v>5094843</v>
      </c>
      <c r="CG36" s="79"/>
      <c r="CH36" s="79">
        <v>10791102</v>
      </c>
      <c r="CI36" s="79">
        <v>550000</v>
      </c>
      <c r="CJ36" s="79">
        <v>655000</v>
      </c>
      <c r="CK36" s="79">
        <v>105500</v>
      </c>
      <c r="CL36" s="79">
        <v>100519</v>
      </c>
      <c r="CM36" s="79">
        <v>268858</v>
      </c>
      <c r="CN36" s="79">
        <v>1679877</v>
      </c>
      <c r="CO36" s="79">
        <v>5107429</v>
      </c>
      <c r="CP36" s="79">
        <v>6042078</v>
      </c>
      <c r="CQ36" s="79">
        <v>1012229</v>
      </c>
      <c r="CR36" s="79">
        <v>3140675</v>
      </c>
      <c r="CS36" s="79">
        <v>0</v>
      </c>
      <c r="CT36" s="79">
        <v>15302411</v>
      </c>
      <c r="CU36" s="79">
        <v>0</v>
      </c>
      <c r="CV36" s="79">
        <v>0</v>
      </c>
      <c r="CW36" s="79">
        <v>0</v>
      </c>
      <c r="CX36" s="79">
        <v>0</v>
      </c>
      <c r="CY36" s="79">
        <v>0</v>
      </c>
      <c r="CZ36" s="79">
        <v>0</v>
      </c>
      <c r="DA36" s="79">
        <v>967642</v>
      </c>
      <c r="DB36" s="79">
        <v>477767</v>
      </c>
      <c r="DC36" s="79">
        <v>366468</v>
      </c>
      <c r="DD36" s="79">
        <v>482671</v>
      </c>
      <c r="DE36" s="79">
        <v>17891148</v>
      </c>
      <c r="DF36" s="79">
        <v>20185696</v>
      </c>
      <c r="DG36" s="79">
        <v>0</v>
      </c>
      <c r="DH36" s="79">
        <v>0</v>
      </c>
      <c r="DI36" s="79">
        <v>0</v>
      </c>
      <c r="DJ36" s="79">
        <v>0</v>
      </c>
      <c r="DK36" s="79">
        <v>0</v>
      </c>
      <c r="DL36" s="79">
        <v>0</v>
      </c>
      <c r="DM36" s="79">
        <v>0</v>
      </c>
      <c r="DN36" s="79">
        <v>0</v>
      </c>
      <c r="DO36" s="79">
        <v>0</v>
      </c>
      <c r="DP36" s="79">
        <v>38542</v>
      </c>
      <c r="DQ36" s="79">
        <v>0</v>
      </c>
      <c r="DR36" s="79">
        <v>38542</v>
      </c>
      <c r="DS36" s="79">
        <v>545885</v>
      </c>
      <c r="DT36" s="79">
        <v>514676</v>
      </c>
      <c r="DU36" s="79">
        <v>175667</v>
      </c>
      <c r="DV36" s="79">
        <v>432411</v>
      </c>
      <c r="DW36" s="79">
        <v>6764</v>
      </c>
      <c r="DX36" s="79">
        <v>1675403</v>
      </c>
      <c r="DY36" s="79">
        <v>1413299</v>
      </c>
      <c r="DZ36" s="79">
        <v>1362444</v>
      </c>
      <c r="EA36" s="79">
        <v>853676</v>
      </c>
      <c r="EB36" s="79">
        <v>3259801</v>
      </c>
      <c r="EC36" s="79">
        <v>907034</v>
      </c>
      <c r="ED36" s="79">
        <v>7796254</v>
      </c>
      <c r="EE36" s="79">
        <v>513280</v>
      </c>
      <c r="EF36" s="79">
        <v>100384</v>
      </c>
      <c r="EG36" s="79">
        <v>53824</v>
      </c>
      <c r="EH36" s="79">
        <v>455432</v>
      </c>
      <c r="EI36" s="79">
        <v>385507</v>
      </c>
      <c r="EJ36" s="79">
        <v>1508427</v>
      </c>
      <c r="EK36" s="79">
        <v>629164</v>
      </c>
      <c r="EL36" s="79">
        <v>711242</v>
      </c>
      <c r="EM36" s="79">
        <v>280496</v>
      </c>
      <c r="EN36" s="79">
        <v>381072</v>
      </c>
      <c r="EO36" s="79">
        <v>774442</v>
      </c>
      <c r="EP36" s="79">
        <v>2776416</v>
      </c>
      <c r="EQ36" s="79">
        <v>39846</v>
      </c>
      <c r="ER36" s="79">
        <v>8725</v>
      </c>
      <c r="ES36" s="79">
        <v>1893</v>
      </c>
      <c r="ET36" s="79">
        <v>25227</v>
      </c>
      <c r="EU36" s="79">
        <v>1101976</v>
      </c>
      <c r="EV36" s="79">
        <v>1177667</v>
      </c>
      <c r="EW36" s="79">
        <v>0</v>
      </c>
      <c r="EX36" s="79">
        <v>0</v>
      </c>
      <c r="EY36" s="79">
        <v>0</v>
      </c>
      <c r="EZ36" s="79">
        <v>0</v>
      </c>
      <c r="FA36" s="79">
        <v>0</v>
      </c>
      <c r="FB36" s="79">
        <v>0</v>
      </c>
      <c r="FC36" s="79">
        <v>50143</v>
      </c>
      <c r="FD36" s="79">
        <v>44</v>
      </c>
      <c r="FE36" s="79">
        <v>0</v>
      </c>
      <c r="FF36" s="79">
        <v>210258</v>
      </c>
      <c r="FG36" s="79">
        <v>4815862</v>
      </c>
      <c r="FH36" s="79">
        <v>5076307</v>
      </c>
      <c r="FI36" s="79">
        <v>0</v>
      </c>
      <c r="FJ36" s="79">
        <v>0</v>
      </c>
      <c r="FK36" s="79">
        <v>0</v>
      </c>
      <c r="FL36" s="79">
        <v>0</v>
      </c>
      <c r="FM36" s="79">
        <v>79711</v>
      </c>
      <c r="FN36" s="79">
        <v>79711</v>
      </c>
      <c r="FO36" s="79">
        <v>0</v>
      </c>
      <c r="FP36" s="79">
        <v>0</v>
      </c>
      <c r="FQ36" s="79">
        <v>0</v>
      </c>
      <c r="FR36" s="79">
        <v>0</v>
      </c>
      <c r="FS36" s="79">
        <v>0</v>
      </c>
      <c r="FT36" s="79">
        <v>0</v>
      </c>
      <c r="FU36" s="79">
        <v>0</v>
      </c>
      <c r="FV36" s="79">
        <v>0</v>
      </c>
      <c r="FW36" s="79">
        <v>0</v>
      </c>
      <c r="FX36" s="79">
        <v>0</v>
      </c>
      <c r="FY36" s="79">
        <v>502056</v>
      </c>
      <c r="FZ36" s="79">
        <v>502056</v>
      </c>
      <c r="GA36" s="79">
        <v>24867</v>
      </c>
      <c r="GB36" s="79">
        <v>22811</v>
      </c>
      <c r="GC36" s="79">
        <v>6448</v>
      </c>
      <c r="GD36" s="79">
        <v>64413</v>
      </c>
      <c r="GE36" s="79">
        <v>310202</v>
      </c>
      <c r="GF36" s="79">
        <v>428741</v>
      </c>
      <c r="GG36" s="79">
        <v>286197</v>
      </c>
      <c r="GH36" s="79">
        <v>217370</v>
      </c>
      <c r="GI36" s="79">
        <v>76040</v>
      </c>
      <c r="GJ36" s="79">
        <v>287449</v>
      </c>
      <c r="GK36" s="79">
        <v>9834370</v>
      </c>
      <c r="GL36" s="79">
        <v>10701426</v>
      </c>
      <c r="GM36" s="79">
        <v>14330947</v>
      </c>
      <c r="GN36" s="79">
        <v>10724155</v>
      </c>
      <c r="GO36" s="79">
        <v>3391677</v>
      </c>
      <c r="GP36" s="79">
        <v>13973313</v>
      </c>
      <c r="GQ36" s="79">
        <v>37299944</v>
      </c>
      <c r="GR36" s="79">
        <v>79720036</v>
      </c>
      <c r="GS36" s="79">
        <v>0</v>
      </c>
      <c r="GT36" s="79">
        <v>0</v>
      </c>
      <c r="GU36" s="79">
        <v>0</v>
      </c>
      <c r="GV36" s="79">
        <v>0</v>
      </c>
      <c r="GW36" s="79">
        <v>0</v>
      </c>
      <c r="GX36" s="79">
        <v>0</v>
      </c>
      <c r="GY36" s="79">
        <v>14330947</v>
      </c>
      <c r="GZ36" s="79">
        <v>10724155</v>
      </c>
      <c r="HA36" s="79">
        <v>3391677</v>
      </c>
      <c r="HB36" s="79">
        <v>13973313</v>
      </c>
      <c r="HC36" s="79">
        <v>37299944</v>
      </c>
      <c r="HD36" s="79">
        <v>79720036</v>
      </c>
      <c r="HF36" s="7">
        <f>SUM(AZ36:AZ36)</f>
        <v>5518253</v>
      </c>
      <c r="HG36" s="7" t="e">
        <f>#REF!-HF36</f>
        <v>#REF!</v>
      </c>
      <c r="HH36" s="7" t="e">
        <f>SUM(#REF!)</f>
        <v>#REF!</v>
      </c>
      <c r="HI36" s="7" t="e">
        <f>#REF!-HH36</f>
        <v>#REF!</v>
      </c>
      <c r="HJ36" s="7">
        <f>SUM(BA36:BA36)</f>
        <v>150000</v>
      </c>
      <c r="HK36" s="7" t="e">
        <f>#REF!-HJ36</f>
        <v>#REF!</v>
      </c>
      <c r="HL36" s="7">
        <f>SUM(BB36:BB36)</f>
        <v>0</v>
      </c>
      <c r="HM36" s="7" t="e">
        <f>#REF!-HL36</f>
        <v>#REF!</v>
      </c>
      <c r="HN36" s="7" t="e">
        <f>SUM(#REF!)</f>
        <v>#REF!</v>
      </c>
      <c r="HO36" s="7" t="e">
        <f>#REF!-HN36</f>
        <v>#REF!</v>
      </c>
      <c r="HP36" s="7" t="e">
        <f>SUM(#REF!)</f>
        <v>#REF!</v>
      </c>
      <c r="HQ36" s="7" t="e">
        <f>#REF!-HP36</f>
        <v>#REF!</v>
      </c>
      <c r="HR36" s="7" t="e">
        <f>SUM(#REF!)</f>
        <v>#REF!</v>
      </c>
      <c r="HS36" s="7" t="e">
        <f>#REF!-HR36</f>
        <v>#REF!</v>
      </c>
      <c r="HT36" s="7" t="e">
        <f>SUM(#REF!)</f>
        <v>#REF!</v>
      </c>
      <c r="HU36" s="7" t="e">
        <f>#REF!-HT36</f>
        <v>#REF!</v>
      </c>
      <c r="HV36" s="7" t="e">
        <f>SUM(#REF!)</f>
        <v>#REF!</v>
      </c>
      <c r="HW36" s="7" t="e">
        <f>#REF!-HV36</f>
        <v>#REF!</v>
      </c>
      <c r="HX36" s="7" t="e">
        <f>SUM(#REF!)</f>
        <v>#REF!</v>
      </c>
      <c r="HY36" s="7" t="e">
        <f>#REF!-HX36</f>
        <v>#REF!</v>
      </c>
      <c r="HZ36" s="7">
        <f>SUM(BC36:BC36)</f>
        <v>64104</v>
      </c>
      <c r="IA36" s="7" t="e">
        <f>#REF!-HZ36</f>
        <v>#REF!</v>
      </c>
      <c r="IB36" s="7">
        <f>SUM(BD36:BD36)</f>
        <v>0</v>
      </c>
      <c r="IC36" s="7" t="e">
        <f>#REF!-IB36</f>
        <v>#REF!</v>
      </c>
      <c r="ID36" s="7">
        <f t="shared" si="1"/>
        <v>13847</v>
      </c>
      <c r="IE36" s="7">
        <f t="shared" si="2"/>
        <v>0</v>
      </c>
      <c r="IF36" s="7">
        <f t="shared" si="3"/>
        <v>2636480</v>
      </c>
      <c r="IG36" s="7">
        <f t="shared" si="4"/>
        <v>0</v>
      </c>
      <c r="IH36" s="7">
        <f t="shared" si="5"/>
        <v>1005485</v>
      </c>
      <c r="II36" s="7">
        <f t="shared" si="6"/>
        <v>0</v>
      </c>
      <c r="IJ36" s="7">
        <f t="shared" si="7"/>
        <v>93114168</v>
      </c>
      <c r="IK36" s="7">
        <f t="shared" si="8"/>
        <v>0</v>
      </c>
      <c r="IL36" s="7">
        <f t="shared" si="9"/>
        <v>10369088</v>
      </c>
      <c r="IM36" s="7">
        <f t="shared" si="10"/>
        <v>422014</v>
      </c>
      <c r="IN36" s="7">
        <f t="shared" si="11"/>
        <v>1679877</v>
      </c>
      <c r="IO36" s="7">
        <f t="shared" si="12"/>
        <v>0</v>
      </c>
      <c r="IP36" s="7">
        <f t="shared" si="13"/>
        <v>15302411</v>
      </c>
      <c r="IQ36" s="7">
        <f t="shared" si="14"/>
        <v>0</v>
      </c>
      <c r="IR36" s="7">
        <f t="shared" si="15"/>
        <v>0</v>
      </c>
      <c r="IS36" s="7">
        <f t="shared" si="16"/>
        <v>0</v>
      </c>
      <c r="IT36" s="7">
        <f t="shared" si="17"/>
        <v>20185696</v>
      </c>
      <c r="IU36" s="7">
        <f t="shared" si="18"/>
        <v>0</v>
      </c>
      <c r="IV36" s="7">
        <f t="shared" si="19"/>
        <v>0</v>
      </c>
      <c r="IW36" s="7">
        <f t="shared" si="20"/>
        <v>0</v>
      </c>
      <c r="IX36" s="7">
        <f t="shared" si="21"/>
        <v>38542</v>
      </c>
      <c r="IY36" s="7">
        <f t="shared" si="22"/>
        <v>0</v>
      </c>
      <c r="IZ36" s="7">
        <f t="shared" si="23"/>
        <v>1675403</v>
      </c>
      <c r="JA36" s="7">
        <f t="shared" si="24"/>
        <v>0</v>
      </c>
      <c r="JB36" s="7">
        <f t="shared" si="25"/>
        <v>7796254</v>
      </c>
      <c r="JC36" s="7">
        <f t="shared" si="26"/>
        <v>0</v>
      </c>
      <c r="JD36" s="7">
        <f t="shared" si="27"/>
        <v>1508427</v>
      </c>
      <c r="JE36" s="7">
        <f t="shared" si="28"/>
        <v>0</v>
      </c>
      <c r="JF36" s="7">
        <f t="shared" si="29"/>
        <v>2776416</v>
      </c>
      <c r="JG36" s="7">
        <f t="shared" si="30"/>
        <v>0</v>
      </c>
      <c r="JH36" s="7">
        <f t="shared" si="31"/>
        <v>1177667</v>
      </c>
      <c r="JI36" s="7">
        <f t="shared" si="32"/>
        <v>0</v>
      </c>
      <c r="JJ36" s="7">
        <f t="shared" si="33"/>
        <v>0</v>
      </c>
      <c r="JK36" s="7">
        <f t="shared" si="34"/>
        <v>0</v>
      </c>
      <c r="JL36" s="7">
        <f t="shared" si="35"/>
        <v>5076307</v>
      </c>
      <c r="JM36" s="7">
        <f t="shared" si="36"/>
        <v>0</v>
      </c>
      <c r="JN36" s="7">
        <f t="shared" si="37"/>
        <v>79711</v>
      </c>
      <c r="JO36" s="7">
        <f t="shared" si="38"/>
        <v>0</v>
      </c>
      <c r="JP36" s="7">
        <f t="shared" si="39"/>
        <v>0</v>
      </c>
      <c r="JQ36" s="7">
        <f t="shared" si="40"/>
        <v>0</v>
      </c>
      <c r="JR36" s="7">
        <f t="shared" si="41"/>
        <v>502056</v>
      </c>
      <c r="JS36" s="7">
        <f t="shared" si="42"/>
        <v>0</v>
      </c>
      <c r="JT36" s="7">
        <f>SUM(GA36:GE36)</f>
        <v>428741</v>
      </c>
      <c r="JU36" s="7">
        <f>GF36-JT36</f>
        <v>0</v>
      </c>
      <c r="JV36" s="7">
        <f t="shared" si="45"/>
        <v>10701426</v>
      </c>
      <c r="JW36" s="7">
        <f t="shared" si="46"/>
        <v>0</v>
      </c>
      <c r="JX36" s="7">
        <f t="shared" si="47"/>
        <v>79720036</v>
      </c>
      <c r="JY36" s="7">
        <f t="shared" si="48"/>
        <v>0</v>
      </c>
      <c r="JZ36" s="7">
        <f t="shared" si="49"/>
        <v>0</v>
      </c>
      <c r="KA36" s="7">
        <f t="shared" si="50"/>
        <v>0</v>
      </c>
      <c r="KB36" s="7">
        <f t="shared" si="51"/>
        <v>79720036</v>
      </c>
      <c r="KC36" s="7">
        <f t="shared" si="52"/>
        <v>0</v>
      </c>
      <c r="KE36" s="7" t="e">
        <f t="shared" si="54"/>
        <v>#REF!</v>
      </c>
      <c r="KG36" s="5" t="e">
        <f t="shared" si="53"/>
        <v>#REF!</v>
      </c>
    </row>
    <row r="37" spans="1:293" x14ac:dyDescent="0.15">
      <c r="A37" s="13" t="s">
        <v>252</v>
      </c>
      <c r="B37" s="17" t="s">
        <v>344</v>
      </c>
      <c r="C37" s="38">
        <v>206084</v>
      </c>
      <c r="D37" s="38">
        <v>2013</v>
      </c>
      <c r="E37" s="38">
        <v>1</v>
      </c>
      <c r="F37" s="38">
        <v>9</v>
      </c>
      <c r="G37" s="39">
        <v>7506</v>
      </c>
      <c r="H37" s="39">
        <v>10440</v>
      </c>
      <c r="I37" s="40">
        <v>642184000</v>
      </c>
      <c r="J37" s="43"/>
      <c r="K37" s="43">
        <v>0</v>
      </c>
      <c r="L37" s="43"/>
      <c r="M37" s="43">
        <v>37946000</v>
      </c>
      <c r="N37" s="43"/>
      <c r="O37" s="43">
        <v>0</v>
      </c>
      <c r="P37" s="43"/>
      <c r="Q37" s="43">
        <v>517301000</v>
      </c>
      <c r="R37" s="43"/>
      <c r="S37" s="43">
        <v>467953000</v>
      </c>
      <c r="T37" s="43"/>
      <c r="U37" s="43">
        <v>21298</v>
      </c>
      <c r="V37" s="43"/>
      <c r="W37" s="43">
        <v>29258</v>
      </c>
      <c r="X37" s="40"/>
      <c r="Y37" s="43">
        <v>26628</v>
      </c>
      <c r="Z37" s="43"/>
      <c r="AA37" s="43">
        <v>34588</v>
      </c>
      <c r="AB37" s="43"/>
      <c r="AC37" s="59">
        <v>8</v>
      </c>
      <c r="AD37" s="59">
        <v>10</v>
      </c>
      <c r="AE37" s="59">
        <v>0</v>
      </c>
      <c r="AF37" s="62">
        <v>3347815</v>
      </c>
      <c r="AG37" s="62">
        <v>2378960</v>
      </c>
      <c r="AH37" s="62">
        <v>197251</v>
      </c>
      <c r="AI37" s="62">
        <v>144408</v>
      </c>
      <c r="AJ37" s="62">
        <v>233318.46</v>
      </c>
      <c r="AK37" s="58">
        <v>5.2</v>
      </c>
      <c r="AL37" s="62">
        <v>202209.33</v>
      </c>
      <c r="AM37" s="58">
        <v>6</v>
      </c>
      <c r="AN37" s="62">
        <v>102816.06</v>
      </c>
      <c r="AO37" s="58">
        <v>7.1</v>
      </c>
      <c r="AP37" s="62">
        <v>91249.25</v>
      </c>
      <c r="AQ37" s="63">
        <v>8</v>
      </c>
      <c r="AR37" s="62">
        <v>74347.69</v>
      </c>
      <c r="AS37" s="63">
        <v>19.079999999999998</v>
      </c>
      <c r="AT37" s="62">
        <v>64479.73</v>
      </c>
      <c r="AU37" s="63">
        <v>22</v>
      </c>
      <c r="AV37" s="62">
        <v>45293.24</v>
      </c>
      <c r="AW37" s="63">
        <v>17</v>
      </c>
      <c r="AX37" s="62">
        <v>42776.94</v>
      </c>
      <c r="AY37" s="63">
        <v>18</v>
      </c>
      <c r="AZ37" s="87">
        <v>453248</v>
      </c>
      <c r="BA37" s="87">
        <v>1250000</v>
      </c>
      <c r="BB37" s="87">
        <v>553682</v>
      </c>
      <c r="BC37" s="87">
        <v>0</v>
      </c>
      <c r="BD37" s="87">
        <v>0</v>
      </c>
      <c r="BE37" s="87">
        <v>26790</v>
      </c>
      <c r="BF37" s="87">
        <v>16113</v>
      </c>
      <c r="BG37" s="87">
        <v>31458</v>
      </c>
      <c r="BH37" s="87">
        <v>625852</v>
      </c>
      <c r="BI37" s="87">
        <v>2153</v>
      </c>
      <c r="BJ37" s="87">
        <v>702366</v>
      </c>
      <c r="BK37" s="87">
        <v>0</v>
      </c>
      <c r="BL37" s="87">
        <v>0</v>
      </c>
      <c r="BM37" s="87">
        <v>0</v>
      </c>
      <c r="BN37" s="87">
        <v>0</v>
      </c>
      <c r="BO37" s="87">
        <v>0</v>
      </c>
      <c r="BP37" s="87">
        <v>0</v>
      </c>
      <c r="BQ37" s="87">
        <v>0</v>
      </c>
      <c r="BR37" s="87">
        <v>0</v>
      </c>
      <c r="BS37" s="87">
        <v>0</v>
      </c>
      <c r="BT37" s="87">
        <v>0</v>
      </c>
      <c r="BU37" s="87">
        <v>235226</v>
      </c>
      <c r="BV37" s="87">
        <v>235226</v>
      </c>
      <c r="BW37" s="87">
        <v>2283720</v>
      </c>
      <c r="BX37" s="87">
        <v>426263</v>
      </c>
      <c r="BY37" s="87">
        <v>86572</v>
      </c>
      <c r="BZ37" s="87">
        <v>1010455</v>
      </c>
      <c r="CA37" s="87">
        <v>22750664</v>
      </c>
      <c r="CB37" s="87">
        <v>26557674</v>
      </c>
      <c r="CC37" s="87">
        <v>2054679</v>
      </c>
      <c r="CD37" s="87">
        <v>447069</v>
      </c>
      <c r="CE37" s="87">
        <v>367851</v>
      </c>
      <c r="CF37" s="87">
        <v>2857176</v>
      </c>
      <c r="CG37" s="87">
        <v>13020</v>
      </c>
      <c r="CH37" s="87">
        <v>5739795</v>
      </c>
      <c r="CI37" s="87">
        <v>322000</v>
      </c>
      <c r="CJ37" s="87">
        <v>233500</v>
      </c>
      <c r="CK37" s="87">
        <v>2350</v>
      </c>
      <c r="CL37" s="87">
        <v>11000</v>
      </c>
      <c r="CM37" s="87">
        <v>0</v>
      </c>
      <c r="CN37" s="87">
        <v>568850</v>
      </c>
      <c r="CO37" s="87">
        <v>1155505</v>
      </c>
      <c r="CP37" s="87">
        <v>506014</v>
      </c>
      <c r="CQ37" s="87">
        <v>389568</v>
      </c>
      <c r="CR37" s="87">
        <v>2080702</v>
      </c>
      <c r="CS37" s="87">
        <v>0</v>
      </c>
      <c r="CT37" s="87">
        <v>4131789</v>
      </c>
      <c r="CU37" s="87">
        <v>0</v>
      </c>
      <c r="CV37" s="87">
        <v>5000</v>
      </c>
      <c r="CW37" s="87">
        <v>0</v>
      </c>
      <c r="CX37" s="87">
        <v>59150</v>
      </c>
      <c r="CY37" s="87">
        <v>0</v>
      </c>
      <c r="CZ37" s="87">
        <v>64150</v>
      </c>
      <c r="DA37" s="87">
        <v>0</v>
      </c>
      <c r="DB37" s="87">
        <v>0</v>
      </c>
      <c r="DC37" s="87">
        <v>0</v>
      </c>
      <c r="DD37" s="87">
        <v>0</v>
      </c>
      <c r="DE37" s="87">
        <v>4922416</v>
      </c>
      <c r="DF37" s="87">
        <v>4922416</v>
      </c>
      <c r="DG37" s="87">
        <v>0</v>
      </c>
      <c r="DH37" s="87">
        <v>0</v>
      </c>
      <c r="DI37" s="87">
        <v>0</v>
      </c>
      <c r="DJ37" s="87">
        <v>0</v>
      </c>
      <c r="DK37" s="87">
        <v>0</v>
      </c>
      <c r="DL37" s="87">
        <v>0</v>
      </c>
      <c r="DM37" s="87">
        <v>0</v>
      </c>
      <c r="DN37" s="87">
        <v>0</v>
      </c>
      <c r="DO37" s="87">
        <v>0</v>
      </c>
      <c r="DP37" s="87">
        <v>0</v>
      </c>
      <c r="DQ37" s="87">
        <v>0</v>
      </c>
      <c r="DR37" s="87">
        <v>0</v>
      </c>
      <c r="DS37" s="87">
        <v>92821</v>
      </c>
      <c r="DT37" s="87">
        <v>66329</v>
      </c>
      <c r="DU37" s="87">
        <v>59179</v>
      </c>
      <c r="DV37" s="87">
        <v>123330</v>
      </c>
      <c r="DW37" s="87">
        <v>0</v>
      </c>
      <c r="DX37" s="87">
        <v>341659</v>
      </c>
      <c r="DY37" s="87">
        <v>798993</v>
      </c>
      <c r="DZ37" s="87">
        <v>182169</v>
      </c>
      <c r="EA37" s="87">
        <v>112913</v>
      </c>
      <c r="EB37" s="87">
        <v>800849</v>
      </c>
      <c r="EC37" s="87">
        <v>1003831</v>
      </c>
      <c r="ED37" s="87">
        <v>2898755</v>
      </c>
      <c r="EE37" s="87">
        <v>274662</v>
      </c>
      <c r="EF37" s="87">
        <v>97427</v>
      </c>
      <c r="EG37" s="87">
        <v>67421</v>
      </c>
      <c r="EH37" s="87">
        <v>327867</v>
      </c>
      <c r="EI37" s="87">
        <v>802811</v>
      </c>
      <c r="EJ37" s="87">
        <v>1570188</v>
      </c>
      <c r="EK37" s="87">
        <v>251754</v>
      </c>
      <c r="EL37" s="87">
        <v>115184</v>
      </c>
      <c r="EM37" s="87">
        <v>56642</v>
      </c>
      <c r="EN37" s="87">
        <v>78540</v>
      </c>
      <c r="EO37" s="87">
        <v>77980</v>
      </c>
      <c r="EP37" s="87">
        <v>580100</v>
      </c>
      <c r="EQ37" s="87">
        <v>0</v>
      </c>
      <c r="ER37" s="87">
        <v>0</v>
      </c>
      <c r="ES37" s="87">
        <v>0</v>
      </c>
      <c r="ET37" s="87">
        <v>0</v>
      </c>
      <c r="EU37" s="87">
        <v>731087</v>
      </c>
      <c r="EV37" s="87">
        <v>731087</v>
      </c>
      <c r="EW37" s="87">
        <v>21750</v>
      </c>
      <c r="EX37" s="87">
        <v>11924</v>
      </c>
      <c r="EY37" s="87">
        <v>22578</v>
      </c>
      <c r="EZ37" s="87">
        <v>565231</v>
      </c>
      <c r="FA37" s="87">
        <v>1004</v>
      </c>
      <c r="FB37" s="87">
        <v>622487</v>
      </c>
      <c r="FC37" s="87">
        <v>41898</v>
      </c>
      <c r="FD37" s="87">
        <v>4331</v>
      </c>
      <c r="FE37" s="87">
        <v>4124</v>
      </c>
      <c r="FF37" s="87">
        <v>30243</v>
      </c>
      <c r="FG37" s="87">
        <v>436798</v>
      </c>
      <c r="FH37" s="87">
        <v>517394</v>
      </c>
      <c r="FI37" s="87">
        <v>0</v>
      </c>
      <c r="FJ37" s="87">
        <v>0</v>
      </c>
      <c r="FK37" s="87">
        <v>0</v>
      </c>
      <c r="FL37" s="87">
        <v>0</v>
      </c>
      <c r="FM37" s="87">
        <v>35651</v>
      </c>
      <c r="FN37" s="87">
        <v>35651</v>
      </c>
      <c r="FO37" s="87">
        <v>0</v>
      </c>
      <c r="FP37" s="87">
        <v>0</v>
      </c>
      <c r="FQ37" s="87">
        <v>0</v>
      </c>
      <c r="FR37" s="87">
        <v>0</v>
      </c>
      <c r="FS37" s="87">
        <v>2276624</v>
      </c>
      <c r="FT37" s="87">
        <v>2276624</v>
      </c>
      <c r="FU37" s="87">
        <v>0</v>
      </c>
      <c r="FV37" s="87">
        <v>0</v>
      </c>
      <c r="FW37" s="87">
        <v>0</v>
      </c>
      <c r="FX37" s="87">
        <v>0</v>
      </c>
      <c r="FY37" s="87">
        <v>238451</v>
      </c>
      <c r="FZ37" s="87">
        <v>238451</v>
      </c>
      <c r="GA37" s="87">
        <v>3045</v>
      </c>
      <c r="GB37" s="87">
        <v>100</v>
      </c>
      <c r="GC37" s="87">
        <v>800</v>
      </c>
      <c r="GD37" s="87">
        <v>6705</v>
      </c>
      <c r="GE37" s="87">
        <v>275921</v>
      </c>
      <c r="GF37" s="87">
        <v>286571</v>
      </c>
      <c r="GG37" s="87">
        <v>118514</v>
      </c>
      <c r="GH37" s="87">
        <v>47240</v>
      </c>
      <c r="GI37" s="87">
        <v>15152</v>
      </c>
      <c r="GJ37" s="87">
        <v>113455</v>
      </c>
      <c r="GK37" s="87">
        <v>1296485</v>
      </c>
      <c r="GL37" s="87">
        <v>1590846</v>
      </c>
      <c r="GM37" s="87">
        <v>5135621</v>
      </c>
      <c r="GN37" s="87">
        <v>1716287</v>
      </c>
      <c r="GO37" s="87">
        <v>1098578</v>
      </c>
      <c r="GP37" s="87">
        <v>7054248</v>
      </c>
      <c r="GQ37" s="87">
        <v>12112079</v>
      </c>
      <c r="GR37" s="87">
        <v>27116813</v>
      </c>
      <c r="GS37" s="87">
        <v>0</v>
      </c>
      <c r="GT37" s="87">
        <v>0</v>
      </c>
      <c r="GU37" s="87">
        <v>0</v>
      </c>
      <c r="GV37" s="87">
        <v>0</v>
      </c>
      <c r="GW37" s="87">
        <v>32702</v>
      </c>
      <c r="GX37" s="87">
        <v>32702</v>
      </c>
      <c r="GY37" s="87">
        <v>5135621</v>
      </c>
      <c r="GZ37" s="87">
        <v>1716287</v>
      </c>
      <c r="HA37" s="87">
        <v>1098578</v>
      </c>
      <c r="HB37" s="87">
        <v>7054248</v>
      </c>
      <c r="HC37" s="87">
        <v>12112079</v>
      </c>
      <c r="HD37" s="87">
        <v>27116813</v>
      </c>
      <c r="HF37" s="7">
        <f>SUM(AZ37:AZ37)</f>
        <v>453248</v>
      </c>
      <c r="HG37" s="7" t="e">
        <f>#REF!-HF37</f>
        <v>#REF!</v>
      </c>
      <c r="HH37" s="7" t="e">
        <f>SUM(#REF!)</f>
        <v>#REF!</v>
      </c>
      <c r="HI37" s="7" t="e">
        <f>#REF!-HH37</f>
        <v>#REF!</v>
      </c>
      <c r="HJ37" s="7">
        <f>SUM(BA37:BA37)</f>
        <v>1250000</v>
      </c>
      <c r="HK37" s="7" t="e">
        <f>#REF!-HJ37</f>
        <v>#REF!</v>
      </c>
      <c r="HL37" s="7">
        <f>SUM(BB37:BB37)</f>
        <v>553682</v>
      </c>
      <c r="HM37" s="7" t="e">
        <f>#REF!-HL37</f>
        <v>#REF!</v>
      </c>
      <c r="HN37" s="7" t="e">
        <f>SUM(#REF!)</f>
        <v>#REF!</v>
      </c>
      <c r="HO37" s="7" t="e">
        <f>#REF!-HN37</f>
        <v>#REF!</v>
      </c>
      <c r="HP37" s="7" t="e">
        <f>SUM(#REF!)</f>
        <v>#REF!</v>
      </c>
      <c r="HQ37" s="7" t="e">
        <f>#REF!-HP37</f>
        <v>#REF!</v>
      </c>
      <c r="HR37" s="7" t="e">
        <f>SUM(#REF!)</f>
        <v>#REF!</v>
      </c>
      <c r="HS37" s="7" t="e">
        <f>#REF!-HR37</f>
        <v>#REF!</v>
      </c>
      <c r="HT37" s="7" t="e">
        <f>SUM(#REF!)</f>
        <v>#REF!</v>
      </c>
      <c r="HU37" s="7" t="e">
        <f>#REF!-HT37</f>
        <v>#REF!</v>
      </c>
      <c r="HV37" s="7" t="e">
        <f>SUM(#REF!)</f>
        <v>#REF!</v>
      </c>
      <c r="HW37" s="7" t="e">
        <f>#REF!-HV37</f>
        <v>#REF!</v>
      </c>
      <c r="HX37" s="7" t="e">
        <f>SUM(#REF!)</f>
        <v>#REF!</v>
      </c>
      <c r="HY37" s="7" t="e">
        <f>#REF!-HX37</f>
        <v>#REF!</v>
      </c>
      <c r="HZ37" s="7">
        <f>SUM(BC37:BC37)</f>
        <v>0</v>
      </c>
      <c r="IA37" s="7" t="e">
        <f>#REF!-HZ37</f>
        <v>#REF!</v>
      </c>
      <c r="IB37" s="7">
        <f>SUM(BD37:BD37)</f>
        <v>0</v>
      </c>
      <c r="IC37" s="7" t="e">
        <f>#REF!-IB37</f>
        <v>#REF!</v>
      </c>
      <c r="ID37" s="7">
        <f t="shared" si="1"/>
        <v>702366</v>
      </c>
      <c r="IE37" s="7">
        <f t="shared" si="2"/>
        <v>0</v>
      </c>
      <c r="IF37" s="7">
        <f t="shared" si="3"/>
        <v>0</v>
      </c>
      <c r="IG37" s="7">
        <f t="shared" si="4"/>
        <v>0</v>
      </c>
      <c r="IH37" s="7">
        <f t="shared" si="5"/>
        <v>235226</v>
      </c>
      <c r="II37" s="7">
        <f t="shared" si="6"/>
        <v>0</v>
      </c>
      <c r="IJ37" s="7">
        <f t="shared" si="7"/>
        <v>26557674</v>
      </c>
      <c r="IK37" s="7">
        <f t="shared" si="8"/>
        <v>0</v>
      </c>
      <c r="IL37" s="7">
        <f t="shared" si="9"/>
        <v>5739795</v>
      </c>
      <c r="IM37" s="7">
        <f t="shared" si="10"/>
        <v>0</v>
      </c>
      <c r="IN37" s="7">
        <f t="shared" si="11"/>
        <v>568850</v>
      </c>
      <c r="IO37" s="7">
        <f t="shared" si="12"/>
        <v>0</v>
      </c>
      <c r="IP37" s="7">
        <f t="shared" si="13"/>
        <v>4131789</v>
      </c>
      <c r="IQ37" s="7">
        <f t="shared" si="14"/>
        <v>0</v>
      </c>
      <c r="IR37" s="7">
        <f t="shared" si="15"/>
        <v>64150</v>
      </c>
      <c r="IS37" s="7">
        <f t="shared" si="16"/>
        <v>0</v>
      </c>
      <c r="IT37" s="7">
        <f t="shared" si="17"/>
        <v>4922416</v>
      </c>
      <c r="IU37" s="7">
        <f t="shared" si="18"/>
        <v>0</v>
      </c>
      <c r="IV37" s="7">
        <f t="shared" si="19"/>
        <v>0</v>
      </c>
      <c r="IW37" s="7">
        <f t="shared" si="20"/>
        <v>0</v>
      </c>
      <c r="IX37" s="7">
        <f t="shared" si="21"/>
        <v>0</v>
      </c>
      <c r="IY37" s="7">
        <f t="shared" si="22"/>
        <v>0</v>
      </c>
      <c r="IZ37" s="7">
        <f t="shared" si="23"/>
        <v>341659</v>
      </c>
      <c r="JA37" s="7">
        <f t="shared" si="24"/>
        <v>0</v>
      </c>
      <c r="JB37" s="7">
        <f t="shared" si="25"/>
        <v>2898755</v>
      </c>
      <c r="JC37" s="7">
        <f t="shared" si="26"/>
        <v>0</v>
      </c>
      <c r="JD37" s="7">
        <f t="shared" si="27"/>
        <v>1570188</v>
      </c>
      <c r="JE37" s="7">
        <f t="shared" si="28"/>
        <v>0</v>
      </c>
      <c r="JF37" s="7">
        <f t="shared" si="29"/>
        <v>580100</v>
      </c>
      <c r="JG37" s="7">
        <f t="shared" si="30"/>
        <v>0</v>
      </c>
      <c r="JH37" s="7">
        <f t="shared" si="31"/>
        <v>731087</v>
      </c>
      <c r="JI37" s="7">
        <f t="shared" si="32"/>
        <v>0</v>
      </c>
      <c r="JJ37" s="7">
        <f t="shared" si="33"/>
        <v>622487</v>
      </c>
      <c r="JK37" s="7">
        <f t="shared" si="34"/>
        <v>0</v>
      </c>
      <c r="JL37" s="7">
        <f t="shared" si="35"/>
        <v>517394</v>
      </c>
      <c r="JM37" s="7">
        <f t="shared" si="36"/>
        <v>0</v>
      </c>
      <c r="JN37" s="7">
        <f t="shared" si="37"/>
        <v>35651</v>
      </c>
      <c r="JO37" s="7">
        <f t="shared" si="38"/>
        <v>0</v>
      </c>
      <c r="JP37" s="7">
        <f t="shared" si="39"/>
        <v>2276624</v>
      </c>
      <c r="JQ37" s="7">
        <f t="shared" si="40"/>
        <v>0</v>
      </c>
      <c r="JR37" s="7">
        <f t="shared" si="41"/>
        <v>238451</v>
      </c>
      <c r="JS37" s="7">
        <f t="shared" si="42"/>
        <v>0</v>
      </c>
      <c r="JT37" s="7">
        <f t="shared" si="43"/>
        <v>286571</v>
      </c>
      <c r="JU37" s="7">
        <f t="shared" si="44"/>
        <v>0</v>
      </c>
      <c r="JV37" s="7">
        <f t="shared" si="45"/>
        <v>1590846</v>
      </c>
      <c r="JW37" s="7">
        <f t="shared" si="46"/>
        <v>0</v>
      </c>
      <c r="JX37" s="7">
        <f t="shared" si="47"/>
        <v>27116813</v>
      </c>
      <c r="JY37" s="7">
        <f t="shared" si="48"/>
        <v>0</v>
      </c>
      <c r="JZ37" s="7">
        <f t="shared" si="49"/>
        <v>32702</v>
      </c>
      <c r="KA37" s="7">
        <f t="shared" si="50"/>
        <v>0</v>
      </c>
      <c r="KB37" s="7">
        <f t="shared" si="51"/>
        <v>27116813</v>
      </c>
      <c r="KC37" s="7">
        <f t="shared" si="52"/>
        <v>0</v>
      </c>
      <c r="KE37" s="7" t="e">
        <f t="shared" si="54"/>
        <v>#REF!</v>
      </c>
      <c r="KG37" s="5" t="e">
        <f t="shared" si="53"/>
        <v>#REF!</v>
      </c>
    </row>
    <row r="38" spans="1:293" x14ac:dyDescent="0.15">
      <c r="A38" s="119" t="s">
        <v>263</v>
      </c>
      <c r="B38" s="17" t="s">
        <v>403</v>
      </c>
      <c r="C38" s="53">
        <v>157085</v>
      </c>
      <c r="D38" s="38">
        <v>2013</v>
      </c>
      <c r="E38" s="38">
        <v>1</v>
      </c>
      <c r="F38" s="38">
        <v>5</v>
      </c>
      <c r="G38" s="39">
        <v>9402</v>
      </c>
      <c r="H38" s="39">
        <v>9707</v>
      </c>
      <c r="I38" s="40">
        <v>2331968000</v>
      </c>
      <c r="J38" s="40"/>
      <c r="K38" s="40">
        <v>9636742</v>
      </c>
      <c r="L38" s="40"/>
      <c r="M38" s="40">
        <v>85954000</v>
      </c>
      <c r="N38" s="40"/>
      <c r="O38" s="40">
        <v>14900000</v>
      </c>
      <c r="P38" s="40"/>
      <c r="Q38" s="40">
        <v>647790000</v>
      </c>
      <c r="R38" s="40"/>
      <c r="S38" s="40">
        <v>1095584000</v>
      </c>
      <c r="T38" s="40"/>
      <c r="U38" s="40">
        <v>20808</v>
      </c>
      <c r="V38" s="40"/>
      <c r="W38" s="40">
        <v>30989</v>
      </c>
      <c r="X38" s="40"/>
      <c r="Y38" s="40">
        <v>23100</v>
      </c>
      <c r="Z38" s="40"/>
      <c r="AA38" s="40">
        <v>33300</v>
      </c>
      <c r="AB38" s="40"/>
      <c r="AC38" s="56">
        <v>10</v>
      </c>
      <c r="AD38" s="56">
        <v>11</v>
      </c>
      <c r="AE38" s="56">
        <v>1</v>
      </c>
      <c r="AF38" s="57">
        <v>5343583</v>
      </c>
      <c r="AG38" s="57">
        <v>3927168</v>
      </c>
      <c r="AH38" s="57">
        <v>1182992</v>
      </c>
      <c r="AI38" s="57">
        <v>584119</v>
      </c>
      <c r="AJ38" s="57">
        <v>1289654</v>
      </c>
      <c r="AK38" s="58">
        <v>7.5</v>
      </c>
      <c r="AL38" s="57">
        <v>1074711.67</v>
      </c>
      <c r="AM38" s="58">
        <v>9</v>
      </c>
      <c r="AN38" s="57">
        <v>307906.82</v>
      </c>
      <c r="AO38" s="58">
        <v>8.5</v>
      </c>
      <c r="AP38" s="57">
        <v>261720.8</v>
      </c>
      <c r="AQ38" s="58">
        <v>10</v>
      </c>
      <c r="AR38" s="57">
        <v>221961.62</v>
      </c>
      <c r="AS38" s="58">
        <v>23.5</v>
      </c>
      <c r="AT38" s="57">
        <v>179865.45</v>
      </c>
      <c r="AU38" s="58">
        <v>19</v>
      </c>
      <c r="AV38" s="57">
        <v>98628.81</v>
      </c>
      <c r="AW38" s="58">
        <v>18.5</v>
      </c>
      <c r="AX38" s="57">
        <v>76026.38</v>
      </c>
      <c r="AY38" s="58">
        <v>24</v>
      </c>
      <c r="AZ38" s="79">
        <v>11812724</v>
      </c>
      <c r="BA38" s="79">
        <v>300000</v>
      </c>
      <c r="BB38" s="79">
        <v>0</v>
      </c>
      <c r="BC38" s="79">
        <v>2509196</v>
      </c>
      <c r="BD38" s="79">
        <v>145000</v>
      </c>
      <c r="BE38" s="79">
        <v>103126</v>
      </c>
      <c r="BF38" s="79">
        <v>798787</v>
      </c>
      <c r="BG38" s="79">
        <v>81347</v>
      </c>
      <c r="BH38" s="79">
        <v>995973</v>
      </c>
      <c r="BI38" s="79">
        <v>293254</v>
      </c>
      <c r="BJ38" s="79">
        <v>2272487</v>
      </c>
      <c r="BK38" s="79">
        <v>0</v>
      </c>
      <c r="BL38" s="79">
        <v>0</v>
      </c>
      <c r="BM38" s="79">
        <v>0</v>
      </c>
      <c r="BN38" s="79">
        <v>0</v>
      </c>
      <c r="BO38" s="79">
        <v>635002</v>
      </c>
      <c r="BP38" s="79">
        <v>635002</v>
      </c>
      <c r="BQ38" s="79">
        <v>2626</v>
      </c>
      <c r="BR38" s="79">
        <v>9485</v>
      </c>
      <c r="BS38" s="79">
        <v>1690</v>
      </c>
      <c r="BT38" s="79">
        <v>10518</v>
      </c>
      <c r="BU38" s="79">
        <v>258534</v>
      </c>
      <c r="BV38" s="79">
        <v>282853</v>
      </c>
      <c r="BW38" s="79">
        <v>30526980</v>
      </c>
      <c r="BX38" s="79">
        <v>23201795</v>
      </c>
      <c r="BY38" s="79">
        <v>746426</v>
      </c>
      <c r="BZ38" s="79">
        <v>1783852</v>
      </c>
      <c r="CA38" s="88">
        <v>39461671</v>
      </c>
      <c r="CB38" s="79">
        <v>95720724</v>
      </c>
      <c r="CC38" s="79">
        <v>3159164</v>
      </c>
      <c r="CD38" s="79">
        <v>511638</v>
      </c>
      <c r="CE38" s="79">
        <v>534127</v>
      </c>
      <c r="CF38" s="79">
        <v>5186827</v>
      </c>
      <c r="CG38" s="79">
        <v>1368773</v>
      </c>
      <c r="CH38" s="79">
        <v>10760529</v>
      </c>
      <c r="CI38" s="79">
        <v>1225000</v>
      </c>
      <c r="CJ38" s="79">
        <v>690000</v>
      </c>
      <c r="CK38" s="79">
        <v>96000</v>
      </c>
      <c r="CL38" s="79">
        <v>54344</v>
      </c>
      <c r="CM38" s="79">
        <v>20484</v>
      </c>
      <c r="CN38" s="79">
        <v>2085828</v>
      </c>
      <c r="CO38" s="79">
        <v>4834083</v>
      </c>
      <c r="CP38" s="79">
        <v>7520428</v>
      </c>
      <c r="CQ38" s="79">
        <v>1709662</v>
      </c>
      <c r="CR38" s="79">
        <v>5266171</v>
      </c>
      <c r="CS38" s="79">
        <v>0</v>
      </c>
      <c r="CT38" s="79">
        <v>19330344</v>
      </c>
      <c r="CU38" s="79">
        <v>0</v>
      </c>
      <c r="CV38" s="79">
        <v>0</v>
      </c>
      <c r="CW38" s="79">
        <v>0</v>
      </c>
      <c r="CX38" s="79">
        <v>0</v>
      </c>
      <c r="CY38" s="79">
        <v>0</v>
      </c>
      <c r="CZ38" s="79">
        <v>0</v>
      </c>
      <c r="DA38" s="79">
        <v>723181</v>
      </c>
      <c r="DB38" s="79">
        <v>885957</v>
      </c>
      <c r="DC38" s="79">
        <v>288757</v>
      </c>
      <c r="DD38" s="79">
        <v>373836</v>
      </c>
      <c r="DE38" s="79">
        <v>10603531</v>
      </c>
      <c r="DF38" s="79">
        <v>12875262</v>
      </c>
      <c r="DG38" s="79">
        <v>0</v>
      </c>
      <c r="DH38" s="79">
        <v>0</v>
      </c>
      <c r="DI38" s="79">
        <v>0</v>
      </c>
      <c r="DJ38" s="79">
        <v>0</v>
      </c>
      <c r="DK38" s="79">
        <v>0</v>
      </c>
      <c r="DL38" s="79">
        <v>0</v>
      </c>
      <c r="DM38" s="79">
        <v>3853436</v>
      </c>
      <c r="DN38" s="79">
        <v>0</v>
      </c>
      <c r="DO38" s="79">
        <v>0</v>
      </c>
      <c r="DP38" s="79">
        <v>122770</v>
      </c>
      <c r="DQ38" s="79">
        <v>0</v>
      </c>
      <c r="DR38" s="79">
        <v>3976206</v>
      </c>
      <c r="DS38" s="79">
        <v>504421</v>
      </c>
      <c r="DT38" s="79">
        <v>461529</v>
      </c>
      <c r="DU38" s="79">
        <v>260284</v>
      </c>
      <c r="DV38" s="79">
        <v>549190</v>
      </c>
      <c r="DW38" s="79">
        <v>0</v>
      </c>
      <c r="DX38" s="79">
        <v>1775424</v>
      </c>
      <c r="DY38" s="79">
        <v>811778</v>
      </c>
      <c r="DZ38" s="79">
        <v>997646</v>
      </c>
      <c r="EA38" s="79">
        <v>808293</v>
      </c>
      <c r="EB38" s="79">
        <v>2532258</v>
      </c>
      <c r="EC38" s="79">
        <v>26132</v>
      </c>
      <c r="ED38" s="79">
        <v>5176107</v>
      </c>
      <c r="EE38" s="79">
        <v>774623</v>
      </c>
      <c r="EF38" s="79">
        <v>168263</v>
      </c>
      <c r="EG38" s="79">
        <v>98630</v>
      </c>
      <c r="EH38" s="79">
        <v>855087</v>
      </c>
      <c r="EI38" s="79">
        <v>1669677</v>
      </c>
      <c r="EJ38" s="79">
        <v>3566280</v>
      </c>
      <c r="EK38" s="79">
        <v>199711</v>
      </c>
      <c r="EL38" s="79">
        <v>790819</v>
      </c>
      <c r="EM38" s="79">
        <v>156739</v>
      </c>
      <c r="EN38" s="79">
        <v>221414</v>
      </c>
      <c r="EO38" s="79">
        <v>2463034</v>
      </c>
      <c r="EP38" s="79">
        <v>3831717</v>
      </c>
      <c r="EQ38" s="79">
        <v>0</v>
      </c>
      <c r="ER38" s="79">
        <v>151</v>
      </c>
      <c r="ES38" s="79">
        <v>2517</v>
      </c>
      <c r="ET38" s="79">
        <v>3143</v>
      </c>
      <c r="EU38" s="79">
        <v>2668561</v>
      </c>
      <c r="EV38" s="79">
        <v>2674372</v>
      </c>
      <c r="EW38" s="79">
        <v>78938</v>
      </c>
      <c r="EX38" s="79">
        <v>257527</v>
      </c>
      <c r="EY38" s="79">
        <v>71362</v>
      </c>
      <c r="EZ38" s="79">
        <v>636273</v>
      </c>
      <c r="FA38" s="79">
        <v>293254</v>
      </c>
      <c r="FB38" s="79">
        <v>1337354</v>
      </c>
      <c r="FC38" s="79">
        <v>120991</v>
      </c>
      <c r="FD38" s="79">
        <v>712435</v>
      </c>
      <c r="FE38" s="79">
        <v>8410</v>
      </c>
      <c r="FF38" s="79">
        <v>67907</v>
      </c>
      <c r="FG38" s="79">
        <v>16299137</v>
      </c>
      <c r="FH38" s="79">
        <v>17208880</v>
      </c>
      <c r="FI38" s="79">
        <v>0</v>
      </c>
      <c r="FJ38" s="79">
        <v>0</v>
      </c>
      <c r="FK38" s="79">
        <v>0</v>
      </c>
      <c r="FL38" s="79">
        <v>0</v>
      </c>
      <c r="FM38" s="79">
        <v>797685</v>
      </c>
      <c r="FN38" s="79">
        <v>797685</v>
      </c>
      <c r="FO38" s="79">
        <v>0</v>
      </c>
      <c r="FP38" s="79">
        <v>0</v>
      </c>
      <c r="FQ38" s="79">
        <v>0</v>
      </c>
      <c r="FR38" s="79">
        <v>0</v>
      </c>
      <c r="FS38" s="79">
        <v>0</v>
      </c>
      <c r="FT38" s="79">
        <v>0</v>
      </c>
      <c r="FU38" s="79">
        <v>218835</v>
      </c>
      <c r="FV38" s="79">
        <v>105040</v>
      </c>
      <c r="FW38" s="79">
        <v>23049</v>
      </c>
      <c r="FX38" s="79">
        <v>307494</v>
      </c>
      <c r="FY38" s="79">
        <v>218014</v>
      </c>
      <c r="FZ38" s="79">
        <v>872432</v>
      </c>
      <c r="GA38" s="79">
        <v>0</v>
      </c>
      <c r="GB38" s="79">
        <v>0</v>
      </c>
      <c r="GC38" s="79">
        <v>0</v>
      </c>
      <c r="GD38" s="79">
        <v>3459</v>
      </c>
      <c r="GE38" s="79">
        <v>11582</v>
      </c>
      <c r="GF38" s="79">
        <v>15041</v>
      </c>
      <c r="GG38" s="79">
        <v>1097234</v>
      </c>
      <c r="GH38" s="79">
        <v>271288</v>
      </c>
      <c r="GI38" s="79">
        <v>143461</v>
      </c>
      <c r="GJ38" s="79">
        <v>504371</v>
      </c>
      <c r="GK38" s="79">
        <v>5123813</v>
      </c>
      <c r="GL38" s="79">
        <v>7140167</v>
      </c>
      <c r="GM38" s="79">
        <v>17601395</v>
      </c>
      <c r="GN38" s="79">
        <v>13372721</v>
      </c>
      <c r="GO38" s="79">
        <v>4201291</v>
      </c>
      <c r="GP38" s="79">
        <v>16684544</v>
      </c>
      <c r="GQ38" s="79">
        <v>41563677</v>
      </c>
      <c r="GR38" s="79">
        <v>93423628</v>
      </c>
      <c r="GS38" s="79">
        <v>700000</v>
      </c>
      <c r="GT38" s="79">
        <v>300000</v>
      </c>
      <c r="GU38" s="79">
        <v>0</v>
      </c>
      <c r="GV38" s="79">
        <v>0</v>
      </c>
      <c r="GW38" s="79">
        <v>660000</v>
      </c>
      <c r="GX38" s="79">
        <v>1660000</v>
      </c>
      <c r="GY38" s="79">
        <v>18301395</v>
      </c>
      <c r="GZ38" s="79">
        <v>13672721</v>
      </c>
      <c r="HA38" s="79">
        <v>4201291</v>
      </c>
      <c r="HB38" s="79">
        <v>16684544</v>
      </c>
      <c r="HC38" s="79">
        <v>42223677</v>
      </c>
      <c r="HD38" s="79">
        <v>95083628</v>
      </c>
      <c r="HF38" s="7">
        <f>SUM(AZ38:AZ38)</f>
        <v>11812724</v>
      </c>
      <c r="HG38" s="7" t="e">
        <f>#REF!-HF38</f>
        <v>#REF!</v>
      </c>
      <c r="HH38" s="7" t="e">
        <f>SUM(#REF!)</f>
        <v>#REF!</v>
      </c>
      <c r="HI38" s="7" t="e">
        <f>#REF!-HH38</f>
        <v>#REF!</v>
      </c>
      <c r="HJ38" s="7">
        <f>SUM(BA38:BA38)</f>
        <v>300000</v>
      </c>
      <c r="HK38" s="7" t="e">
        <f>#REF!-HJ38</f>
        <v>#REF!</v>
      </c>
      <c r="HL38" s="7">
        <f>SUM(BB38:BB38)</f>
        <v>0</v>
      </c>
      <c r="HM38" s="7" t="e">
        <f>#REF!-HL38</f>
        <v>#REF!</v>
      </c>
      <c r="HN38" s="7" t="e">
        <f>SUM(#REF!)</f>
        <v>#REF!</v>
      </c>
      <c r="HO38" s="7" t="e">
        <f>#REF!-HN38</f>
        <v>#REF!</v>
      </c>
      <c r="HP38" s="7" t="e">
        <f>SUM(#REF!)</f>
        <v>#REF!</v>
      </c>
      <c r="HQ38" s="7" t="e">
        <f>#REF!-HP38</f>
        <v>#REF!</v>
      </c>
      <c r="HR38" s="7" t="e">
        <f>SUM(#REF!)</f>
        <v>#REF!</v>
      </c>
      <c r="HS38" s="7" t="e">
        <f>#REF!-HR38</f>
        <v>#REF!</v>
      </c>
      <c r="HT38" s="7" t="e">
        <f>SUM(#REF!)</f>
        <v>#REF!</v>
      </c>
      <c r="HU38" s="7" t="e">
        <f>#REF!-HT38</f>
        <v>#REF!</v>
      </c>
      <c r="HV38" s="7" t="e">
        <f>SUM(#REF!)</f>
        <v>#REF!</v>
      </c>
      <c r="HW38" s="7" t="e">
        <f>#REF!-HV38</f>
        <v>#REF!</v>
      </c>
      <c r="HX38" s="7" t="e">
        <f>SUM(#REF!)</f>
        <v>#REF!</v>
      </c>
      <c r="HY38" s="7" t="e">
        <f>#REF!-HX38</f>
        <v>#REF!</v>
      </c>
      <c r="HZ38" s="7">
        <f>SUM(BC38:BC38)</f>
        <v>2509196</v>
      </c>
      <c r="IA38" s="7" t="e">
        <f>#REF!-HZ38</f>
        <v>#REF!</v>
      </c>
      <c r="IB38" s="7">
        <f>SUM(BD38:BD38)</f>
        <v>145000</v>
      </c>
      <c r="IC38" s="7" t="e">
        <f>#REF!-IB38</f>
        <v>#REF!</v>
      </c>
      <c r="ID38" s="7">
        <f t="shared" si="1"/>
        <v>2272487</v>
      </c>
      <c r="IE38" s="7">
        <f t="shared" si="2"/>
        <v>0</v>
      </c>
      <c r="IF38" s="7">
        <f t="shared" si="3"/>
        <v>635002</v>
      </c>
      <c r="IG38" s="7">
        <f t="shared" si="4"/>
        <v>0</v>
      </c>
      <c r="IH38" s="7">
        <f t="shared" si="5"/>
        <v>282853</v>
      </c>
      <c r="II38" s="7">
        <f t="shared" si="6"/>
        <v>0</v>
      </c>
      <c r="IJ38" s="7">
        <f t="shared" si="7"/>
        <v>95720724</v>
      </c>
      <c r="IK38" s="7">
        <f t="shared" si="8"/>
        <v>0</v>
      </c>
      <c r="IL38" s="7">
        <f t="shared" si="9"/>
        <v>10760529</v>
      </c>
      <c r="IM38" s="7">
        <f t="shared" si="10"/>
        <v>0</v>
      </c>
      <c r="IN38" s="7">
        <f t="shared" si="11"/>
        <v>2085828</v>
      </c>
      <c r="IO38" s="7">
        <f t="shared" si="12"/>
        <v>0</v>
      </c>
      <c r="IP38" s="7">
        <f t="shared" si="13"/>
        <v>19330344</v>
      </c>
      <c r="IQ38" s="7">
        <f t="shared" si="14"/>
        <v>0</v>
      </c>
      <c r="IR38" s="7">
        <f t="shared" si="15"/>
        <v>0</v>
      </c>
      <c r="IS38" s="7">
        <f t="shared" si="16"/>
        <v>0</v>
      </c>
      <c r="IT38" s="7">
        <f t="shared" si="17"/>
        <v>12875262</v>
      </c>
      <c r="IU38" s="7">
        <f t="shared" si="18"/>
        <v>0</v>
      </c>
      <c r="IV38" s="7">
        <f t="shared" si="19"/>
        <v>0</v>
      </c>
      <c r="IW38" s="7">
        <f t="shared" si="20"/>
        <v>0</v>
      </c>
      <c r="IX38" s="7">
        <f t="shared" si="21"/>
        <v>3976206</v>
      </c>
      <c r="IY38" s="7">
        <f t="shared" si="22"/>
        <v>0</v>
      </c>
      <c r="IZ38" s="7">
        <f t="shared" si="23"/>
        <v>1775424</v>
      </c>
      <c r="JA38" s="7">
        <f t="shared" si="24"/>
        <v>0</v>
      </c>
      <c r="JB38" s="7">
        <f t="shared" si="25"/>
        <v>5176107</v>
      </c>
      <c r="JC38" s="7">
        <f t="shared" si="26"/>
        <v>0</v>
      </c>
      <c r="JD38" s="7">
        <f t="shared" si="27"/>
        <v>3566280</v>
      </c>
      <c r="JE38" s="7">
        <f t="shared" si="28"/>
        <v>0</v>
      </c>
      <c r="JF38" s="7">
        <f t="shared" si="29"/>
        <v>3831717</v>
      </c>
      <c r="JG38" s="7">
        <f t="shared" si="30"/>
        <v>0</v>
      </c>
      <c r="JH38" s="7">
        <f t="shared" si="31"/>
        <v>2674372</v>
      </c>
      <c r="JI38" s="7">
        <f t="shared" si="32"/>
        <v>0</v>
      </c>
      <c r="JJ38" s="7">
        <f t="shared" si="33"/>
        <v>1337354</v>
      </c>
      <c r="JK38" s="7">
        <f t="shared" si="34"/>
        <v>0</v>
      </c>
      <c r="JL38" s="7">
        <f t="shared" si="35"/>
        <v>17208880</v>
      </c>
      <c r="JM38" s="7">
        <f t="shared" si="36"/>
        <v>0</v>
      </c>
      <c r="JN38" s="7">
        <f t="shared" si="37"/>
        <v>797685</v>
      </c>
      <c r="JO38" s="7">
        <f t="shared" si="38"/>
        <v>0</v>
      </c>
      <c r="JP38" s="7">
        <f t="shared" si="39"/>
        <v>0</v>
      </c>
      <c r="JQ38" s="7">
        <f t="shared" si="40"/>
        <v>0</v>
      </c>
      <c r="JR38" s="7">
        <f t="shared" si="41"/>
        <v>872432</v>
      </c>
      <c r="JS38" s="7">
        <f t="shared" si="42"/>
        <v>0</v>
      </c>
      <c r="JT38" s="7">
        <f t="shared" si="43"/>
        <v>15041</v>
      </c>
      <c r="JU38" s="7">
        <f t="shared" si="44"/>
        <v>0</v>
      </c>
      <c r="JV38" s="7">
        <f t="shared" si="45"/>
        <v>7140167</v>
      </c>
      <c r="JW38" s="7">
        <f t="shared" si="46"/>
        <v>0</v>
      </c>
      <c r="JX38" s="7">
        <f t="shared" si="47"/>
        <v>93423628</v>
      </c>
      <c r="JY38" s="7">
        <f t="shared" si="48"/>
        <v>0</v>
      </c>
      <c r="JZ38" s="7">
        <f t="shared" si="49"/>
        <v>1660000</v>
      </c>
      <c r="KA38" s="7">
        <f t="shared" si="50"/>
        <v>0</v>
      </c>
      <c r="KB38" s="7">
        <f t="shared" si="51"/>
        <v>95083628</v>
      </c>
      <c r="KC38" s="7">
        <f t="shared" si="52"/>
        <v>0</v>
      </c>
      <c r="KE38" s="7" t="e">
        <f t="shared" si="54"/>
        <v>#REF!</v>
      </c>
      <c r="KG38" s="5" t="e">
        <f t="shared" si="53"/>
        <v>#REF!</v>
      </c>
    </row>
    <row r="39" spans="1:293" x14ac:dyDescent="0.15">
      <c r="A39" s="119" t="s">
        <v>371</v>
      </c>
      <c r="B39" s="17" t="s">
        <v>403</v>
      </c>
      <c r="C39" s="38">
        <v>160658</v>
      </c>
      <c r="D39" s="38">
        <v>2013</v>
      </c>
      <c r="E39" s="38">
        <v>1</v>
      </c>
      <c r="F39" s="38"/>
      <c r="G39" s="39">
        <v>5637</v>
      </c>
      <c r="H39" s="39">
        <v>6890</v>
      </c>
      <c r="I39" s="40">
        <v>251781747</v>
      </c>
      <c r="J39" s="40"/>
      <c r="K39" s="40">
        <v>0</v>
      </c>
      <c r="L39" s="40"/>
      <c r="M39" s="40">
        <v>8394060</v>
      </c>
      <c r="N39" s="40"/>
      <c r="O39" s="40">
        <v>0</v>
      </c>
      <c r="P39" s="40"/>
      <c r="Q39" s="40">
        <v>148575000</v>
      </c>
      <c r="R39" s="40"/>
      <c r="S39" s="40">
        <v>213648173</v>
      </c>
      <c r="T39" s="40"/>
      <c r="U39" s="40">
        <v>12586</v>
      </c>
      <c r="V39" s="40"/>
      <c r="W39" s="40">
        <v>21556</v>
      </c>
      <c r="X39" s="40"/>
      <c r="Y39" s="40">
        <v>18379</v>
      </c>
      <c r="Z39" s="40"/>
      <c r="AA39" s="40">
        <v>27349</v>
      </c>
      <c r="AB39" s="40"/>
      <c r="AC39" s="56">
        <v>8</v>
      </c>
      <c r="AD39" s="56">
        <v>8</v>
      </c>
      <c r="AE39" s="56">
        <v>0</v>
      </c>
      <c r="AF39" s="57">
        <v>2307580</v>
      </c>
      <c r="AG39" s="57">
        <v>1352312</v>
      </c>
      <c r="AH39" s="57">
        <v>280565</v>
      </c>
      <c r="AI39" s="57">
        <v>101710</v>
      </c>
      <c r="AJ39" s="57">
        <v>323939.09000000003</v>
      </c>
      <c r="AK39" s="58">
        <v>5.5</v>
      </c>
      <c r="AL39" s="57">
        <v>29694.17</v>
      </c>
      <c r="AM39" s="58">
        <v>6</v>
      </c>
      <c r="AN39" s="57">
        <v>79622.31</v>
      </c>
      <c r="AO39" s="58">
        <v>6.5</v>
      </c>
      <c r="AP39" s="57">
        <v>86257.5</v>
      </c>
      <c r="AQ39" s="58">
        <v>6</v>
      </c>
      <c r="AR39" s="57">
        <v>123254.84</v>
      </c>
      <c r="AS39" s="58">
        <v>15.5</v>
      </c>
      <c r="AT39" s="57">
        <v>112379.41</v>
      </c>
      <c r="AU39" s="58">
        <v>17</v>
      </c>
      <c r="AV39" s="57">
        <v>52183.760999999999</v>
      </c>
      <c r="AW39" s="58">
        <v>8.5</v>
      </c>
      <c r="AX39" s="57">
        <v>44356.2</v>
      </c>
      <c r="AY39" s="58">
        <v>10</v>
      </c>
      <c r="AZ39" s="79">
        <v>1706117</v>
      </c>
      <c r="BA39" s="79">
        <v>1700000</v>
      </c>
      <c r="BB39" s="79">
        <v>2154715</v>
      </c>
      <c r="BC39" s="79">
        <v>185039</v>
      </c>
      <c r="BD39" s="79">
        <v>136171</v>
      </c>
      <c r="BE39" s="79">
        <v>0</v>
      </c>
      <c r="BF39" s="79">
        <v>0</v>
      </c>
      <c r="BG39" s="79">
        <v>0</v>
      </c>
      <c r="BH39" s="79">
        <v>0</v>
      </c>
      <c r="BI39" s="79">
        <v>0</v>
      </c>
      <c r="BJ39" s="79">
        <v>0</v>
      </c>
      <c r="BK39" s="79">
        <v>0</v>
      </c>
      <c r="BL39" s="79">
        <v>0</v>
      </c>
      <c r="BM39" s="79">
        <v>0</v>
      </c>
      <c r="BN39" s="79">
        <v>0</v>
      </c>
      <c r="BO39" s="79">
        <v>0</v>
      </c>
      <c r="BP39" s="79">
        <v>0</v>
      </c>
      <c r="BQ39" s="79">
        <v>53762</v>
      </c>
      <c r="BR39" s="79">
        <v>0</v>
      </c>
      <c r="BS39" s="79">
        <v>0</v>
      </c>
      <c r="BT39" s="79">
        <v>0</v>
      </c>
      <c r="BU39" s="79">
        <v>135534</v>
      </c>
      <c r="BV39" s="79">
        <v>189296</v>
      </c>
      <c r="BW39" s="79">
        <v>7438033</v>
      </c>
      <c r="BX39" s="79">
        <v>1830569</v>
      </c>
      <c r="BY39" s="79">
        <v>974715</v>
      </c>
      <c r="BZ39" s="79">
        <v>4698167</v>
      </c>
      <c r="CA39" s="79">
        <v>3172877</v>
      </c>
      <c r="CB39" s="79">
        <v>18114361</v>
      </c>
      <c r="CC39" s="79">
        <v>1511972</v>
      </c>
      <c r="CD39" s="79">
        <v>240419</v>
      </c>
      <c r="CE39" s="79">
        <v>278392</v>
      </c>
      <c r="CF39" s="79">
        <v>1629118</v>
      </c>
      <c r="CG39" s="79">
        <v>265872</v>
      </c>
      <c r="CH39" s="79">
        <v>3925773</v>
      </c>
      <c r="CI39" s="79">
        <v>525000</v>
      </c>
      <c r="CJ39" s="79">
        <v>10500</v>
      </c>
      <c r="CK39" s="79">
        <v>10000</v>
      </c>
      <c r="CL39" s="79">
        <v>48313</v>
      </c>
      <c r="CM39" s="79">
        <v>0</v>
      </c>
      <c r="CN39" s="79">
        <v>593813</v>
      </c>
      <c r="CO39" s="79">
        <v>2272702</v>
      </c>
      <c r="CP39" s="79">
        <v>868666</v>
      </c>
      <c r="CQ39" s="79">
        <v>365360</v>
      </c>
      <c r="CR39" s="79">
        <v>1146494</v>
      </c>
      <c r="CS39" s="79">
        <v>0</v>
      </c>
      <c r="CT39" s="79">
        <v>4653222</v>
      </c>
      <c r="CU39" s="79">
        <v>0</v>
      </c>
      <c r="CV39" s="79">
        <v>0</v>
      </c>
      <c r="CW39" s="79">
        <v>0</v>
      </c>
      <c r="CX39" s="79">
        <v>0</v>
      </c>
      <c r="CY39" s="79">
        <v>0</v>
      </c>
      <c r="CZ39" s="79">
        <v>0</v>
      </c>
      <c r="DA39" s="79">
        <v>136906</v>
      </c>
      <c r="DB39" s="79">
        <v>51653</v>
      </c>
      <c r="DC39" s="79">
        <v>1739</v>
      </c>
      <c r="DD39" s="79">
        <v>24420</v>
      </c>
      <c r="DE39" s="79">
        <v>1591297</v>
      </c>
      <c r="DF39" s="79">
        <v>1806015</v>
      </c>
      <c r="DG39" s="79">
        <v>0</v>
      </c>
      <c r="DH39" s="79">
        <v>0</v>
      </c>
      <c r="DI39" s="79">
        <v>0</v>
      </c>
      <c r="DJ39" s="79">
        <v>0</v>
      </c>
      <c r="DK39" s="79">
        <v>0</v>
      </c>
      <c r="DL39" s="79">
        <v>0</v>
      </c>
      <c r="DM39" s="79">
        <v>12627</v>
      </c>
      <c r="DN39" s="79">
        <v>3519</v>
      </c>
      <c r="DO39" s="79">
        <v>2587</v>
      </c>
      <c r="DP39" s="79">
        <v>22061</v>
      </c>
      <c r="DQ39" s="79">
        <v>414</v>
      </c>
      <c r="DR39" s="79">
        <v>41208</v>
      </c>
      <c r="DS39" s="79">
        <v>187684</v>
      </c>
      <c r="DT39" s="79">
        <v>65854</v>
      </c>
      <c r="DU39" s="79">
        <v>52618</v>
      </c>
      <c r="DV39" s="79">
        <v>76119</v>
      </c>
      <c r="DW39" s="79">
        <v>6228</v>
      </c>
      <c r="DX39" s="79">
        <v>388503</v>
      </c>
      <c r="DY39" s="79">
        <v>780654</v>
      </c>
      <c r="DZ39" s="79">
        <v>199156</v>
      </c>
      <c r="EA39" s="79">
        <v>114935</v>
      </c>
      <c r="EB39" s="79">
        <v>736651</v>
      </c>
      <c r="EC39" s="79">
        <v>0</v>
      </c>
      <c r="ED39" s="79">
        <v>1831396</v>
      </c>
      <c r="EE39" s="79">
        <v>582691</v>
      </c>
      <c r="EF39" s="79">
        <v>48341</v>
      </c>
      <c r="EG39" s="79">
        <v>35036</v>
      </c>
      <c r="EH39" s="79">
        <v>399796</v>
      </c>
      <c r="EI39" s="79">
        <v>196047</v>
      </c>
      <c r="EJ39" s="79">
        <v>1261911</v>
      </c>
      <c r="EK39" s="79">
        <v>472336</v>
      </c>
      <c r="EL39" s="79">
        <v>198133</v>
      </c>
      <c r="EM39" s="79">
        <v>64261</v>
      </c>
      <c r="EN39" s="79">
        <v>282001</v>
      </c>
      <c r="EO39" s="79">
        <v>188945</v>
      </c>
      <c r="EP39" s="79">
        <v>1205676</v>
      </c>
      <c r="EQ39" s="79">
        <v>385310</v>
      </c>
      <c r="ER39" s="79">
        <v>39022</v>
      </c>
      <c r="ES39" s="79">
        <v>6596</v>
      </c>
      <c r="ET39" s="79">
        <v>147561</v>
      </c>
      <c r="EU39" s="79">
        <v>82227</v>
      </c>
      <c r="EV39" s="79">
        <v>660716</v>
      </c>
      <c r="EW39" s="79">
        <v>0</v>
      </c>
      <c r="EX39" s="79">
        <v>0</v>
      </c>
      <c r="EY39" s="79">
        <v>0</v>
      </c>
      <c r="EZ39" s="79">
        <v>0</v>
      </c>
      <c r="FA39" s="79">
        <v>0</v>
      </c>
      <c r="FB39" s="79">
        <v>0</v>
      </c>
      <c r="FC39" s="79">
        <v>222399</v>
      </c>
      <c r="FD39" s="79">
        <v>32836</v>
      </c>
      <c r="FE39" s="79">
        <v>2493</v>
      </c>
      <c r="FF39" s="79">
        <v>94970</v>
      </c>
      <c r="FG39" s="79">
        <v>260697</v>
      </c>
      <c r="FH39" s="79">
        <v>613395</v>
      </c>
      <c r="FI39" s="79">
        <v>89611</v>
      </c>
      <c r="FJ39" s="79">
        <v>994</v>
      </c>
      <c r="FK39" s="79">
        <v>2970</v>
      </c>
      <c r="FL39" s="79">
        <v>0</v>
      </c>
      <c r="FM39" s="79">
        <v>0</v>
      </c>
      <c r="FN39" s="79">
        <v>93575</v>
      </c>
      <c r="FO39" s="79">
        <v>18467</v>
      </c>
      <c r="FP39" s="79">
        <v>13898</v>
      </c>
      <c r="FQ39" s="79">
        <v>13898</v>
      </c>
      <c r="FR39" s="79">
        <v>57932</v>
      </c>
      <c r="FS39" s="79">
        <v>20259</v>
      </c>
      <c r="FT39" s="79">
        <v>124454</v>
      </c>
      <c r="FU39" s="79">
        <v>7890</v>
      </c>
      <c r="FV39" s="79">
        <v>1753</v>
      </c>
      <c r="FW39" s="79">
        <v>0</v>
      </c>
      <c r="FX39" s="79">
        <v>2090</v>
      </c>
      <c r="FY39" s="79">
        <v>724982</v>
      </c>
      <c r="FZ39" s="79">
        <v>736715</v>
      </c>
      <c r="GA39" s="79">
        <v>1470</v>
      </c>
      <c r="GB39" s="79">
        <v>775</v>
      </c>
      <c r="GC39" s="79">
        <v>667</v>
      </c>
      <c r="GD39" s="79">
        <v>3599</v>
      </c>
      <c r="GE39" s="79">
        <v>89370</v>
      </c>
      <c r="GF39" s="79">
        <v>95881</v>
      </c>
      <c r="GG39" s="79">
        <v>230314</v>
      </c>
      <c r="GH39" s="79">
        <v>55050</v>
      </c>
      <c r="GI39" s="79">
        <v>23163</v>
      </c>
      <c r="GJ39" s="79">
        <v>27042</v>
      </c>
      <c r="GK39" s="79">
        <v>284502</v>
      </c>
      <c r="GL39" s="79">
        <v>620071</v>
      </c>
      <c r="GM39" s="79">
        <v>7438033</v>
      </c>
      <c r="GN39" s="79">
        <v>1830569</v>
      </c>
      <c r="GO39" s="79">
        <v>974715</v>
      </c>
      <c r="GP39" s="79">
        <v>4698167</v>
      </c>
      <c r="GQ39" s="79">
        <v>3710840</v>
      </c>
      <c r="GR39" s="79">
        <v>18652324</v>
      </c>
      <c r="GS39" s="79">
        <v>0</v>
      </c>
      <c r="GT39" s="79">
        <v>0</v>
      </c>
      <c r="GU39" s="79">
        <v>0</v>
      </c>
      <c r="GV39" s="79">
        <v>0</v>
      </c>
      <c r="GW39" s="79">
        <v>0</v>
      </c>
      <c r="GX39" s="79">
        <v>0</v>
      </c>
      <c r="GY39" s="79">
        <v>7438033</v>
      </c>
      <c r="GZ39" s="79">
        <v>1830569</v>
      </c>
      <c r="HA39" s="79">
        <v>974715</v>
      </c>
      <c r="HB39" s="79">
        <v>4698167</v>
      </c>
      <c r="HC39" s="79">
        <v>3710840</v>
      </c>
      <c r="HD39" s="79">
        <v>18652324</v>
      </c>
      <c r="HF39" s="7">
        <f>SUM(AZ39:AZ39)</f>
        <v>1706117</v>
      </c>
      <c r="HG39" s="7" t="e">
        <f>#REF!-HF39</f>
        <v>#REF!</v>
      </c>
      <c r="HH39" s="7" t="e">
        <f>SUM(#REF!)</f>
        <v>#REF!</v>
      </c>
      <c r="HI39" s="7" t="e">
        <f>#REF!-HH39</f>
        <v>#REF!</v>
      </c>
      <c r="HJ39" s="7">
        <f>SUM(BA39:BA39)</f>
        <v>1700000</v>
      </c>
      <c r="HK39" s="7" t="e">
        <f>#REF!-HJ39</f>
        <v>#REF!</v>
      </c>
      <c r="HL39" s="7">
        <f>SUM(BB39:BB39)</f>
        <v>2154715</v>
      </c>
      <c r="HM39" s="7" t="e">
        <f>#REF!-HL39</f>
        <v>#REF!</v>
      </c>
      <c r="HN39" s="7" t="e">
        <f>SUM(#REF!)</f>
        <v>#REF!</v>
      </c>
      <c r="HO39" s="7" t="e">
        <f>#REF!-HN39</f>
        <v>#REF!</v>
      </c>
      <c r="HP39" s="7" t="e">
        <f>SUM(#REF!)</f>
        <v>#REF!</v>
      </c>
      <c r="HQ39" s="7" t="e">
        <f>#REF!-HP39</f>
        <v>#REF!</v>
      </c>
      <c r="HR39" s="7" t="e">
        <f>SUM(#REF!)</f>
        <v>#REF!</v>
      </c>
      <c r="HS39" s="7" t="e">
        <f>#REF!-HR39</f>
        <v>#REF!</v>
      </c>
      <c r="HT39" s="7" t="e">
        <f>SUM(#REF!)</f>
        <v>#REF!</v>
      </c>
      <c r="HU39" s="7" t="e">
        <f>#REF!-HT39</f>
        <v>#REF!</v>
      </c>
      <c r="HV39" s="7" t="e">
        <f>SUM(#REF!)</f>
        <v>#REF!</v>
      </c>
      <c r="HW39" s="7" t="e">
        <f>#REF!-HV39</f>
        <v>#REF!</v>
      </c>
      <c r="HX39" s="7" t="e">
        <f>SUM(#REF!)</f>
        <v>#REF!</v>
      </c>
      <c r="HY39" s="7" t="e">
        <f>#REF!-HX39</f>
        <v>#REF!</v>
      </c>
      <c r="HZ39" s="7">
        <f>SUM(BC39:BC39)</f>
        <v>185039</v>
      </c>
      <c r="IA39" s="7" t="e">
        <f>#REF!-HZ39</f>
        <v>#REF!</v>
      </c>
      <c r="IB39" s="7">
        <f>SUM(BD39:BD39)</f>
        <v>136171</v>
      </c>
      <c r="IC39" s="7" t="e">
        <f>#REF!-IB39</f>
        <v>#REF!</v>
      </c>
      <c r="ID39" s="7">
        <f t="shared" si="1"/>
        <v>0</v>
      </c>
      <c r="IE39" s="7">
        <f t="shared" si="2"/>
        <v>0</v>
      </c>
      <c r="IF39" s="7">
        <f t="shared" si="3"/>
        <v>0</v>
      </c>
      <c r="IG39" s="7">
        <f t="shared" si="4"/>
        <v>0</v>
      </c>
      <c r="IH39" s="7">
        <f t="shared" si="5"/>
        <v>189296</v>
      </c>
      <c r="II39" s="7">
        <f t="shared" si="6"/>
        <v>0</v>
      </c>
      <c r="IJ39" s="7">
        <f t="shared" si="7"/>
        <v>18114361</v>
      </c>
      <c r="IK39" s="7">
        <f t="shared" si="8"/>
        <v>0</v>
      </c>
      <c r="IL39" s="7">
        <f t="shared" si="9"/>
        <v>3925773</v>
      </c>
      <c r="IM39" s="7">
        <f t="shared" si="10"/>
        <v>0</v>
      </c>
      <c r="IN39" s="7">
        <f t="shared" si="11"/>
        <v>593813</v>
      </c>
      <c r="IO39" s="7">
        <f t="shared" si="12"/>
        <v>0</v>
      </c>
      <c r="IP39" s="7">
        <f t="shared" si="13"/>
        <v>4653222</v>
      </c>
      <c r="IQ39" s="7">
        <f t="shared" si="14"/>
        <v>0</v>
      </c>
      <c r="IR39" s="7">
        <f t="shared" si="15"/>
        <v>0</v>
      </c>
      <c r="IS39" s="7">
        <f t="shared" si="16"/>
        <v>0</v>
      </c>
      <c r="IT39" s="7">
        <f t="shared" si="17"/>
        <v>1806015</v>
      </c>
      <c r="IU39" s="7">
        <f t="shared" si="18"/>
        <v>0</v>
      </c>
      <c r="IV39" s="7">
        <f t="shared" si="19"/>
        <v>0</v>
      </c>
      <c r="IW39" s="7">
        <f t="shared" si="20"/>
        <v>0</v>
      </c>
      <c r="IX39" s="7">
        <f t="shared" si="21"/>
        <v>41208</v>
      </c>
      <c r="IY39" s="7">
        <f t="shared" si="22"/>
        <v>0</v>
      </c>
      <c r="IZ39" s="7">
        <f t="shared" si="23"/>
        <v>388503</v>
      </c>
      <c r="JA39" s="7">
        <f t="shared" si="24"/>
        <v>0</v>
      </c>
      <c r="JB39" s="7">
        <f t="shared" si="25"/>
        <v>1831396</v>
      </c>
      <c r="JC39" s="7">
        <f t="shared" si="26"/>
        <v>0</v>
      </c>
      <c r="JD39" s="7">
        <f t="shared" si="27"/>
        <v>1261911</v>
      </c>
      <c r="JE39" s="7">
        <f t="shared" si="28"/>
        <v>0</v>
      </c>
      <c r="JF39" s="7">
        <f t="shared" si="29"/>
        <v>1205676</v>
      </c>
      <c r="JG39" s="7">
        <f t="shared" si="30"/>
        <v>0</v>
      </c>
      <c r="JH39" s="7">
        <f t="shared" si="31"/>
        <v>660716</v>
      </c>
      <c r="JI39" s="7">
        <f t="shared" si="32"/>
        <v>0</v>
      </c>
      <c r="JJ39" s="7">
        <f t="shared" si="33"/>
        <v>0</v>
      </c>
      <c r="JK39" s="7">
        <f t="shared" si="34"/>
        <v>0</v>
      </c>
      <c r="JL39" s="7">
        <f t="shared" si="35"/>
        <v>613395</v>
      </c>
      <c r="JM39" s="7">
        <f t="shared" si="36"/>
        <v>0</v>
      </c>
      <c r="JN39" s="7">
        <f t="shared" si="37"/>
        <v>93575</v>
      </c>
      <c r="JO39" s="7">
        <f t="shared" si="38"/>
        <v>0</v>
      </c>
      <c r="JP39" s="7">
        <f t="shared" si="39"/>
        <v>124454</v>
      </c>
      <c r="JQ39" s="7">
        <f t="shared" si="40"/>
        <v>0</v>
      </c>
      <c r="JR39" s="7">
        <f t="shared" si="41"/>
        <v>736715</v>
      </c>
      <c r="JS39" s="7">
        <f t="shared" si="42"/>
        <v>0</v>
      </c>
      <c r="JT39" s="7">
        <f t="shared" si="43"/>
        <v>95881</v>
      </c>
      <c r="JU39" s="7">
        <f t="shared" si="44"/>
        <v>0</v>
      </c>
      <c r="JV39" s="7">
        <f t="shared" si="45"/>
        <v>620071</v>
      </c>
      <c r="JW39" s="7">
        <f t="shared" si="46"/>
        <v>0</v>
      </c>
      <c r="JX39" s="7">
        <f t="shared" si="47"/>
        <v>18652324</v>
      </c>
      <c r="JY39" s="7">
        <f t="shared" si="48"/>
        <v>0</v>
      </c>
      <c r="JZ39" s="7">
        <f t="shared" si="49"/>
        <v>0</v>
      </c>
      <c r="KA39" s="7">
        <f t="shared" si="50"/>
        <v>0</v>
      </c>
      <c r="KB39" s="7">
        <f t="shared" si="51"/>
        <v>18652324</v>
      </c>
      <c r="KC39" s="7">
        <f t="shared" si="52"/>
        <v>0</v>
      </c>
      <c r="KE39" s="7" t="e">
        <f t="shared" si="54"/>
        <v>#REF!</v>
      </c>
      <c r="KG39" s="5" t="e">
        <f t="shared" si="53"/>
        <v>#REF!</v>
      </c>
    </row>
    <row r="40" spans="1:293" x14ac:dyDescent="0.15">
      <c r="A40" s="119" t="s">
        <v>264</v>
      </c>
      <c r="B40" s="17" t="s">
        <v>344</v>
      </c>
      <c r="C40" s="38">
        <v>100663</v>
      </c>
      <c r="D40" s="38">
        <v>2013</v>
      </c>
      <c r="E40" s="38">
        <v>1</v>
      </c>
      <c r="F40" s="38">
        <v>8</v>
      </c>
      <c r="G40" s="42">
        <v>3561</v>
      </c>
      <c r="H40" s="42">
        <v>2697</v>
      </c>
      <c r="I40" s="43">
        <v>155721249</v>
      </c>
      <c r="J40" s="40">
        <v>153471261</v>
      </c>
      <c r="K40" s="43">
        <v>0</v>
      </c>
      <c r="L40" s="40">
        <v>17127</v>
      </c>
      <c r="M40" s="43">
        <v>1397759</v>
      </c>
      <c r="N40" s="40"/>
      <c r="O40" s="40">
        <v>0</v>
      </c>
      <c r="P40" s="40"/>
      <c r="Q40" s="43">
        <v>72262059</v>
      </c>
      <c r="R40" s="40"/>
      <c r="S40" s="43">
        <v>126353582</v>
      </c>
      <c r="T40" s="40">
        <v>126585159</v>
      </c>
      <c r="U40" s="43">
        <v>13952</v>
      </c>
      <c r="V40" s="43">
        <v>12711</v>
      </c>
      <c r="W40" s="43">
        <v>20621</v>
      </c>
      <c r="X40" s="43">
        <v>18222</v>
      </c>
      <c r="Y40" s="43">
        <v>17127</v>
      </c>
      <c r="Z40" s="43">
        <v>16389</v>
      </c>
      <c r="AA40" s="43">
        <v>26748</v>
      </c>
      <c r="AB40" s="40">
        <v>23514</v>
      </c>
      <c r="AC40" s="73">
        <v>7</v>
      </c>
      <c r="AD40" s="73">
        <v>9</v>
      </c>
      <c r="AE40" s="73">
        <v>0</v>
      </c>
      <c r="AF40" s="57">
        <v>2372954</v>
      </c>
      <c r="AG40" s="57">
        <v>1403548</v>
      </c>
      <c r="AH40" s="57">
        <v>228711</v>
      </c>
      <c r="AI40" s="57">
        <v>93795</v>
      </c>
      <c r="AJ40" s="62">
        <v>277187</v>
      </c>
      <c r="AK40" s="58">
        <v>4.5</v>
      </c>
      <c r="AL40" s="57">
        <v>249468</v>
      </c>
      <c r="AM40" s="58">
        <v>5</v>
      </c>
      <c r="AN40" s="57">
        <v>97163</v>
      </c>
      <c r="AO40" s="58">
        <v>6</v>
      </c>
      <c r="AP40" s="62">
        <v>83283</v>
      </c>
      <c r="AQ40" s="58">
        <v>7</v>
      </c>
      <c r="AR40" s="74">
        <v>109735</v>
      </c>
      <c r="AS40" s="63">
        <v>15.5</v>
      </c>
      <c r="AT40" s="62">
        <v>100053</v>
      </c>
      <c r="AU40" s="63">
        <v>17</v>
      </c>
      <c r="AV40" s="62">
        <v>41294</v>
      </c>
      <c r="AW40" s="63">
        <v>9.5</v>
      </c>
      <c r="AX40" s="62">
        <v>35663</v>
      </c>
      <c r="AY40" s="63">
        <v>11</v>
      </c>
      <c r="AZ40" s="87">
        <v>1766354</v>
      </c>
      <c r="BA40" s="87">
        <v>1775000</v>
      </c>
      <c r="BB40" s="87">
        <v>887469</v>
      </c>
      <c r="BC40" s="79">
        <v>82762</v>
      </c>
      <c r="BD40" s="79">
        <v>0</v>
      </c>
      <c r="BE40" s="79">
        <v>0</v>
      </c>
      <c r="BF40" s="79">
        <v>0</v>
      </c>
      <c r="BG40" s="79">
        <v>0</v>
      </c>
      <c r="BH40" s="79">
        <v>0</v>
      </c>
      <c r="BI40" s="79">
        <v>0</v>
      </c>
      <c r="BJ40" s="79">
        <v>0</v>
      </c>
      <c r="BK40" s="87">
        <v>0</v>
      </c>
      <c r="BL40" s="87">
        <v>0</v>
      </c>
      <c r="BM40" s="87">
        <v>0</v>
      </c>
      <c r="BN40" s="87">
        <v>0</v>
      </c>
      <c r="BO40" s="87">
        <v>0</v>
      </c>
      <c r="BP40" s="87">
        <v>0</v>
      </c>
      <c r="BQ40" s="87">
        <v>290</v>
      </c>
      <c r="BR40" s="87">
        <v>0</v>
      </c>
      <c r="BS40" s="87">
        <v>0</v>
      </c>
      <c r="BT40" s="87">
        <v>0</v>
      </c>
      <c r="BU40" s="87">
        <v>8620</v>
      </c>
      <c r="BV40" s="87">
        <v>8910</v>
      </c>
      <c r="BW40" s="87">
        <v>5971546</v>
      </c>
      <c r="BX40" s="87">
        <v>1809984</v>
      </c>
      <c r="BY40" s="87">
        <v>1427881</v>
      </c>
      <c r="BZ40" s="87">
        <v>4089443</v>
      </c>
      <c r="CA40" s="87">
        <v>5271639</v>
      </c>
      <c r="CB40" s="87">
        <v>18570493</v>
      </c>
      <c r="CC40" s="87">
        <v>1531405</v>
      </c>
      <c r="CD40" s="87">
        <v>284871</v>
      </c>
      <c r="CE40" s="87">
        <v>283030</v>
      </c>
      <c r="CF40" s="87">
        <v>1677196</v>
      </c>
      <c r="CG40" s="87">
        <v>268857</v>
      </c>
      <c r="CH40" s="87">
        <v>4045359</v>
      </c>
      <c r="CI40" s="87">
        <v>500000</v>
      </c>
      <c r="CJ40" s="87">
        <v>7500</v>
      </c>
      <c r="CK40" s="87">
        <v>12500</v>
      </c>
      <c r="CL40" s="87">
        <v>1464</v>
      </c>
      <c r="CM40" s="87">
        <v>0</v>
      </c>
      <c r="CN40" s="87">
        <v>521464</v>
      </c>
      <c r="CO40" s="87">
        <v>1817938</v>
      </c>
      <c r="CP40" s="87">
        <v>766386</v>
      </c>
      <c r="CQ40" s="87">
        <v>479997</v>
      </c>
      <c r="CR40" s="87">
        <v>859182</v>
      </c>
      <c r="CS40" s="87">
        <v>0</v>
      </c>
      <c r="CT40" s="87">
        <v>3923503</v>
      </c>
      <c r="CU40" s="87">
        <v>0</v>
      </c>
      <c r="CV40" s="87">
        <v>0</v>
      </c>
      <c r="CW40" s="87">
        <v>0</v>
      </c>
      <c r="CX40" s="87">
        <v>0</v>
      </c>
      <c r="CY40" s="87">
        <v>0</v>
      </c>
      <c r="CZ40" s="87">
        <v>0</v>
      </c>
      <c r="DA40" s="79">
        <v>204795</v>
      </c>
      <c r="DB40" s="79">
        <v>89984</v>
      </c>
      <c r="DC40" s="79">
        <v>86252</v>
      </c>
      <c r="DD40" s="79">
        <v>238</v>
      </c>
      <c r="DE40" s="79">
        <v>1150980</v>
      </c>
      <c r="DF40" s="79">
        <v>1532249</v>
      </c>
      <c r="DG40" s="79">
        <v>0</v>
      </c>
      <c r="DH40" s="79">
        <v>0</v>
      </c>
      <c r="DI40" s="79">
        <v>0</v>
      </c>
      <c r="DJ40" s="79">
        <v>0</v>
      </c>
      <c r="DK40" s="79">
        <v>0</v>
      </c>
      <c r="DL40" s="79">
        <v>0</v>
      </c>
      <c r="DM40" s="79">
        <v>0</v>
      </c>
      <c r="DN40" s="79">
        <v>0</v>
      </c>
      <c r="DO40" s="79">
        <v>0</v>
      </c>
      <c r="DP40" s="79">
        <v>0</v>
      </c>
      <c r="DQ40" s="79">
        <v>0</v>
      </c>
      <c r="DR40" s="79">
        <v>0</v>
      </c>
      <c r="DS40" s="79">
        <v>154951</v>
      </c>
      <c r="DT40" s="79">
        <v>42790</v>
      </c>
      <c r="DU40" s="79">
        <v>34409</v>
      </c>
      <c r="DV40" s="79">
        <v>90356</v>
      </c>
      <c r="DW40" s="79">
        <v>3307</v>
      </c>
      <c r="DX40" s="79">
        <v>325813</v>
      </c>
      <c r="DY40" s="79">
        <v>780176</v>
      </c>
      <c r="DZ40" s="79">
        <v>235507</v>
      </c>
      <c r="EA40" s="79">
        <v>231374</v>
      </c>
      <c r="EB40" s="79">
        <v>629307</v>
      </c>
      <c r="EC40" s="79">
        <v>59</v>
      </c>
      <c r="ED40" s="79">
        <v>1876423</v>
      </c>
      <c r="EE40" s="79">
        <v>667801</v>
      </c>
      <c r="EF40" s="79">
        <v>88066</v>
      </c>
      <c r="EG40" s="79">
        <v>50308</v>
      </c>
      <c r="EH40" s="79">
        <v>338398</v>
      </c>
      <c r="EI40" s="79">
        <v>731429</v>
      </c>
      <c r="EJ40" s="79">
        <v>1876002</v>
      </c>
      <c r="EK40" s="79">
        <v>77689</v>
      </c>
      <c r="EL40" s="79">
        <v>106925</v>
      </c>
      <c r="EM40" s="79">
        <v>72850</v>
      </c>
      <c r="EN40" s="79">
        <v>85205</v>
      </c>
      <c r="EO40" s="79">
        <v>87119</v>
      </c>
      <c r="EP40" s="79">
        <v>429788</v>
      </c>
      <c r="EQ40" s="79">
        <v>26785</v>
      </c>
      <c r="ER40" s="79">
        <v>2289</v>
      </c>
      <c r="ES40" s="79">
        <v>1880</v>
      </c>
      <c r="ET40" s="79">
        <v>11199</v>
      </c>
      <c r="EU40" s="79">
        <v>203442</v>
      </c>
      <c r="EV40" s="79">
        <v>245595</v>
      </c>
      <c r="EW40" s="79">
        <v>0</v>
      </c>
      <c r="EX40" s="79">
        <v>0</v>
      </c>
      <c r="EY40" s="79">
        <v>0</v>
      </c>
      <c r="EZ40" s="79">
        <v>0</v>
      </c>
      <c r="FA40" s="79">
        <v>0</v>
      </c>
      <c r="FB40" s="79">
        <v>0</v>
      </c>
      <c r="FC40" s="79">
        <v>58931</v>
      </c>
      <c r="FD40" s="79">
        <v>64165</v>
      </c>
      <c r="FE40" s="79">
        <v>63697</v>
      </c>
      <c r="FF40" s="79">
        <v>63814</v>
      </c>
      <c r="FG40" s="79">
        <v>343782</v>
      </c>
      <c r="FH40" s="79">
        <v>594389</v>
      </c>
      <c r="FI40" s="79">
        <v>0</v>
      </c>
      <c r="FJ40" s="79">
        <v>0</v>
      </c>
      <c r="FK40" s="79">
        <v>0</v>
      </c>
      <c r="FL40" s="79">
        <v>0</v>
      </c>
      <c r="FM40" s="79">
        <v>0</v>
      </c>
      <c r="FN40" s="79">
        <v>0</v>
      </c>
      <c r="FO40" s="79">
        <v>0</v>
      </c>
      <c r="FP40" s="79">
        <v>0</v>
      </c>
      <c r="FQ40" s="79">
        <v>0</v>
      </c>
      <c r="FR40" s="79">
        <v>0</v>
      </c>
      <c r="FS40" s="79">
        <v>1983975</v>
      </c>
      <c r="FT40" s="79">
        <v>1983975</v>
      </c>
      <c r="FU40" s="79">
        <v>0</v>
      </c>
      <c r="FV40" s="79">
        <v>0</v>
      </c>
      <c r="FW40" s="79">
        <v>0</v>
      </c>
      <c r="FX40" s="79">
        <v>0</v>
      </c>
      <c r="FY40" s="79">
        <v>332799</v>
      </c>
      <c r="FZ40" s="79">
        <v>332799</v>
      </c>
      <c r="GA40" s="79">
        <v>300</v>
      </c>
      <c r="GB40" s="79">
        <v>425</v>
      </c>
      <c r="GC40" s="79">
        <v>467</v>
      </c>
      <c r="GD40" s="79">
        <v>3226</v>
      </c>
      <c r="GE40" s="79">
        <v>411375</v>
      </c>
      <c r="GF40" s="79">
        <v>415793</v>
      </c>
      <c r="GG40" s="79">
        <v>15444</v>
      </c>
      <c r="GH40" s="79">
        <v>12529</v>
      </c>
      <c r="GI40" s="79">
        <v>14168</v>
      </c>
      <c r="GJ40" s="79">
        <v>42988</v>
      </c>
      <c r="GK40" s="79">
        <v>256105</v>
      </c>
      <c r="GL40" s="79">
        <v>341234</v>
      </c>
      <c r="GM40" s="79">
        <v>5836215</v>
      </c>
      <c r="GN40" s="79">
        <v>1701437</v>
      </c>
      <c r="GO40" s="79">
        <v>1330932</v>
      </c>
      <c r="GP40" s="79">
        <v>3802573</v>
      </c>
      <c r="GQ40" s="79">
        <v>5773229</v>
      </c>
      <c r="GR40" s="79">
        <v>18444386</v>
      </c>
      <c r="GS40" s="79">
        <v>0</v>
      </c>
      <c r="GT40" s="79">
        <v>0</v>
      </c>
      <c r="GU40" s="79">
        <v>0</v>
      </c>
      <c r="GV40" s="79">
        <v>0</v>
      </c>
      <c r="GW40" s="79">
        <v>0</v>
      </c>
      <c r="GX40" s="79">
        <v>0</v>
      </c>
      <c r="GY40" s="79">
        <v>5836215</v>
      </c>
      <c r="GZ40" s="79">
        <v>1701437</v>
      </c>
      <c r="HA40" s="79">
        <v>1330932</v>
      </c>
      <c r="HB40" s="79">
        <v>3802573</v>
      </c>
      <c r="HC40" s="79">
        <v>5773229</v>
      </c>
      <c r="HD40" s="79">
        <v>18444386</v>
      </c>
      <c r="HF40" s="7">
        <f>SUM(AZ40:AZ40)</f>
        <v>1766354</v>
      </c>
      <c r="HG40" s="7" t="e">
        <f>#REF!-HF40</f>
        <v>#REF!</v>
      </c>
      <c r="HH40" s="7" t="e">
        <f>SUM(#REF!)</f>
        <v>#REF!</v>
      </c>
      <c r="HI40" s="7" t="e">
        <f>#REF!-HH40</f>
        <v>#REF!</v>
      </c>
      <c r="HJ40" s="7">
        <f>SUM(BA40:BA40)</f>
        <v>1775000</v>
      </c>
      <c r="HK40" s="7" t="e">
        <f>#REF!-HJ40</f>
        <v>#REF!</v>
      </c>
      <c r="HL40" s="7">
        <f>SUM(BB40:BB40)</f>
        <v>887469</v>
      </c>
      <c r="HM40" s="7" t="e">
        <f>#REF!-HL40</f>
        <v>#REF!</v>
      </c>
      <c r="HN40" s="7" t="e">
        <f>SUM(#REF!)</f>
        <v>#REF!</v>
      </c>
      <c r="HO40" s="7" t="e">
        <f>#REF!-HN40</f>
        <v>#REF!</v>
      </c>
      <c r="HP40" s="7" t="e">
        <f>SUM(#REF!)</f>
        <v>#REF!</v>
      </c>
      <c r="HQ40" s="7" t="e">
        <f>#REF!-HP40</f>
        <v>#REF!</v>
      </c>
      <c r="HR40" s="7" t="e">
        <f>SUM(#REF!)</f>
        <v>#REF!</v>
      </c>
      <c r="HS40" s="7" t="e">
        <f>#REF!-HR40</f>
        <v>#REF!</v>
      </c>
      <c r="HT40" s="7" t="e">
        <f>SUM(#REF!)</f>
        <v>#REF!</v>
      </c>
      <c r="HU40" s="7" t="e">
        <f>#REF!-HT40</f>
        <v>#REF!</v>
      </c>
      <c r="HV40" s="7" t="e">
        <f>SUM(#REF!)</f>
        <v>#REF!</v>
      </c>
      <c r="HW40" s="7" t="e">
        <f>#REF!-HV40</f>
        <v>#REF!</v>
      </c>
      <c r="HX40" s="7" t="e">
        <f>SUM(#REF!)</f>
        <v>#REF!</v>
      </c>
      <c r="HY40" s="7" t="e">
        <f>#REF!-HX40</f>
        <v>#REF!</v>
      </c>
      <c r="HZ40" s="7">
        <f>SUM(BC40:BC40)</f>
        <v>82762</v>
      </c>
      <c r="IA40" s="7" t="e">
        <f>#REF!-HZ40</f>
        <v>#REF!</v>
      </c>
      <c r="IB40" s="7">
        <f>SUM(BD40:BD40)</f>
        <v>0</v>
      </c>
      <c r="IC40" s="7" t="e">
        <f>#REF!-IB40</f>
        <v>#REF!</v>
      </c>
      <c r="ID40" s="7">
        <f t="shared" si="1"/>
        <v>0</v>
      </c>
      <c r="IE40" s="7">
        <f t="shared" si="2"/>
        <v>0</v>
      </c>
      <c r="IF40" s="7">
        <f t="shared" si="3"/>
        <v>0</v>
      </c>
      <c r="IG40" s="7">
        <f t="shared" si="4"/>
        <v>0</v>
      </c>
      <c r="IH40" s="7">
        <f t="shared" si="5"/>
        <v>8910</v>
      </c>
      <c r="II40" s="7">
        <f t="shared" si="6"/>
        <v>0</v>
      </c>
      <c r="IJ40" s="7">
        <f t="shared" si="7"/>
        <v>18570493</v>
      </c>
      <c r="IK40" s="7">
        <f t="shared" si="8"/>
        <v>0</v>
      </c>
      <c r="IL40" s="7">
        <f t="shared" si="9"/>
        <v>4045359</v>
      </c>
      <c r="IM40" s="7">
        <f t="shared" si="10"/>
        <v>0</v>
      </c>
      <c r="IN40" s="7">
        <f t="shared" si="11"/>
        <v>521464</v>
      </c>
      <c r="IO40" s="7">
        <f t="shared" si="12"/>
        <v>0</v>
      </c>
      <c r="IP40" s="7">
        <f t="shared" si="13"/>
        <v>3923503</v>
      </c>
      <c r="IQ40" s="7">
        <f t="shared" si="14"/>
        <v>0</v>
      </c>
      <c r="IR40" s="7">
        <f t="shared" si="15"/>
        <v>0</v>
      </c>
      <c r="IS40" s="7">
        <f t="shared" si="16"/>
        <v>0</v>
      </c>
      <c r="IT40" s="7">
        <f t="shared" si="17"/>
        <v>1532249</v>
      </c>
      <c r="IU40" s="7">
        <f t="shared" si="18"/>
        <v>0</v>
      </c>
      <c r="IV40" s="7">
        <f t="shared" si="19"/>
        <v>0</v>
      </c>
      <c r="IW40" s="7">
        <f t="shared" si="20"/>
        <v>0</v>
      </c>
      <c r="IX40" s="7">
        <f t="shared" si="21"/>
        <v>0</v>
      </c>
      <c r="IY40" s="7">
        <f t="shared" si="22"/>
        <v>0</v>
      </c>
      <c r="IZ40" s="7">
        <f t="shared" si="23"/>
        <v>325813</v>
      </c>
      <c r="JA40" s="7">
        <f t="shared" si="24"/>
        <v>0</v>
      </c>
      <c r="JB40" s="7">
        <f t="shared" si="25"/>
        <v>1876423</v>
      </c>
      <c r="JC40" s="7">
        <f t="shared" si="26"/>
        <v>0</v>
      </c>
      <c r="JD40" s="7">
        <f t="shared" si="27"/>
        <v>1876002</v>
      </c>
      <c r="JE40" s="7">
        <f t="shared" si="28"/>
        <v>0</v>
      </c>
      <c r="JF40" s="7">
        <f t="shared" si="29"/>
        <v>429788</v>
      </c>
      <c r="JG40" s="7">
        <f t="shared" si="30"/>
        <v>0</v>
      </c>
      <c r="JH40" s="7">
        <f t="shared" si="31"/>
        <v>245595</v>
      </c>
      <c r="JI40" s="7">
        <f t="shared" si="32"/>
        <v>0</v>
      </c>
      <c r="JJ40" s="7">
        <f t="shared" si="33"/>
        <v>0</v>
      </c>
      <c r="JK40" s="7">
        <f t="shared" si="34"/>
        <v>0</v>
      </c>
      <c r="JL40" s="7">
        <f t="shared" si="35"/>
        <v>594389</v>
      </c>
      <c r="JM40" s="7">
        <f t="shared" si="36"/>
        <v>0</v>
      </c>
      <c r="JN40" s="7">
        <f t="shared" si="37"/>
        <v>0</v>
      </c>
      <c r="JO40" s="7">
        <f t="shared" si="38"/>
        <v>0</v>
      </c>
      <c r="JP40" s="7">
        <f t="shared" si="39"/>
        <v>1983975</v>
      </c>
      <c r="JQ40" s="7">
        <f t="shared" si="40"/>
        <v>0</v>
      </c>
      <c r="JR40" s="7">
        <f t="shared" si="41"/>
        <v>332799</v>
      </c>
      <c r="JS40" s="7">
        <f t="shared" si="42"/>
        <v>0</v>
      </c>
      <c r="JT40" s="7">
        <f t="shared" si="43"/>
        <v>415793</v>
      </c>
      <c r="JU40" s="7">
        <f t="shared" si="44"/>
        <v>0</v>
      </c>
      <c r="JV40" s="7">
        <f t="shared" si="45"/>
        <v>341234</v>
      </c>
      <c r="JW40" s="7">
        <f t="shared" si="46"/>
        <v>0</v>
      </c>
      <c r="JX40" s="7">
        <f t="shared" si="47"/>
        <v>18444386</v>
      </c>
      <c r="JY40" s="7">
        <f t="shared" si="48"/>
        <v>0</v>
      </c>
      <c r="JZ40" s="7">
        <f t="shared" si="49"/>
        <v>0</v>
      </c>
      <c r="KA40" s="7">
        <f t="shared" si="50"/>
        <v>0</v>
      </c>
      <c r="KB40" s="7">
        <f t="shared" si="51"/>
        <v>18444386</v>
      </c>
      <c r="KC40" s="7">
        <f t="shared" si="52"/>
        <v>0</v>
      </c>
      <c r="KE40" s="7" t="e">
        <f t="shared" si="54"/>
        <v>#REF!</v>
      </c>
      <c r="KG40" s="5" t="e">
        <f t="shared" si="53"/>
        <v>#REF!</v>
      </c>
    </row>
    <row r="41" spans="1:293" x14ac:dyDescent="0.15">
      <c r="A41" s="119" t="s">
        <v>265</v>
      </c>
      <c r="B41" s="17" t="s">
        <v>403</v>
      </c>
      <c r="C41" s="38">
        <v>157289</v>
      </c>
      <c r="D41" s="38">
        <v>2013</v>
      </c>
      <c r="E41" s="38">
        <v>1</v>
      </c>
      <c r="F41" s="38">
        <v>6</v>
      </c>
      <c r="G41" s="39">
        <v>7702</v>
      </c>
      <c r="H41" s="39">
        <v>8191</v>
      </c>
      <c r="I41" s="40">
        <v>8520050000</v>
      </c>
      <c r="J41" s="40"/>
      <c r="K41" s="40">
        <v>11389377</v>
      </c>
      <c r="L41" s="40"/>
      <c r="M41" s="40">
        <v>36116860</v>
      </c>
      <c r="N41" s="40"/>
      <c r="O41" s="40">
        <v>97789948</v>
      </c>
      <c r="P41" s="40"/>
      <c r="Q41" s="40">
        <v>291472994</v>
      </c>
      <c r="R41" s="40"/>
      <c r="S41" s="40">
        <v>652927000</v>
      </c>
      <c r="T41" s="40"/>
      <c r="U41" s="40">
        <v>19766</v>
      </c>
      <c r="V41" s="40"/>
      <c r="W41" s="40">
        <v>33250</v>
      </c>
      <c r="X41" s="40"/>
      <c r="Y41" s="40">
        <v>22528</v>
      </c>
      <c r="Z41" s="40"/>
      <c r="AA41" s="40">
        <v>34020</v>
      </c>
      <c r="AB41" s="40"/>
      <c r="AC41" s="56">
        <v>10</v>
      </c>
      <c r="AD41" s="56">
        <v>13</v>
      </c>
      <c r="AE41" s="56">
        <v>0</v>
      </c>
      <c r="AF41" s="57">
        <v>4993393</v>
      </c>
      <c r="AG41" s="57">
        <v>4522912</v>
      </c>
      <c r="AH41" s="57">
        <v>904570</v>
      </c>
      <c r="AI41" s="57">
        <v>430108</v>
      </c>
      <c r="AJ41" s="57">
        <v>1188266.57</v>
      </c>
      <c r="AK41" s="58">
        <v>7</v>
      </c>
      <c r="AL41" s="57">
        <v>1039733.25</v>
      </c>
      <c r="AM41" s="58">
        <v>8</v>
      </c>
      <c r="AN41" s="57">
        <v>230386.5</v>
      </c>
      <c r="AO41" s="58">
        <v>10</v>
      </c>
      <c r="AP41" s="57">
        <v>209442.27</v>
      </c>
      <c r="AQ41" s="58">
        <v>11</v>
      </c>
      <c r="AR41" s="57">
        <v>263912.27</v>
      </c>
      <c r="AS41" s="58">
        <v>22</v>
      </c>
      <c r="AT41" s="57">
        <v>223310.38</v>
      </c>
      <c r="AU41" s="58">
        <v>26</v>
      </c>
      <c r="AV41" s="57">
        <v>89754.240000000005</v>
      </c>
      <c r="AW41" s="58">
        <v>21</v>
      </c>
      <c r="AX41" s="57">
        <v>75393.56</v>
      </c>
      <c r="AY41" s="58">
        <v>25</v>
      </c>
      <c r="AZ41" s="79">
        <v>13578185</v>
      </c>
      <c r="BA41" s="79">
        <v>1075000</v>
      </c>
      <c r="BB41" s="79">
        <v>5379167</v>
      </c>
      <c r="BC41" s="79">
        <v>1511760</v>
      </c>
      <c r="BD41" s="79">
        <v>0</v>
      </c>
      <c r="BE41" s="79">
        <v>0</v>
      </c>
      <c r="BF41" s="79">
        <v>0</v>
      </c>
      <c r="BG41" s="79">
        <v>0</v>
      </c>
      <c r="BH41" s="79">
        <v>0</v>
      </c>
      <c r="BI41" s="79">
        <v>0</v>
      </c>
      <c r="BJ41" s="79">
        <v>0</v>
      </c>
      <c r="BK41" s="79">
        <v>0</v>
      </c>
      <c r="BL41" s="79">
        <v>0</v>
      </c>
      <c r="BM41" s="79">
        <v>0</v>
      </c>
      <c r="BN41" s="79">
        <v>0</v>
      </c>
      <c r="BO41" s="79">
        <v>2178361</v>
      </c>
      <c r="BP41" s="79">
        <v>2178361</v>
      </c>
      <c r="BQ41" s="79">
        <v>84600</v>
      </c>
      <c r="BR41" s="79">
        <v>2033212</v>
      </c>
      <c r="BS41" s="79">
        <v>0</v>
      </c>
      <c r="BT41" s="79">
        <v>22699</v>
      </c>
      <c r="BU41" s="79">
        <v>1372778</v>
      </c>
      <c r="BV41" s="79">
        <v>3513289</v>
      </c>
      <c r="BW41" s="79">
        <v>28069712</v>
      </c>
      <c r="BX41" s="79">
        <v>42398758</v>
      </c>
      <c r="BY41" s="79">
        <v>1485327</v>
      </c>
      <c r="BZ41" s="79">
        <v>1751329</v>
      </c>
      <c r="CA41" s="79">
        <v>22488204</v>
      </c>
      <c r="CB41" s="79">
        <v>96193330</v>
      </c>
      <c r="CC41" s="79">
        <v>2723752</v>
      </c>
      <c r="CD41" s="79">
        <v>431599</v>
      </c>
      <c r="CE41" s="79">
        <v>474895</v>
      </c>
      <c r="CF41" s="79">
        <v>5886059</v>
      </c>
      <c r="CG41" s="79">
        <v>596646</v>
      </c>
      <c r="CH41" s="79">
        <v>10112951</v>
      </c>
      <c r="CI41" s="79">
        <v>1700000</v>
      </c>
      <c r="CJ41" s="79">
        <v>625000</v>
      </c>
      <c r="CK41" s="79">
        <v>58700</v>
      </c>
      <c r="CL41" s="79">
        <v>18250</v>
      </c>
      <c r="CM41" s="79">
        <v>0</v>
      </c>
      <c r="CN41" s="79">
        <v>2401950</v>
      </c>
      <c r="CO41" s="79">
        <v>6838337</v>
      </c>
      <c r="CP41" s="79">
        <v>4730305</v>
      </c>
      <c r="CQ41" s="79">
        <v>1411907</v>
      </c>
      <c r="CR41" s="79">
        <v>5332091</v>
      </c>
      <c r="CS41" s="79">
        <v>0</v>
      </c>
      <c r="CT41" s="79">
        <v>18312640</v>
      </c>
      <c r="CU41" s="79">
        <v>0</v>
      </c>
      <c r="CV41" s="79">
        <v>0</v>
      </c>
      <c r="CW41" s="79">
        <v>0</v>
      </c>
      <c r="CX41" s="79">
        <v>0</v>
      </c>
      <c r="CY41" s="79">
        <v>0</v>
      </c>
      <c r="CZ41" s="79">
        <v>0</v>
      </c>
      <c r="DA41" s="79">
        <v>1746931</v>
      </c>
      <c r="DB41" s="79">
        <v>589619</v>
      </c>
      <c r="DC41" s="79">
        <v>207442</v>
      </c>
      <c r="DD41" s="79">
        <v>488866</v>
      </c>
      <c r="DE41" s="79">
        <v>11771367</v>
      </c>
      <c r="DF41" s="79">
        <v>14804225</v>
      </c>
      <c r="DG41" s="79">
        <v>0</v>
      </c>
      <c r="DH41" s="79">
        <v>0</v>
      </c>
      <c r="DI41" s="79">
        <v>0</v>
      </c>
      <c r="DJ41" s="79">
        <v>0</v>
      </c>
      <c r="DK41" s="79">
        <v>0</v>
      </c>
      <c r="DL41" s="79">
        <v>0</v>
      </c>
      <c r="DM41" s="79">
        <v>149648</v>
      </c>
      <c r="DN41" s="79">
        <v>0</v>
      </c>
      <c r="DO41" s="79">
        <v>0</v>
      </c>
      <c r="DP41" s="79">
        <v>0</v>
      </c>
      <c r="DQ41" s="79">
        <v>0</v>
      </c>
      <c r="DR41" s="79">
        <v>149648</v>
      </c>
      <c r="DS41" s="79">
        <v>208778</v>
      </c>
      <c r="DT41" s="79">
        <v>542299</v>
      </c>
      <c r="DU41" s="79">
        <v>113529</v>
      </c>
      <c r="DV41" s="79">
        <v>470072</v>
      </c>
      <c r="DW41" s="79">
        <v>0</v>
      </c>
      <c r="DX41" s="79">
        <v>1334678</v>
      </c>
      <c r="DY41" s="79">
        <v>1774027</v>
      </c>
      <c r="DZ41" s="79">
        <v>1307325</v>
      </c>
      <c r="EA41" s="79">
        <v>599945</v>
      </c>
      <c r="EB41" s="79">
        <v>2362106</v>
      </c>
      <c r="EC41" s="79">
        <v>0</v>
      </c>
      <c r="ED41" s="79">
        <v>6043403</v>
      </c>
      <c r="EE41" s="79">
        <v>587602</v>
      </c>
      <c r="EF41" s="79">
        <v>214079</v>
      </c>
      <c r="EG41" s="79">
        <v>39741</v>
      </c>
      <c r="EH41" s="79">
        <v>576842</v>
      </c>
      <c r="EI41" s="79">
        <v>797461</v>
      </c>
      <c r="EJ41" s="79">
        <v>2215725</v>
      </c>
      <c r="EK41" s="79">
        <v>2129181</v>
      </c>
      <c r="EL41" s="79">
        <v>470925</v>
      </c>
      <c r="EM41" s="79">
        <v>421965</v>
      </c>
      <c r="EN41" s="79">
        <v>1091363</v>
      </c>
      <c r="EO41" s="79">
        <v>16401</v>
      </c>
      <c r="EP41" s="79">
        <v>4129835</v>
      </c>
      <c r="EQ41" s="79">
        <v>52192</v>
      </c>
      <c r="ER41" s="79">
        <v>31265</v>
      </c>
      <c r="ES41" s="79">
        <v>11397</v>
      </c>
      <c r="ET41" s="79">
        <v>44607</v>
      </c>
      <c r="EU41" s="79">
        <v>384302</v>
      </c>
      <c r="EV41" s="79">
        <v>523763</v>
      </c>
      <c r="EW41" s="79">
        <v>0</v>
      </c>
      <c r="EX41" s="79">
        <v>0</v>
      </c>
      <c r="EY41" s="79">
        <v>0</v>
      </c>
      <c r="EZ41" s="79">
        <v>0</v>
      </c>
      <c r="FA41" s="79">
        <v>0</v>
      </c>
      <c r="FB41" s="79">
        <v>0</v>
      </c>
      <c r="FC41" s="79">
        <v>77811</v>
      </c>
      <c r="FD41" s="79">
        <v>4082927</v>
      </c>
      <c r="FE41" s="79">
        <v>25306</v>
      </c>
      <c r="FF41" s="79">
        <v>201035</v>
      </c>
      <c r="FG41" s="79">
        <v>4245340</v>
      </c>
      <c r="FH41" s="79">
        <v>8632419</v>
      </c>
      <c r="FI41" s="79">
        <v>0</v>
      </c>
      <c r="FJ41" s="79">
        <v>0</v>
      </c>
      <c r="FK41" s="79">
        <v>0</v>
      </c>
      <c r="FL41" s="79">
        <v>0</v>
      </c>
      <c r="FM41" s="79">
        <v>201475</v>
      </c>
      <c r="FN41" s="79">
        <v>201475</v>
      </c>
      <c r="FO41" s="79">
        <v>0</v>
      </c>
      <c r="FP41" s="79">
        <v>0</v>
      </c>
      <c r="FQ41" s="79">
        <v>0</v>
      </c>
      <c r="FR41" s="79">
        <v>0</v>
      </c>
      <c r="FS41" s="79">
        <v>6875566</v>
      </c>
      <c r="FT41" s="79">
        <v>6875566</v>
      </c>
      <c r="FU41" s="79">
        <v>277580</v>
      </c>
      <c r="FV41" s="79">
        <v>43819</v>
      </c>
      <c r="FW41" s="79">
        <v>31636</v>
      </c>
      <c r="FX41" s="79">
        <v>377024</v>
      </c>
      <c r="FY41" s="79">
        <v>0</v>
      </c>
      <c r="FZ41" s="79">
        <v>730059</v>
      </c>
      <c r="GA41" s="79">
        <v>11131</v>
      </c>
      <c r="GB41" s="79">
        <v>55</v>
      </c>
      <c r="GC41" s="79">
        <v>5432</v>
      </c>
      <c r="GD41" s="79">
        <v>33824</v>
      </c>
      <c r="GE41" s="79">
        <v>57635</v>
      </c>
      <c r="GF41" s="79">
        <v>108077</v>
      </c>
      <c r="GG41" s="79">
        <v>4909567</v>
      </c>
      <c r="GH41" s="79">
        <v>2584389</v>
      </c>
      <c r="GI41" s="79">
        <v>459822</v>
      </c>
      <c r="GJ41" s="79">
        <v>1918513</v>
      </c>
      <c r="GK41" s="79">
        <v>5934516</v>
      </c>
      <c r="GL41" s="79">
        <v>15806807</v>
      </c>
      <c r="GM41" s="79">
        <v>23186537</v>
      </c>
      <c r="GN41" s="79">
        <v>15653606</v>
      </c>
      <c r="GO41" s="79">
        <v>3861717</v>
      </c>
      <c r="GP41" s="79">
        <v>18800652</v>
      </c>
      <c r="GQ41" s="79">
        <v>30880709</v>
      </c>
      <c r="GR41" s="79">
        <v>92383221</v>
      </c>
      <c r="GS41" s="79">
        <v>0</v>
      </c>
      <c r="GT41" s="79">
        <v>0</v>
      </c>
      <c r="GU41" s="79">
        <v>0</v>
      </c>
      <c r="GV41" s="79">
        <v>0</v>
      </c>
      <c r="GW41" s="79">
        <v>2000000</v>
      </c>
      <c r="GX41" s="79">
        <v>2000000</v>
      </c>
      <c r="GY41" s="79">
        <v>23186537</v>
      </c>
      <c r="GZ41" s="79">
        <v>15653606</v>
      </c>
      <c r="HA41" s="79">
        <v>3861717</v>
      </c>
      <c r="HB41" s="79">
        <v>18800652</v>
      </c>
      <c r="HC41" s="79">
        <v>32880709</v>
      </c>
      <c r="HD41" s="79">
        <v>94383221</v>
      </c>
      <c r="HF41" s="7">
        <f>SUM(AZ41:AZ41)</f>
        <v>13578185</v>
      </c>
      <c r="HG41" s="7" t="e">
        <f>#REF!-HF41</f>
        <v>#REF!</v>
      </c>
      <c r="HH41" s="7" t="e">
        <f>SUM(#REF!)</f>
        <v>#REF!</v>
      </c>
      <c r="HI41" s="7" t="e">
        <f>#REF!-HH41</f>
        <v>#REF!</v>
      </c>
      <c r="HJ41" s="7">
        <f>SUM(BA41:BA41)</f>
        <v>1075000</v>
      </c>
      <c r="HK41" s="7" t="e">
        <f>#REF!-HJ41</f>
        <v>#REF!</v>
      </c>
      <c r="HL41" s="7">
        <f>SUM(BB41:BB41)</f>
        <v>5379167</v>
      </c>
      <c r="HM41" s="7" t="e">
        <f>#REF!-HL41</f>
        <v>#REF!</v>
      </c>
      <c r="HN41" s="7" t="e">
        <f>SUM(#REF!)</f>
        <v>#REF!</v>
      </c>
      <c r="HO41" s="7" t="e">
        <f>#REF!-HN41</f>
        <v>#REF!</v>
      </c>
      <c r="HP41" s="7" t="e">
        <f>SUM(#REF!)</f>
        <v>#REF!</v>
      </c>
      <c r="HQ41" s="7" t="e">
        <f>#REF!-HP41</f>
        <v>#REF!</v>
      </c>
      <c r="HR41" s="7" t="e">
        <f>SUM(#REF!)</f>
        <v>#REF!</v>
      </c>
      <c r="HS41" s="7" t="e">
        <f>#REF!-HR41</f>
        <v>#REF!</v>
      </c>
      <c r="HT41" s="7" t="e">
        <f>SUM(#REF!)</f>
        <v>#REF!</v>
      </c>
      <c r="HU41" s="7" t="e">
        <f>#REF!-HT41</f>
        <v>#REF!</v>
      </c>
      <c r="HV41" s="7" t="e">
        <f>SUM(#REF!)</f>
        <v>#REF!</v>
      </c>
      <c r="HW41" s="7" t="e">
        <f>#REF!-HV41</f>
        <v>#REF!</v>
      </c>
      <c r="HX41" s="7" t="e">
        <f>SUM(#REF!)</f>
        <v>#REF!</v>
      </c>
      <c r="HY41" s="7" t="e">
        <f>#REF!-HX41</f>
        <v>#REF!</v>
      </c>
      <c r="HZ41" s="7">
        <f>SUM(BC41:BC41)</f>
        <v>1511760</v>
      </c>
      <c r="IA41" s="7" t="e">
        <f>#REF!-HZ41</f>
        <v>#REF!</v>
      </c>
      <c r="IB41" s="7">
        <f>SUM(BD41:BD41)</f>
        <v>0</v>
      </c>
      <c r="IC41" s="7" t="e">
        <f>#REF!-IB41</f>
        <v>#REF!</v>
      </c>
      <c r="ID41" s="7">
        <f t="shared" si="1"/>
        <v>0</v>
      </c>
      <c r="IE41" s="7">
        <f t="shared" si="2"/>
        <v>0</v>
      </c>
      <c r="IF41" s="7">
        <f t="shared" si="3"/>
        <v>2178361</v>
      </c>
      <c r="IG41" s="7">
        <f t="shared" si="4"/>
        <v>0</v>
      </c>
      <c r="IH41" s="7">
        <f t="shared" si="5"/>
        <v>3513289</v>
      </c>
      <c r="II41" s="7">
        <f t="shared" si="6"/>
        <v>0</v>
      </c>
      <c r="IJ41" s="7">
        <f t="shared" si="7"/>
        <v>96193330</v>
      </c>
      <c r="IK41" s="7">
        <f t="shared" si="8"/>
        <v>0</v>
      </c>
      <c r="IL41" s="7">
        <f t="shared" si="9"/>
        <v>10112951</v>
      </c>
      <c r="IM41" s="7">
        <f t="shared" si="10"/>
        <v>0</v>
      </c>
      <c r="IN41" s="7">
        <f t="shared" si="11"/>
        <v>2401950</v>
      </c>
      <c r="IO41" s="7">
        <f t="shared" si="12"/>
        <v>0</v>
      </c>
      <c r="IP41" s="7">
        <f t="shared" si="13"/>
        <v>18312640</v>
      </c>
      <c r="IQ41" s="7">
        <f t="shared" si="14"/>
        <v>0</v>
      </c>
      <c r="IR41" s="7">
        <f t="shared" si="15"/>
        <v>0</v>
      </c>
      <c r="IS41" s="7">
        <f t="shared" si="16"/>
        <v>0</v>
      </c>
      <c r="IT41" s="7">
        <f t="shared" si="17"/>
        <v>14804225</v>
      </c>
      <c r="IU41" s="7">
        <f t="shared" si="18"/>
        <v>0</v>
      </c>
      <c r="IV41" s="7">
        <f t="shared" si="19"/>
        <v>0</v>
      </c>
      <c r="IW41" s="7">
        <f t="shared" si="20"/>
        <v>0</v>
      </c>
      <c r="IX41" s="7">
        <f t="shared" si="21"/>
        <v>149648</v>
      </c>
      <c r="IY41" s="7">
        <f t="shared" si="22"/>
        <v>0</v>
      </c>
      <c r="IZ41" s="7">
        <f t="shared" si="23"/>
        <v>1334678</v>
      </c>
      <c r="JA41" s="7">
        <f t="shared" si="24"/>
        <v>0</v>
      </c>
      <c r="JB41" s="7">
        <f t="shared" si="25"/>
        <v>6043403</v>
      </c>
      <c r="JC41" s="7">
        <f t="shared" si="26"/>
        <v>0</v>
      </c>
      <c r="JD41" s="7">
        <f t="shared" si="27"/>
        <v>2215725</v>
      </c>
      <c r="JE41" s="7">
        <f t="shared" si="28"/>
        <v>0</v>
      </c>
      <c r="JF41" s="7">
        <f t="shared" si="29"/>
        <v>4129835</v>
      </c>
      <c r="JG41" s="7">
        <f t="shared" si="30"/>
        <v>0</v>
      </c>
      <c r="JH41" s="7">
        <f t="shared" si="31"/>
        <v>523763</v>
      </c>
      <c r="JI41" s="7">
        <f t="shared" si="32"/>
        <v>0</v>
      </c>
      <c r="JJ41" s="7">
        <f t="shared" si="33"/>
        <v>0</v>
      </c>
      <c r="JK41" s="7">
        <f t="shared" si="34"/>
        <v>0</v>
      </c>
      <c r="JL41" s="7">
        <f t="shared" si="35"/>
        <v>8632419</v>
      </c>
      <c r="JM41" s="7">
        <f t="shared" si="36"/>
        <v>0</v>
      </c>
      <c r="JN41" s="7">
        <f t="shared" si="37"/>
        <v>201475</v>
      </c>
      <c r="JO41" s="7">
        <f t="shared" si="38"/>
        <v>0</v>
      </c>
      <c r="JP41" s="7">
        <f t="shared" si="39"/>
        <v>6875566</v>
      </c>
      <c r="JQ41" s="7">
        <f t="shared" si="40"/>
        <v>0</v>
      </c>
      <c r="JR41" s="7">
        <f t="shared" si="41"/>
        <v>730059</v>
      </c>
      <c r="JS41" s="7">
        <f t="shared" si="42"/>
        <v>0</v>
      </c>
      <c r="JT41" s="7">
        <f t="shared" si="43"/>
        <v>108077</v>
      </c>
      <c r="JU41" s="7">
        <f t="shared" si="44"/>
        <v>0</v>
      </c>
      <c r="JV41" s="7">
        <f t="shared" si="45"/>
        <v>15806807</v>
      </c>
      <c r="JW41" s="7">
        <f t="shared" si="46"/>
        <v>0</v>
      </c>
      <c r="JX41" s="7">
        <f t="shared" si="47"/>
        <v>92383221</v>
      </c>
      <c r="JY41" s="7">
        <f t="shared" si="48"/>
        <v>0</v>
      </c>
      <c r="JZ41" s="7">
        <f t="shared" si="49"/>
        <v>2000000</v>
      </c>
      <c r="KA41" s="7">
        <f t="shared" si="50"/>
        <v>0</v>
      </c>
      <c r="KB41" s="7">
        <f t="shared" si="51"/>
        <v>94383221</v>
      </c>
      <c r="KC41" s="7">
        <f t="shared" si="52"/>
        <v>0</v>
      </c>
      <c r="KE41" s="7" t="e">
        <f t="shared" si="54"/>
        <v>#REF!</v>
      </c>
      <c r="KG41" s="5" t="e">
        <f t="shared" si="53"/>
        <v>#REF!</v>
      </c>
    </row>
    <row r="42" spans="1:293" x14ac:dyDescent="0.15">
      <c r="A42" s="119" t="s">
        <v>373</v>
      </c>
      <c r="B42" s="17" t="s">
        <v>344</v>
      </c>
      <c r="C42" s="38">
        <v>176372</v>
      </c>
      <c r="D42" s="38">
        <v>2013</v>
      </c>
      <c r="E42" s="38">
        <v>1</v>
      </c>
      <c r="F42" s="38">
        <v>5</v>
      </c>
      <c r="G42" s="39">
        <v>11043</v>
      </c>
      <c r="H42" s="39">
        <v>11524</v>
      </c>
      <c r="I42" s="40">
        <v>788806157</v>
      </c>
      <c r="J42" s="40"/>
      <c r="K42" s="40">
        <v>13479926</v>
      </c>
      <c r="L42" s="40"/>
      <c r="M42" s="40">
        <v>33875753</v>
      </c>
      <c r="N42" s="40"/>
      <c r="O42" s="40">
        <v>197214131</v>
      </c>
      <c r="P42" s="40"/>
      <c r="Q42" s="40">
        <v>459450000</v>
      </c>
      <c r="R42" s="40"/>
      <c r="S42" s="40">
        <v>644086523</v>
      </c>
      <c r="T42" s="40"/>
      <c r="U42" s="40">
        <v>20798</v>
      </c>
      <c r="V42" s="40"/>
      <c r="W42" s="40">
        <v>33802</v>
      </c>
      <c r="X42" s="40"/>
      <c r="Y42" s="40">
        <v>24849</v>
      </c>
      <c r="Z42" s="40"/>
      <c r="AA42" s="40">
        <v>40118</v>
      </c>
      <c r="AB42" s="40"/>
      <c r="AC42" s="59">
        <v>9</v>
      </c>
      <c r="AD42" s="59">
        <v>11</v>
      </c>
      <c r="AE42" s="59">
        <v>0</v>
      </c>
      <c r="AF42" s="57">
        <v>5711588</v>
      </c>
      <c r="AG42" s="57">
        <v>4404493</v>
      </c>
      <c r="AH42" s="57">
        <v>931843</v>
      </c>
      <c r="AI42" s="57">
        <v>396903</v>
      </c>
      <c r="AJ42" s="57">
        <v>1055844.77</v>
      </c>
      <c r="AK42" s="58">
        <v>6.5</v>
      </c>
      <c r="AL42" s="57">
        <v>857873.88</v>
      </c>
      <c r="AM42" s="58">
        <v>8</v>
      </c>
      <c r="AN42" s="57">
        <v>293300.59000000003</v>
      </c>
      <c r="AO42" s="58">
        <v>8.5</v>
      </c>
      <c r="AP42" s="57">
        <v>249305.5</v>
      </c>
      <c r="AQ42" s="58">
        <v>10</v>
      </c>
      <c r="AR42" s="57">
        <v>378527.85</v>
      </c>
      <c r="AS42" s="58">
        <v>20</v>
      </c>
      <c r="AT42" s="57">
        <v>315439.88</v>
      </c>
      <c r="AU42" s="58">
        <v>24</v>
      </c>
      <c r="AV42" s="57">
        <v>107932.94</v>
      </c>
      <c r="AW42" s="58">
        <v>17</v>
      </c>
      <c r="AX42" s="57">
        <v>87374.29</v>
      </c>
      <c r="AY42" s="58">
        <v>21</v>
      </c>
      <c r="AZ42" s="79">
        <v>33171661</v>
      </c>
      <c r="BA42" s="79">
        <v>0</v>
      </c>
      <c r="BB42" s="79">
        <v>21786240</v>
      </c>
      <c r="BC42" s="79">
        <v>2768620</v>
      </c>
      <c r="BD42" s="79">
        <v>0</v>
      </c>
      <c r="BE42" s="79">
        <v>0</v>
      </c>
      <c r="BF42" s="79">
        <v>0</v>
      </c>
      <c r="BG42" s="79">
        <v>0</v>
      </c>
      <c r="BH42" s="79">
        <v>0</v>
      </c>
      <c r="BI42" s="79">
        <v>0</v>
      </c>
      <c r="BJ42" s="79">
        <v>0</v>
      </c>
      <c r="BK42" s="79">
        <v>0</v>
      </c>
      <c r="BL42" s="79">
        <v>0</v>
      </c>
      <c r="BM42" s="79">
        <v>0</v>
      </c>
      <c r="BN42" s="79">
        <v>0</v>
      </c>
      <c r="BO42" s="79">
        <v>1251129</v>
      </c>
      <c r="BP42" s="79">
        <v>1251129</v>
      </c>
      <c r="BQ42" s="79">
        <v>0</v>
      </c>
      <c r="BR42" s="79">
        <v>0</v>
      </c>
      <c r="BS42" s="79">
        <v>0</v>
      </c>
      <c r="BT42" s="79">
        <v>0</v>
      </c>
      <c r="BU42" s="79">
        <v>1532888</v>
      </c>
      <c r="BV42" s="79">
        <v>1532888</v>
      </c>
      <c r="BW42" s="79">
        <v>74275838</v>
      </c>
      <c r="BX42" s="79">
        <v>7846341</v>
      </c>
      <c r="BY42" s="79">
        <v>434457</v>
      </c>
      <c r="BZ42" s="79">
        <v>7986473</v>
      </c>
      <c r="CA42" s="79">
        <v>26914289</v>
      </c>
      <c r="CB42" s="79">
        <v>117457398</v>
      </c>
      <c r="CC42" s="79">
        <v>3080962</v>
      </c>
      <c r="CD42" s="79">
        <v>487781</v>
      </c>
      <c r="CE42" s="79">
        <v>481497</v>
      </c>
      <c r="CF42" s="79">
        <v>6065841</v>
      </c>
      <c r="CG42" s="79">
        <v>1180441</v>
      </c>
      <c r="CH42" s="79">
        <v>11296522</v>
      </c>
      <c r="CI42" s="79">
        <v>2885000</v>
      </c>
      <c r="CJ42" s="79">
        <v>547000</v>
      </c>
      <c r="CK42" s="79">
        <v>39116</v>
      </c>
      <c r="CL42" s="79">
        <v>116430</v>
      </c>
      <c r="CM42" s="79">
        <v>0</v>
      </c>
      <c r="CN42" s="79">
        <v>3587546</v>
      </c>
      <c r="CO42" s="79">
        <v>9540631</v>
      </c>
      <c r="CP42" s="79">
        <v>2112239</v>
      </c>
      <c r="CQ42" s="79">
        <v>1548392</v>
      </c>
      <c r="CR42" s="79">
        <v>5560201</v>
      </c>
      <c r="CS42" s="79">
        <v>0</v>
      </c>
      <c r="CT42" s="79">
        <v>18761463</v>
      </c>
      <c r="CU42" s="79">
        <v>621845</v>
      </c>
      <c r="CV42" s="79">
        <v>264750</v>
      </c>
      <c r="CW42" s="79">
        <v>0</v>
      </c>
      <c r="CX42" s="79">
        <v>40899</v>
      </c>
      <c r="CY42" s="79">
        <v>0</v>
      </c>
      <c r="CZ42" s="79">
        <v>927494</v>
      </c>
      <c r="DA42" s="79">
        <v>1506694</v>
      </c>
      <c r="DB42" s="79">
        <v>219928</v>
      </c>
      <c r="DC42" s="79">
        <v>246164</v>
      </c>
      <c r="DD42" s="79">
        <v>465014</v>
      </c>
      <c r="DE42" s="79">
        <v>13271034</v>
      </c>
      <c r="DF42" s="79">
        <v>15708834</v>
      </c>
      <c r="DG42" s="79">
        <v>14050</v>
      </c>
      <c r="DH42" s="79">
        <v>0</v>
      </c>
      <c r="DI42" s="79">
        <v>0</v>
      </c>
      <c r="DJ42" s="79">
        <v>0</v>
      </c>
      <c r="DK42" s="79">
        <v>164061</v>
      </c>
      <c r="DL42" s="79">
        <v>178111</v>
      </c>
      <c r="DM42" s="79">
        <v>8398</v>
      </c>
      <c r="DN42" s="79">
        <v>16962</v>
      </c>
      <c r="DO42" s="79">
        <v>8846</v>
      </c>
      <c r="DP42" s="79">
        <v>31764</v>
      </c>
      <c r="DQ42" s="79">
        <v>24298</v>
      </c>
      <c r="DR42" s="79">
        <v>90268</v>
      </c>
      <c r="DS42" s="79">
        <v>577442</v>
      </c>
      <c r="DT42" s="79">
        <v>134496</v>
      </c>
      <c r="DU42" s="79">
        <v>135971</v>
      </c>
      <c r="DV42" s="79">
        <v>480837</v>
      </c>
      <c r="DW42" s="79">
        <v>17274</v>
      </c>
      <c r="DX42" s="79">
        <v>1346020</v>
      </c>
      <c r="DY42" s="79">
        <v>1036267</v>
      </c>
      <c r="DZ42" s="79">
        <v>587113</v>
      </c>
      <c r="EA42" s="79">
        <v>579332</v>
      </c>
      <c r="EB42" s="79">
        <v>2645930</v>
      </c>
      <c r="EC42" s="79">
        <v>31375</v>
      </c>
      <c r="ED42" s="79">
        <v>4880017</v>
      </c>
      <c r="EE42" s="79">
        <v>1133395</v>
      </c>
      <c r="EF42" s="79">
        <v>95366</v>
      </c>
      <c r="EG42" s="79">
        <v>78360</v>
      </c>
      <c r="EH42" s="79">
        <v>1349022</v>
      </c>
      <c r="EI42" s="79">
        <v>318303</v>
      </c>
      <c r="EJ42" s="79">
        <v>2974446</v>
      </c>
      <c r="EK42" s="79">
        <v>886826</v>
      </c>
      <c r="EL42" s="79">
        <v>217695</v>
      </c>
      <c r="EM42" s="79">
        <v>161538</v>
      </c>
      <c r="EN42" s="79">
        <v>695457</v>
      </c>
      <c r="EO42" s="79">
        <v>5133054</v>
      </c>
      <c r="EP42" s="79">
        <v>7094570</v>
      </c>
      <c r="EQ42" s="79">
        <v>194927</v>
      </c>
      <c r="ER42" s="79">
        <v>22529</v>
      </c>
      <c r="ES42" s="79">
        <v>23594</v>
      </c>
      <c r="ET42" s="79">
        <v>235254</v>
      </c>
      <c r="EU42" s="79">
        <v>603019</v>
      </c>
      <c r="EV42" s="79">
        <v>1079323</v>
      </c>
      <c r="EW42" s="79">
        <v>0</v>
      </c>
      <c r="EX42" s="79">
        <v>0</v>
      </c>
      <c r="EY42" s="79">
        <v>0</v>
      </c>
      <c r="EZ42" s="79">
        <v>0</v>
      </c>
      <c r="FA42" s="79">
        <v>0</v>
      </c>
      <c r="FB42" s="79">
        <v>0</v>
      </c>
      <c r="FC42" s="79">
        <v>14784</v>
      </c>
      <c r="FD42" s="79">
        <v>1714</v>
      </c>
      <c r="FE42" s="79">
        <v>0</v>
      </c>
      <c r="FF42" s="79">
        <v>130772</v>
      </c>
      <c r="FG42" s="79">
        <v>17966157</v>
      </c>
      <c r="FH42" s="79">
        <v>18113427</v>
      </c>
      <c r="FI42" s="79">
        <v>0</v>
      </c>
      <c r="FJ42" s="79">
        <v>0</v>
      </c>
      <c r="FK42" s="79">
        <v>0</v>
      </c>
      <c r="FL42" s="79">
        <v>0</v>
      </c>
      <c r="FM42" s="79">
        <v>839901</v>
      </c>
      <c r="FN42" s="79">
        <v>839901</v>
      </c>
      <c r="FO42" s="79">
        <v>0</v>
      </c>
      <c r="FP42" s="79">
        <v>0</v>
      </c>
      <c r="FQ42" s="79">
        <v>0</v>
      </c>
      <c r="FR42" s="79">
        <v>0</v>
      </c>
      <c r="FS42" s="79">
        <v>0</v>
      </c>
      <c r="FT42" s="79">
        <v>0</v>
      </c>
      <c r="FU42" s="79">
        <v>176138</v>
      </c>
      <c r="FV42" s="79">
        <v>12514</v>
      </c>
      <c r="FW42" s="79">
        <v>4212</v>
      </c>
      <c r="FX42" s="79">
        <v>152670</v>
      </c>
      <c r="FY42" s="79">
        <v>269588</v>
      </c>
      <c r="FZ42" s="79">
        <v>615122</v>
      </c>
      <c r="GA42" s="79">
        <v>35609</v>
      </c>
      <c r="GB42" s="79">
        <v>2592</v>
      </c>
      <c r="GC42" s="79">
        <v>1563</v>
      </c>
      <c r="GD42" s="79">
        <v>54724</v>
      </c>
      <c r="GE42" s="79">
        <v>28454</v>
      </c>
      <c r="GF42" s="79">
        <v>122942</v>
      </c>
      <c r="GG42" s="79">
        <v>4109260</v>
      </c>
      <c r="GH42" s="79">
        <v>560606</v>
      </c>
      <c r="GI42" s="79">
        <v>202707</v>
      </c>
      <c r="GJ42" s="79">
        <v>2593538</v>
      </c>
      <c r="GK42" s="79">
        <v>10229901</v>
      </c>
      <c r="GL42" s="79">
        <v>17696012</v>
      </c>
      <c r="GM42" s="79">
        <v>25822228</v>
      </c>
      <c r="GN42" s="79">
        <v>5283285</v>
      </c>
      <c r="GO42" s="79">
        <v>3511292</v>
      </c>
      <c r="GP42" s="79">
        <v>20618353</v>
      </c>
      <c r="GQ42" s="79">
        <v>50076860</v>
      </c>
      <c r="GR42" s="79">
        <v>105312018</v>
      </c>
      <c r="GS42" s="79">
        <v>0</v>
      </c>
      <c r="GT42" s="79">
        <v>0</v>
      </c>
      <c r="GU42" s="79">
        <v>0</v>
      </c>
      <c r="GV42" s="79">
        <v>0</v>
      </c>
      <c r="GW42" s="79">
        <v>4684602</v>
      </c>
      <c r="GX42" s="79">
        <v>4684602</v>
      </c>
      <c r="GY42" s="79">
        <v>25822228</v>
      </c>
      <c r="GZ42" s="79">
        <v>5283285</v>
      </c>
      <c r="HA42" s="79">
        <v>3511292</v>
      </c>
      <c r="HB42" s="79">
        <v>20618353</v>
      </c>
      <c r="HC42" s="79">
        <v>54761462</v>
      </c>
      <c r="HD42" s="79">
        <v>109996620</v>
      </c>
      <c r="HF42" s="7">
        <f>SUM(AZ42:AZ42)</f>
        <v>33171661</v>
      </c>
      <c r="HG42" s="7" t="e">
        <f>#REF!-HF42</f>
        <v>#REF!</v>
      </c>
      <c r="HH42" s="7" t="e">
        <f>SUM(#REF!)</f>
        <v>#REF!</v>
      </c>
      <c r="HI42" s="7" t="e">
        <f>#REF!-HH42</f>
        <v>#REF!</v>
      </c>
      <c r="HJ42" s="7">
        <f>SUM(BA42:BA42)</f>
        <v>0</v>
      </c>
      <c r="HK42" s="7" t="e">
        <f>#REF!-HJ42</f>
        <v>#REF!</v>
      </c>
      <c r="HL42" s="7">
        <f>SUM(BB42:BB42)</f>
        <v>21786240</v>
      </c>
      <c r="HM42" s="7" t="e">
        <f>#REF!-HL42</f>
        <v>#REF!</v>
      </c>
      <c r="HN42" s="7" t="e">
        <f>SUM(#REF!)</f>
        <v>#REF!</v>
      </c>
      <c r="HO42" s="7" t="e">
        <f>#REF!-HN42</f>
        <v>#REF!</v>
      </c>
      <c r="HP42" s="7" t="e">
        <f>SUM(#REF!)</f>
        <v>#REF!</v>
      </c>
      <c r="HQ42" s="7" t="e">
        <f>#REF!-HP42</f>
        <v>#REF!</v>
      </c>
      <c r="HR42" s="7" t="e">
        <f>SUM(#REF!)</f>
        <v>#REF!</v>
      </c>
      <c r="HS42" s="7" t="e">
        <f>#REF!-HR42</f>
        <v>#REF!</v>
      </c>
      <c r="HT42" s="7" t="e">
        <f>SUM(#REF!)</f>
        <v>#REF!</v>
      </c>
      <c r="HU42" s="7" t="e">
        <f>#REF!-HT42</f>
        <v>#REF!</v>
      </c>
      <c r="HV42" s="7" t="e">
        <f>SUM(#REF!)</f>
        <v>#REF!</v>
      </c>
      <c r="HW42" s="7" t="e">
        <f>#REF!-HV42</f>
        <v>#REF!</v>
      </c>
      <c r="HX42" s="7" t="e">
        <f>SUM(#REF!)</f>
        <v>#REF!</v>
      </c>
      <c r="HY42" s="7" t="e">
        <f>#REF!-HX42</f>
        <v>#REF!</v>
      </c>
      <c r="HZ42" s="7">
        <f>SUM(BC42:BC42)</f>
        <v>2768620</v>
      </c>
      <c r="IA42" s="7" t="e">
        <f>#REF!-HZ42</f>
        <v>#REF!</v>
      </c>
      <c r="IB42" s="7">
        <f>SUM(BD42:BD42)</f>
        <v>0</v>
      </c>
      <c r="IC42" s="7" t="e">
        <f>#REF!-IB42</f>
        <v>#REF!</v>
      </c>
      <c r="ID42" s="7">
        <f t="shared" si="1"/>
        <v>0</v>
      </c>
      <c r="IE42" s="7">
        <f t="shared" si="2"/>
        <v>0</v>
      </c>
      <c r="IF42" s="7">
        <f t="shared" si="3"/>
        <v>1251129</v>
      </c>
      <c r="IG42" s="7">
        <f t="shared" si="4"/>
        <v>0</v>
      </c>
      <c r="IH42" s="7">
        <f t="shared" si="5"/>
        <v>1532888</v>
      </c>
      <c r="II42" s="7">
        <f t="shared" si="6"/>
        <v>0</v>
      </c>
      <c r="IJ42" s="7">
        <f t="shared" si="7"/>
        <v>117457398</v>
      </c>
      <c r="IK42" s="7">
        <f t="shared" si="8"/>
        <v>0</v>
      </c>
      <c r="IL42" s="7">
        <f t="shared" si="9"/>
        <v>11296522</v>
      </c>
      <c r="IM42" s="7">
        <f t="shared" si="10"/>
        <v>0</v>
      </c>
      <c r="IN42" s="7">
        <f t="shared" si="11"/>
        <v>3587546</v>
      </c>
      <c r="IO42" s="7">
        <f t="shared" si="12"/>
        <v>0</v>
      </c>
      <c r="IP42" s="7">
        <f t="shared" si="13"/>
        <v>18761463</v>
      </c>
      <c r="IQ42" s="7">
        <f t="shared" si="14"/>
        <v>0</v>
      </c>
      <c r="IR42" s="7">
        <f t="shared" si="15"/>
        <v>927494</v>
      </c>
      <c r="IS42" s="7">
        <f t="shared" si="16"/>
        <v>0</v>
      </c>
      <c r="IT42" s="7">
        <f t="shared" si="17"/>
        <v>15708834</v>
      </c>
      <c r="IU42" s="7">
        <f t="shared" si="18"/>
        <v>0</v>
      </c>
      <c r="IV42" s="7">
        <f t="shared" si="19"/>
        <v>178111</v>
      </c>
      <c r="IW42" s="7">
        <f t="shared" si="20"/>
        <v>0</v>
      </c>
      <c r="IX42" s="7">
        <f t="shared" si="21"/>
        <v>90268</v>
      </c>
      <c r="IY42" s="7">
        <f t="shared" si="22"/>
        <v>0</v>
      </c>
      <c r="IZ42" s="7">
        <f t="shared" si="23"/>
        <v>1346020</v>
      </c>
      <c r="JA42" s="7">
        <f t="shared" si="24"/>
        <v>0</v>
      </c>
      <c r="JB42" s="7">
        <f t="shared" si="25"/>
        <v>4880017</v>
      </c>
      <c r="JC42" s="7">
        <f t="shared" si="26"/>
        <v>0</v>
      </c>
      <c r="JD42" s="7">
        <f t="shared" si="27"/>
        <v>2974446</v>
      </c>
      <c r="JE42" s="7">
        <f t="shared" si="28"/>
        <v>0</v>
      </c>
      <c r="JF42" s="7">
        <f>SUM(EK42:EO42)</f>
        <v>7094570</v>
      </c>
      <c r="JG42" s="7">
        <f>EP42-JF42</f>
        <v>0</v>
      </c>
      <c r="JH42" s="7">
        <f>SUM(EQ42:EU42)</f>
        <v>1079323</v>
      </c>
      <c r="JI42" s="7">
        <f>EV42-JH42</f>
        <v>0</v>
      </c>
      <c r="JJ42" s="7">
        <f>SUM(EW42:FA42)</f>
        <v>0</v>
      </c>
      <c r="JK42" s="7">
        <f>FB42-JJ42</f>
        <v>0</v>
      </c>
      <c r="JL42" s="7">
        <f t="shared" si="35"/>
        <v>18113427</v>
      </c>
      <c r="JM42" s="7">
        <f t="shared" si="36"/>
        <v>0</v>
      </c>
      <c r="JN42" s="7">
        <f t="shared" si="37"/>
        <v>839901</v>
      </c>
      <c r="JO42" s="7">
        <f t="shared" si="38"/>
        <v>0</v>
      </c>
      <c r="JP42" s="7">
        <f t="shared" si="39"/>
        <v>0</v>
      </c>
      <c r="JQ42" s="7">
        <f t="shared" si="40"/>
        <v>0</v>
      </c>
      <c r="JR42" s="7">
        <f t="shared" si="41"/>
        <v>615122</v>
      </c>
      <c r="JS42" s="7">
        <f t="shared" si="42"/>
        <v>0</v>
      </c>
      <c r="JT42" s="7">
        <f t="shared" si="43"/>
        <v>122942</v>
      </c>
      <c r="JU42" s="7">
        <f t="shared" si="44"/>
        <v>0</v>
      </c>
      <c r="JV42" s="7">
        <f t="shared" si="45"/>
        <v>17696012</v>
      </c>
      <c r="JW42" s="7">
        <f t="shared" si="46"/>
        <v>0</v>
      </c>
      <c r="JX42" s="7">
        <f t="shared" si="47"/>
        <v>105312018</v>
      </c>
      <c r="JY42" s="7">
        <f t="shared" si="48"/>
        <v>0</v>
      </c>
      <c r="JZ42" s="7">
        <f t="shared" si="49"/>
        <v>4684602</v>
      </c>
      <c r="KA42" s="7">
        <f t="shared" si="50"/>
        <v>0</v>
      </c>
      <c r="KB42" s="7">
        <f t="shared" si="51"/>
        <v>109996620</v>
      </c>
      <c r="KC42" s="7">
        <f t="shared" si="52"/>
        <v>0</v>
      </c>
      <c r="KE42" s="7" t="e">
        <f t="shared" si="54"/>
        <v>#REF!</v>
      </c>
      <c r="KG42" s="5" t="e">
        <f t="shared" si="53"/>
        <v>#REF!</v>
      </c>
    </row>
    <row r="43" spans="1:293" x14ac:dyDescent="0.15">
      <c r="A43" s="119" t="s">
        <v>266</v>
      </c>
      <c r="B43" s="17" t="s">
        <v>344</v>
      </c>
      <c r="C43" s="38">
        <v>182281</v>
      </c>
      <c r="D43" s="38">
        <v>2013</v>
      </c>
      <c r="E43" s="38">
        <v>1</v>
      </c>
      <c r="F43" s="38">
        <v>8</v>
      </c>
      <c r="G43" s="44">
        <v>3754</v>
      </c>
      <c r="H43" s="44">
        <v>4581</v>
      </c>
      <c r="I43" s="45">
        <v>256275124</v>
      </c>
      <c r="J43" s="45"/>
      <c r="K43" s="46">
        <v>658810</v>
      </c>
      <c r="L43" s="45"/>
      <c r="M43" s="47">
        <v>9338531</v>
      </c>
      <c r="N43" s="48"/>
      <c r="O43" s="49">
        <v>13361726</v>
      </c>
      <c r="P43" s="48"/>
      <c r="Q43" s="49">
        <v>114154332</v>
      </c>
      <c r="R43" s="47"/>
      <c r="S43" s="50">
        <v>193943752</v>
      </c>
      <c r="T43" s="48"/>
      <c r="U43" s="49">
        <v>15578</v>
      </c>
      <c r="V43" s="48"/>
      <c r="W43" s="49">
        <v>15578</v>
      </c>
      <c r="X43" s="47"/>
      <c r="Y43" s="48">
        <v>18282</v>
      </c>
      <c r="Z43" s="47"/>
      <c r="AA43" s="50">
        <v>26282</v>
      </c>
      <c r="AB43" s="48"/>
      <c r="AC43" s="56">
        <v>6</v>
      </c>
      <c r="AD43" s="56">
        <v>10</v>
      </c>
      <c r="AE43" s="56">
        <v>0</v>
      </c>
      <c r="AF43" s="64">
        <v>3387725</v>
      </c>
      <c r="AG43" s="65">
        <v>2231387</v>
      </c>
      <c r="AH43" s="66">
        <v>362451</v>
      </c>
      <c r="AI43" s="67">
        <v>165553</v>
      </c>
      <c r="AJ43" s="66">
        <v>253625.79</v>
      </c>
      <c r="AK43" s="58">
        <v>5.39</v>
      </c>
      <c r="AL43" s="57">
        <v>227840.5</v>
      </c>
      <c r="AM43" s="58">
        <v>6</v>
      </c>
      <c r="AN43" s="62">
        <v>91541.3</v>
      </c>
      <c r="AO43" s="63">
        <v>7.36</v>
      </c>
      <c r="AP43" s="62">
        <v>84218</v>
      </c>
      <c r="AQ43" s="63">
        <v>8</v>
      </c>
      <c r="AR43" s="64">
        <v>103176.66</v>
      </c>
      <c r="AS43" s="68">
        <v>16.88</v>
      </c>
      <c r="AT43" s="64">
        <v>87081.1</v>
      </c>
      <c r="AU43" s="69">
        <v>20</v>
      </c>
      <c r="AV43" s="57">
        <v>43124.75</v>
      </c>
      <c r="AW43" s="58">
        <v>12.85</v>
      </c>
      <c r="AX43" s="57">
        <v>34634.559999999998</v>
      </c>
      <c r="AY43" s="58">
        <v>16</v>
      </c>
      <c r="AZ43" s="91">
        <v>2331989</v>
      </c>
      <c r="BA43" s="91">
        <v>548979</v>
      </c>
      <c r="BB43" s="91">
        <v>1072774</v>
      </c>
      <c r="BC43" s="91">
        <v>265531</v>
      </c>
      <c r="BD43" s="91">
        <v>90397</v>
      </c>
      <c r="BE43" s="91">
        <v>19290</v>
      </c>
      <c r="BF43" s="91">
        <v>17146</v>
      </c>
      <c r="BG43" s="91">
        <v>7858</v>
      </c>
      <c r="BH43" s="91">
        <v>80453</v>
      </c>
      <c r="BI43" s="91">
        <v>0</v>
      </c>
      <c r="BJ43" s="91">
        <v>124747</v>
      </c>
      <c r="BK43" s="91">
        <v>600</v>
      </c>
      <c r="BL43" s="91">
        <v>13</v>
      </c>
      <c r="BM43" s="91">
        <v>7</v>
      </c>
      <c r="BN43" s="91">
        <v>0</v>
      </c>
      <c r="BO43" s="91">
        <v>253211</v>
      </c>
      <c r="BP43" s="91">
        <v>253831</v>
      </c>
      <c r="BQ43" s="91">
        <v>175887</v>
      </c>
      <c r="BR43" s="91">
        <v>16592</v>
      </c>
      <c r="BS43" s="91">
        <v>22636</v>
      </c>
      <c r="BT43" s="91">
        <v>121422</v>
      </c>
      <c r="BU43" s="91">
        <v>517397</v>
      </c>
      <c r="BV43" s="91">
        <v>853934</v>
      </c>
      <c r="BW43" s="91">
        <v>7874920</v>
      </c>
      <c r="BX43" s="91">
        <v>2381869</v>
      </c>
      <c r="BY43" s="91">
        <v>912133</v>
      </c>
      <c r="BZ43" s="91">
        <v>3746772</v>
      </c>
      <c r="CA43" s="91">
        <v>12671580</v>
      </c>
      <c r="CB43" s="91">
        <v>27587274</v>
      </c>
      <c r="CC43" s="92">
        <v>2344381</v>
      </c>
      <c r="CD43" s="92">
        <v>310146</v>
      </c>
      <c r="CE43" s="92">
        <v>329454</v>
      </c>
      <c r="CF43" s="92">
        <v>2635131</v>
      </c>
      <c r="CG43" s="92">
        <v>109207</v>
      </c>
      <c r="CH43" s="92">
        <v>5728319</v>
      </c>
      <c r="CI43" s="92">
        <v>400000</v>
      </c>
      <c r="CJ43" s="92">
        <v>286328</v>
      </c>
      <c r="CK43" s="92">
        <v>16000</v>
      </c>
      <c r="CL43" s="92">
        <v>10500</v>
      </c>
      <c r="CM43" s="92">
        <v>0</v>
      </c>
      <c r="CN43" s="92">
        <v>712828</v>
      </c>
      <c r="CO43" s="92">
        <v>1910124</v>
      </c>
      <c r="CP43" s="92">
        <v>803213</v>
      </c>
      <c r="CQ43" s="92">
        <v>395410</v>
      </c>
      <c r="CR43" s="92">
        <v>1227815</v>
      </c>
      <c r="CS43" s="92">
        <v>0</v>
      </c>
      <c r="CT43" s="92">
        <v>4336562</v>
      </c>
      <c r="CU43" s="92">
        <v>0</v>
      </c>
      <c r="CV43" s="92">
        <v>0</v>
      </c>
      <c r="CW43" s="92">
        <v>0</v>
      </c>
      <c r="CX43" s="92">
        <v>0</v>
      </c>
      <c r="CY43" s="92">
        <v>0</v>
      </c>
      <c r="CZ43" s="92">
        <v>0</v>
      </c>
      <c r="DA43" s="92">
        <v>271863</v>
      </c>
      <c r="DB43" s="92">
        <v>83098</v>
      </c>
      <c r="DC43" s="92">
        <v>57984</v>
      </c>
      <c r="DD43" s="92">
        <v>22776</v>
      </c>
      <c r="DE43" s="92">
        <v>2970605</v>
      </c>
      <c r="DF43" s="92">
        <v>3406326</v>
      </c>
      <c r="DG43" s="92">
        <v>0</v>
      </c>
      <c r="DH43" s="92">
        <v>0</v>
      </c>
      <c r="DI43" s="92">
        <v>0</v>
      </c>
      <c r="DJ43" s="92">
        <v>0</v>
      </c>
      <c r="DK43" s="92">
        <v>0</v>
      </c>
      <c r="DL43" s="92">
        <v>0</v>
      </c>
      <c r="DM43" s="92">
        <v>46363</v>
      </c>
      <c r="DN43" s="92">
        <v>0</v>
      </c>
      <c r="DO43" s="92">
        <v>0</v>
      </c>
      <c r="DP43" s="92">
        <v>0</v>
      </c>
      <c r="DQ43" s="92">
        <v>0</v>
      </c>
      <c r="DR43" s="92">
        <v>46363</v>
      </c>
      <c r="DS43" s="92">
        <v>226348</v>
      </c>
      <c r="DT43" s="92">
        <v>86157</v>
      </c>
      <c r="DU43" s="92">
        <v>62835</v>
      </c>
      <c r="DV43" s="92">
        <v>152664</v>
      </c>
      <c r="DW43" s="92">
        <v>0</v>
      </c>
      <c r="DX43" s="92">
        <v>528004</v>
      </c>
      <c r="DY43" s="92">
        <v>903045</v>
      </c>
      <c r="DZ43" s="92">
        <v>356707</v>
      </c>
      <c r="EA43" s="92">
        <v>190099</v>
      </c>
      <c r="EB43" s="92">
        <v>1254180</v>
      </c>
      <c r="EC43" s="92">
        <v>0</v>
      </c>
      <c r="ED43" s="92">
        <v>2704031</v>
      </c>
      <c r="EE43" s="92">
        <v>203382</v>
      </c>
      <c r="EF43" s="92">
        <v>45047</v>
      </c>
      <c r="EG43" s="92">
        <v>38236</v>
      </c>
      <c r="EH43" s="92">
        <v>276660</v>
      </c>
      <c r="EI43" s="92">
        <v>48791</v>
      </c>
      <c r="EJ43" s="92">
        <v>612116</v>
      </c>
      <c r="EK43" s="92">
        <v>421095</v>
      </c>
      <c r="EL43" s="92">
        <v>181538</v>
      </c>
      <c r="EM43" s="92">
        <v>52311</v>
      </c>
      <c r="EN43" s="92">
        <v>113335</v>
      </c>
      <c r="EO43" s="92">
        <v>58562</v>
      </c>
      <c r="EP43" s="92">
        <v>826841</v>
      </c>
      <c r="EQ43" s="92">
        <v>130667</v>
      </c>
      <c r="ER43" s="92">
        <v>32348</v>
      </c>
      <c r="ES43" s="92">
        <v>7918</v>
      </c>
      <c r="ET43" s="92">
        <v>49892</v>
      </c>
      <c r="EU43" s="92">
        <v>797892</v>
      </c>
      <c r="EV43" s="92">
        <v>1018717</v>
      </c>
      <c r="EW43" s="92">
        <v>11641</v>
      </c>
      <c r="EX43" s="92">
        <v>15088</v>
      </c>
      <c r="EY43" s="92">
        <v>734</v>
      </c>
      <c r="EZ43" s="92">
        <v>39036</v>
      </c>
      <c r="FA43" s="92">
        <v>0</v>
      </c>
      <c r="FB43" s="92">
        <v>66499</v>
      </c>
      <c r="FC43" s="92">
        <v>5469</v>
      </c>
      <c r="FD43" s="92">
        <v>45459</v>
      </c>
      <c r="FE43" s="92">
        <v>11558</v>
      </c>
      <c r="FF43" s="92">
        <v>16664</v>
      </c>
      <c r="FG43" s="92">
        <v>1969127</v>
      </c>
      <c r="FH43" s="92">
        <v>2048277</v>
      </c>
      <c r="FI43" s="92">
        <v>0</v>
      </c>
      <c r="FJ43" s="92">
        <v>0</v>
      </c>
      <c r="FK43" s="92">
        <v>0</v>
      </c>
      <c r="FL43" s="92">
        <v>0</v>
      </c>
      <c r="FM43" s="92">
        <v>72592</v>
      </c>
      <c r="FN43" s="92">
        <v>72592</v>
      </c>
      <c r="FO43" s="92">
        <v>114540</v>
      </c>
      <c r="FP43" s="92">
        <v>6203</v>
      </c>
      <c r="FQ43" s="92">
        <v>0</v>
      </c>
      <c r="FR43" s="92">
        <v>0</v>
      </c>
      <c r="FS43" s="92">
        <v>2492015</v>
      </c>
      <c r="FT43" s="92">
        <v>2612758</v>
      </c>
      <c r="FU43" s="92">
        <v>0</v>
      </c>
      <c r="FV43" s="92">
        <v>0</v>
      </c>
      <c r="FW43" s="92">
        <v>0</v>
      </c>
      <c r="FX43" s="92">
        <v>0</v>
      </c>
      <c r="FY43" s="92">
        <v>1000595</v>
      </c>
      <c r="FZ43" s="92">
        <v>1000595</v>
      </c>
      <c r="GA43" s="92">
        <v>2240</v>
      </c>
      <c r="GB43" s="92">
        <v>1265</v>
      </c>
      <c r="GC43" s="92">
        <v>480</v>
      </c>
      <c r="GD43" s="92">
        <v>15639</v>
      </c>
      <c r="GE43" s="92">
        <v>331802</v>
      </c>
      <c r="GF43" s="92">
        <v>351426</v>
      </c>
      <c r="GG43" s="92">
        <v>206781</v>
      </c>
      <c r="GH43" s="92">
        <v>127193</v>
      </c>
      <c r="GI43" s="92">
        <v>62954</v>
      </c>
      <c r="GJ43" s="92">
        <v>166750</v>
      </c>
      <c r="GK43" s="92">
        <v>1701176</v>
      </c>
      <c r="GL43" s="92">
        <v>2264854</v>
      </c>
      <c r="GM43" s="92">
        <v>7197939</v>
      </c>
      <c r="GN43" s="92">
        <v>2379790</v>
      </c>
      <c r="GO43" s="92">
        <v>1225973</v>
      </c>
      <c r="GP43" s="92">
        <v>5981042</v>
      </c>
      <c r="GQ43" s="92">
        <v>11552364</v>
      </c>
      <c r="GR43" s="92">
        <v>28337108</v>
      </c>
      <c r="GS43" s="79">
        <v>0</v>
      </c>
      <c r="GT43" s="79">
        <v>0</v>
      </c>
      <c r="GU43" s="79">
        <v>0</v>
      </c>
      <c r="GV43" s="79">
        <v>0</v>
      </c>
      <c r="GW43" s="79">
        <v>0</v>
      </c>
      <c r="GX43" s="79">
        <v>0</v>
      </c>
      <c r="GY43" s="79">
        <v>7197939</v>
      </c>
      <c r="GZ43" s="79">
        <v>2379790</v>
      </c>
      <c r="HA43" s="79">
        <v>1225973</v>
      </c>
      <c r="HB43" s="79">
        <v>5981042</v>
      </c>
      <c r="HC43" s="79">
        <v>11552364</v>
      </c>
      <c r="HD43" s="79">
        <v>28337108</v>
      </c>
      <c r="HF43" s="7">
        <f>SUM(AZ43:AZ43)</f>
        <v>2331989</v>
      </c>
      <c r="HG43" s="7" t="e">
        <f>#REF!-HF43</f>
        <v>#REF!</v>
      </c>
      <c r="HH43" s="7" t="e">
        <f>SUM(#REF!)</f>
        <v>#REF!</v>
      </c>
      <c r="HI43" s="7" t="e">
        <f>#REF!-HH43</f>
        <v>#REF!</v>
      </c>
      <c r="HJ43" s="7">
        <f>SUM(BA43:BA43)</f>
        <v>548979</v>
      </c>
      <c r="HK43" s="7" t="e">
        <f>#REF!-HJ43</f>
        <v>#REF!</v>
      </c>
      <c r="HL43" s="7">
        <f>SUM(BB43:BB43)</f>
        <v>1072774</v>
      </c>
      <c r="HM43" s="7" t="e">
        <f>#REF!-HL43</f>
        <v>#REF!</v>
      </c>
      <c r="HN43" s="7" t="e">
        <f>SUM(#REF!)</f>
        <v>#REF!</v>
      </c>
      <c r="HO43" s="7" t="e">
        <f>#REF!-HN43</f>
        <v>#REF!</v>
      </c>
      <c r="HP43" s="7" t="e">
        <f>SUM(#REF!)</f>
        <v>#REF!</v>
      </c>
      <c r="HQ43" s="7" t="e">
        <f>#REF!-HP43</f>
        <v>#REF!</v>
      </c>
      <c r="HR43" s="7" t="e">
        <f>SUM(#REF!)</f>
        <v>#REF!</v>
      </c>
      <c r="HS43" s="7" t="e">
        <f>#REF!-HR43</f>
        <v>#REF!</v>
      </c>
      <c r="HT43" s="7" t="e">
        <f>SUM(#REF!)</f>
        <v>#REF!</v>
      </c>
      <c r="HU43" s="7" t="e">
        <f>#REF!-HT43</f>
        <v>#REF!</v>
      </c>
      <c r="HV43" s="7" t="e">
        <f>SUM(#REF!)</f>
        <v>#REF!</v>
      </c>
      <c r="HW43" s="7" t="e">
        <f>#REF!-HV43</f>
        <v>#REF!</v>
      </c>
      <c r="HX43" s="7" t="e">
        <f>SUM(#REF!)</f>
        <v>#REF!</v>
      </c>
      <c r="HY43" s="7" t="e">
        <f>#REF!-HX43</f>
        <v>#REF!</v>
      </c>
      <c r="HZ43" s="7">
        <f>SUM(BC43:BC43)</f>
        <v>265531</v>
      </c>
      <c r="IA43" s="7" t="e">
        <f>#REF!-HZ43</f>
        <v>#REF!</v>
      </c>
      <c r="IB43" s="7">
        <f>SUM(BD43:BD43)</f>
        <v>90397</v>
      </c>
      <c r="IC43" s="7" t="e">
        <f>#REF!-IB43</f>
        <v>#REF!</v>
      </c>
      <c r="ID43" s="7">
        <f t="shared" si="1"/>
        <v>124747</v>
      </c>
      <c r="IE43" s="7">
        <f t="shared" si="2"/>
        <v>0</v>
      </c>
      <c r="IF43" s="7">
        <f t="shared" si="3"/>
        <v>253831</v>
      </c>
      <c r="IG43" s="7">
        <f t="shared" si="4"/>
        <v>0</v>
      </c>
      <c r="IH43" s="7">
        <f t="shared" si="5"/>
        <v>853934</v>
      </c>
      <c r="II43" s="7">
        <f t="shared" si="6"/>
        <v>0</v>
      </c>
      <c r="IJ43" s="7">
        <f t="shared" si="7"/>
        <v>27587274</v>
      </c>
      <c r="IK43" s="7">
        <f t="shared" si="8"/>
        <v>0</v>
      </c>
      <c r="IL43" s="7">
        <f t="shared" si="9"/>
        <v>5728319</v>
      </c>
      <c r="IM43" s="7">
        <f t="shared" si="10"/>
        <v>0</v>
      </c>
      <c r="IN43" s="7">
        <f t="shared" si="11"/>
        <v>712828</v>
      </c>
      <c r="IO43" s="7">
        <f t="shared" si="12"/>
        <v>0</v>
      </c>
      <c r="IP43" s="7">
        <f t="shared" si="13"/>
        <v>4336562</v>
      </c>
      <c r="IQ43" s="7">
        <f t="shared" si="14"/>
        <v>0</v>
      </c>
      <c r="IR43" s="7">
        <f t="shared" si="15"/>
        <v>0</v>
      </c>
      <c r="IS43" s="7">
        <f t="shared" si="16"/>
        <v>0</v>
      </c>
      <c r="IT43" s="7">
        <f t="shared" si="17"/>
        <v>3406326</v>
      </c>
      <c r="IU43" s="7">
        <f t="shared" si="18"/>
        <v>0</v>
      </c>
      <c r="IV43" s="7">
        <f t="shared" si="19"/>
        <v>0</v>
      </c>
      <c r="IW43" s="7">
        <f t="shared" si="20"/>
        <v>0</v>
      </c>
      <c r="IX43" s="7">
        <f t="shared" si="21"/>
        <v>46363</v>
      </c>
      <c r="IY43" s="7">
        <f t="shared" si="22"/>
        <v>0</v>
      </c>
      <c r="IZ43" s="7">
        <f t="shared" si="23"/>
        <v>528004</v>
      </c>
      <c r="JA43" s="7">
        <f t="shared" si="24"/>
        <v>0</v>
      </c>
      <c r="JB43" s="7">
        <f t="shared" si="25"/>
        <v>2704031</v>
      </c>
      <c r="JC43" s="7">
        <f t="shared" si="26"/>
        <v>0</v>
      </c>
      <c r="JD43" s="7">
        <f t="shared" si="27"/>
        <v>612116</v>
      </c>
      <c r="JE43" s="7">
        <f t="shared" si="28"/>
        <v>0</v>
      </c>
      <c r="JF43" s="7">
        <f t="shared" si="29"/>
        <v>826841</v>
      </c>
      <c r="JG43" s="7">
        <f t="shared" si="30"/>
        <v>0</v>
      </c>
      <c r="JH43" s="7">
        <f t="shared" si="31"/>
        <v>1018717</v>
      </c>
      <c r="JI43" s="7">
        <f t="shared" si="32"/>
        <v>0</v>
      </c>
      <c r="JJ43" s="7">
        <f t="shared" si="33"/>
        <v>66499</v>
      </c>
      <c r="JK43" s="7">
        <f t="shared" si="34"/>
        <v>0</v>
      </c>
      <c r="JL43" s="7">
        <f t="shared" si="35"/>
        <v>2048277</v>
      </c>
      <c r="JM43" s="7">
        <f t="shared" si="36"/>
        <v>0</v>
      </c>
      <c r="JN43" s="7">
        <f t="shared" si="37"/>
        <v>72592</v>
      </c>
      <c r="JO43" s="7">
        <f t="shared" si="38"/>
        <v>0</v>
      </c>
      <c r="JP43" s="7">
        <f t="shared" si="39"/>
        <v>2612758</v>
      </c>
      <c r="JQ43" s="7">
        <f t="shared" si="40"/>
        <v>0</v>
      </c>
      <c r="JR43" s="7">
        <f t="shared" si="41"/>
        <v>1000595</v>
      </c>
      <c r="JS43" s="7">
        <f t="shared" si="42"/>
        <v>0</v>
      </c>
      <c r="JT43" s="7">
        <f t="shared" si="43"/>
        <v>351426</v>
      </c>
      <c r="JU43" s="7">
        <f t="shared" si="44"/>
        <v>0</v>
      </c>
      <c r="JV43" s="7">
        <f t="shared" si="45"/>
        <v>2264854</v>
      </c>
      <c r="JW43" s="7">
        <f t="shared" si="46"/>
        <v>0</v>
      </c>
      <c r="JX43" s="7">
        <f t="shared" si="47"/>
        <v>28337108</v>
      </c>
      <c r="JY43" s="7">
        <f t="shared" si="48"/>
        <v>0</v>
      </c>
      <c r="JZ43" s="7">
        <f t="shared" si="49"/>
        <v>0</v>
      </c>
      <c r="KA43" s="7">
        <f t="shared" si="50"/>
        <v>0</v>
      </c>
      <c r="KB43" s="7">
        <f t="shared" si="51"/>
        <v>28337108</v>
      </c>
      <c r="KC43" s="7">
        <f t="shared" si="52"/>
        <v>0</v>
      </c>
      <c r="KE43" s="7" t="e">
        <f t="shared" si="54"/>
        <v>#REF!</v>
      </c>
      <c r="KG43" s="5" t="e">
        <f t="shared" si="53"/>
        <v>#REF!</v>
      </c>
    </row>
    <row r="44" spans="1:293" x14ac:dyDescent="0.15">
      <c r="A44" s="119" t="s">
        <v>267</v>
      </c>
      <c r="B44" s="17" t="s">
        <v>403</v>
      </c>
      <c r="C44" s="53">
        <v>163286</v>
      </c>
      <c r="D44" s="38">
        <v>2013</v>
      </c>
      <c r="E44" s="38">
        <v>1</v>
      </c>
      <c r="F44" s="38">
        <v>1</v>
      </c>
      <c r="G44" s="39">
        <v>12838</v>
      </c>
      <c r="H44" s="39">
        <v>11526</v>
      </c>
      <c r="I44" s="40">
        <v>1594226259</v>
      </c>
      <c r="J44" s="40"/>
      <c r="K44" s="40">
        <v>7841368</v>
      </c>
      <c r="L44" s="40"/>
      <c r="M44" s="40">
        <v>29301765</v>
      </c>
      <c r="N44" s="40"/>
      <c r="O44" s="40">
        <v>74558830</v>
      </c>
      <c r="P44" s="40"/>
      <c r="Q44" s="40">
        <v>350750928</v>
      </c>
      <c r="R44" s="40"/>
      <c r="S44" s="40">
        <v>891810739</v>
      </c>
      <c r="T44" s="40"/>
      <c r="U44" s="40">
        <v>24459</v>
      </c>
      <c r="V44" s="40"/>
      <c r="W44" s="40">
        <v>41830</v>
      </c>
      <c r="X44" s="40"/>
      <c r="Y44" s="40">
        <v>23094</v>
      </c>
      <c r="Z44" s="40"/>
      <c r="AA44" s="40">
        <v>41473</v>
      </c>
      <c r="AB44" s="40"/>
      <c r="AC44" s="56">
        <v>11</v>
      </c>
      <c r="AD44" s="56">
        <v>15</v>
      </c>
      <c r="AE44" s="56">
        <v>0</v>
      </c>
      <c r="AF44" s="57">
        <v>7011403</v>
      </c>
      <c r="AG44" s="57">
        <v>5607810</v>
      </c>
      <c r="AH44" s="57">
        <v>519451</v>
      </c>
      <c r="AI44" s="57">
        <v>258227</v>
      </c>
      <c r="AJ44" s="57">
        <v>807319</v>
      </c>
      <c r="AK44" s="58">
        <v>7</v>
      </c>
      <c r="AL44" s="57">
        <v>706404.13</v>
      </c>
      <c r="AM44" s="58">
        <v>8</v>
      </c>
      <c r="AN44" s="57">
        <v>243317.67</v>
      </c>
      <c r="AO44" s="58">
        <v>9</v>
      </c>
      <c r="AP44" s="57">
        <v>218985.9</v>
      </c>
      <c r="AQ44" s="58">
        <v>10</v>
      </c>
      <c r="AR44" s="57">
        <v>196949.82</v>
      </c>
      <c r="AS44" s="58">
        <v>22</v>
      </c>
      <c r="AT44" s="57">
        <v>188386.78</v>
      </c>
      <c r="AU44" s="58">
        <v>23</v>
      </c>
      <c r="AV44" s="57">
        <v>81054.720000000001</v>
      </c>
      <c r="AW44" s="58">
        <v>18</v>
      </c>
      <c r="AX44" s="57">
        <v>76788.679999999993</v>
      </c>
      <c r="AY44" s="58">
        <v>19</v>
      </c>
      <c r="AZ44" s="79">
        <v>4403622</v>
      </c>
      <c r="BA44" s="79">
        <v>250000</v>
      </c>
      <c r="BB44" s="79">
        <v>3021633</v>
      </c>
      <c r="BC44" s="79">
        <v>450502</v>
      </c>
      <c r="BD44" s="79">
        <v>0</v>
      </c>
      <c r="BE44" s="79">
        <v>0</v>
      </c>
      <c r="BF44" s="79">
        <v>0</v>
      </c>
      <c r="BG44" s="79">
        <v>0</v>
      </c>
      <c r="BH44" s="79">
        <v>0</v>
      </c>
      <c r="BI44" s="79">
        <v>0</v>
      </c>
      <c r="BJ44" s="79">
        <v>0</v>
      </c>
      <c r="BK44" s="79">
        <v>3700</v>
      </c>
      <c r="BL44" s="79">
        <v>40620</v>
      </c>
      <c r="BM44" s="79">
        <v>1490</v>
      </c>
      <c r="BN44" s="79">
        <v>357070</v>
      </c>
      <c r="BO44" s="79">
        <v>187630</v>
      </c>
      <c r="BP44" s="79">
        <v>590510</v>
      </c>
      <c r="BQ44" s="79">
        <v>160</v>
      </c>
      <c r="BR44" s="79">
        <v>50</v>
      </c>
      <c r="BS44" s="79">
        <v>0</v>
      </c>
      <c r="BT44" s="79">
        <v>56280</v>
      </c>
      <c r="BU44" s="79">
        <v>560736</v>
      </c>
      <c r="BV44" s="79">
        <v>617226</v>
      </c>
      <c r="BW44" s="79">
        <v>17797646</v>
      </c>
      <c r="BX44" s="79">
        <v>14786698</v>
      </c>
      <c r="BY44" s="79">
        <v>1287697</v>
      </c>
      <c r="BZ44" s="79">
        <v>6727235</v>
      </c>
      <c r="CA44" s="79">
        <v>23115194</v>
      </c>
      <c r="CB44" s="79">
        <v>63714470</v>
      </c>
      <c r="CC44" s="79">
        <v>4047154</v>
      </c>
      <c r="CD44" s="79">
        <v>674908</v>
      </c>
      <c r="CE44" s="79">
        <v>682106</v>
      </c>
      <c r="CF44" s="79">
        <v>7215045</v>
      </c>
      <c r="CG44" s="79">
        <v>221021</v>
      </c>
      <c r="CH44" s="79">
        <v>12840234</v>
      </c>
      <c r="CI44" s="79">
        <v>400000</v>
      </c>
      <c r="CJ44" s="79">
        <v>808641</v>
      </c>
      <c r="CK44" s="79">
        <v>44500</v>
      </c>
      <c r="CL44" s="79">
        <v>23000</v>
      </c>
      <c r="CM44" s="79">
        <v>0</v>
      </c>
      <c r="CN44" s="79">
        <v>1276141</v>
      </c>
      <c r="CO44" s="79">
        <v>4833474</v>
      </c>
      <c r="CP44" s="79">
        <v>3053862</v>
      </c>
      <c r="CQ44" s="79">
        <v>1547710</v>
      </c>
      <c r="CR44" s="79">
        <v>4197927</v>
      </c>
      <c r="CS44" s="79">
        <v>0</v>
      </c>
      <c r="CT44" s="79">
        <v>13632973</v>
      </c>
      <c r="CU44" s="79">
        <v>0</v>
      </c>
      <c r="CV44" s="79">
        <v>0</v>
      </c>
      <c r="CW44" s="79">
        <v>0</v>
      </c>
      <c r="CX44" s="79">
        <v>0</v>
      </c>
      <c r="CY44" s="79">
        <v>0</v>
      </c>
      <c r="CZ44" s="79">
        <v>0</v>
      </c>
      <c r="DA44" s="79">
        <v>629337</v>
      </c>
      <c r="DB44" s="79">
        <v>325479</v>
      </c>
      <c r="DC44" s="79">
        <v>289591</v>
      </c>
      <c r="DD44" s="79">
        <v>111800</v>
      </c>
      <c r="DE44" s="79">
        <v>10285928</v>
      </c>
      <c r="DF44" s="79">
        <v>11642135</v>
      </c>
      <c r="DG44" s="79">
        <v>0</v>
      </c>
      <c r="DH44" s="79">
        <v>0</v>
      </c>
      <c r="DI44" s="79">
        <v>0</v>
      </c>
      <c r="DJ44" s="79">
        <v>0</v>
      </c>
      <c r="DK44" s="79">
        <v>0</v>
      </c>
      <c r="DL44" s="79">
        <v>0</v>
      </c>
      <c r="DM44" s="79">
        <v>0</v>
      </c>
      <c r="DN44" s="79">
        <v>0</v>
      </c>
      <c r="DO44" s="79">
        <v>0</v>
      </c>
      <c r="DP44" s="79">
        <v>0</v>
      </c>
      <c r="DQ44" s="79">
        <v>174861</v>
      </c>
      <c r="DR44" s="79">
        <v>174861</v>
      </c>
      <c r="DS44" s="79">
        <v>308410</v>
      </c>
      <c r="DT44" s="79">
        <v>84046</v>
      </c>
      <c r="DU44" s="79">
        <v>119366</v>
      </c>
      <c r="DV44" s="79">
        <v>265856</v>
      </c>
      <c r="DW44" s="79">
        <v>0</v>
      </c>
      <c r="DX44" s="79">
        <v>777678</v>
      </c>
      <c r="DY44" s="79">
        <v>810274</v>
      </c>
      <c r="DZ44" s="79">
        <v>1160024</v>
      </c>
      <c r="EA44" s="79">
        <v>595764</v>
      </c>
      <c r="EB44" s="79">
        <v>1555557</v>
      </c>
      <c r="EC44" s="79">
        <v>8244</v>
      </c>
      <c r="ED44" s="79">
        <v>4129863</v>
      </c>
      <c r="EE44" s="79">
        <v>277574</v>
      </c>
      <c r="EF44" s="79">
        <v>123393</v>
      </c>
      <c r="EG44" s="79">
        <v>32940</v>
      </c>
      <c r="EH44" s="79">
        <v>265453</v>
      </c>
      <c r="EI44" s="79">
        <v>0</v>
      </c>
      <c r="EJ44" s="79">
        <v>699360</v>
      </c>
      <c r="EK44" s="79">
        <v>21241</v>
      </c>
      <c r="EL44" s="79">
        <v>1929</v>
      </c>
      <c r="EM44" s="79">
        <v>268</v>
      </c>
      <c r="EN44" s="79">
        <v>103488</v>
      </c>
      <c r="EO44" s="79">
        <v>1215611</v>
      </c>
      <c r="EP44" s="79">
        <v>1342537</v>
      </c>
      <c r="EQ44" s="79">
        <v>0</v>
      </c>
      <c r="ER44" s="79">
        <v>0</v>
      </c>
      <c r="ES44" s="79">
        <v>0</v>
      </c>
      <c r="ET44" s="79">
        <v>0</v>
      </c>
      <c r="EU44" s="79">
        <v>1406283</v>
      </c>
      <c r="EV44" s="79">
        <v>1406283</v>
      </c>
      <c r="EW44" s="79">
        <v>0</v>
      </c>
      <c r="EX44" s="79">
        <v>0</v>
      </c>
      <c r="EY44" s="79">
        <v>0</v>
      </c>
      <c r="EZ44" s="79">
        <v>0</v>
      </c>
      <c r="FA44" s="79">
        <v>0</v>
      </c>
      <c r="FB44" s="79">
        <v>0</v>
      </c>
      <c r="FC44" s="79">
        <v>143403</v>
      </c>
      <c r="FD44" s="79">
        <v>184003</v>
      </c>
      <c r="FE44" s="79">
        <v>9220</v>
      </c>
      <c r="FF44" s="79">
        <v>181806</v>
      </c>
      <c r="FG44" s="79">
        <v>9545816</v>
      </c>
      <c r="FH44" s="79">
        <v>10064248</v>
      </c>
      <c r="FI44" s="79">
        <v>0</v>
      </c>
      <c r="FJ44" s="79">
        <v>0</v>
      </c>
      <c r="FK44" s="79">
        <v>0</v>
      </c>
      <c r="FL44" s="79">
        <v>0</v>
      </c>
      <c r="FM44" s="79">
        <v>218914</v>
      </c>
      <c r="FN44" s="79">
        <v>218914</v>
      </c>
      <c r="FO44" s="79">
        <v>0</v>
      </c>
      <c r="FP44" s="79">
        <v>0</v>
      </c>
      <c r="FQ44" s="79">
        <v>0</v>
      </c>
      <c r="FR44" s="79">
        <v>0</v>
      </c>
      <c r="FS44" s="79">
        <v>0</v>
      </c>
      <c r="FT44" s="79">
        <v>0</v>
      </c>
      <c r="FU44" s="79">
        <v>24875</v>
      </c>
      <c r="FV44" s="79">
        <v>7117</v>
      </c>
      <c r="FW44" s="79">
        <v>0</v>
      </c>
      <c r="FX44" s="79">
        <v>1602</v>
      </c>
      <c r="FY44" s="79">
        <v>817902</v>
      </c>
      <c r="FZ44" s="79">
        <v>851496</v>
      </c>
      <c r="GA44" s="79">
        <v>1530</v>
      </c>
      <c r="GB44" s="79">
        <v>615</v>
      </c>
      <c r="GC44" s="79">
        <v>900</v>
      </c>
      <c r="GD44" s="79">
        <v>14961</v>
      </c>
      <c r="GE44" s="79">
        <v>26063</v>
      </c>
      <c r="GF44" s="79">
        <v>44069</v>
      </c>
      <c r="GG44" s="79">
        <v>594059</v>
      </c>
      <c r="GH44" s="79">
        <v>205084</v>
      </c>
      <c r="GI44" s="79">
        <v>119806</v>
      </c>
      <c r="GJ44" s="79">
        <v>200048</v>
      </c>
      <c r="GK44" s="79">
        <v>3148140</v>
      </c>
      <c r="GL44" s="79">
        <v>4267137</v>
      </c>
      <c r="GM44" s="79">
        <v>12091331</v>
      </c>
      <c r="GN44" s="79">
        <v>6629101</v>
      </c>
      <c r="GO44" s="79">
        <v>3442171</v>
      </c>
      <c r="GP44" s="79">
        <v>14136543</v>
      </c>
      <c r="GQ44" s="79">
        <v>27068783</v>
      </c>
      <c r="GR44" s="79">
        <v>63367929</v>
      </c>
      <c r="GS44" s="79">
        <v>0</v>
      </c>
      <c r="GT44" s="79">
        <v>0</v>
      </c>
      <c r="GU44" s="79">
        <v>0</v>
      </c>
      <c r="GV44" s="79">
        <v>0</v>
      </c>
      <c r="GW44" s="79">
        <v>0</v>
      </c>
      <c r="GX44" s="79">
        <v>0</v>
      </c>
      <c r="GY44" s="79">
        <v>12091331</v>
      </c>
      <c r="GZ44" s="79">
        <v>6629101</v>
      </c>
      <c r="HA44" s="79">
        <v>3442171</v>
      </c>
      <c r="HB44" s="79">
        <v>14136543</v>
      </c>
      <c r="HC44" s="79">
        <v>27068783</v>
      </c>
      <c r="HD44" s="79">
        <v>63367929</v>
      </c>
      <c r="HF44" s="7">
        <f>SUM(AZ44:AZ44)</f>
        <v>4403622</v>
      </c>
      <c r="HG44" s="7" t="e">
        <f>#REF!-HF44</f>
        <v>#REF!</v>
      </c>
      <c r="HH44" s="7" t="e">
        <f>SUM(#REF!)</f>
        <v>#REF!</v>
      </c>
      <c r="HI44" s="7" t="e">
        <f>#REF!-HH44</f>
        <v>#REF!</v>
      </c>
      <c r="HJ44" s="7">
        <f>SUM(BA44:BA44)</f>
        <v>250000</v>
      </c>
      <c r="HK44" s="7" t="e">
        <f>#REF!-HJ44</f>
        <v>#REF!</v>
      </c>
      <c r="HL44" s="7">
        <f>SUM(BB44:BB44)</f>
        <v>3021633</v>
      </c>
      <c r="HM44" s="7" t="e">
        <f>#REF!-HL44</f>
        <v>#REF!</v>
      </c>
      <c r="HN44" s="7" t="e">
        <f>SUM(#REF!)</f>
        <v>#REF!</v>
      </c>
      <c r="HO44" s="7" t="e">
        <f>#REF!-HN44</f>
        <v>#REF!</v>
      </c>
      <c r="HP44" s="7" t="e">
        <f>SUM(#REF!)</f>
        <v>#REF!</v>
      </c>
      <c r="HQ44" s="7" t="e">
        <f>#REF!-HP44</f>
        <v>#REF!</v>
      </c>
      <c r="HR44" s="7" t="e">
        <f>SUM(#REF!)</f>
        <v>#REF!</v>
      </c>
      <c r="HS44" s="7" t="e">
        <f>#REF!-HR44</f>
        <v>#REF!</v>
      </c>
      <c r="HT44" s="7" t="e">
        <f>SUM(#REF!)</f>
        <v>#REF!</v>
      </c>
      <c r="HU44" s="7" t="e">
        <f>#REF!-HT44</f>
        <v>#REF!</v>
      </c>
      <c r="HV44" s="7" t="e">
        <f>SUM(#REF!)</f>
        <v>#REF!</v>
      </c>
      <c r="HW44" s="7" t="e">
        <f>#REF!-HV44</f>
        <v>#REF!</v>
      </c>
      <c r="HX44" s="7" t="e">
        <f>SUM(#REF!)</f>
        <v>#REF!</v>
      </c>
      <c r="HY44" s="7" t="e">
        <f>#REF!-HX44</f>
        <v>#REF!</v>
      </c>
      <c r="HZ44" s="7">
        <f>SUM(BC44:BC44)</f>
        <v>450502</v>
      </c>
      <c r="IA44" s="7" t="e">
        <f>#REF!-HZ44</f>
        <v>#REF!</v>
      </c>
      <c r="IB44" s="7">
        <f>SUM(BD44:BD44)</f>
        <v>0</v>
      </c>
      <c r="IC44" s="7" t="e">
        <f>#REF!-IB44</f>
        <v>#REF!</v>
      </c>
      <c r="ID44" s="7">
        <f t="shared" si="1"/>
        <v>0</v>
      </c>
      <c r="IE44" s="7">
        <f t="shared" si="2"/>
        <v>0</v>
      </c>
      <c r="IF44" s="7">
        <f t="shared" si="3"/>
        <v>590510</v>
      </c>
      <c r="IG44" s="7">
        <f t="shared" si="4"/>
        <v>0</v>
      </c>
      <c r="IH44" s="7">
        <f t="shared" si="5"/>
        <v>617226</v>
      </c>
      <c r="II44" s="7">
        <f t="shared" si="6"/>
        <v>0</v>
      </c>
      <c r="IJ44" s="7">
        <f t="shared" si="7"/>
        <v>63714470</v>
      </c>
      <c r="IK44" s="7">
        <f t="shared" si="8"/>
        <v>0</v>
      </c>
      <c r="IL44" s="7">
        <f t="shared" si="9"/>
        <v>12840234</v>
      </c>
      <c r="IM44" s="7">
        <f t="shared" si="10"/>
        <v>0</v>
      </c>
      <c r="IN44" s="7">
        <f t="shared" si="11"/>
        <v>1276141</v>
      </c>
      <c r="IO44" s="7">
        <f t="shared" si="12"/>
        <v>0</v>
      </c>
      <c r="IP44" s="7">
        <f t="shared" si="13"/>
        <v>13632973</v>
      </c>
      <c r="IQ44" s="7">
        <f t="shared" si="14"/>
        <v>0</v>
      </c>
      <c r="IR44" s="7">
        <f t="shared" si="15"/>
        <v>0</v>
      </c>
      <c r="IS44" s="7">
        <f t="shared" si="16"/>
        <v>0</v>
      </c>
      <c r="IT44" s="7">
        <f t="shared" si="17"/>
        <v>11642135</v>
      </c>
      <c r="IU44" s="7">
        <f t="shared" si="18"/>
        <v>0</v>
      </c>
      <c r="IV44" s="7">
        <f t="shared" si="19"/>
        <v>0</v>
      </c>
      <c r="IW44" s="7">
        <f t="shared" si="20"/>
        <v>0</v>
      </c>
      <c r="IX44" s="7">
        <f t="shared" si="21"/>
        <v>174861</v>
      </c>
      <c r="IY44" s="7">
        <f t="shared" si="22"/>
        <v>0</v>
      </c>
      <c r="IZ44" s="7">
        <f t="shared" si="23"/>
        <v>777678</v>
      </c>
      <c r="JA44" s="7">
        <f t="shared" si="24"/>
        <v>0</v>
      </c>
      <c r="JB44" s="7">
        <f t="shared" si="25"/>
        <v>4129863</v>
      </c>
      <c r="JC44" s="7">
        <f t="shared" si="26"/>
        <v>0</v>
      </c>
      <c r="JD44" s="7">
        <f t="shared" si="27"/>
        <v>699360</v>
      </c>
      <c r="JE44" s="7">
        <f t="shared" si="28"/>
        <v>0</v>
      </c>
      <c r="JF44" s="7">
        <f t="shared" si="29"/>
        <v>1342537</v>
      </c>
      <c r="JG44" s="7">
        <f t="shared" si="30"/>
        <v>0</v>
      </c>
      <c r="JH44" s="7">
        <f t="shared" si="31"/>
        <v>1406283</v>
      </c>
      <c r="JI44" s="7">
        <f t="shared" si="32"/>
        <v>0</v>
      </c>
      <c r="JJ44" s="7">
        <f t="shared" si="33"/>
        <v>0</v>
      </c>
      <c r="JK44" s="7">
        <f t="shared" si="34"/>
        <v>0</v>
      </c>
      <c r="JL44" s="7">
        <f t="shared" si="35"/>
        <v>10064248</v>
      </c>
      <c r="JM44" s="7">
        <f t="shared" si="36"/>
        <v>0</v>
      </c>
      <c r="JN44" s="7">
        <f t="shared" si="37"/>
        <v>218914</v>
      </c>
      <c r="JO44" s="7">
        <f t="shared" si="38"/>
        <v>0</v>
      </c>
      <c r="JP44" s="7">
        <f t="shared" si="39"/>
        <v>0</v>
      </c>
      <c r="JQ44" s="7">
        <f t="shared" si="40"/>
        <v>0</v>
      </c>
      <c r="JR44" s="7">
        <f t="shared" si="41"/>
        <v>851496</v>
      </c>
      <c r="JS44" s="7">
        <f t="shared" si="42"/>
        <v>0</v>
      </c>
      <c r="JT44" s="7">
        <f t="shared" si="43"/>
        <v>44069</v>
      </c>
      <c r="JU44" s="7">
        <f t="shared" si="44"/>
        <v>0</v>
      </c>
      <c r="JV44" s="7">
        <f t="shared" si="45"/>
        <v>4267137</v>
      </c>
      <c r="JW44" s="7">
        <f t="shared" si="46"/>
        <v>0</v>
      </c>
      <c r="JX44" s="7">
        <f t="shared" si="47"/>
        <v>63367929</v>
      </c>
      <c r="JY44" s="7">
        <f t="shared" si="48"/>
        <v>0</v>
      </c>
      <c r="JZ44" s="7">
        <f t="shared" si="49"/>
        <v>0</v>
      </c>
      <c r="KA44" s="7">
        <f t="shared" si="50"/>
        <v>0</v>
      </c>
      <c r="KB44" s="7">
        <f t="shared" si="51"/>
        <v>63367929</v>
      </c>
      <c r="KC44" s="7">
        <f t="shared" si="52"/>
        <v>0</v>
      </c>
      <c r="KE44" s="7" t="e">
        <f t="shared" si="54"/>
        <v>#REF!</v>
      </c>
      <c r="KG44" s="5" t="e">
        <f t="shared" si="53"/>
        <v>#REF!</v>
      </c>
    </row>
    <row r="45" spans="1:293" x14ac:dyDescent="0.15">
      <c r="A45" s="119" t="s">
        <v>374</v>
      </c>
      <c r="B45" s="17" t="s">
        <v>403</v>
      </c>
      <c r="C45" s="38">
        <v>166629</v>
      </c>
      <c r="D45" s="38">
        <v>2013</v>
      </c>
      <c r="E45" s="38">
        <v>1</v>
      </c>
      <c r="F45" s="38">
        <v>9</v>
      </c>
      <c r="G45" s="39">
        <v>10431</v>
      </c>
      <c r="H45" s="39">
        <v>9746</v>
      </c>
      <c r="I45" s="40">
        <v>923948000</v>
      </c>
      <c r="J45" s="40"/>
      <c r="K45" s="40">
        <v>2417321</v>
      </c>
      <c r="L45" s="40"/>
      <c r="M45" s="40">
        <v>56963580</v>
      </c>
      <c r="N45" s="40"/>
      <c r="O45" s="40">
        <v>2625260</v>
      </c>
      <c r="P45" s="40"/>
      <c r="Q45" s="40">
        <v>826365000</v>
      </c>
      <c r="R45" s="40"/>
      <c r="S45" s="40">
        <v>744919000</v>
      </c>
      <c r="T45" s="40"/>
      <c r="U45" s="40">
        <v>24946</v>
      </c>
      <c r="V45" s="40"/>
      <c r="W45" s="40">
        <v>38361</v>
      </c>
      <c r="X45" s="40"/>
      <c r="Y45" s="40">
        <v>26346</v>
      </c>
      <c r="Z45" s="40"/>
      <c r="AA45" s="40">
        <v>39761</v>
      </c>
      <c r="AB45" s="40"/>
      <c r="AC45" s="56">
        <v>10</v>
      </c>
      <c r="AD45" s="56">
        <v>11</v>
      </c>
      <c r="AE45" s="56">
        <v>0</v>
      </c>
      <c r="AF45" s="57">
        <v>4933395</v>
      </c>
      <c r="AG45" s="57">
        <v>3587295</v>
      </c>
      <c r="AH45" s="57">
        <v>551752</v>
      </c>
      <c r="AI45" s="57">
        <v>273480</v>
      </c>
      <c r="AJ45" s="57">
        <v>224166.82</v>
      </c>
      <c r="AK45" s="58">
        <v>8.5</v>
      </c>
      <c r="AL45" s="57">
        <v>211713.11</v>
      </c>
      <c r="AM45" s="58">
        <v>9</v>
      </c>
      <c r="AN45" s="57">
        <v>112137</v>
      </c>
      <c r="AO45" s="58">
        <v>9</v>
      </c>
      <c r="AP45" s="57">
        <v>100923.3</v>
      </c>
      <c r="AQ45" s="58">
        <v>10</v>
      </c>
      <c r="AR45" s="57">
        <v>75456.25</v>
      </c>
      <c r="AS45" s="58">
        <v>20.39</v>
      </c>
      <c r="AT45" s="57">
        <v>61542.12</v>
      </c>
      <c r="AU45" s="58">
        <v>25</v>
      </c>
      <c r="AV45" s="57">
        <v>48324.92</v>
      </c>
      <c r="AW45" s="58">
        <v>14.73</v>
      </c>
      <c r="AX45" s="57">
        <v>41872.120000000003</v>
      </c>
      <c r="AY45" s="58">
        <v>17</v>
      </c>
      <c r="AZ45" s="79">
        <v>321712</v>
      </c>
      <c r="BA45" s="79">
        <v>875000</v>
      </c>
      <c r="BB45" s="79">
        <v>140882</v>
      </c>
      <c r="BC45" s="79">
        <v>0</v>
      </c>
      <c r="BD45" s="79">
        <v>0</v>
      </c>
      <c r="BE45" s="79">
        <v>0</v>
      </c>
      <c r="BF45" s="79">
        <v>0</v>
      </c>
      <c r="BG45" s="79">
        <v>0</v>
      </c>
      <c r="BH45" s="79">
        <v>0</v>
      </c>
      <c r="BI45" s="79">
        <v>15119</v>
      </c>
      <c r="BJ45" s="79">
        <v>15119</v>
      </c>
      <c r="BK45" s="79">
        <v>13654</v>
      </c>
      <c r="BL45" s="79">
        <v>7618</v>
      </c>
      <c r="BM45" s="79">
        <v>7609</v>
      </c>
      <c r="BN45" s="79">
        <v>53475</v>
      </c>
      <c r="BO45" s="79">
        <v>10011</v>
      </c>
      <c r="BP45" s="79">
        <v>92367</v>
      </c>
      <c r="BQ45" s="79">
        <v>163939</v>
      </c>
      <c r="BR45" s="79">
        <v>15925</v>
      </c>
      <c r="BS45" s="79">
        <v>1286</v>
      </c>
      <c r="BT45" s="79">
        <v>247427</v>
      </c>
      <c r="BU45" s="79">
        <v>269274</v>
      </c>
      <c r="BV45" s="79">
        <v>697851</v>
      </c>
      <c r="BW45" s="79">
        <v>1515187</v>
      </c>
      <c r="BX45" s="79">
        <v>936409</v>
      </c>
      <c r="BY45" s="79">
        <v>37717</v>
      </c>
      <c r="BZ45" s="79">
        <v>1105172</v>
      </c>
      <c r="CA45" s="79">
        <v>26466150</v>
      </c>
      <c r="CB45" s="79">
        <v>30060635</v>
      </c>
      <c r="CC45" s="79">
        <v>2922822</v>
      </c>
      <c r="CD45" s="79">
        <v>688481</v>
      </c>
      <c r="CE45" s="79">
        <v>657646</v>
      </c>
      <c r="CF45" s="79">
        <v>4251741</v>
      </c>
      <c r="CG45" s="79">
        <v>2730</v>
      </c>
      <c r="CH45" s="79">
        <v>8523420</v>
      </c>
      <c r="CI45" s="79">
        <v>200000</v>
      </c>
      <c r="CJ45" s="79">
        <v>15000</v>
      </c>
      <c r="CK45" s="79">
        <v>5000</v>
      </c>
      <c r="CL45" s="79">
        <v>0</v>
      </c>
      <c r="CM45" s="79">
        <v>0</v>
      </c>
      <c r="CN45" s="79">
        <v>220000</v>
      </c>
      <c r="CO45" s="79">
        <v>1237233</v>
      </c>
      <c r="CP45" s="79">
        <v>993288</v>
      </c>
      <c r="CQ45" s="79">
        <v>506559</v>
      </c>
      <c r="CR45" s="79">
        <v>2427950</v>
      </c>
      <c r="CS45" s="79">
        <v>0</v>
      </c>
      <c r="CT45" s="79">
        <v>5165030</v>
      </c>
      <c r="CU45" s="79">
        <v>0</v>
      </c>
      <c r="CV45" s="79">
        <v>0</v>
      </c>
      <c r="CW45" s="79">
        <v>0</v>
      </c>
      <c r="CX45" s="79">
        <v>0</v>
      </c>
      <c r="CY45" s="79">
        <v>0</v>
      </c>
      <c r="CZ45" s="79">
        <v>0</v>
      </c>
      <c r="DA45" s="79">
        <v>226132</v>
      </c>
      <c r="DB45" s="79">
        <v>276781</v>
      </c>
      <c r="DC45" s="79">
        <v>76650</v>
      </c>
      <c r="DD45" s="79">
        <v>114468</v>
      </c>
      <c r="DE45" s="79">
        <v>3958655</v>
      </c>
      <c r="DF45" s="79">
        <v>4652686</v>
      </c>
      <c r="DG45" s="79">
        <v>0</v>
      </c>
      <c r="DH45" s="79">
        <v>0</v>
      </c>
      <c r="DI45" s="79">
        <v>0</v>
      </c>
      <c r="DJ45" s="79">
        <v>0</v>
      </c>
      <c r="DK45" s="79">
        <v>0</v>
      </c>
      <c r="DL45" s="79">
        <v>0</v>
      </c>
      <c r="DM45" s="79">
        <v>34156</v>
      </c>
      <c r="DN45" s="79">
        <v>18856</v>
      </c>
      <c r="DO45" s="79">
        <v>16741</v>
      </c>
      <c r="DP45" s="79">
        <v>378604</v>
      </c>
      <c r="DQ45" s="79">
        <v>2988</v>
      </c>
      <c r="DR45" s="79">
        <v>451345</v>
      </c>
      <c r="DS45" s="79">
        <v>191902</v>
      </c>
      <c r="DT45" s="79">
        <v>197951</v>
      </c>
      <c r="DU45" s="79">
        <v>122144</v>
      </c>
      <c r="DV45" s="79">
        <v>313235</v>
      </c>
      <c r="DW45" s="79">
        <v>0</v>
      </c>
      <c r="DX45" s="79">
        <v>825232</v>
      </c>
      <c r="DY45" s="79">
        <v>901772</v>
      </c>
      <c r="DZ45" s="79">
        <v>517944</v>
      </c>
      <c r="EA45" s="79">
        <v>197009</v>
      </c>
      <c r="EB45" s="79">
        <v>1354680</v>
      </c>
      <c r="EC45" s="79">
        <v>0</v>
      </c>
      <c r="ED45" s="79">
        <v>2971405</v>
      </c>
      <c r="EE45" s="79">
        <v>226268</v>
      </c>
      <c r="EF45" s="79">
        <v>20599</v>
      </c>
      <c r="EG45" s="79">
        <v>42246</v>
      </c>
      <c r="EH45" s="79">
        <v>412727</v>
      </c>
      <c r="EI45" s="79">
        <v>0</v>
      </c>
      <c r="EJ45" s="79">
        <v>701840</v>
      </c>
      <c r="EK45" s="79">
        <v>191462</v>
      </c>
      <c r="EL45" s="79">
        <v>337143</v>
      </c>
      <c r="EM45" s="79">
        <v>184025</v>
      </c>
      <c r="EN45" s="79">
        <v>498466</v>
      </c>
      <c r="EO45" s="79">
        <v>45130</v>
      </c>
      <c r="EP45" s="79">
        <v>1256226</v>
      </c>
      <c r="EQ45" s="79">
        <v>295802</v>
      </c>
      <c r="ER45" s="79">
        <v>82483</v>
      </c>
      <c r="ES45" s="79">
        <v>485</v>
      </c>
      <c r="ET45" s="79">
        <v>58793</v>
      </c>
      <c r="EU45" s="79">
        <v>365326</v>
      </c>
      <c r="EV45" s="79">
        <v>802889</v>
      </c>
      <c r="EW45" s="79">
        <v>0</v>
      </c>
      <c r="EX45" s="79">
        <v>0</v>
      </c>
      <c r="EY45" s="79">
        <v>0</v>
      </c>
      <c r="EZ45" s="79">
        <v>0</v>
      </c>
      <c r="FA45" s="79">
        <v>6548</v>
      </c>
      <c r="FB45" s="79">
        <v>6548</v>
      </c>
      <c r="FC45" s="79">
        <v>159961</v>
      </c>
      <c r="FD45" s="79">
        <v>28165</v>
      </c>
      <c r="FE45" s="79">
        <v>20721</v>
      </c>
      <c r="FF45" s="79">
        <v>70320</v>
      </c>
      <c r="FG45" s="79">
        <v>674345</v>
      </c>
      <c r="FH45" s="79">
        <v>953512</v>
      </c>
      <c r="FI45" s="79">
        <v>0</v>
      </c>
      <c r="FJ45" s="79">
        <v>0</v>
      </c>
      <c r="FK45" s="79">
        <v>0</v>
      </c>
      <c r="FL45" s="79">
        <v>0</v>
      </c>
      <c r="FM45" s="79">
        <v>21498</v>
      </c>
      <c r="FN45" s="79">
        <v>21498</v>
      </c>
      <c r="FO45" s="79">
        <v>0</v>
      </c>
      <c r="FP45" s="79">
        <v>0</v>
      </c>
      <c r="FQ45" s="79">
        <v>0</v>
      </c>
      <c r="FR45" s="79">
        <v>0</v>
      </c>
      <c r="FS45" s="79">
        <v>2087458</v>
      </c>
      <c r="FT45" s="79">
        <v>2087458</v>
      </c>
      <c r="FU45" s="79">
        <v>14993</v>
      </c>
      <c r="FV45" s="79">
        <v>1528</v>
      </c>
      <c r="FW45" s="79">
        <v>317</v>
      </c>
      <c r="FX45" s="79">
        <v>4139</v>
      </c>
      <c r="FY45" s="79">
        <v>409462</v>
      </c>
      <c r="FZ45" s="79">
        <v>430439</v>
      </c>
      <c r="GA45" s="79">
        <v>122500</v>
      </c>
      <c r="GB45" s="79">
        <v>445</v>
      </c>
      <c r="GC45" s="79">
        <v>120</v>
      </c>
      <c r="GD45" s="79">
        <v>7840</v>
      </c>
      <c r="GE45" s="79">
        <v>12431</v>
      </c>
      <c r="GF45" s="79">
        <v>143336</v>
      </c>
      <c r="GG45" s="79">
        <v>172018</v>
      </c>
      <c r="GH45" s="79">
        <v>92349</v>
      </c>
      <c r="GI45" s="79">
        <v>63136</v>
      </c>
      <c r="GJ45" s="79">
        <v>279487</v>
      </c>
      <c r="GK45" s="79">
        <v>911988</v>
      </c>
      <c r="GL45" s="79">
        <v>1518978</v>
      </c>
      <c r="GM45" s="79">
        <v>6897021</v>
      </c>
      <c r="GN45" s="79">
        <v>3271013</v>
      </c>
      <c r="GO45" s="79">
        <v>1892799</v>
      </c>
      <c r="GP45" s="79">
        <v>10172450</v>
      </c>
      <c r="GQ45" s="79">
        <v>8498559</v>
      </c>
      <c r="GR45" s="79">
        <v>30731842</v>
      </c>
      <c r="GS45" s="79">
        <v>0</v>
      </c>
      <c r="GT45" s="79">
        <v>0</v>
      </c>
      <c r="GU45" s="79">
        <v>0</v>
      </c>
      <c r="GV45" s="79">
        <v>0</v>
      </c>
      <c r="GW45" s="79">
        <v>0</v>
      </c>
      <c r="GX45" s="79">
        <v>0</v>
      </c>
      <c r="GY45" s="79">
        <v>6897021</v>
      </c>
      <c r="GZ45" s="79">
        <v>3271013</v>
      </c>
      <c r="HA45" s="79">
        <v>1892799</v>
      </c>
      <c r="HB45" s="79">
        <v>10172450</v>
      </c>
      <c r="HC45" s="79">
        <v>8498559</v>
      </c>
      <c r="HD45" s="79">
        <v>30731842</v>
      </c>
      <c r="HF45" s="7">
        <f>SUM(AZ45:AZ45)</f>
        <v>321712</v>
      </c>
      <c r="HG45" s="7" t="e">
        <f>#REF!-HF45</f>
        <v>#REF!</v>
      </c>
      <c r="HH45" s="7" t="e">
        <f>SUM(#REF!)</f>
        <v>#REF!</v>
      </c>
      <c r="HI45" s="7" t="e">
        <f>#REF!-HH45</f>
        <v>#REF!</v>
      </c>
      <c r="HJ45" s="7">
        <f>SUM(BA45:BA45)</f>
        <v>875000</v>
      </c>
      <c r="HK45" s="7" t="e">
        <f>#REF!-HJ45</f>
        <v>#REF!</v>
      </c>
      <c r="HL45" s="7">
        <f>SUM(BB45:BB45)</f>
        <v>140882</v>
      </c>
      <c r="HM45" s="7" t="e">
        <f>#REF!-HL45</f>
        <v>#REF!</v>
      </c>
      <c r="HN45" s="7" t="e">
        <f>SUM(#REF!)</f>
        <v>#REF!</v>
      </c>
      <c r="HO45" s="7" t="e">
        <f>#REF!-HN45</f>
        <v>#REF!</v>
      </c>
      <c r="HP45" s="7" t="e">
        <f>SUM(#REF!)</f>
        <v>#REF!</v>
      </c>
      <c r="HQ45" s="7" t="e">
        <f>#REF!-HP45</f>
        <v>#REF!</v>
      </c>
      <c r="HR45" s="7" t="e">
        <f>SUM(#REF!)</f>
        <v>#REF!</v>
      </c>
      <c r="HS45" s="7" t="e">
        <f>#REF!-HR45</f>
        <v>#REF!</v>
      </c>
      <c r="HT45" s="7" t="e">
        <f>SUM(#REF!)</f>
        <v>#REF!</v>
      </c>
      <c r="HU45" s="7" t="e">
        <f>#REF!-HT45</f>
        <v>#REF!</v>
      </c>
      <c r="HV45" s="7" t="e">
        <f>SUM(#REF!)</f>
        <v>#REF!</v>
      </c>
      <c r="HW45" s="7" t="e">
        <f>#REF!-HV45</f>
        <v>#REF!</v>
      </c>
      <c r="HX45" s="7" t="e">
        <f>SUM(#REF!)</f>
        <v>#REF!</v>
      </c>
      <c r="HY45" s="7" t="e">
        <f>#REF!-HX45</f>
        <v>#REF!</v>
      </c>
      <c r="HZ45" s="7">
        <f>SUM(BC45:BC45)</f>
        <v>0</v>
      </c>
      <c r="IA45" s="7" t="e">
        <f>#REF!-HZ45</f>
        <v>#REF!</v>
      </c>
      <c r="IB45" s="7">
        <f>SUM(BD45:BD45)</f>
        <v>0</v>
      </c>
      <c r="IC45" s="7" t="e">
        <f>#REF!-IB45</f>
        <v>#REF!</v>
      </c>
      <c r="ID45" s="7">
        <f t="shared" si="1"/>
        <v>15119</v>
      </c>
      <c r="IE45" s="7">
        <f t="shared" si="2"/>
        <v>0</v>
      </c>
      <c r="IF45" s="7">
        <f t="shared" si="3"/>
        <v>92367</v>
      </c>
      <c r="IG45" s="7">
        <f t="shared" si="4"/>
        <v>0</v>
      </c>
      <c r="IH45" s="7">
        <f t="shared" si="5"/>
        <v>697851</v>
      </c>
      <c r="II45" s="7">
        <f t="shared" si="6"/>
        <v>0</v>
      </c>
      <c r="IJ45" s="7">
        <f t="shared" si="7"/>
        <v>30060635</v>
      </c>
      <c r="IK45" s="7">
        <f t="shared" si="8"/>
        <v>0</v>
      </c>
      <c r="IL45" s="7">
        <f t="shared" si="9"/>
        <v>8523420</v>
      </c>
      <c r="IM45" s="7">
        <f t="shared" si="10"/>
        <v>0</v>
      </c>
      <c r="IN45" s="7">
        <f t="shared" si="11"/>
        <v>220000</v>
      </c>
      <c r="IO45" s="7">
        <f t="shared" si="12"/>
        <v>0</v>
      </c>
      <c r="IP45" s="7">
        <f t="shared" si="13"/>
        <v>5165030</v>
      </c>
      <c r="IQ45" s="7">
        <f t="shared" si="14"/>
        <v>0</v>
      </c>
      <c r="IR45" s="7">
        <f t="shared" si="15"/>
        <v>0</v>
      </c>
      <c r="IS45" s="7">
        <f t="shared" si="16"/>
        <v>0</v>
      </c>
      <c r="IT45" s="7">
        <f t="shared" si="17"/>
        <v>4652686</v>
      </c>
      <c r="IU45" s="7">
        <f t="shared" si="18"/>
        <v>0</v>
      </c>
      <c r="IV45" s="7">
        <f t="shared" si="19"/>
        <v>0</v>
      </c>
      <c r="IW45" s="7">
        <f t="shared" si="20"/>
        <v>0</v>
      </c>
      <c r="IX45" s="7">
        <f t="shared" si="21"/>
        <v>451345</v>
      </c>
      <c r="IY45" s="7">
        <f t="shared" si="22"/>
        <v>0</v>
      </c>
      <c r="IZ45" s="7">
        <f t="shared" si="23"/>
        <v>825232</v>
      </c>
      <c r="JA45" s="7">
        <f t="shared" si="24"/>
        <v>0</v>
      </c>
      <c r="JB45" s="7">
        <f t="shared" si="25"/>
        <v>2971405</v>
      </c>
      <c r="JC45" s="7">
        <f t="shared" si="26"/>
        <v>0</v>
      </c>
      <c r="JD45" s="7">
        <f t="shared" si="27"/>
        <v>701840</v>
      </c>
      <c r="JE45" s="7">
        <f t="shared" si="28"/>
        <v>0</v>
      </c>
      <c r="JF45" s="7">
        <f t="shared" si="29"/>
        <v>1256226</v>
      </c>
      <c r="JG45" s="7">
        <f t="shared" si="30"/>
        <v>0</v>
      </c>
      <c r="JH45" s="7">
        <f t="shared" si="31"/>
        <v>802889</v>
      </c>
      <c r="JI45" s="7">
        <f t="shared" si="32"/>
        <v>0</v>
      </c>
      <c r="JJ45" s="7">
        <f t="shared" si="33"/>
        <v>6548</v>
      </c>
      <c r="JK45" s="7">
        <f t="shared" si="34"/>
        <v>0</v>
      </c>
      <c r="JL45" s="7">
        <f t="shared" si="35"/>
        <v>953512</v>
      </c>
      <c r="JM45" s="7">
        <f t="shared" si="36"/>
        <v>0</v>
      </c>
      <c r="JN45" s="7">
        <f t="shared" si="37"/>
        <v>21498</v>
      </c>
      <c r="JO45" s="7">
        <f t="shared" si="38"/>
        <v>0</v>
      </c>
      <c r="JP45" s="7">
        <f t="shared" si="39"/>
        <v>2087458</v>
      </c>
      <c r="JQ45" s="7">
        <f t="shared" si="40"/>
        <v>0</v>
      </c>
      <c r="JR45" s="7">
        <f t="shared" si="41"/>
        <v>430439</v>
      </c>
      <c r="JS45" s="7">
        <f t="shared" si="42"/>
        <v>0</v>
      </c>
      <c r="JT45" s="7">
        <f t="shared" si="43"/>
        <v>143336</v>
      </c>
      <c r="JU45" s="7">
        <f t="shared" si="44"/>
        <v>0</v>
      </c>
      <c r="JV45" s="7">
        <f t="shared" si="45"/>
        <v>1518978</v>
      </c>
      <c r="JW45" s="7">
        <f t="shared" si="46"/>
        <v>0</v>
      </c>
      <c r="JX45" s="7">
        <f t="shared" si="47"/>
        <v>30731842</v>
      </c>
      <c r="JY45" s="7">
        <f t="shared" si="48"/>
        <v>0</v>
      </c>
      <c r="JZ45" s="7">
        <f t="shared" si="49"/>
        <v>0</v>
      </c>
      <c r="KA45" s="7">
        <f t="shared" si="50"/>
        <v>0</v>
      </c>
      <c r="KB45" s="7">
        <f>SUM(GY45:HC45)</f>
        <v>30731842</v>
      </c>
      <c r="KC45" s="7">
        <f t="shared" si="52"/>
        <v>0</v>
      </c>
      <c r="KE45" s="7" t="e">
        <f t="shared" si="54"/>
        <v>#REF!</v>
      </c>
      <c r="KG45" s="5" t="e">
        <f t="shared" si="53"/>
        <v>#REF!</v>
      </c>
    </row>
    <row r="46" spans="1:293" x14ac:dyDescent="0.15">
      <c r="A46" s="119" t="s">
        <v>268</v>
      </c>
      <c r="B46" s="17" t="s">
        <v>403</v>
      </c>
      <c r="C46" s="38">
        <v>220862</v>
      </c>
      <c r="D46" s="38">
        <v>2013</v>
      </c>
      <c r="E46" s="38">
        <v>1</v>
      </c>
      <c r="F46" s="38">
        <v>6</v>
      </c>
      <c r="G46" s="39">
        <v>5169</v>
      </c>
      <c r="H46" s="39">
        <v>7631</v>
      </c>
      <c r="I46" s="40">
        <v>416611688</v>
      </c>
      <c r="J46" s="40"/>
      <c r="K46" s="40">
        <v>0</v>
      </c>
      <c r="L46" s="40"/>
      <c r="M46" s="40">
        <v>9693351</v>
      </c>
      <c r="N46" s="40"/>
      <c r="O46" s="40">
        <v>0</v>
      </c>
      <c r="P46" s="40"/>
      <c r="Q46" s="40">
        <v>101070572</v>
      </c>
      <c r="R46" s="40"/>
      <c r="S46" s="40">
        <v>350052345</v>
      </c>
      <c r="T46" s="40"/>
      <c r="U46" s="40">
        <v>17279</v>
      </c>
      <c r="V46" s="40"/>
      <c r="W46" s="40">
        <v>31991</v>
      </c>
      <c r="X46" s="40"/>
      <c r="Y46" s="40">
        <v>22813</v>
      </c>
      <c r="Z46" s="40"/>
      <c r="AA46" s="40">
        <v>37602</v>
      </c>
      <c r="AB46" s="40"/>
      <c r="AC46" s="56">
        <v>9</v>
      </c>
      <c r="AD46" s="56">
        <v>9</v>
      </c>
      <c r="AE46" s="56">
        <v>1</v>
      </c>
      <c r="AF46" s="57">
        <v>5183537</v>
      </c>
      <c r="AG46" s="57">
        <v>3034744</v>
      </c>
      <c r="AH46" s="57">
        <v>634276</v>
      </c>
      <c r="AI46" s="57">
        <v>200078</v>
      </c>
      <c r="AJ46" s="57">
        <v>493950.4</v>
      </c>
      <c r="AK46" s="58">
        <v>7.5</v>
      </c>
      <c r="AL46" s="57">
        <v>463078.6</v>
      </c>
      <c r="AM46" s="58">
        <v>8</v>
      </c>
      <c r="AN46" s="57">
        <v>138423.6</v>
      </c>
      <c r="AO46" s="58">
        <v>7.5</v>
      </c>
      <c r="AP46" s="57">
        <v>129772.13</v>
      </c>
      <c r="AQ46" s="58">
        <v>8</v>
      </c>
      <c r="AR46" s="57">
        <v>211910.79</v>
      </c>
      <c r="AS46" s="58">
        <v>19</v>
      </c>
      <c r="AT46" s="57">
        <v>191728.81</v>
      </c>
      <c r="AU46" s="58">
        <v>21</v>
      </c>
      <c r="AV46" s="57">
        <v>87671.8</v>
      </c>
      <c r="AW46" s="58">
        <v>10</v>
      </c>
      <c r="AX46" s="57">
        <v>62622.71</v>
      </c>
      <c r="AY46" s="58">
        <v>14</v>
      </c>
      <c r="AZ46" s="79">
        <v>2368913</v>
      </c>
      <c r="BA46" s="79">
        <v>427401</v>
      </c>
      <c r="BB46" s="79">
        <v>13580</v>
      </c>
      <c r="BC46" s="79">
        <v>52330</v>
      </c>
      <c r="BD46" s="79">
        <v>0</v>
      </c>
      <c r="BE46" s="79">
        <v>0</v>
      </c>
      <c r="BF46" s="79">
        <v>0</v>
      </c>
      <c r="BG46" s="79">
        <v>0</v>
      </c>
      <c r="BH46" s="79">
        <v>0</v>
      </c>
      <c r="BI46" s="79">
        <v>0</v>
      </c>
      <c r="BJ46" s="79">
        <v>0</v>
      </c>
      <c r="BK46" s="79">
        <v>0</v>
      </c>
      <c r="BL46" s="79">
        <v>0</v>
      </c>
      <c r="BM46" s="79">
        <v>73</v>
      </c>
      <c r="BN46" s="79">
        <v>296</v>
      </c>
      <c r="BO46" s="79">
        <v>329</v>
      </c>
      <c r="BP46" s="79">
        <v>698</v>
      </c>
      <c r="BQ46" s="79">
        <v>0</v>
      </c>
      <c r="BR46" s="79">
        <v>31075</v>
      </c>
      <c r="BS46" s="79">
        <v>1171</v>
      </c>
      <c r="BT46" s="79">
        <v>2973</v>
      </c>
      <c r="BU46" s="79">
        <v>957574</v>
      </c>
      <c r="BV46" s="79">
        <v>992793</v>
      </c>
      <c r="BW46" s="79">
        <v>3228934</v>
      </c>
      <c r="BX46" s="79">
        <v>8708694</v>
      </c>
      <c r="BY46" s="79">
        <v>98785</v>
      </c>
      <c r="BZ46" s="79">
        <v>244442</v>
      </c>
      <c r="CA46" s="79">
        <v>34065430</v>
      </c>
      <c r="CB46" s="79">
        <v>46346285</v>
      </c>
      <c r="CC46" s="79">
        <v>3120563</v>
      </c>
      <c r="CD46" s="79">
        <v>712150</v>
      </c>
      <c r="CE46" s="79">
        <v>567200</v>
      </c>
      <c r="CF46" s="79">
        <v>3893039</v>
      </c>
      <c r="CG46" s="79">
        <v>579167</v>
      </c>
      <c r="CH46" s="79">
        <v>8872119</v>
      </c>
      <c r="CI46" s="79">
        <v>390000</v>
      </c>
      <c r="CJ46" s="79">
        <v>971500</v>
      </c>
      <c r="CK46" s="79">
        <v>37098</v>
      </c>
      <c r="CL46" s="79">
        <v>8000</v>
      </c>
      <c r="CM46" s="79">
        <v>0</v>
      </c>
      <c r="CN46" s="79">
        <v>1406598</v>
      </c>
      <c r="CO46" s="79">
        <v>3804161</v>
      </c>
      <c r="CP46" s="79">
        <v>3070160</v>
      </c>
      <c r="CQ46" s="79">
        <v>794227</v>
      </c>
      <c r="CR46" s="79">
        <v>1977280</v>
      </c>
      <c r="CS46" s="79">
        <v>0</v>
      </c>
      <c r="CT46" s="79">
        <v>9645828</v>
      </c>
      <c r="CU46" s="79">
        <v>0</v>
      </c>
      <c r="CV46" s="79">
        <v>0</v>
      </c>
      <c r="CW46" s="79">
        <v>0</v>
      </c>
      <c r="CX46" s="79">
        <v>0</v>
      </c>
      <c r="CY46" s="79">
        <v>0</v>
      </c>
      <c r="CZ46" s="79">
        <v>0</v>
      </c>
      <c r="DA46" s="79">
        <v>519730</v>
      </c>
      <c r="DB46" s="79">
        <v>346229</v>
      </c>
      <c r="DC46" s="79">
        <v>225538</v>
      </c>
      <c r="DD46" s="79">
        <v>224981</v>
      </c>
      <c r="DE46" s="79">
        <v>5052188</v>
      </c>
      <c r="DF46" s="79">
        <v>6368666</v>
      </c>
      <c r="DG46" s="79">
        <v>0</v>
      </c>
      <c r="DH46" s="79">
        <v>0</v>
      </c>
      <c r="DI46" s="79">
        <v>0</v>
      </c>
      <c r="DJ46" s="79">
        <v>0</v>
      </c>
      <c r="DK46" s="79">
        <v>0</v>
      </c>
      <c r="DL46" s="79">
        <v>0</v>
      </c>
      <c r="DM46" s="79">
        <v>0</v>
      </c>
      <c r="DN46" s="79">
        <v>0</v>
      </c>
      <c r="DO46" s="79">
        <v>0</v>
      </c>
      <c r="DP46" s="79">
        <v>0</v>
      </c>
      <c r="DQ46" s="79">
        <v>0</v>
      </c>
      <c r="DR46" s="79">
        <v>0</v>
      </c>
      <c r="DS46" s="79">
        <v>362355</v>
      </c>
      <c r="DT46" s="79">
        <v>191888</v>
      </c>
      <c r="DU46" s="79">
        <v>95149</v>
      </c>
      <c r="DV46" s="79">
        <v>186046</v>
      </c>
      <c r="DW46" s="79">
        <v>0</v>
      </c>
      <c r="DX46" s="79">
        <v>835438</v>
      </c>
      <c r="DY46" s="79">
        <v>688281</v>
      </c>
      <c r="DZ46" s="79">
        <v>1016831</v>
      </c>
      <c r="EA46" s="79">
        <v>501062</v>
      </c>
      <c r="EB46" s="79">
        <v>1224017</v>
      </c>
      <c r="EC46" s="79">
        <v>0</v>
      </c>
      <c r="ED46" s="79">
        <v>3430191</v>
      </c>
      <c r="EE46" s="79">
        <v>450768</v>
      </c>
      <c r="EF46" s="79">
        <v>283923</v>
      </c>
      <c r="EG46" s="79">
        <v>86749</v>
      </c>
      <c r="EH46" s="79">
        <v>1084279</v>
      </c>
      <c r="EI46" s="79">
        <v>136110</v>
      </c>
      <c r="EJ46" s="79">
        <v>2041829</v>
      </c>
      <c r="EK46" s="79">
        <v>935954</v>
      </c>
      <c r="EL46" s="79">
        <v>769888</v>
      </c>
      <c r="EM46" s="79">
        <v>79897</v>
      </c>
      <c r="EN46" s="79">
        <v>130223</v>
      </c>
      <c r="EO46" s="79">
        <v>0</v>
      </c>
      <c r="EP46" s="79">
        <v>1915962</v>
      </c>
      <c r="EQ46" s="79">
        <v>0</v>
      </c>
      <c r="ER46" s="79">
        <v>0</v>
      </c>
      <c r="ES46" s="79">
        <v>0</v>
      </c>
      <c r="ET46" s="79">
        <v>0</v>
      </c>
      <c r="EU46" s="79">
        <v>1735340</v>
      </c>
      <c r="EV46" s="79">
        <v>1735340</v>
      </c>
      <c r="EW46" s="79">
        <v>0</v>
      </c>
      <c r="EX46" s="79">
        <v>0</v>
      </c>
      <c r="EY46" s="79">
        <v>0</v>
      </c>
      <c r="EZ46" s="79">
        <v>0</v>
      </c>
      <c r="FA46" s="79">
        <v>0</v>
      </c>
      <c r="FB46" s="79">
        <v>0</v>
      </c>
      <c r="FC46" s="79">
        <v>642937</v>
      </c>
      <c r="FD46" s="79">
        <v>948208</v>
      </c>
      <c r="FE46" s="79">
        <v>37661</v>
      </c>
      <c r="FF46" s="79">
        <v>115536</v>
      </c>
      <c r="FG46" s="79">
        <v>159820</v>
      </c>
      <c r="FH46" s="79">
        <v>1904162</v>
      </c>
      <c r="FI46" s="79">
        <v>0</v>
      </c>
      <c r="FJ46" s="79">
        <v>0</v>
      </c>
      <c r="FK46" s="79">
        <v>0</v>
      </c>
      <c r="FL46" s="79">
        <v>0</v>
      </c>
      <c r="FM46" s="79">
        <v>197385</v>
      </c>
      <c r="FN46" s="79">
        <v>197385</v>
      </c>
      <c r="FO46" s="79">
        <v>0</v>
      </c>
      <c r="FP46" s="79">
        <v>0</v>
      </c>
      <c r="FQ46" s="79">
        <v>0</v>
      </c>
      <c r="FR46" s="79">
        <v>0</v>
      </c>
      <c r="FS46" s="79">
        <v>3353151</v>
      </c>
      <c r="FT46" s="79">
        <v>3353151</v>
      </c>
      <c r="FU46" s="79">
        <v>90631</v>
      </c>
      <c r="FV46" s="79">
        <v>19814</v>
      </c>
      <c r="FW46" s="79">
        <v>10130</v>
      </c>
      <c r="FX46" s="79">
        <v>98410</v>
      </c>
      <c r="FY46" s="79">
        <v>705140</v>
      </c>
      <c r="FZ46" s="79">
        <v>924125</v>
      </c>
      <c r="GA46" s="79">
        <v>2861</v>
      </c>
      <c r="GB46" s="79">
        <v>1185</v>
      </c>
      <c r="GC46" s="79">
        <v>3859</v>
      </c>
      <c r="GD46" s="79">
        <v>6296</v>
      </c>
      <c r="GE46" s="79">
        <v>332681</v>
      </c>
      <c r="GF46" s="79">
        <v>346882</v>
      </c>
      <c r="GG46" s="79">
        <v>245560</v>
      </c>
      <c r="GH46" s="79">
        <v>126183</v>
      </c>
      <c r="GI46" s="79">
        <v>89012</v>
      </c>
      <c r="GJ46" s="79">
        <v>135817</v>
      </c>
      <c r="GK46" s="79">
        <v>2927066</v>
      </c>
      <c r="GL46" s="79">
        <v>3523638</v>
      </c>
      <c r="GM46" s="79">
        <v>11253801</v>
      </c>
      <c r="GN46" s="79">
        <v>8457959</v>
      </c>
      <c r="GO46" s="79">
        <v>2527582</v>
      </c>
      <c r="GP46" s="79">
        <v>9083924</v>
      </c>
      <c r="GQ46" s="79">
        <v>15178048</v>
      </c>
      <c r="GR46" s="79">
        <v>46501314</v>
      </c>
      <c r="GS46" s="79">
        <v>0</v>
      </c>
      <c r="GT46" s="79">
        <v>0</v>
      </c>
      <c r="GU46" s="79">
        <v>0</v>
      </c>
      <c r="GV46" s="79">
        <v>0</v>
      </c>
      <c r="GW46" s="79">
        <v>0</v>
      </c>
      <c r="GX46" s="79">
        <v>0</v>
      </c>
      <c r="GY46" s="79">
        <v>11253801</v>
      </c>
      <c r="GZ46" s="79">
        <v>8457959</v>
      </c>
      <c r="HA46" s="79">
        <v>2527582</v>
      </c>
      <c r="HB46" s="79">
        <v>9083924</v>
      </c>
      <c r="HC46" s="79">
        <v>15178048</v>
      </c>
      <c r="HD46" s="79">
        <v>46501314</v>
      </c>
      <c r="HF46" s="7">
        <f>SUM(AZ46:AZ46)</f>
        <v>2368913</v>
      </c>
      <c r="HG46" s="7" t="e">
        <f>#REF!-HF46</f>
        <v>#REF!</v>
      </c>
      <c r="HH46" s="7" t="e">
        <f>SUM(#REF!)</f>
        <v>#REF!</v>
      </c>
      <c r="HI46" s="7" t="e">
        <f>#REF!-HH46</f>
        <v>#REF!</v>
      </c>
      <c r="HJ46" s="7">
        <f>SUM(BA46:BA46)</f>
        <v>427401</v>
      </c>
      <c r="HK46" s="7" t="e">
        <f>#REF!-HJ46</f>
        <v>#REF!</v>
      </c>
      <c r="HL46" s="7">
        <f>SUM(BB46:BB46)</f>
        <v>13580</v>
      </c>
      <c r="HM46" s="7" t="e">
        <f>#REF!-HL46</f>
        <v>#REF!</v>
      </c>
      <c r="HN46" s="7" t="e">
        <f>SUM(#REF!)</f>
        <v>#REF!</v>
      </c>
      <c r="HO46" s="7" t="e">
        <f>#REF!-HN46</f>
        <v>#REF!</v>
      </c>
      <c r="HP46" s="7" t="e">
        <f>SUM(#REF!)</f>
        <v>#REF!</v>
      </c>
      <c r="HQ46" s="7" t="e">
        <f>#REF!-HP46</f>
        <v>#REF!</v>
      </c>
      <c r="HR46" s="7" t="e">
        <f>SUM(#REF!)</f>
        <v>#REF!</v>
      </c>
      <c r="HS46" s="7" t="e">
        <f>#REF!-HR46</f>
        <v>#REF!</v>
      </c>
      <c r="HT46" s="7" t="e">
        <f>SUM(#REF!)</f>
        <v>#REF!</v>
      </c>
      <c r="HU46" s="7" t="e">
        <f>#REF!-HT46</f>
        <v>#REF!</v>
      </c>
      <c r="HV46" s="7" t="e">
        <f>SUM(#REF!)</f>
        <v>#REF!</v>
      </c>
      <c r="HW46" s="7" t="e">
        <f>#REF!-HV46</f>
        <v>#REF!</v>
      </c>
      <c r="HX46" s="7" t="e">
        <f>SUM(#REF!)</f>
        <v>#REF!</v>
      </c>
      <c r="HY46" s="7" t="e">
        <f>#REF!-HX46</f>
        <v>#REF!</v>
      </c>
      <c r="HZ46" s="7">
        <f>SUM(BC46:BC46)</f>
        <v>52330</v>
      </c>
      <c r="IA46" s="7" t="e">
        <f>#REF!-HZ46</f>
        <v>#REF!</v>
      </c>
      <c r="IB46" s="7">
        <f>SUM(BD46:BD46)</f>
        <v>0</v>
      </c>
      <c r="IC46" s="7" t="e">
        <f>#REF!-IB46</f>
        <v>#REF!</v>
      </c>
      <c r="ID46" s="7">
        <f t="shared" si="1"/>
        <v>0</v>
      </c>
      <c r="IE46" s="7">
        <f t="shared" si="2"/>
        <v>0</v>
      </c>
      <c r="IF46" s="7">
        <f t="shared" si="3"/>
        <v>698</v>
      </c>
      <c r="IG46" s="7">
        <f t="shared" si="4"/>
        <v>0</v>
      </c>
      <c r="IH46" s="7">
        <f t="shared" si="5"/>
        <v>992793</v>
      </c>
      <c r="II46" s="7">
        <f t="shared" si="6"/>
        <v>0</v>
      </c>
      <c r="IJ46" s="7">
        <f t="shared" si="7"/>
        <v>46346285</v>
      </c>
      <c r="IK46" s="7">
        <f t="shared" si="8"/>
        <v>0</v>
      </c>
      <c r="IL46" s="7">
        <f t="shared" si="9"/>
        <v>8872119</v>
      </c>
      <c r="IM46" s="7">
        <f t="shared" si="10"/>
        <v>0</v>
      </c>
      <c r="IN46" s="7">
        <f t="shared" si="11"/>
        <v>1406598</v>
      </c>
      <c r="IO46" s="7">
        <f t="shared" si="12"/>
        <v>0</v>
      </c>
      <c r="IP46" s="7">
        <f t="shared" si="13"/>
        <v>9645828</v>
      </c>
      <c r="IQ46" s="7">
        <f t="shared" si="14"/>
        <v>0</v>
      </c>
      <c r="IR46" s="7">
        <f t="shared" si="15"/>
        <v>0</v>
      </c>
      <c r="IS46" s="7">
        <f t="shared" si="16"/>
        <v>0</v>
      </c>
      <c r="IT46" s="7">
        <f t="shared" si="17"/>
        <v>6368666</v>
      </c>
      <c r="IU46" s="7">
        <f t="shared" si="18"/>
        <v>0</v>
      </c>
      <c r="IV46" s="7">
        <f t="shared" si="19"/>
        <v>0</v>
      </c>
      <c r="IW46" s="7">
        <f t="shared" si="20"/>
        <v>0</v>
      </c>
      <c r="IX46" s="7">
        <f t="shared" si="21"/>
        <v>0</v>
      </c>
      <c r="IY46" s="7">
        <f t="shared" si="22"/>
        <v>0</v>
      </c>
      <c r="IZ46" s="7">
        <f t="shared" si="23"/>
        <v>835438</v>
      </c>
      <c r="JA46" s="7">
        <f t="shared" si="24"/>
        <v>0</v>
      </c>
      <c r="JB46" s="7">
        <f t="shared" si="25"/>
        <v>3430191</v>
      </c>
      <c r="JC46" s="7">
        <f t="shared" si="26"/>
        <v>0</v>
      </c>
      <c r="JD46" s="7">
        <f t="shared" si="27"/>
        <v>2041829</v>
      </c>
      <c r="JE46" s="7">
        <f t="shared" si="28"/>
        <v>0</v>
      </c>
      <c r="JF46" s="7">
        <f t="shared" si="29"/>
        <v>1915962</v>
      </c>
      <c r="JG46" s="7">
        <f t="shared" si="30"/>
        <v>0</v>
      </c>
      <c r="JH46" s="7">
        <f t="shared" si="31"/>
        <v>1735340</v>
      </c>
      <c r="JI46" s="7">
        <f t="shared" si="32"/>
        <v>0</v>
      </c>
      <c r="JJ46" s="7">
        <f t="shared" si="33"/>
        <v>0</v>
      </c>
      <c r="JK46" s="7">
        <f t="shared" si="34"/>
        <v>0</v>
      </c>
      <c r="JL46" s="7">
        <f t="shared" si="35"/>
        <v>1904162</v>
      </c>
      <c r="JM46" s="7">
        <f t="shared" si="36"/>
        <v>0</v>
      </c>
      <c r="JN46" s="7">
        <f t="shared" si="37"/>
        <v>197385</v>
      </c>
      <c r="JO46" s="7">
        <f t="shared" si="38"/>
        <v>0</v>
      </c>
      <c r="JP46" s="7">
        <f t="shared" si="39"/>
        <v>3353151</v>
      </c>
      <c r="JQ46" s="7">
        <f t="shared" si="40"/>
        <v>0</v>
      </c>
      <c r="JR46" s="7">
        <f t="shared" si="41"/>
        <v>924125</v>
      </c>
      <c r="JS46" s="7">
        <f t="shared" si="42"/>
        <v>0</v>
      </c>
      <c r="JT46" s="7">
        <f t="shared" si="43"/>
        <v>346882</v>
      </c>
      <c r="JU46" s="7">
        <f t="shared" si="44"/>
        <v>0</v>
      </c>
      <c r="JV46" s="7">
        <f t="shared" si="45"/>
        <v>3523638</v>
      </c>
      <c r="JW46" s="7">
        <f t="shared" si="46"/>
        <v>0</v>
      </c>
      <c r="JX46" s="7">
        <f t="shared" si="47"/>
        <v>46501314</v>
      </c>
      <c r="JY46" s="7">
        <f t="shared" si="48"/>
        <v>0</v>
      </c>
      <c r="JZ46" s="7">
        <f t="shared" si="49"/>
        <v>0</v>
      </c>
      <c r="KA46" s="7">
        <f t="shared" si="50"/>
        <v>0</v>
      </c>
      <c r="KB46" s="7">
        <f t="shared" si="51"/>
        <v>46501314</v>
      </c>
      <c r="KC46" s="7">
        <f t="shared" si="52"/>
        <v>0</v>
      </c>
      <c r="KE46" s="7" t="e">
        <f t="shared" si="54"/>
        <v>#REF!</v>
      </c>
      <c r="KG46" s="5" t="e">
        <f t="shared" si="53"/>
        <v>#REF!</v>
      </c>
    </row>
    <row r="47" spans="1:293" x14ac:dyDescent="0.15">
      <c r="A47" s="119" t="s">
        <v>269</v>
      </c>
      <c r="B47" s="17" t="s">
        <v>344</v>
      </c>
      <c r="C47" s="38">
        <v>218663</v>
      </c>
      <c r="D47" s="38">
        <v>2013</v>
      </c>
      <c r="E47" s="38">
        <v>1</v>
      </c>
      <c r="F47" s="38">
        <v>9</v>
      </c>
      <c r="G47" s="39">
        <v>6936</v>
      </c>
      <c r="H47" s="39">
        <v>7561</v>
      </c>
      <c r="I47" s="40">
        <v>520014002</v>
      </c>
      <c r="J47" s="40"/>
      <c r="K47" s="40">
        <v>2393115</v>
      </c>
      <c r="L47" s="40"/>
      <c r="M47" s="40">
        <v>43589361</v>
      </c>
      <c r="N47" s="40"/>
      <c r="O47" s="40">
        <v>22234998</v>
      </c>
      <c r="P47" s="40"/>
      <c r="Q47" s="40">
        <v>548814575</v>
      </c>
      <c r="R47" s="40"/>
      <c r="S47" s="40">
        <v>353503496</v>
      </c>
      <c r="T47" s="40"/>
      <c r="U47" s="40">
        <v>25629</v>
      </c>
      <c r="V47" s="40"/>
      <c r="W47" s="40">
        <v>41193</v>
      </c>
      <c r="X47" s="40"/>
      <c r="Y47" s="40">
        <v>33279</v>
      </c>
      <c r="Z47" s="40"/>
      <c r="AA47" s="40">
        <v>48843</v>
      </c>
      <c r="AB47" s="40"/>
      <c r="AC47" s="56">
        <v>8</v>
      </c>
      <c r="AD47" s="56">
        <v>11</v>
      </c>
      <c r="AE47" s="56">
        <v>0</v>
      </c>
      <c r="AF47" s="57">
        <v>5585678</v>
      </c>
      <c r="AG47" s="57">
        <v>3728244</v>
      </c>
      <c r="AH47" s="57">
        <v>372484</v>
      </c>
      <c r="AI47" s="57">
        <v>133069</v>
      </c>
      <c r="AJ47" s="57">
        <v>251487.87</v>
      </c>
      <c r="AK47" s="58">
        <v>7.5</v>
      </c>
      <c r="AL47" s="57">
        <v>235769.88</v>
      </c>
      <c r="AM47" s="58">
        <v>8</v>
      </c>
      <c r="AN47" s="57">
        <v>107454.95</v>
      </c>
      <c r="AO47" s="58">
        <v>9.5</v>
      </c>
      <c r="AP47" s="57">
        <v>102082.2</v>
      </c>
      <c r="AQ47" s="58">
        <v>10</v>
      </c>
      <c r="AR47" s="57">
        <v>102135</v>
      </c>
      <c r="AS47" s="58">
        <v>19</v>
      </c>
      <c r="AT47" s="57">
        <v>102135</v>
      </c>
      <c r="AU47" s="58">
        <v>19</v>
      </c>
      <c r="AV47" s="57">
        <v>51322.5</v>
      </c>
      <c r="AW47" s="58">
        <v>16</v>
      </c>
      <c r="AX47" s="57">
        <v>51322.5</v>
      </c>
      <c r="AY47" s="58">
        <v>16</v>
      </c>
      <c r="AZ47" s="79">
        <v>375326</v>
      </c>
      <c r="BA47" s="79">
        <v>1099582</v>
      </c>
      <c r="BB47" s="79">
        <v>417393</v>
      </c>
      <c r="BC47" s="79">
        <v>71310</v>
      </c>
      <c r="BD47" s="79">
        <v>0</v>
      </c>
      <c r="BE47" s="79">
        <v>0</v>
      </c>
      <c r="BF47" s="79">
        <v>0</v>
      </c>
      <c r="BG47" s="79">
        <v>0</v>
      </c>
      <c r="BH47" s="79">
        <v>0</v>
      </c>
      <c r="BI47" s="79">
        <v>952600</v>
      </c>
      <c r="BJ47" s="79">
        <v>952600</v>
      </c>
      <c r="BK47" s="79">
        <v>25299</v>
      </c>
      <c r="BL47" s="79">
        <v>4248</v>
      </c>
      <c r="BM47" s="79">
        <v>473</v>
      </c>
      <c r="BN47" s="79">
        <v>8847</v>
      </c>
      <c r="BO47" s="79">
        <v>322879</v>
      </c>
      <c r="BP47" s="79">
        <v>361746</v>
      </c>
      <c r="BQ47" s="79">
        <v>131249</v>
      </c>
      <c r="BR47" s="79">
        <v>8304</v>
      </c>
      <c r="BS47" s="79">
        <v>2117</v>
      </c>
      <c r="BT47" s="79">
        <v>169381</v>
      </c>
      <c r="BU47" s="79">
        <v>330049</v>
      </c>
      <c r="BV47" s="79">
        <v>641100</v>
      </c>
      <c r="BW47" s="79">
        <v>6922038</v>
      </c>
      <c r="BX47" s="79">
        <v>1900436</v>
      </c>
      <c r="BY47" s="79">
        <v>1382127</v>
      </c>
      <c r="BZ47" s="79">
        <v>10925770</v>
      </c>
      <c r="CA47" s="79">
        <v>7575320</v>
      </c>
      <c r="CB47" s="79">
        <v>28705691</v>
      </c>
      <c r="CC47" s="79">
        <v>3204263</v>
      </c>
      <c r="CD47" s="79">
        <v>404280</v>
      </c>
      <c r="CE47" s="79">
        <v>463664</v>
      </c>
      <c r="CF47" s="79">
        <v>5241715</v>
      </c>
      <c r="CG47" s="79">
        <v>621133</v>
      </c>
      <c r="CH47" s="79">
        <v>9935055</v>
      </c>
      <c r="CI47" s="79">
        <v>200000</v>
      </c>
      <c r="CJ47" s="79">
        <v>149000</v>
      </c>
      <c r="CK47" s="79">
        <v>6000</v>
      </c>
      <c r="CL47" s="79">
        <v>10440</v>
      </c>
      <c r="CM47" s="79">
        <v>0</v>
      </c>
      <c r="CN47" s="79">
        <v>365440</v>
      </c>
      <c r="CO47" s="79">
        <v>1577963</v>
      </c>
      <c r="CP47" s="79">
        <v>675514</v>
      </c>
      <c r="CQ47" s="79">
        <v>455177</v>
      </c>
      <c r="CR47" s="79">
        <v>2960052</v>
      </c>
      <c r="CS47" s="79">
        <v>0</v>
      </c>
      <c r="CT47" s="79">
        <v>5668706</v>
      </c>
      <c r="CU47" s="79">
        <v>0</v>
      </c>
      <c r="CV47" s="79">
        <v>0</v>
      </c>
      <c r="CW47" s="79">
        <v>0</v>
      </c>
      <c r="CX47" s="79">
        <v>0</v>
      </c>
      <c r="CY47" s="79">
        <v>0</v>
      </c>
      <c r="CZ47" s="79">
        <v>0</v>
      </c>
      <c r="DA47" s="79">
        <v>338094</v>
      </c>
      <c r="DB47" s="79">
        <v>87704</v>
      </c>
      <c r="DC47" s="79">
        <v>92327</v>
      </c>
      <c r="DD47" s="79">
        <v>63719</v>
      </c>
      <c r="DE47" s="79">
        <v>4165242</v>
      </c>
      <c r="DF47" s="79">
        <v>4747086</v>
      </c>
      <c r="DG47" s="79">
        <v>0</v>
      </c>
      <c r="DH47" s="79">
        <v>0</v>
      </c>
      <c r="DI47" s="79">
        <v>0</v>
      </c>
      <c r="DJ47" s="79">
        <v>0</v>
      </c>
      <c r="DK47" s="79">
        <v>0</v>
      </c>
      <c r="DL47" s="79">
        <v>0</v>
      </c>
      <c r="DM47" s="79">
        <v>0</v>
      </c>
      <c r="DN47" s="79">
        <v>0</v>
      </c>
      <c r="DO47" s="79">
        <v>34054</v>
      </c>
      <c r="DP47" s="79">
        <v>0</v>
      </c>
      <c r="DQ47" s="79">
        <v>0</v>
      </c>
      <c r="DR47" s="79">
        <v>34054</v>
      </c>
      <c r="DS47" s="79">
        <v>167913</v>
      </c>
      <c r="DT47" s="79">
        <v>121977</v>
      </c>
      <c r="DU47" s="79">
        <v>28822</v>
      </c>
      <c r="DV47" s="79">
        <v>186841</v>
      </c>
      <c r="DW47" s="79">
        <v>47526</v>
      </c>
      <c r="DX47" s="79">
        <v>553079</v>
      </c>
      <c r="DY47" s="79">
        <v>565118</v>
      </c>
      <c r="DZ47" s="79">
        <v>149349</v>
      </c>
      <c r="EA47" s="79">
        <v>93509</v>
      </c>
      <c r="EB47" s="79">
        <v>1062119</v>
      </c>
      <c r="EC47" s="79">
        <v>127631</v>
      </c>
      <c r="ED47" s="79">
        <v>1997726</v>
      </c>
      <c r="EE47" s="79">
        <v>198791</v>
      </c>
      <c r="EF47" s="79">
        <v>52651</v>
      </c>
      <c r="EG47" s="79">
        <v>19040</v>
      </c>
      <c r="EH47" s="79">
        <v>397198</v>
      </c>
      <c r="EI47" s="79">
        <v>237891</v>
      </c>
      <c r="EJ47" s="79">
        <v>905571</v>
      </c>
      <c r="EK47" s="79">
        <v>198497</v>
      </c>
      <c r="EL47" s="79">
        <v>112901</v>
      </c>
      <c r="EM47" s="79">
        <v>97387</v>
      </c>
      <c r="EN47" s="79">
        <v>418713</v>
      </c>
      <c r="EO47" s="79">
        <v>219551</v>
      </c>
      <c r="EP47" s="79">
        <v>1047049</v>
      </c>
      <c r="EQ47" s="79">
        <v>7962</v>
      </c>
      <c r="ER47" s="79">
        <v>1613</v>
      </c>
      <c r="ES47" s="79">
        <v>2734</v>
      </c>
      <c r="ET47" s="79">
        <v>13853</v>
      </c>
      <c r="EU47" s="79">
        <v>105744</v>
      </c>
      <c r="EV47" s="79">
        <v>131906</v>
      </c>
      <c r="EW47" s="79">
        <v>0</v>
      </c>
      <c r="EX47" s="79">
        <v>0</v>
      </c>
      <c r="EY47" s="79">
        <v>0</v>
      </c>
      <c r="EZ47" s="79">
        <v>0</v>
      </c>
      <c r="FA47" s="79">
        <v>947027</v>
      </c>
      <c r="FB47" s="79">
        <v>947027</v>
      </c>
      <c r="FC47" s="79">
        <v>70219</v>
      </c>
      <c r="FD47" s="79">
        <v>21104</v>
      </c>
      <c r="FE47" s="79">
        <v>18396</v>
      </c>
      <c r="FF47" s="79">
        <v>40945</v>
      </c>
      <c r="FG47" s="79">
        <v>30904</v>
      </c>
      <c r="FH47" s="79">
        <v>181568</v>
      </c>
      <c r="FI47" s="79">
        <v>0</v>
      </c>
      <c r="FJ47" s="79">
        <v>0</v>
      </c>
      <c r="FK47" s="79">
        <v>0</v>
      </c>
      <c r="FL47" s="79">
        <v>0</v>
      </c>
      <c r="FM47" s="79">
        <v>57825</v>
      </c>
      <c r="FN47" s="79">
        <v>57825</v>
      </c>
      <c r="FO47" s="79">
        <v>0</v>
      </c>
      <c r="FP47" s="79">
        <v>0</v>
      </c>
      <c r="FQ47" s="79">
        <v>0</v>
      </c>
      <c r="FR47" s="79">
        <v>0</v>
      </c>
      <c r="FS47" s="79">
        <v>25557</v>
      </c>
      <c r="FT47" s="79">
        <v>25557</v>
      </c>
      <c r="FU47" s="79">
        <v>39473</v>
      </c>
      <c r="FV47" s="79">
        <v>6612</v>
      </c>
      <c r="FW47" s="79">
        <v>6995</v>
      </c>
      <c r="FX47" s="79">
        <v>70984</v>
      </c>
      <c r="FY47" s="79">
        <v>12279</v>
      </c>
      <c r="FZ47" s="79">
        <v>136343</v>
      </c>
      <c r="GA47" s="79">
        <v>10466</v>
      </c>
      <c r="GB47" s="79">
        <v>4932</v>
      </c>
      <c r="GC47" s="79">
        <v>2337</v>
      </c>
      <c r="GD47" s="79">
        <v>99315</v>
      </c>
      <c r="GE47" s="79">
        <v>277471</v>
      </c>
      <c r="GF47" s="79">
        <v>394521</v>
      </c>
      <c r="GG47" s="79">
        <v>343279</v>
      </c>
      <c r="GH47" s="79">
        <v>112798</v>
      </c>
      <c r="GI47" s="79">
        <v>61685</v>
      </c>
      <c r="GJ47" s="79">
        <v>359877</v>
      </c>
      <c r="GK47" s="79">
        <v>920799</v>
      </c>
      <c r="GL47" s="79">
        <v>1798438</v>
      </c>
      <c r="GM47" s="79">
        <v>6922038</v>
      </c>
      <c r="GN47" s="79">
        <v>1900435</v>
      </c>
      <c r="GO47" s="79">
        <v>1382127</v>
      </c>
      <c r="GP47" s="79">
        <v>10925771</v>
      </c>
      <c r="GQ47" s="79">
        <v>7796580</v>
      </c>
      <c r="GR47" s="79">
        <v>28926951</v>
      </c>
      <c r="GS47" s="79">
        <v>0</v>
      </c>
      <c r="GT47" s="79">
        <v>0</v>
      </c>
      <c r="GU47" s="79">
        <v>0</v>
      </c>
      <c r="GV47" s="79">
        <v>0</v>
      </c>
      <c r="GW47" s="79">
        <v>0</v>
      </c>
      <c r="GX47" s="79">
        <v>0</v>
      </c>
      <c r="GY47" s="79">
        <v>6922038</v>
      </c>
      <c r="GZ47" s="79">
        <v>1900435</v>
      </c>
      <c r="HA47" s="79">
        <v>1382127</v>
      </c>
      <c r="HB47" s="79">
        <v>10925771</v>
      </c>
      <c r="HC47" s="79">
        <v>7796580</v>
      </c>
      <c r="HD47" s="79">
        <v>28926951</v>
      </c>
      <c r="HF47" s="7">
        <f>SUM(AZ47:AZ47)</f>
        <v>375326</v>
      </c>
      <c r="HG47" s="7" t="e">
        <f>#REF!-HF47</f>
        <v>#REF!</v>
      </c>
      <c r="HH47" s="7" t="e">
        <f>SUM(#REF!)</f>
        <v>#REF!</v>
      </c>
      <c r="HI47" s="7" t="e">
        <f>#REF!-HH47</f>
        <v>#REF!</v>
      </c>
      <c r="HJ47" s="7">
        <f>SUM(BA47:BA47)</f>
        <v>1099582</v>
      </c>
      <c r="HK47" s="7" t="e">
        <f>#REF!-HJ47</f>
        <v>#REF!</v>
      </c>
      <c r="HL47" s="7">
        <f>SUM(BB47:BB47)</f>
        <v>417393</v>
      </c>
      <c r="HM47" s="7" t="e">
        <f>#REF!-HL47</f>
        <v>#REF!</v>
      </c>
      <c r="HN47" s="7" t="e">
        <f>SUM(#REF!)</f>
        <v>#REF!</v>
      </c>
      <c r="HO47" s="7" t="e">
        <f>#REF!-HN47</f>
        <v>#REF!</v>
      </c>
      <c r="HP47" s="7" t="e">
        <f>SUM(#REF!)</f>
        <v>#REF!</v>
      </c>
      <c r="HQ47" s="7" t="e">
        <f>#REF!-HP47</f>
        <v>#REF!</v>
      </c>
      <c r="HR47" s="7" t="e">
        <f>SUM(#REF!)</f>
        <v>#REF!</v>
      </c>
      <c r="HS47" s="7" t="e">
        <f>#REF!-HR47</f>
        <v>#REF!</v>
      </c>
      <c r="HT47" s="7" t="e">
        <f>SUM(#REF!)</f>
        <v>#REF!</v>
      </c>
      <c r="HU47" s="7" t="e">
        <f>#REF!-HT47</f>
        <v>#REF!</v>
      </c>
      <c r="HV47" s="7" t="e">
        <f>SUM(#REF!)</f>
        <v>#REF!</v>
      </c>
      <c r="HW47" s="7" t="e">
        <f>#REF!-HV47</f>
        <v>#REF!</v>
      </c>
      <c r="HX47" s="7" t="e">
        <f>SUM(#REF!)</f>
        <v>#REF!</v>
      </c>
      <c r="HY47" s="7" t="e">
        <f>#REF!-HX47</f>
        <v>#REF!</v>
      </c>
      <c r="HZ47" s="7">
        <f>SUM(BC47:BC47)</f>
        <v>71310</v>
      </c>
      <c r="IA47" s="7" t="e">
        <f>#REF!-HZ47</f>
        <v>#REF!</v>
      </c>
      <c r="IB47" s="7">
        <f>SUM(BD47:BD47)</f>
        <v>0</v>
      </c>
      <c r="IC47" s="7" t="e">
        <f>#REF!-IB47</f>
        <v>#REF!</v>
      </c>
      <c r="ID47" s="7">
        <f t="shared" si="1"/>
        <v>952600</v>
      </c>
      <c r="IE47" s="7">
        <f t="shared" si="2"/>
        <v>0</v>
      </c>
      <c r="IF47" s="7">
        <f t="shared" si="3"/>
        <v>361746</v>
      </c>
      <c r="IG47" s="7">
        <f t="shared" si="4"/>
        <v>0</v>
      </c>
      <c r="IH47" s="7">
        <f t="shared" si="5"/>
        <v>641100</v>
      </c>
      <c r="II47" s="7">
        <f t="shared" si="6"/>
        <v>0</v>
      </c>
      <c r="IJ47" s="7">
        <f t="shared" si="7"/>
        <v>28705691</v>
      </c>
      <c r="IK47" s="7">
        <f t="shared" si="8"/>
        <v>0</v>
      </c>
      <c r="IL47" s="7">
        <f t="shared" si="9"/>
        <v>9935055</v>
      </c>
      <c r="IM47" s="7">
        <f t="shared" si="10"/>
        <v>0</v>
      </c>
      <c r="IN47" s="7">
        <f t="shared" si="11"/>
        <v>365440</v>
      </c>
      <c r="IO47" s="7">
        <f t="shared" si="12"/>
        <v>0</v>
      </c>
      <c r="IP47" s="7">
        <f t="shared" si="13"/>
        <v>5668706</v>
      </c>
      <c r="IQ47" s="7">
        <f t="shared" si="14"/>
        <v>0</v>
      </c>
      <c r="IR47" s="7">
        <f t="shared" si="15"/>
        <v>0</v>
      </c>
      <c r="IS47" s="7">
        <f t="shared" si="16"/>
        <v>0</v>
      </c>
      <c r="IT47" s="7">
        <f t="shared" si="17"/>
        <v>4747086</v>
      </c>
      <c r="IU47" s="7">
        <f t="shared" si="18"/>
        <v>0</v>
      </c>
      <c r="IV47" s="7">
        <f t="shared" si="19"/>
        <v>0</v>
      </c>
      <c r="IW47" s="7">
        <f t="shared" si="20"/>
        <v>0</v>
      </c>
      <c r="IX47" s="7">
        <f t="shared" si="21"/>
        <v>34054</v>
      </c>
      <c r="IY47" s="7">
        <f t="shared" si="22"/>
        <v>0</v>
      </c>
      <c r="IZ47" s="7">
        <f t="shared" si="23"/>
        <v>553079</v>
      </c>
      <c r="JA47" s="7">
        <f t="shared" si="24"/>
        <v>0</v>
      </c>
      <c r="JB47" s="7">
        <f t="shared" si="25"/>
        <v>1997726</v>
      </c>
      <c r="JC47" s="7">
        <f t="shared" si="26"/>
        <v>0</v>
      </c>
      <c r="JD47" s="7">
        <f t="shared" si="27"/>
        <v>905571</v>
      </c>
      <c r="JE47" s="7">
        <f t="shared" si="28"/>
        <v>0</v>
      </c>
      <c r="JF47" s="7">
        <f t="shared" si="29"/>
        <v>1047049</v>
      </c>
      <c r="JG47" s="7">
        <f t="shared" si="30"/>
        <v>0</v>
      </c>
      <c r="JH47" s="7">
        <f t="shared" si="31"/>
        <v>131906</v>
      </c>
      <c r="JI47" s="7">
        <f t="shared" si="32"/>
        <v>0</v>
      </c>
      <c r="JJ47" s="7">
        <f t="shared" si="33"/>
        <v>947027</v>
      </c>
      <c r="JK47" s="7">
        <f t="shared" si="34"/>
        <v>0</v>
      </c>
      <c r="JL47" s="7">
        <f t="shared" si="35"/>
        <v>181568</v>
      </c>
      <c r="JM47" s="7">
        <f t="shared" si="36"/>
        <v>0</v>
      </c>
      <c r="JN47" s="7">
        <f t="shared" si="37"/>
        <v>57825</v>
      </c>
      <c r="JO47" s="7">
        <f t="shared" si="38"/>
        <v>0</v>
      </c>
      <c r="JP47" s="7">
        <f t="shared" si="39"/>
        <v>25557</v>
      </c>
      <c r="JQ47" s="7">
        <f t="shared" si="40"/>
        <v>0</v>
      </c>
      <c r="JR47" s="7">
        <f t="shared" si="41"/>
        <v>136343</v>
      </c>
      <c r="JS47" s="7">
        <f t="shared" si="42"/>
        <v>0</v>
      </c>
      <c r="JT47" s="7">
        <f t="shared" si="43"/>
        <v>394521</v>
      </c>
      <c r="JU47" s="7">
        <f t="shared" si="44"/>
        <v>0</v>
      </c>
      <c r="JV47" s="7">
        <f t="shared" si="45"/>
        <v>1798438</v>
      </c>
      <c r="JW47" s="7">
        <f t="shared" si="46"/>
        <v>0</v>
      </c>
      <c r="JX47" s="7">
        <f t="shared" si="47"/>
        <v>28926951</v>
      </c>
      <c r="JY47" s="7">
        <f t="shared" si="48"/>
        <v>0</v>
      </c>
      <c r="JZ47" s="7">
        <f t="shared" si="49"/>
        <v>0</v>
      </c>
      <c r="KA47" s="7">
        <f t="shared" si="50"/>
        <v>0</v>
      </c>
      <c r="KB47" s="7">
        <f t="shared" si="51"/>
        <v>28926951</v>
      </c>
      <c r="KC47" s="7">
        <f t="shared" si="52"/>
        <v>0</v>
      </c>
      <c r="KE47" s="7" t="e">
        <f t="shared" si="54"/>
        <v>#REF!</v>
      </c>
      <c r="KG47" s="5" t="e">
        <f t="shared" si="53"/>
        <v>#REF!</v>
      </c>
    </row>
    <row r="48" spans="1:293" x14ac:dyDescent="0.15">
      <c r="A48" s="119" t="s">
        <v>271</v>
      </c>
      <c r="B48" s="17" t="s">
        <v>343</v>
      </c>
      <c r="C48" s="41">
        <v>171100</v>
      </c>
      <c r="D48" s="38">
        <v>2013</v>
      </c>
      <c r="E48" s="38">
        <v>1</v>
      </c>
      <c r="F48" s="38">
        <v>3</v>
      </c>
      <c r="G48" s="39">
        <v>16952</v>
      </c>
      <c r="H48" s="39">
        <v>17344</v>
      </c>
      <c r="I48" s="40">
        <v>2060045000</v>
      </c>
      <c r="J48" s="40"/>
      <c r="K48" s="40">
        <v>7766847</v>
      </c>
      <c r="L48" s="40"/>
      <c r="M48" s="40">
        <v>199237000</v>
      </c>
      <c r="N48" s="40"/>
      <c r="O48" s="40">
        <v>82200000</v>
      </c>
      <c r="P48" s="40"/>
      <c r="Q48" s="40">
        <v>1028820000</v>
      </c>
      <c r="R48" s="40"/>
      <c r="S48" s="40">
        <v>1593119000</v>
      </c>
      <c r="T48" s="40"/>
      <c r="U48" s="40">
        <v>22814</v>
      </c>
      <c r="V48" s="40"/>
      <c r="W48" s="40">
        <v>42698</v>
      </c>
      <c r="X48" s="40"/>
      <c r="Y48" s="40">
        <v>24668</v>
      </c>
      <c r="Z48" s="40"/>
      <c r="AA48" s="40">
        <v>44552</v>
      </c>
      <c r="AB48" s="40"/>
      <c r="AC48" s="56">
        <v>12</v>
      </c>
      <c r="AD48" s="56">
        <v>13</v>
      </c>
      <c r="AE48" s="56">
        <v>0</v>
      </c>
      <c r="AF48" s="57">
        <v>6403695</v>
      </c>
      <c r="AG48" s="57">
        <v>5450087</v>
      </c>
      <c r="AH48" s="57">
        <v>1010252</v>
      </c>
      <c r="AI48" s="57">
        <v>341192</v>
      </c>
      <c r="AJ48" s="57">
        <v>764205</v>
      </c>
      <c r="AK48" s="58">
        <v>9</v>
      </c>
      <c r="AL48" s="57">
        <v>687785</v>
      </c>
      <c r="AM48" s="58">
        <v>10</v>
      </c>
      <c r="AN48" s="57">
        <v>184901</v>
      </c>
      <c r="AO48" s="58">
        <v>10</v>
      </c>
      <c r="AP48" s="57">
        <v>168092</v>
      </c>
      <c r="AQ48" s="58">
        <v>11</v>
      </c>
      <c r="AR48" s="57">
        <v>191503</v>
      </c>
      <c r="AS48" s="58">
        <v>27</v>
      </c>
      <c r="AT48" s="57">
        <v>146801</v>
      </c>
      <c r="AU48" s="58">
        <v>35</v>
      </c>
      <c r="AV48" s="57">
        <v>84426</v>
      </c>
      <c r="AW48" s="58">
        <v>21</v>
      </c>
      <c r="AX48" s="57">
        <v>68839</v>
      </c>
      <c r="AY48" s="58">
        <v>26</v>
      </c>
      <c r="AZ48" s="79">
        <v>19766146</v>
      </c>
      <c r="BA48" s="79">
        <v>0</v>
      </c>
      <c r="BB48" s="79">
        <v>14996003</v>
      </c>
      <c r="BC48" s="79">
        <v>890067</v>
      </c>
      <c r="BD48" s="79">
        <v>345000</v>
      </c>
      <c r="BE48" s="79">
        <v>208667</v>
      </c>
      <c r="BF48" s="79">
        <v>342105</v>
      </c>
      <c r="BG48" s="79">
        <v>103916</v>
      </c>
      <c r="BH48" s="79">
        <v>1720990</v>
      </c>
      <c r="BI48" s="79">
        <v>39937</v>
      </c>
      <c r="BJ48" s="79">
        <v>2415615</v>
      </c>
      <c r="BK48" s="79">
        <v>68881</v>
      </c>
      <c r="BL48" s="79">
        <v>28639</v>
      </c>
      <c r="BM48" s="79">
        <v>6023</v>
      </c>
      <c r="BN48" s="79">
        <v>313918</v>
      </c>
      <c r="BO48" s="79">
        <v>1398392</v>
      </c>
      <c r="BP48" s="79">
        <v>1815853</v>
      </c>
      <c r="BQ48" s="79">
        <v>301730</v>
      </c>
      <c r="BR48" s="79">
        <v>35535</v>
      </c>
      <c r="BS48" s="79">
        <v>33177</v>
      </c>
      <c r="BT48" s="79">
        <v>379423</v>
      </c>
      <c r="BU48" s="79">
        <v>1110015</v>
      </c>
      <c r="BV48" s="79">
        <v>1859880</v>
      </c>
      <c r="BW48" s="79">
        <v>54401267</v>
      </c>
      <c r="BX48" s="79">
        <v>19161972</v>
      </c>
      <c r="BY48" s="79">
        <v>790905</v>
      </c>
      <c r="BZ48" s="79">
        <v>8825867</v>
      </c>
      <c r="CA48" s="79">
        <v>14762715</v>
      </c>
      <c r="CB48" s="79">
        <v>97942726</v>
      </c>
      <c r="CC48" s="79">
        <v>3239924</v>
      </c>
      <c r="CD48" s="79">
        <v>508254</v>
      </c>
      <c r="CE48" s="79">
        <v>487777</v>
      </c>
      <c r="CF48" s="79">
        <v>7617827</v>
      </c>
      <c r="CG48" s="79">
        <v>146445</v>
      </c>
      <c r="CH48" s="79">
        <v>12000227</v>
      </c>
      <c r="CI48" s="79">
        <v>2720083</v>
      </c>
      <c r="CJ48" s="79">
        <v>755781</v>
      </c>
      <c r="CK48" s="79">
        <v>108500</v>
      </c>
      <c r="CL48" s="79">
        <v>66500</v>
      </c>
      <c r="CM48" s="79">
        <v>0</v>
      </c>
      <c r="CN48" s="79">
        <v>3650864</v>
      </c>
      <c r="CO48" s="79">
        <v>5115339</v>
      </c>
      <c r="CP48" s="79">
        <v>4360432</v>
      </c>
      <c r="CQ48" s="79">
        <v>1044859</v>
      </c>
      <c r="CR48" s="79">
        <v>5134107</v>
      </c>
      <c r="CS48" s="79">
        <v>0</v>
      </c>
      <c r="CT48" s="79">
        <v>15654737</v>
      </c>
      <c r="CU48" s="79">
        <v>120500</v>
      </c>
      <c r="CV48" s="79">
        <v>464500</v>
      </c>
      <c r="CW48" s="79">
        <v>1250</v>
      </c>
      <c r="CX48" s="79">
        <v>2500</v>
      </c>
      <c r="CY48" s="79">
        <v>0</v>
      </c>
      <c r="CZ48" s="79">
        <v>588750</v>
      </c>
      <c r="DA48" s="79">
        <v>1130984</v>
      </c>
      <c r="DB48" s="79">
        <v>468903</v>
      </c>
      <c r="DC48" s="79">
        <v>220505</v>
      </c>
      <c r="DD48" s="79">
        <v>322334</v>
      </c>
      <c r="DE48" s="79">
        <v>11523245</v>
      </c>
      <c r="DF48" s="79">
        <v>13665971</v>
      </c>
      <c r="DG48" s="79">
        <v>0</v>
      </c>
      <c r="DH48" s="79">
        <v>0</v>
      </c>
      <c r="DI48" s="79">
        <v>0</v>
      </c>
      <c r="DJ48" s="79">
        <v>0</v>
      </c>
      <c r="DK48" s="79">
        <v>0</v>
      </c>
      <c r="DL48" s="79">
        <v>0</v>
      </c>
      <c r="DM48" s="79">
        <v>0</v>
      </c>
      <c r="DN48" s="79">
        <v>0</v>
      </c>
      <c r="DO48" s="79">
        <v>0</v>
      </c>
      <c r="DP48" s="79">
        <v>0</v>
      </c>
      <c r="DQ48" s="79">
        <v>48443</v>
      </c>
      <c r="DR48" s="79">
        <v>48443</v>
      </c>
      <c r="DS48" s="79">
        <v>627592</v>
      </c>
      <c r="DT48" s="79">
        <v>210577</v>
      </c>
      <c r="DU48" s="79">
        <v>115322</v>
      </c>
      <c r="DV48" s="79">
        <v>397953</v>
      </c>
      <c r="DW48" s="79">
        <v>0</v>
      </c>
      <c r="DX48" s="79">
        <v>1351444</v>
      </c>
      <c r="DY48" s="79">
        <v>1737008</v>
      </c>
      <c r="DZ48" s="79">
        <v>1048208</v>
      </c>
      <c r="EA48" s="79">
        <v>430545</v>
      </c>
      <c r="EB48" s="79">
        <v>2311885</v>
      </c>
      <c r="EC48" s="79">
        <v>0</v>
      </c>
      <c r="ED48" s="79">
        <v>5527646</v>
      </c>
      <c r="EE48" s="79">
        <v>755815</v>
      </c>
      <c r="EF48" s="79">
        <v>301307</v>
      </c>
      <c r="EG48" s="79">
        <v>135126</v>
      </c>
      <c r="EH48" s="79">
        <v>1411323</v>
      </c>
      <c r="EI48" s="79">
        <v>30000</v>
      </c>
      <c r="EJ48" s="79">
        <v>2633571</v>
      </c>
      <c r="EK48" s="79">
        <v>2171605</v>
      </c>
      <c r="EL48" s="79">
        <v>987570</v>
      </c>
      <c r="EM48" s="79">
        <v>388749</v>
      </c>
      <c r="EN48" s="79">
        <v>553329</v>
      </c>
      <c r="EO48" s="79">
        <v>859</v>
      </c>
      <c r="EP48" s="79">
        <v>4102112</v>
      </c>
      <c r="EQ48" s="79">
        <v>117855</v>
      </c>
      <c r="ER48" s="79">
        <v>84638</v>
      </c>
      <c r="ES48" s="79">
        <v>22224</v>
      </c>
      <c r="ET48" s="79">
        <v>71996</v>
      </c>
      <c r="EU48" s="79">
        <v>1585766</v>
      </c>
      <c r="EV48" s="79">
        <v>1882479</v>
      </c>
      <c r="EW48" s="79">
        <v>106440</v>
      </c>
      <c r="EX48" s="79">
        <v>235523</v>
      </c>
      <c r="EY48" s="79">
        <v>54958</v>
      </c>
      <c r="EZ48" s="79">
        <v>855710</v>
      </c>
      <c r="FA48" s="79">
        <v>170520</v>
      </c>
      <c r="FB48" s="79">
        <v>1423151</v>
      </c>
      <c r="FC48" s="79">
        <v>2271693</v>
      </c>
      <c r="FD48" s="79">
        <v>214790</v>
      </c>
      <c r="FE48" s="79">
        <v>6511</v>
      </c>
      <c r="FF48" s="79">
        <v>870424</v>
      </c>
      <c r="FG48" s="79">
        <v>14880546</v>
      </c>
      <c r="FH48" s="79">
        <v>18243964</v>
      </c>
      <c r="FI48" s="79">
        <v>455577</v>
      </c>
      <c r="FJ48" s="79">
        <v>0</v>
      </c>
      <c r="FK48" s="79">
        <v>0</v>
      </c>
      <c r="FL48" s="79">
        <v>0</v>
      </c>
      <c r="FM48" s="79">
        <v>106063</v>
      </c>
      <c r="FN48" s="79">
        <v>561640</v>
      </c>
      <c r="FO48" s="79">
        <v>0</v>
      </c>
      <c r="FP48" s="79">
        <v>0</v>
      </c>
      <c r="FQ48" s="79">
        <v>0</v>
      </c>
      <c r="FR48" s="79">
        <v>0</v>
      </c>
      <c r="FS48" s="79">
        <v>1384399</v>
      </c>
      <c r="FT48" s="79">
        <v>1384399</v>
      </c>
      <c r="FU48" s="79">
        <v>36576</v>
      </c>
      <c r="FV48" s="79">
        <v>6422</v>
      </c>
      <c r="FW48" s="79">
        <v>8911</v>
      </c>
      <c r="FX48" s="79">
        <v>88702</v>
      </c>
      <c r="FY48" s="79">
        <v>1355382</v>
      </c>
      <c r="FZ48" s="79">
        <v>1495993</v>
      </c>
      <c r="GA48" s="79">
        <v>2467</v>
      </c>
      <c r="GB48" s="79">
        <v>757</v>
      </c>
      <c r="GC48" s="79">
        <v>1259</v>
      </c>
      <c r="GD48" s="79">
        <v>8345</v>
      </c>
      <c r="GE48" s="79">
        <v>104062</v>
      </c>
      <c r="GF48" s="79">
        <v>116890</v>
      </c>
      <c r="GG48" s="79">
        <v>2168973</v>
      </c>
      <c r="GH48" s="79">
        <v>441903</v>
      </c>
      <c r="GI48" s="79">
        <v>200672</v>
      </c>
      <c r="GJ48" s="79">
        <v>1095391</v>
      </c>
      <c r="GK48" s="79">
        <v>5504309</v>
      </c>
      <c r="GL48" s="79">
        <v>9411248</v>
      </c>
      <c r="GM48" s="79">
        <v>22778431</v>
      </c>
      <c r="GN48" s="79">
        <v>10089565</v>
      </c>
      <c r="GO48" s="79">
        <v>3227168</v>
      </c>
      <c r="GP48" s="79">
        <v>20808326</v>
      </c>
      <c r="GQ48" s="79">
        <v>36840039</v>
      </c>
      <c r="GR48" s="79">
        <v>93743529</v>
      </c>
      <c r="GS48" s="79">
        <v>0</v>
      </c>
      <c r="GT48" s="79">
        <v>0</v>
      </c>
      <c r="GU48" s="79">
        <v>0</v>
      </c>
      <c r="GV48" s="79">
        <v>0</v>
      </c>
      <c r="GW48" s="79">
        <v>475000</v>
      </c>
      <c r="GX48" s="79">
        <v>475000</v>
      </c>
      <c r="GY48" s="79">
        <v>22778431</v>
      </c>
      <c r="GZ48" s="79">
        <v>10089565</v>
      </c>
      <c r="HA48" s="79">
        <v>3227168</v>
      </c>
      <c r="HB48" s="79">
        <v>20808326</v>
      </c>
      <c r="HC48" s="79">
        <v>37315039</v>
      </c>
      <c r="HD48" s="79">
        <v>94218529</v>
      </c>
      <c r="HF48" s="7">
        <f>SUM(AZ48:AZ48)</f>
        <v>19766146</v>
      </c>
      <c r="HG48" s="7" t="e">
        <f>#REF!-HF48</f>
        <v>#REF!</v>
      </c>
      <c r="HH48" s="7" t="e">
        <f>SUM(#REF!)</f>
        <v>#REF!</v>
      </c>
      <c r="HI48" s="7" t="e">
        <f>#REF!-HH48</f>
        <v>#REF!</v>
      </c>
      <c r="HJ48" s="7">
        <f>SUM(BA48:BA48)</f>
        <v>0</v>
      </c>
      <c r="HK48" s="7" t="e">
        <f>#REF!-HJ48</f>
        <v>#REF!</v>
      </c>
      <c r="HL48" s="7">
        <f>SUM(BB48:BB48)</f>
        <v>14996003</v>
      </c>
      <c r="HM48" s="7" t="e">
        <f>#REF!-HL48</f>
        <v>#REF!</v>
      </c>
      <c r="HN48" s="7" t="e">
        <f>SUM(#REF!)</f>
        <v>#REF!</v>
      </c>
      <c r="HO48" s="7" t="e">
        <f>#REF!-HN48</f>
        <v>#REF!</v>
      </c>
      <c r="HP48" s="7" t="e">
        <f>SUM(#REF!)</f>
        <v>#REF!</v>
      </c>
      <c r="HQ48" s="7" t="e">
        <f>#REF!-HP48</f>
        <v>#REF!</v>
      </c>
      <c r="HR48" s="7" t="e">
        <f>SUM(#REF!)</f>
        <v>#REF!</v>
      </c>
      <c r="HS48" s="7" t="e">
        <f>#REF!-HR48</f>
        <v>#REF!</v>
      </c>
      <c r="HT48" s="7" t="e">
        <f>SUM(#REF!)</f>
        <v>#REF!</v>
      </c>
      <c r="HU48" s="7" t="e">
        <f>#REF!-HT48</f>
        <v>#REF!</v>
      </c>
      <c r="HV48" s="7" t="e">
        <f>SUM(#REF!)</f>
        <v>#REF!</v>
      </c>
      <c r="HW48" s="7" t="e">
        <f>#REF!-HV48</f>
        <v>#REF!</v>
      </c>
      <c r="HX48" s="7" t="e">
        <f>SUM(#REF!)</f>
        <v>#REF!</v>
      </c>
      <c r="HY48" s="7" t="e">
        <f>#REF!-HX48</f>
        <v>#REF!</v>
      </c>
      <c r="HZ48" s="7">
        <f>SUM(BC48:BC48)</f>
        <v>890067</v>
      </c>
      <c r="IA48" s="7" t="e">
        <f>#REF!-HZ48</f>
        <v>#REF!</v>
      </c>
      <c r="IB48" s="7">
        <f>SUM(BD48:BD48)</f>
        <v>345000</v>
      </c>
      <c r="IC48" s="7" t="e">
        <f>#REF!-IB48</f>
        <v>#REF!</v>
      </c>
      <c r="ID48" s="7">
        <f t="shared" si="1"/>
        <v>2415615</v>
      </c>
      <c r="IE48" s="7">
        <f t="shared" si="2"/>
        <v>0</v>
      </c>
      <c r="IF48" s="7">
        <f t="shared" si="3"/>
        <v>1815853</v>
      </c>
      <c r="IG48" s="7">
        <f t="shared" si="4"/>
        <v>0</v>
      </c>
      <c r="IH48" s="7">
        <f t="shared" si="5"/>
        <v>1859880</v>
      </c>
      <c r="II48" s="7">
        <f t="shared" si="6"/>
        <v>0</v>
      </c>
      <c r="IJ48" s="7">
        <f t="shared" si="7"/>
        <v>97942726</v>
      </c>
      <c r="IK48" s="7">
        <f t="shared" si="8"/>
        <v>0</v>
      </c>
      <c r="IL48" s="7">
        <f t="shared" si="9"/>
        <v>12000227</v>
      </c>
      <c r="IM48" s="7">
        <f t="shared" si="10"/>
        <v>0</v>
      </c>
      <c r="IN48" s="7">
        <f t="shared" si="11"/>
        <v>3650864</v>
      </c>
      <c r="IO48" s="7">
        <f t="shared" si="12"/>
        <v>0</v>
      </c>
      <c r="IP48" s="7">
        <f t="shared" si="13"/>
        <v>15654737</v>
      </c>
      <c r="IQ48" s="7">
        <f t="shared" si="14"/>
        <v>0</v>
      </c>
      <c r="IR48" s="7">
        <f t="shared" si="15"/>
        <v>588750</v>
      </c>
      <c r="IS48" s="7">
        <f t="shared" si="16"/>
        <v>0</v>
      </c>
      <c r="IT48" s="7">
        <f t="shared" si="17"/>
        <v>13665971</v>
      </c>
      <c r="IU48" s="7">
        <f t="shared" si="18"/>
        <v>0</v>
      </c>
      <c r="IV48" s="7">
        <f t="shared" si="19"/>
        <v>0</v>
      </c>
      <c r="IW48" s="7">
        <f t="shared" si="20"/>
        <v>0</v>
      </c>
      <c r="IX48" s="7">
        <f t="shared" si="21"/>
        <v>48443</v>
      </c>
      <c r="IY48" s="7">
        <f t="shared" si="22"/>
        <v>0</v>
      </c>
      <c r="IZ48" s="7">
        <f t="shared" si="23"/>
        <v>1351444</v>
      </c>
      <c r="JA48" s="7">
        <f t="shared" si="24"/>
        <v>0</v>
      </c>
      <c r="JB48" s="7">
        <f t="shared" si="25"/>
        <v>5527646</v>
      </c>
      <c r="JC48" s="7">
        <f t="shared" si="26"/>
        <v>0</v>
      </c>
      <c r="JD48" s="7">
        <f t="shared" si="27"/>
        <v>2633571</v>
      </c>
      <c r="JE48" s="7">
        <f t="shared" si="28"/>
        <v>0</v>
      </c>
      <c r="JF48" s="7">
        <f t="shared" si="29"/>
        <v>4102112</v>
      </c>
      <c r="JG48" s="7">
        <f t="shared" si="30"/>
        <v>0</v>
      </c>
      <c r="JH48" s="7">
        <f t="shared" si="31"/>
        <v>1882479</v>
      </c>
      <c r="JI48" s="7">
        <f t="shared" si="32"/>
        <v>0</v>
      </c>
      <c r="JJ48" s="7">
        <f t="shared" si="33"/>
        <v>1423151</v>
      </c>
      <c r="JK48" s="7">
        <f t="shared" si="34"/>
        <v>0</v>
      </c>
      <c r="JL48" s="7">
        <f t="shared" si="35"/>
        <v>18243964</v>
      </c>
      <c r="JM48" s="7">
        <f t="shared" si="36"/>
        <v>0</v>
      </c>
      <c r="JN48" s="7">
        <f t="shared" si="37"/>
        <v>561640</v>
      </c>
      <c r="JO48" s="7">
        <f t="shared" si="38"/>
        <v>0</v>
      </c>
      <c r="JP48" s="7">
        <f t="shared" si="39"/>
        <v>1384399</v>
      </c>
      <c r="JQ48" s="7">
        <f t="shared" si="40"/>
        <v>0</v>
      </c>
      <c r="JR48" s="7">
        <f t="shared" si="41"/>
        <v>1495993</v>
      </c>
      <c r="JS48" s="7">
        <f t="shared" si="42"/>
        <v>0</v>
      </c>
      <c r="JT48" s="7">
        <f t="shared" si="43"/>
        <v>116890</v>
      </c>
      <c r="JU48" s="7">
        <f t="shared" si="44"/>
        <v>0</v>
      </c>
      <c r="JV48" s="7">
        <f t="shared" si="45"/>
        <v>9411248</v>
      </c>
      <c r="JW48" s="7">
        <f t="shared" si="46"/>
        <v>0</v>
      </c>
      <c r="JX48" s="7">
        <f t="shared" si="47"/>
        <v>93743529</v>
      </c>
      <c r="JY48" s="7">
        <f t="shared" si="48"/>
        <v>0</v>
      </c>
      <c r="JZ48" s="7">
        <f t="shared" si="49"/>
        <v>475000</v>
      </c>
      <c r="KA48" s="7">
        <f t="shared" si="50"/>
        <v>0</v>
      </c>
      <c r="KB48" s="7">
        <f t="shared" si="51"/>
        <v>94218529</v>
      </c>
      <c r="KC48" s="7">
        <f t="shared" si="52"/>
        <v>0</v>
      </c>
      <c r="KE48" s="7" t="e">
        <f t="shared" si="54"/>
        <v>#REF!</v>
      </c>
      <c r="KG48" s="5" t="e">
        <f t="shared" si="53"/>
        <v>#REF!</v>
      </c>
    </row>
    <row r="49" spans="1:293" x14ac:dyDescent="0.15">
      <c r="A49" s="119" t="s">
        <v>398</v>
      </c>
      <c r="B49" s="17" t="s">
        <v>343</v>
      </c>
      <c r="C49" s="41">
        <v>220978</v>
      </c>
      <c r="D49" s="38">
        <v>2013</v>
      </c>
      <c r="E49" s="38">
        <v>1</v>
      </c>
      <c r="F49" s="38">
        <v>8</v>
      </c>
      <c r="G49" s="39">
        <v>8739</v>
      </c>
      <c r="H49" s="39">
        <v>9628</v>
      </c>
      <c r="I49" s="40">
        <v>348358664</v>
      </c>
      <c r="J49" s="40"/>
      <c r="K49" s="40">
        <v>1636834</v>
      </c>
      <c r="L49" s="40"/>
      <c r="M49" s="40">
        <v>17927287</v>
      </c>
      <c r="N49" s="40"/>
      <c r="O49" s="40">
        <v>22151581</v>
      </c>
      <c r="P49" s="40"/>
      <c r="Q49" s="40">
        <v>245824737</v>
      </c>
      <c r="R49" s="40"/>
      <c r="S49" s="40">
        <v>380237292</v>
      </c>
      <c r="T49" s="40"/>
      <c r="U49" s="40">
        <v>17302</v>
      </c>
      <c r="V49" s="40"/>
      <c r="W49" s="40">
        <v>32550</v>
      </c>
      <c r="X49" s="40"/>
      <c r="Y49" s="40">
        <v>19124</v>
      </c>
      <c r="Z49" s="40"/>
      <c r="AA49" s="40">
        <v>33212</v>
      </c>
      <c r="AB49" s="40"/>
      <c r="AC49" s="56">
        <v>8</v>
      </c>
      <c r="AD49" s="59">
        <v>9</v>
      </c>
      <c r="AE49" s="59">
        <v>0</v>
      </c>
      <c r="AF49" s="57">
        <v>4629184</v>
      </c>
      <c r="AG49" s="57">
        <v>2428568</v>
      </c>
      <c r="AH49" s="57">
        <v>367968</v>
      </c>
      <c r="AI49" s="57">
        <v>122458</v>
      </c>
      <c r="AJ49" s="57">
        <v>252248</v>
      </c>
      <c r="AK49" s="58">
        <v>5</v>
      </c>
      <c r="AL49" s="57">
        <v>228705</v>
      </c>
      <c r="AM49" s="58">
        <v>6</v>
      </c>
      <c r="AN49" s="57">
        <v>125211</v>
      </c>
      <c r="AO49" s="58">
        <v>6</v>
      </c>
      <c r="AP49" s="57">
        <v>107145</v>
      </c>
      <c r="AQ49" s="58">
        <v>7</v>
      </c>
      <c r="AR49" s="57">
        <v>106723</v>
      </c>
      <c r="AS49" s="58">
        <v>17</v>
      </c>
      <c r="AT49" s="57">
        <v>73372</v>
      </c>
      <c r="AU49" s="58">
        <v>24</v>
      </c>
      <c r="AV49" s="57">
        <v>55001</v>
      </c>
      <c r="AW49" s="58">
        <v>11</v>
      </c>
      <c r="AX49" s="57">
        <v>36438</v>
      </c>
      <c r="AY49" s="58">
        <v>16</v>
      </c>
      <c r="AZ49" s="79">
        <v>712863</v>
      </c>
      <c r="BA49" s="79">
        <v>1605000</v>
      </c>
      <c r="BB49" s="79">
        <v>3165</v>
      </c>
      <c r="BC49" s="79">
        <v>53478</v>
      </c>
      <c r="BD49" s="79">
        <v>0</v>
      </c>
      <c r="BE49" s="79">
        <v>0</v>
      </c>
      <c r="BF49" s="79">
        <v>0</v>
      </c>
      <c r="BG49" s="79">
        <v>0</v>
      </c>
      <c r="BH49" s="79">
        <v>0</v>
      </c>
      <c r="BI49" s="79">
        <v>0</v>
      </c>
      <c r="BJ49" s="79">
        <v>0</v>
      </c>
      <c r="BK49" s="79">
        <v>2488</v>
      </c>
      <c r="BL49" s="79">
        <v>725</v>
      </c>
      <c r="BM49" s="79">
        <v>238</v>
      </c>
      <c r="BN49" s="79">
        <v>28436</v>
      </c>
      <c r="BO49" s="79">
        <v>31968</v>
      </c>
      <c r="BP49" s="79">
        <v>63855</v>
      </c>
      <c r="BQ49" s="79">
        <v>0</v>
      </c>
      <c r="BR49" s="79">
        <v>0</v>
      </c>
      <c r="BS49" s="79">
        <v>0</v>
      </c>
      <c r="BT49" s="79">
        <v>25975</v>
      </c>
      <c r="BU49" s="79">
        <v>4024</v>
      </c>
      <c r="BV49" s="79">
        <v>29999</v>
      </c>
      <c r="BW49" s="79">
        <v>8047307</v>
      </c>
      <c r="BX49" s="79">
        <v>2316512</v>
      </c>
      <c r="BY49" s="79">
        <v>1777890</v>
      </c>
      <c r="BZ49" s="79">
        <v>7281845</v>
      </c>
      <c r="CA49" s="79">
        <v>8243998</v>
      </c>
      <c r="CB49" s="79">
        <v>27667552</v>
      </c>
      <c r="CC49" s="79">
        <v>3202320</v>
      </c>
      <c r="CD49" s="79">
        <v>482130</v>
      </c>
      <c r="CE49" s="79">
        <v>361306</v>
      </c>
      <c r="CF49" s="79">
        <v>3011996</v>
      </c>
      <c r="CG49" s="79">
        <v>381414</v>
      </c>
      <c r="CH49" s="79">
        <v>7439166</v>
      </c>
      <c r="CI49" s="79">
        <v>490000</v>
      </c>
      <c r="CJ49" s="79">
        <v>74000</v>
      </c>
      <c r="CK49" s="79">
        <v>25000</v>
      </c>
      <c r="CL49" s="79">
        <v>5000</v>
      </c>
      <c r="CM49" s="79">
        <v>0</v>
      </c>
      <c r="CN49" s="79">
        <v>594000</v>
      </c>
      <c r="CO49" s="79">
        <v>1851437</v>
      </c>
      <c r="CP49" s="79">
        <v>718700</v>
      </c>
      <c r="CQ49" s="79">
        <v>609890</v>
      </c>
      <c r="CR49" s="79">
        <v>1286170</v>
      </c>
      <c r="CS49" s="79">
        <v>0</v>
      </c>
      <c r="CT49" s="79">
        <v>4466197</v>
      </c>
      <c r="CU49" s="79">
        <v>0</v>
      </c>
      <c r="CV49" s="79">
        <v>0</v>
      </c>
      <c r="CW49" s="79">
        <v>0</v>
      </c>
      <c r="CX49" s="79">
        <v>0</v>
      </c>
      <c r="CY49" s="79">
        <v>0</v>
      </c>
      <c r="CZ49" s="79">
        <v>0</v>
      </c>
      <c r="DA49" s="79">
        <v>345959</v>
      </c>
      <c r="DB49" s="79">
        <v>63720</v>
      </c>
      <c r="DC49" s="79">
        <v>63989</v>
      </c>
      <c r="DD49" s="79">
        <v>28513</v>
      </c>
      <c r="DE49" s="79">
        <v>3015584</v>
      </c>
      <c r="DF49" s="79">
        <v>3517765</v>
      </c>
      <c r="DG49" s="79">
        <v>0</v>
      </c>
      <c r="DH49" s="79">
        <v>0</v>
      </c>
      <c r="DI49" s="79">
        <v>0</v>
      </c>
      <c r="DJ49" s="79">
        <v>0</v>
      </c>
      <c r="DK49" s="79">
        <v>0</v>
      </c>
      <c r="DL49" s="79">
        <v>0</v>
      </c>
      <c r="DM49" s="79">
        <v>0</v>
      </c>
      <c r="DN49" s="79">
        <v>0</v>
      </c>
      <c r="DO49" s="79">
        <v>0</v>
      </c>
      <c r="DP49" s="79">
        <v>0</v>
      </c>
      <c r="DQ49" s="79">
        <v>0</v>
      </c>
      <c r="DR49" s="79">
        <v>0</v>
      </c>
      <c r="DS49" s="79">
        <v>237383</v>
      </c>
      <c r="DT49" s="79">
        <v>77132</v>
      </c>
      <c r="DU49" s="79">
        <v>40593</v>
      </c>
      <c r="DV49" s="79">
        <v>135318</v>
      </c>
      <c r="DW49" s="79">
        <v>0</v>
      </c>
      <c r="DX49" s="79">
        <v>490426</v>
      </c>
      <c r="DY49" s="79">
        <v>536481</v>
      </c>
      <c r="DZ49" s="79">
        <v>337407</v>
      </c>
      <c r="EA49" s="79">
        <v>251759</v>
      </c>
      <c r="EB49" s="79">
        <v>870327</v>
      </c>
      <c r="EC49" s="79">
        <v>0</v>
      </c>
      <c r="ED49" s="79">
        <v>1995974</v>
      </c>
      <c r="EE49" s="79">
        <v>440304</v>
      </c>
      <c r="EF49" s="79">
        <v>78513</v>
      </c>
      <c r="EG49" s="79">
        <v>33407</v>
      </c>
      <c r="EH49" s="79">
        <v>274600</v>
      </c>
      <c r="EI49" s="79">
        <v>0</v>
      </c>
      <c r="EJ49" s="79">
        <v>826824</v>
      </c>
      <c r="EK49" s="79">
        <v>263234</v>
      </c>
      <c r="EL49" s="79">
        <v>142729</v>
      </c>
      <c r="EM49" s="79">
        <v>93604</v>
      </c>
      <c r="EN49" s="79">
        <v>144406</v>
      </c>
      <c r="EO49" s="79">
        <v>0</v>
      </c>
      <c r="EP49" s="79">
        <v>643973</v>
      </c>
      <c r="EQ49" s="79">
        <v>500</v>
      </c>
      <c r="ER49" s="79">
        <v>21862</v>
      </c>
      <c r="ES49" s="79">
        <v>11902</v>
      </c>
      <c r="ET49" s="79">
        <v>22746</v>
      </c>
      <c r="EU49" s="79">
        <v>605483</v>
      </c>
      <c r="EV49" s="79">
        <v>662493</v>
      </c>
      <c r="EW49" s="79">
        <v>0</v>
      </c>
      <c r="EX49" s="79">
        <v>0</v>
      </c>
      <c r="EY49" s="79">
        <v>0</v>
      </c>
      <c r="EZ49" s="79">
        <v>0</v>
      </c>
      <c r="FA49" s="79">
        <v>0</v>
      </c>
      <c r="FB49" s="79">
        <v>0</v>
      </c>
      <c r="FC49" s="79">
        <v>80327</v>
      </c>
      <c r="FD49" s="79">
        <v>14824</v>
      </c>
      <c r="FE49" s="79">
        <v>5562</v>
      </c>
      <c r="FF49" s="79">
        <v>117387</v>
      </c>
      <c r="FG49" s="79">
        <v>189192</v>
      </c>
      <c r="FH49" s="79">
        <v>407292</v>
      </c>
      <c r="FI49" s="79">
        <v>0</v>
      </c>
      <c r="FJ49" s="79">
        <v>11020</v>
      </c>
      <c r="FK49" s="79">
        <v>9193</v>
      </c>
      <c r="FL49" s="79">
        <v>1150</v>
      </c>
      <c r="FM49" s="79">
        <v>0</v>
      </c>
      <c r="FN49" s="79">
        <v>21363</v>
      </c>
      <c r="FO49" s="79">
        <v>1007240</v>
      </c>
      <c r="FP49" s="79">
        <v>267601</v>
      </c>
      <c r="FQ49" s="79">
        <v>262113</v>
      </c>
      <c r="FR49" s="79">
        <v>969162</v>
      </c>
      <c r="FS49" s="79">
        <v>934299</v>
      </c>
      <c r="FT49" s="79">
        <v>3440415</v>
      </c>
      <c r="FU49" s="79">
        <v>0</v>
      </c>
      <c r="FV49" s="79">
        <v>0</v>
      </c>
      <c r="FW49" s="79">
        <v>0</v>
      </c>
      <c r="FX49" s="79">
        <v>0</v>
      </c>
      <c r="FY49" s="79">
        <v>352643</v>
      </c>
      <c r="FZ49" s="79">
        <v>352643</v>
      </c>
      <c r="GA49" s="79">
        <v>1685</v>
      </c>
      <c r="GB49" s="79">
        <v>955</v>
      </c>
      <c r="GC49" s="79">
        <v>2163</v>
      </c>
      <c r="GD49" s="79">
        <v>4002</v>
      </c>
      <c r="GE49" s="79">
        <v>526569</v>
      </c>
      <c r="GF49" s="79">
        <v>535374</v>
      </c>
      <c r="GG49" s="79">
        <v>432846</v>
      </c>
      <c r="GH49" s="79">
        <v>132011</v>
      </c>
      <c r="GI49" s="79">
        <v>40329</v>
      </c>
      <c r="GJ49" s="79">
        <v>132721</v>
      </c>
      <c r="GK49" s="79">
        <v>2584704</v>
      </c>
      <c r="GL49" s="79">
        <v>3322611</v>
      </c>
      <c r="GM49" s="79">
        <v>8889716</v>
      </c>
      <c r="GN49" s="79">
        <v>2422604</v>
      </c>
      <c r="GO49" s="79">
        <v>1810810</v>
      </c>
      <c r="GP49" s="79">
        <v>7003498</v>
      </c>
      <c r="GQ49" s="79">
        <v>8589888</v>
      </c>
      <c r="GR49" s="79">
        <v>28716516</v>
      </c>
      <c r="GS49" s="79">
        <v>0</v>
      </c>
      <c r="GT49" s="79">
        <v>0</v>
      </c>
      <c r="GU49" s="79">
        <v>0</v>
      </c>
      <c r="GV49" s="79">
        <v>0</v>
      </c>
      <c r="GW49" s="79">
        <v>0</v>
      </c>
      <c r="GX49" s="79">
        <v>0</v>
      </c>
      <c r="GY49" s="79">
        <v>8889716</v>
      </c>
      <c r="GZ49" s="79">
        <v>2422604</v>
      </c>
      <c r="HA49" s="79">
        <v>1810810</v>
      </c>
      <c r="HB49" s="79">
        <v>7003498</v>
      </c>
      <c r="HC49" s="79">
        <v>8589888</v>
      </c>
      <c r="HD49" s="79">
        <v>28716516</v>
      </c>
      <c r="HF49" s="7">
        <f>SUM(AZ49:AZ49)</f>
        <v>712863</v>
      </c>
      <c r="HG49" s="7" t="e">
        <f>#REF!-HF49</f>
        <v>#REF!</v>
      </c>
      <c r="HH49" s="7" t="e">
        <f>SUM(#REF!)</f>
        <v>#REF!</v>
      </c>
      <c r="HI49" s="7" t="e">
        <f>#REF!-HH49</f>
        <v>#REF!</v>
      </c>
      <c r="HJ49" s="7">
        <f>SUM(BA49:BA49)</f>
        <v>1605000</v>
      </c>
      <c r="HK49" s="7" t="e">
        <f>#REF!-HJ49</f>
        <v>#REF!</v>
      </c>
      <c r="HL49" s="7">
        <f>SUM(BB49:BB49)</f>
        <v>3165</v>
      </c>
      <c r="HM49" s="7" t="e">
        <f>#REF!-HL49</f>
        <v>#REF!</v>
      </c>
      <c r="HN49" s="7" t="e">
        <f>SUM(#REF!)</f>
        <v>#REF!</v>
      </c>
      <c r="HO49" s="7" t="e">
        <f>#REF!-HN49</f>
        <v>#REF!</v>
      </c>
      <c r="HP49" s="7" t="e">
        <f>SUM(#REF!)</f>
        <v>#REF!</v>
      </c>
      <c r="HQ49" s="7" t="e">
        <f>#REF!-HP49</f>
        <v>#REF!</v>
      </c>
      <c r="HR49" s="7" t="e">
        <f>SUM(#REF!)</f>
        <v>#REF!</v>
      </c>
      <c r="HS49" s="7" t="e">
        <f>#REF!-HR49</f>
        <v>#REF!</v>
      </c>
      <c r="HT49" s="7" t="e">
        <f>SUM(#REF!)</f>
        <v>#REF!</v>
      </c>
      <c r="HU49" s="7" t="e">
        <f>#REF!-HT49</f>
        <v>#REF!</v>
      </c>
      <c r="HV49" s="7" t="e">
        <f>SUM(#REF!)</f>
        <v>#REF!</v>
      </c>
      <c r="HW49" s="7" t="e">
        <f>#REF!-HV49</f>
        <v>#REF!</v>
      </c>
      <c r="HX49" s="7" t="e">
        <f>SUM(#REF!)</f>
        <v>#REF!</v>
      </c>
      <c r="HY49" s="7" t="e">
        <f>#REF!-HX49</f>
        <v>#REF!</v>
      </c>
      <c r="HZ49" s="7">
        <f>SUM(BC49:BC49)</f>
        <v>53478</v>
      </c>
      <c r="IA49" s="7" t="e">
        <f>#REF!-HZ49</f>
        <v>#REF!</v>
      </c>
      <c r="IB49" s="7">
        <f>SUM(BD49:BD49)</f>
        <v>0</v>
      </c>
      <c r="IC49" s="7" t="e">
        <f>#REF!-IB49</f>
        <v>#REF!</v>
      </c>
      <c r="ID49" s="7">
        <f t="shared" si="1"/>
        <v>0</v>
      </c>
      <c r="IE49" s="7">
        <f t="shared" si="2"/>
        <v>0</v>
      </c>
      <c r="IF49" s="7">
        <f t="shared" si="3"/>
        <v>63855</v>
      </c>
      <c r="IG49" s="7">
        <f t="shared" si="4"/>
        <v>0</v>
      </c>
      <c r="IH49" s="7">
        <f t="shared" si="5"/>
        <v>29999</v>
      </c>
      <c r="II49" s="7">
        <f t="shared" si="6"/>
        <v>0</v>
      </c>
      <c r="IJ49" s="7">
        <f t="shared" si="7"/>
        <v>27667552</v>
      </c>
      <c r="IK49" s="7">
        <f t="shared" si="8"/>
        <v>0</v>
      </c>
      <c r="IL49" s="7">
        <f t="shared" si="9"/>
        <v>7439166</v>
      </c>
      <c r="IM49" s="7">
        <f t="shared" si="10"/>
        <v>0</v>
      </c>
      <c r="IN49" s="7">
        <f t="shared" si="11"/>
        <v>594000</v>
      </c>
      <c r="IO49" s="7">
        <f t="shared" si="12"/>
        <v>0</v>
      </c>
      <c r="IP49" s="7">
        <f t="shared" si="13"/>
        <v>4466197</v>
      </c>
      <c r="IQ49" s="7">
        <f t="shared" si="14"/>
        <v>0</v>
      </c>
      <c r="IR49" s="7">
        <f t="shared" si="15"/>
        <v>0</v>
      </c>
      <c r="IS49" s="7">
        <f t="shared" si="16"/>
        <v>0</v>
      </c>
      <c r="IT49" s="7">
        <f t="shared" si="17"/>
        <v>3517765</v>
      </c>
      <c r="IU49" s="7">
        <f t="shared" si="18"/>
        <v>0</v>
      </c>
      <c r="IV49" s="7">
        <f t="shared" si="19"/>
        <v>0</v>
      </c>
      <c r="IW49" s="7">
        <f t="shared" si="20"/>
        <v>0</v>
      </c>
      <c r="IX49" s="7">
        <f t="shared" si="21"/>
        <v>0</v>
      </c>
      <c r="IY49" s="7">
        <f t="shared" si="22"/>
        <v>0</v>
      </c>
      <c r="IZ49" s="7">
        <f t="shared" si="23"/>
        <v>490426</v>
      </c>
      <c r="JA49" s="7">
        <f t="shared" si="24"/>
        <v>0</v>
      </c>
      <c r="JB49" s="7">
        <f t="shared" si="25"/>
        <v>1995974</v>
      </c>
      <c r="JC49" s="7">
        <f t="shared" si="26"/>
        <v>0</v>
      </c>
      <c r="JD49" s="7">
        <f t="shared" si="27"/>
        <v>826824</v>
      </c>
      <c r="JE49" s="7">
        <f t="shared" si="28"/>
        <v>0</v>
      </c>
      <c r="JF49" s="7">
        <f t="shared" si="29"/>
        <v>643973</v>
      </c>
      <c r="JG49" s="7">
        <f t="shared" si="30"/>
        <v>0</v>
      </c>
      <c r="JH49" s="7">
        <f t="shared" si="31"/>
        <v>662493</v>
      </c>
      <c r="JI49" s="7">
        <f t="shared" si="32"/>
        <v>0</v>
      </c>
      <c r="JJ49" s="7">
        <f t="shared" si="33"/>
        <v>0</v>
      </c>
      <c r="JK49" s="7">
        <f t="shared" si="34"/>
        <v>0</v>
      </c>
      <c r="JL49" s="7">
        <f t="shared" si="35"/>
        <v>407292</v>
      </c>
      <c r="JM49" s="7">
        <f t="shared" si="36"/>
        <v>0</v>
      </c>
      <c r="JN49" s="7">
        <f t="shared" si="37"/>
        <v>21363</v>
      </c>
      <c r="JO49" s="7">
        <f t="shared" si="38"/>
        <v>0</v>
      </c>
      <c r="JP49" s="7">
        <f t="shared" si="39"/>
        <v>3440415</v>
      </c>
      <c r="JQ49" s="7">
        <f t="shared" si="40"/>
        <v>0</v>
      </c>
      <c r="JR49" s="7">
        <f t="shared" si="41"/>
        <v>352643</v>
      </c>
      <c r="JS49" s="7">
        <f t="shared" si="42"/>
        <v>0</v>
      </c>
      <c r="JT49" s="7">
        <f t="shared" si="43"/>
        <v>535374</v>
      </c>
      <c r="JU49" s="7">
        <f t="shared" si="44"/>
        <v>0</v>
      </c>
      <c r="JV49" s="7">
        <f t="shared" si="45"/>
        <v>3322611</v>
      </c>
      <c r="JW49" s="7">
        <f t="shared" si="46"/>
        <v>0</v>
      </c>
      <c r="JX49" s="7">
        <f t="shared" si="47"/>
        <v>28716516</v>
      </c>
      <c r="JY49" s="7">
        <f t="shared" si="48"/>
        <v>0</v>
      </c>
      <c r="JZ49" s="7">
        <f t="shared" si="49"/>
        <v>0</v>
      </c>
      <c r="KA49" s="7">
        <f t="shared" si="50"/>
        <v>0</v>
      </c>
      <c r="KB49" s="7">
        <f t="shared" si="51"/>
        <v>28716516</v>
      </c>
      <c r="KC49" s="7">
        <f t="shared" si="52"/>
        <v>0</v>
      </c>
      <c r="KE49" s="7" t="e">
        <f t="shared" si="54"/>
        <v>#REF!</v>
      </c>
      <c r="KG49" s="5" t="e">
        <f t="shared" si="53"/>
        <v>#REF!</v>
      </c>
    </row>
    <row r="50" spans="1:293" x14ac:dyDescent="0.15">
      <c r="A50" s="119" t="s">
        <v>253</v>
      </c>
      <c r="B50" s="17" t="s">
        <v>403</v>
      </c>
      <c r="C50" s="38">
        <v>174066</v>
      </c>
      <c r="D50" s="38">
        <v>2013</v>
      </c>
      <c r="E50" s="38">
        <v>1</v>
      </c>
      <c r="F50" s="38">
        <v>3</v>
      </c>
      <c r="G50" s="39">
        <v>14916</v>
      </c>
      <c r="H50" s="39">
        <v>15446</v>
      </c>
      <c r="I50" s="40">
        <v>3064215901</v>
      </c>
      <c r="J50" s="40"/>
      <c r="K50" s="40">
        <v>16160000</v>
      </c>
      <c r="L50" s="40"/>
      <c r="M50" s="40">
        <v>111482644</v>
      </c>
      <c r="N50" s="40"/>
      <c r="O50" s="40">
        <v>213240000</v>
      </c>
      <c r="P50" s="40"/>
      <c r="Q50" s="40">
        <v>1300729844</v>
      </c>
      <c r="R50" s="40"/>
      <c r="S50" s="40">
        <v>2828786471</v>
      </c>
      <c r="T50" s="40"/>
      <c r="U50" s="40">
        <v>23132</v>
      </c>
      <c r="V50" s="40"/>
      <c r="W50" s="40">
        <v>28382</v>
      </c>
      <c r="X50" s="40"/>
      <c r="Y50" s="40">
        <v>24872</v>
      </c>
      <c r="Z50" s="40"/>
      <c r="AA50" s="40">
        <v>30122</v>
      </c>
      <c r="AB50" s="40"/>
      <c r="AC50" s="56">
        <v>12</v>
      </c>
      <c r="AD50" s="56">
        <v>13</v>
      </c>
      <c r="AE50" s="56">
        <v>0</v>
      </c>
      <c r="AF50" s="57">
        <v>4466663</v>
      </c>
      <c r="AG50" s="57">
        <v>3762816</v>
      </c>
      <c r="AH50" s="57">
        <v>995957</v>
      </c>
      <c r="AI50" s="57">
        <v>435260</v>
      </c>
      <c r="AJ50" s="57">
        <v>478451.05</v>
      </c>
      <c r="AK50" s="58">
        <v>10.5</v>
      </c>
      <c r="AL50" s="57">
        <v>456703.27</v>
      </c>
      <c r="AM50" s="58">
        <v>11</v>
      </c>
      <c r="AN50" s="57">
        <v>140492.24</v>
      </c>
      <c r="AO50" s="58">
        <v>12.5</v>
      </c>
      <c r="AP50" s="57">
        <v>135088.69</v>
      </c>
      <c r="AQ50" s="58">
        <v>13</v>
      </c>
      <c r="AR50" s="57">
        <v>146282.9</v>
      </c>
      <c r="AS50" s="58">
        <v>25.5</v>
      </c>
      <c r="AT50" s="57">
        <v>143469.76999999999</v>
      </c>
      <c r="AU50" s="58">
        <v>26</v>
      </c>
      <c r="AV50" s="57">
        <v>65264.67</v>
      </c>
      <c r="AW50" s="58">
        <v>19.5</v>
      </c>
      <c r="AX50" s="57">
        <v>63633.05</v>
      </c>
      <c r="AY50" s="58">
        <v>20</v>
      </c>
      <c r="AZ50" s="79">
        <v>11474840</v>
      </c>
      <c r="BA50" s="79">
        <v>250000</v>
      </c>
      <c r="BB50" s="79">
        <v>3148729</v>
      </c>
      <c r="BC50" s="79">
        <v>0</v>
      </c>
      <c r="BD50" s="79">
        <v>0</v>
      </c>
      <c r="BE50" s="79">
        <v>0</v>
      </c>
      <c r="BF50" s="79">
        <v>0</v>
      </c>
      <c r="BG50" s="79">
        <v>0</v>
      </c>
      <c r="BH50" s="79">
        <v>0</v>
      </c>
      <c r="BI50" s="79">
        <v>0</v>
      </c>
      <c r="BJ50" s="79">
        <v>0</v>
      </c>
      <c r="BK50" s="79">
        <v>1986726</v>
      </c>
      <c r="BL50" s="79">
        <v>336913</v>
      </c>
      <c r="BM50" s="79">
        <v>271409</v>
      </c>
      <c r="BN50" s="79">
        <v>3911957</v>
      </c>
      <c r="BO50" s="79">
        <v>42469</v>
      </c>
      <c r="BP50" s="79">
        <v>6549474</v>
      </c>
      <c r="BQ50" s="79">
        <v>0</v>
      </c>
      <c r="BR50" s="79">
        <v>0</v>
      </c>
      <c r="BS50" s="79">
        <v>0</v>
      </c>
      <c r="BT50" s="79">
        <v>0</v>
      </c>
      <c r="BU50" s="79">
        <v>11107030</v>
      </c>
      <c r="BV50" s="79">
        <v>11107030</v>
      </c>
      <c r="BW50" s="79">
        <v>36028193</v>
      </c>
      <c r="BX50" s="79">
        <v>14067619</v>
      </c>
      <c r="BY50" s="79">
        <v>615921</v>
      </c>
      <c r="BZ50" s="79">
        <v>10501655</v>
      </c>
      <c r="CA50" s="79">
        <v>37073281</v>
      </c>
      <c r="CB50" s="79">
        <v>98286669</v>
      </c>
      <c r="CC50" s="79">
        <v>2219884</v>
      </c>
      <c r="CD50" s="79">
        <v>353643</v>
      </c>
      <c r="CE50" s="79">
        <v>318165</v>
      </c>
      <c r="CF50" s="79">
        <v>5337787</v>
      </c>
      <c r="CG50" s="79">
        <v>1858947</v>
      </c>
      <c r="CH50" s="79">
        <v>10088426</v>
      </c>
      <c r="CI50" s="79">
        <v>3547027</v>
      </c>
      <c r="CJ50" s="79">
        <v>1180000</v>
      </c>
      <c r="CK50" s="79">
        <v>38000</v>
      </c>
      <c r="CL50" s="79">
        <v>34356</v>
      </c>
      <c r="CM50" s="79">
        <v>0</v>
      </c>
      <c r="CN50" s="79">
        <v>4799383</v>
      </c>
      <c r="CO50" s="79">
        <v>3607935</v>
      </c>
      <c r="CP50" s="79">
        <v>2667241</v>
      </c>
      <c r="CQ50" s="79">
        <v>789050</v>
      </c>
      <c r="CR50" s="79">
        <v>4718538</v>
      </c>
      <c r="CS50" s="79">
        <v>0</v>
      </c>
      <c r="CT50" s="79">
        <v>11782764</v>
      </c>
      <c r="CU50" s="79">
        <v>0</v>
      </c>
      <c r="CV50" s="79">
        <v>0</v>
      </c>
      <c r="CW50" s="79">
        <v>0</v>
      </c>
      <c r="CX50" s="79">
        <v>0</v>
      </c>
      <c r="CY50" s="79">
        <v>0</v>
      </c>
      <c r="CZ50" s="79">
        <v>0</v>
      </c>
      <c r="DA50" s="79">
        <v>1101184</v>
      </c>
      <c r="DB50" s="79">
        <v>244043</v>
      </c>
      <c r="DC50" s="79">
        <v>131749</v>
      </c>
      <c r="DD50" s="79">
        <v>603029</v>
      </c>
      <c r="DE50" s="79">
        <v>8307226</v>
      </c>
      <c r="DF50" s="79">
        <v>10387231</v>
      </c>
      <c r="DG50" s="79">
        <v>0</v>
      </c>
      <c r="DH50" s="79">
        <v>0</v>
      </c>
      <c r="DI50" s="79">
        <v>0</v>
      </c>
      <c r="DJ50" s="79">
        <v>0</v>
      </c>
      <c r="DK50" s="79">
        <v>0</v>
      </c>
      <c r="DL50" s="79">
        <v>0</v>
      </c>
      <c r="DM50" s="79">
        <v>0</v>
      </c>
      <c r="DN50" s="79">
        <v>428594</v>
      </c>
      <c r="DO50" s="79">
        <v>0</v>
      </c>
      <c r="DP50" s="79">
        <v>33840</v>
      </c>
      <c r="DQ50" s="79">
        <v>454872</v>
      </c>
      <c r="DR50" s="79">
        <v>917306</v>
      </c>
      <c r="DS50" s="79">
        <v>648755</v>
      </c>
      <c r="DT50" s="79">
        <v>170460</v>
      </c>
      <c r="DU50" s="79">
        <v>124259</v>
      </c>
      <c r="DV50" s="79">
        <v>487743</v>
      </c>
      <c r="DW50" s="79">
        <v>0</v>
      </c>
      <c r="DX50" s="79">
        <v>1431217</v>
      </c>
      <c r="DY50" s="79">
        <v>776709</v>
      </c>
      <c r="DZ50" s="79">
        <v>732509</v>
      </c>
      <c r="EA50" s="79">
        <v>515284</v>
      </c>
      <c r="EB50" s="79">
        <v>2946635</v>
      </c>
      <c r="EC50" s="79">
        <v>666192</v>
      </c>
      <c r="ED50" s="79">
        <v>5637329</v>
      </c>
      <c r="EE50" s="79">
        <v>1049846</v>
      </c>
      <c r="EF50" s="79">
        <v>233718</v>
      </c>
      <c r="EG50" s="79">
        <v>187599</v>
      </c>
      <c r="EH50" s="79">
        <v>1296273</v>
      </c>
      <c r="EI50" s="79">
        <v>295830</v>
      </c>
      <c r="EJ50" s="79">
        <v>3063266</v>
      </c>
      <c r="EK50" s="79">
        <v>1682390</v>
      </c>
      <c r="EL50" s="79">
        <v>252628</v>
      </c>
      <c r="EM50" s="79">
        <v>285835</v>
      </c>
      <c r="EN50" s="79">
        <v>762164</v>
      </c>
      <c r="EO50" s="79">
        <v>8309</v>
      </c>
      <c r="EP50" s="79">
        <v>2991326</v>
      </c>
      <c r="EQ50" s="79">
        <v>0</v>
      </c>
      <c r="ER50" s="79">
        <v>0</v>
      </c>
      <c r="ES50" s="79">
        <v>0</v>
      </c>
      <c r="ET50" s="79">
        <v>0</v>
      </c>
      <c r="EU50" s="79">
        <v>1774221</v>
      </c>
      <c r="EV50" s="79">
        <v>1774221</v>
      </c>
      <c r="EW50" s="79">
        <v>0</v>
      </c>
      <c r="EX50" s="79">
        <v>0</v>
      </c>
      <c r="EY50" s="79">
        <v>0</v>
      </c>
      <c r="EZ50" s="79">
        <v>0</v>
      </c>
      <c r="FA50" s="79">
        <v>0</v>
      </c>
      <c r="FB50" s="79">
        <v>0</v>
      </c>
      <c r="FC50" s="79">
        <v>5070093</v>
      </c>
      <c r="FD50" s="79">
        <v>2791</v>
      </c>
      <c r="FE50" s="79">
        <v>9514</v>
      </c>
      <c r="FF50" s="79">
        <v>0</v>
      </c>
      <c r="FG50" s="79">
        <v>15950944</v>
      </c>
      <c r="FH50" s="79">
        <v>21033342</v>
      </c>
      <c r="FI50" s="79">
        <v>0</v>
      </c>
      <c r="FJ50" s="79">
        <v>0</v>
      </c>
      <c r="FK50" s="79">
        <v>0</v>
      </c>
      <c r="FL50" s="79">
        <v>0</v>
      </c>
      <c r="FM50" s="79">
        <v>285899</v>
      </c>
      <c r="FN50" s="79">
        <v>285899</v>
      </c>
      <c r="FO50" s="79">
        <v>0</v>
      </c>
      <c r="FP50" s="79">
        <v>0</v>
      </c>
      <c r="FQ50" s="79">
        <v>0</v>
      </c>
      <c r="FR50" s="79">
        <v>0</v>
      </c>
      <c r="FS50" s="79">
        <v>5317150</v>
      </c>
      <c r="FT50" s="79">
        <v>5317150</v>
      </c>
      <c r="FU50" s="79">
        <v>0</v>
      </c>
      <c r="FV50" s="79">
        <v>0</v>
      </c>
      <c r="FW50" s="79">
        <v>0</v>
      </c>
      <c r="FX50" s="79">
        <v>0</v>
      </c>
      <c r="FY50" s="79">
        <v>857422</v>
      </c>
      <c r="FZ50" s="79">
        <v>857422</v>
      </c>
      <c r="GA50" s="79">
        <v>0</v>
      </c>
      <c r="GB50" s="79">
        <v>0</v>
      </c>
      <c r="GC50" s="79">
        <v>0</v>
      </c>
      <c r="GD50" s="79">
        <v>0</v>
      </c>
      <c r="GE50" s="79">
        <v>149689</v>
      </c>
      <c r="GF50" s="79">
        <v>149689</v>
      </c>
      <c r="GG50" s="79">
        <v>1135256</v>
      </c>
      <c r="GH50" s="79">
        <v>306300</v>
      </c>
      <c r="GI50" s="79">
        <v>180180</v>
      </c>
      <c r="GJ50" s="79">
        <v>756455</v>
      </c>
      <c r="GK50" s="79">
        <v>13533470</v>
      </c>
      <c r="GL50" s="79">
        <v>15911661</v>
      </c>
      <c r="GM50" s="79">
        <v>20839079</v>
      </c>
      <c r="GN50" s="79">
        <v>6571927</v>
      </c>
      <c r="GO50" s="79">
        <v>2579635</v>
      </c>
      <c r="GP50" s="79">
        <v>16976820</v>
      </c>
      <c r="GQ50" s="79">
        <v>49460171</v>
      </c>
      <c r="GR50" s="79">
        <v>96427632</v>
      </c>
      <c r="GS50" s="79">
        <v>0</v>
      </c>
      <c r="GT50" s="79">
        <v>0</v>
      </c>
      <c r="GU50" s="79">
        <v>0</v>
      </c>
      <c r="GV50" s="79">
        <v>0</v>
      </c>
      <c r="GW50" s="79">
        <v>0</v>
      </c>
      <c r="GX50" s="79">
        <v>0</v>
      </c>
      <c r="GY50" s="79">
        <v>20839079</v>
      </c>
      <c r="GZ50" s="79">
        <v>6571927</v>
      </c>
      <c r="HA50" s="79">
        <v>2579635</v>
      </c>
      <c r="HB50" s="79">
        <v>16976820</v>
      </c>
      <c r="HC50" s="79">
        <v>49460171</v>
      </c>
      <c r="HD50" s="79">
        <v>96427632</v>
      </c>
      <c r="HF50" s="7">
        <f>SUM(AZ50:AZ50)</f>
        <v>11474840</v>
      </c>
      <c r="HG50" s="7" t="e">
        <f>#REF!-HF50</f>
        <v>#REF!</v>
      </c>
      <c r="HH50" s="7" t="e">
        <f>SUM(#REF!)</f>
        <v>#REF!</v>
      </c>
      <c r="HI50" s="7" t="e">
        <f>#REF!-HH50</f>
        <v>#REF!</v>
      </c>
      <c r="HJ50" s="7">
        <f>SUM(BA50:BA50)</f>
        <v>250000</v>
      </c>
      <c r="HK50" s="7" t="e">
        <f>#REF!-HJ50</f>
        <v>#REF!</v>
      </c>
      <c r="HL50" s="7">
        <f>SUM(BB50:BB50)</f>
        <v>3148729</v>
      </c>
      <c r="HM50" s="7" t="e">
        <f>#REF!-HL50</f>
        <v>#REF!</v>
      </c>
      <c r="HN50" s="7" t="e">
        <f>SUM(#REF!)</f>
        <v>#REF!</v>
      </c>
      <c r="HO50" s="7" t="e">
        <f>#REF!-HN50</f>
        <v>#REF!</v>
      </c>
      <c r="HP50" s="7" t="e">
        <f>SUM(#REF!)</f>
        <v>#REF!</v>
      </c>
      <c r="HQ50" s="7" t="e">
        <f>#REF!-HP50</f>
        <v>#REF!</v>
      </c>
      <c r="HR50" s="7" t="e">
        <f>SUM(#REF!)</f>
        <v>#REF!</v>
      </c>
      <c r="HS50" s="7" t="e">
        <f>#REF!-HR50</f>
        <v>#REF!</v>
      </c>
      <c r="HT50" s="7" t="e">
        <f>SUM(#REF!)</f>
        <v>#REF!</v>
      </c>
      <c r="HU50" s="7" t="e">
        <f>#REF!-HT50</f>
        <v>#REF!</v>
      </c>
      <c r="HV50" s="7" t="e">
        <f>SUM(#REF!)</f>
        <v>#REF!</v>
      </c>
      <c r="HW50" s="7" t="e">
        <f>#REF!-HV50</f>
        <v>#REF!</v>
      </c>
      <c r="HX50" s="7" t="e">
        <f>SUM(#REF!)</f>
        <v>#REF!</v>
      </c>
      <c r="HY50" s="7" t="e">
        <f>#REF!-HX50</f>
        <v>#REF!</v>
      </c>
      <c r="HZ50" s="7">
        <f>SUM(BC50:BC50)</f>
        <v>0</v>
      </c>
      <c r="IA50" s="7" t="e">
        <f>#REF!-HZ50</f>
        <v>#REF!</v>
      </c>
      <c r="IB50" s="7">
        <f>SUM(BD50:BD50)</f>
        <v>0</v>
      </c>
      <c r="IC50" s="7" t="e">
        <f>#REF!-IB50</f>
        <v>#REF!</v>
      </c>
      <c r="ID50" s="7">
        <f t="shared" si="1"/>
        <v>0</v>
      </c>
      <c r="IE50" s="7">
        <f t="shared" si="2"/>
        <v>0</v>
      </c>
      <c r="IF50" s="7">
        <f t="shared" si="3"/>
        <v>6549474</v>
      </c>
      <c r="IG50" s="7">
        <f t="shared" si="4"/>
        <v>0</v>
      </c>
      <c r="IH50" s="7">
        <f t="shared" si="5"/>
        <v>11107030</v>
      </c>
      <c r="II50" s="7">
        <f t="shared" si="6"/>
        <v>0</v>
      </c>
      <c r="IJ50" s="7">
        <f t="shared" si="7"/>
        <v>98286669</v>
      </c>
      <c r="IK50" s="7">
        <f t="shared" si="8"/>
        <v>0</v>
      </c>
      <c r="IL50" s="7">
        <f t="shared" si="9"/>
        <v>10088426</v>
      </c>
      <c r="IM50" s="7">
        <f t="shared" si="10"/>
        <v>0</v>
      </c>
      <c r="IN50" s="7">
        <f t="shared" si="11"/>
        <v>4799383</v>
      </c>
      <c r="IO50" s="7">
        <f t="shared" si="12"/>
        <v>0</v>
      </c>
      <c r="IP50" s="7">
        <f t="shared" si="13"/>
        <v>11782764</v>
      </c>
      <c r="IQ50" s="7">
        <f t="shared" si="14"/>
        <v>0</v>
      </c>
      <c r="IR50" s="7">
        <f t="shared" si="15"/>
        <v>0</v>
      </c>
      <c r="IS50" s="7">
        <f t="shared" si="16"/>
        <v>0</v>
      </c>
      <c r="IT50" s="7">
        <f t="shared" si="17"/>
        <v>10387231</v>
      </c>
      <c r="IU50" s="7">
        <f t="shared" si="18"/>
        <v>0</v>
      </c>
      <c r="IV50" s="7">
        <f t="shared" si="19"/>
        <v>0</v>
      </c>
      <c r="IW50" s="7">
        <f t="shared" si="20"/>
        <v>0</v>
      </c>
      <c r="IX50" s="7">
        <f t="shared" si="21"/>
        <v>917306</v>
      </c>
      <c r="IY50" s="7">
        <f t="shared" si="22"/>
        <v>0</v>
      </c>
      <c r="IZ50" s="7">
        <f t="shared" si="23"/>
        <v>1431217</v>
      </c>
      <c r="JA50" s="7">
        <f t="shared" si="24"/>
        <v>0</v>
      </c>
      <c r="JB50" s="7">
        <f t="shared" si="25"/>
        <v>5637329</v>
      </c>
      <c r="JC50" s="7">
        <f t="shared" si="26"/>
        <v>0</v>
      </c>
      <c r="JD50" s="7">
        <f t="shared" si="27"/>
        <v>3063266</v>
      </c>
      <c r="JE50" s="7">
        <f t="shared" si="28"/>
        <v>0</v>
      </c>
      <c r="JF50" s="7">
        <f t="shared" si="29"/>
        <v>2991326</v>
      </c>
      <c r="JG50" s="7">
        <f t="shared" si="30"/>
        <v>0</v>
      </c>
      <c r="JH50" s="7">
        <f t="shared" si="31"/>
        <v>1774221</v>
      </c>
      <c r="JI50" s="7">
        <f t="shared" si="32"/>
        <v>0</v>
      </c>
      <c r="JJ50" s="7">
        <f t="shared" si="33"/>
        <v>0</v>
      </c>
      <c r="JK50" s="7">
        <f t="shared" si="34"/>
        <v>0</v>
      </c>
      <c r="JL50" s="7">
        <f t="shared" si="35"/>
        <v>21033342</v>
      </c>
      <c r="JM50" s="7">
        <f t="shared" si="36"/>
        <v>0</v>
      </c>
      <c r="JN50" s="7">
        <f t="shared" si="37"/>
        <v>285899</v>
      </c>
      <c r="JO50" s="7">
        <f t="shared" si="38"/>
        <v>0</v>
      </c>
      <c r="JP50" s="7">
        <f t="shared" si="39"/>
        <v>5317150</v>
      </c>
      <c r="JQ50" s="7">
        <f t="shared" si="40"/>
        <v>0</v>
      </c>
      <c r="JR50" s="7">
        <f t="shared" si="41"/>
        <v>857422</v>
      </c>
      <c r="JS50" s="7">
        <f t="shared" si="42"/>
        <v>0</v>
      </c>
      <c r="JT50" s="7">
        <f t="shared" si="43"/>
        <v>149689</v>
      </c>
      <c r="JU50" s="7">
        <f t="shared" si="44"/>
        <v>0</v>
      </c>
      <c r="JV50" s="7">
        <f t="shared" si="45"/>
        <v>15911661</v>
      </c>
      <c r="JW50" s="7">
        <f t="shared" si="46"/>
        <v>0</v>
      </c>
      <c r="JX50" s="7">
        <f t="shared" si="47"/>
        <v>96427632</v>
      </c>
      <c r="JY50" s="7">
        <f t="shared" si="48"/>
        <v>0</v>
      </c>
      <c r="JZ50" s="7">
        <f t="shared" si="49"/>
        <v>0</v>
      </c>
      <c r="KA50" s="7">
        <f t="shared" si="50"/>
        <v>0</v>
      </c>
      <c r="KB50" s="7">
        <f t="shared" si="51"/>
        <v>96427632</v>
      </c>
      <c r="KC50" s="7">
        <f t="shared" si="52"/>
        <v>0</v>
      </c>
      <c r="KE50" s="7" t="e">
        <f t="shared" si="54"/>
        <v>#REF!</v>
      </c>
      <c r="KG50" s="5" t="e">
        <f t="shared" si="53"/>
        <v>#REF!</v>
      </c>
    </row>
    <row r="51" spans="1:293" x14ac:dyDescent="0.15">
      <c r="A51" s="119" t="s">
        <v>435</v>
      </c>
      <c r="B51" s="17" t="s">
        <v>403</v>
      </c>
      <c r="C51" s="38">
        <v>176017</v>
      </c>
      <c r="D51" s="38">
        <v>2013</v>
      </c>
      <c r="E51" s="38">
        <v>1</v>
      </c>
      <c r="F51" s="38">
        <v>5</v>
      </c>
      <c r="G51" s="39">
        <v>6560</v>
      </c>
      <c r="H51" s="39">
        <v>8131</v>
      </c>
      <c r="I51" s="40">
        <v>502279651</v>
      </c>
      <c r="J51" s="40"/>
      <c r="K51" s="40">
        <v>5096076</v>
      </c>
      <c r="L51" s="40"/>
      <c r="M51" s="40">
        <v>14881556</v>
      </c>
      <c r="N51" s="40"/>
      <c r="O51" s="40">
        <v>64293179</v>
      </c>
      <c r="P51" s="40"/>
      <c r="Q51" s="40">
        <v>137986487</v>
      </c>
      <c r="R51" s="40"/>
      <c r="S51" s="40">
        <v>394848833</v>
      </c>
      <c r="T51" s="40"/>
      <c r="U51" s="40">
        <v>16682</v>
      </c>
      <c r="V51" s="40"/>
      <c r="W51" s="40">
        <v>26666</v>
      </c>
      <c r="X51" s="40"/>
      <c r="Y51" s="40">
        <v>21802</v>
      </c>
      <c r="Z51" s="40"/>
      <c r="AA51" s="40">
        <v>31786</v>
      </c>
      <c r="AB51" s="40"/>
      <c r="AC51" s="56">
        <v>8</v>
      </c>
      <c r="AD51" s="56">
        <v>10</v>
      </c>
      <c r="AE51" s="56">
        <v>0</v>
      </c>
      <c r="AF51" s="57">
        <v>3835484</v>
      </c>
      <c r="AG51" s="57">
        <v>2715943</v>
      </c>
      <c r="AH51" s="57">
        <v>863513</v>
      </c>
      <c r="AI51" s="57">
        <v>381804</v>
      </c>
      <c r="AJ51" s="57">
        <v>928076</v>
      </c>
      <c r="AK51" s="58">
        <v>5.5</v>
      </c>
      <c r="AL51" s="57">
        <v>850736.33</v>
      </c>
      <c r="AM51" s="58">
        <v>6</v>
      </c>
      <c r="AN51" s="57">
        <v>186067.20000000001</v>
      </c>
      <c r="AO51" s="58">
        <v>7.5</v>
      </c>
      <c r="AP51" s="57">
        <v>174438</v>
      </c>
      <c r="AQ51" s="58">
        <v>8</v>
      </c>
      <c r="AR51" s="57">
        <v>223982.32</v>
      </c>
      <c r="AS51" s="58">
        <v>18.5</v>
      </c>
      <c r="AT51" s="57">
        <v>197317.76000000001</v>
      </c>
      <c r="AU51" s="58">
        <v>21</v>
      </c>
      <c r="AV51" s="57">
        <v>105689.04</v>
      </c>
      <c r="AW51" s="58">
        <v>13.5</v>
      </c>
      <c r="AX51" s="57">
        <v>89175.13</v>
      </c>
      <c r="AY51" s="58">
        <v>16</v>
      </c>
      <c r="AZ51" s="79">
        <v>14360076</v>
      </c>
      <c r="BA51" s="79">
        <v>200000</v>
      </c>
      <c r="BB51" s="79">
        <v>11020691</v>
      </c>
      <c r="BC51" s="79">
        <v>725097</v>
      </c>
      <c r="BD51" s="79">
        <v>0</v>
      </c>
      <c r="BE51" s="79">
        <v>79270</v>
      </c>
      <c r="BF51" s="79">
        <v>67489</v>
      </c>
      <c r="BG51" s="79">
        <v>32047</v>
      </c>
      <c r="BH51" s="79">
        <v>646533</v>
      </c>
      <c r="BI51" s="79">
        <v>0</v>
      </c>
      <c r="BJ51" s="79">
        <v>825339</v>
      </c>
      <c r="BK51" s="79">
        <v>91938</v>
      </c>
      <c r="BL51" s="79">
        <v>0</v>
      </c>
      <c r="BM51" s="79">
        <v>15305</v>
      </c>
      <c r="BN51" s="79">
        <v>114545</v>
      </c>
      <c r="BO51" s="79">
        <v>298144</v>
      </c>
      <c r="BP51" s="79">
        <v>519932</v>
      </c>
      <c r="BQ51" s="79">
        <v>315017</v>
      </c>
      <c r="BR51" s="79">
        <v>51004</v>
      </c>
      <c r="BS51" s="79">
        <v>765</v>
      </c>
      <c r="BT51" s="79">
        <v>47998</v>
      </c>
      <c r="BU51" s="79">
        <v>2726537</v>
      </c>
      <c r="BV51" s="79">
        <v>3141321</v>
      </c>
      <c r="BW51" s="79">
        <v>41187144</v>
      </c>
      <c r="BX51" s="79">
        <v>7828142</v>
      </c>
      <c r="BY51" s="79">
        <v>98701</v>
      </c>
      <c r="BZ51" s="79">
        <v>4386961</v>
      </c>
      <c r="CA51" s="79">
        <v>19889102</v>
      </c>
      <c r="CB51" s="79">
        <v>73390050</v>
      </c>
      <c r="CC51" s="79">
        <v>2403629</v>
      </c>
      <c r="CD51" s="79">
        <v>430620</v>
      </c>
      <c r="CE51" s="79">
        <v>402560</v>
      </c>
      <c r="CF51" s="79">
        <v>3314618</v>
      </c>
      <c r="CG51" s="79">
        <v>501206</v>
      </c>
      <c r="CH51" s="79">
        <v>7052633</v>
      </c>
      <c r="CI51" s="79">
        <v>1575000</v>
      </c>
      <c r="CJ51" s="79">
        <v>495671</v>
      </c>
      <c r="CK51" s="79">
        <v>90751</v>
      </c>
      <c r="CL51" s="79">
        <v>59900</v>
      </c>
      <c r="CM51" s="79">
        <v>0</v>
      </c>
      <c r="CN51" s="79">
        <v>2221322</v>
      </c>
      <c r="CO51" s="79">
        <v>5067419</v>
      </c>
      <c r="CP51" s="79">
        <v>2209201</v>
      </c>
      <c r="CQ51" s="79">
        <v>917696</v>
      </c>
      <c r="CR51" s="79">
        <v>3876081</v>
      </c>
      <c r="CS51" s="79">
        <v>0</v>
      </c>
      <c r="CT51" s="79">
        <v>12070397</v>
      </c>
      <c r="CU51" s="79">
        <v>27500</v>
      </c>
      <c r="CV51" s="79">
        <v>12500</v>
      </c>
      <c r="CW51" s="79">
        <v>12500</v>
      </c>
      <c r="CX51" s="79">
        <v>52500</v>
      </c>
      <c r="CY51" s="79">
        <v>0</v>
      </c>
      <c r="CZ51" s="79">
        <v>105000</v>
      </c>
      <c r="DA51" s="79">
        <v>1689768</v>
      </c>
      <c r="DB51" s="79">
        <v>359716</v>
      </c>
      <c r="DC51" s="79">
        <v>263217</v>
      </c>
      <c r="DD51" s="79">
        <v>858416</v>
      </c>
      <c r="DE51" s="79">
        <v>8299023</v>
      </c>
      <c r="DF51" s="79">
        <v>11470140</v>
      </c>
      <c r="DG51" s="79">
        <v>23000</v>
      </c>
      <c r="DH51" s="79">
        <v>5000</v>
      </c>
      <c r="DI51" s="79">
        <v>5000</v>
      </c>
      <c r="DJ51" s="79">
        <v>2500</v>
      </c>
      <c r="DK51" s="79">
        <v>55500</v>
      </c>
      <c r="DL51" s="79">
        <v>91000</v>
      </c>
      <c r="DM51" s="79">
        <v>5768520</v>
      </c>
      <c r="DN51" s="79">
        <v>0</v>
      </c>
      <c r="DO51" s="79">
        <v>0</v>
      </c>
      <c r="DP51" s="79">
        <v>0</v>
      </c>
      <c r="DQ51" s="79">
        <v>173962</v>
      </c>
      <c r="DR51" s="79">
        <v>5942482</v>
      </c>
      <c r="DS51" s="79">
        <v>557208</v>
      </c>
      <c r="DT51" s="79">
        <v>115140</v>
      </c>
      <c r="DU51" s="79">
        <v>113967</v>
      </c>
      <c r="DV51" s="79">
        <v>459002</v>
      </c>
      <c r="DW51" s="79">
        <v>0</v>
      </c>
      <c r="DX51" s="79">
        <v>1245317</v>
      </c>
      <c r="DY51" s="79">
        <v>1420996</v>
      </c>
      <c r="DZ51" s="79">
        <v>723140</v>
      </c>
      <c r="EA51" s="79">
        <v>322516</v>
      </c>
      <c r="EB51" s="79">
        <v>1868772</v>
      </c>
      <c r="EC51" s="79">
        <v>0</v>
      </c>
      <c r="ED51" s="79">
        <v>4335424</v>
      </c>
      <c r="EE51" s="79">
        <v>1142959</v>
      </c>
      <c r="EF51" s="79">
        <v>162728</v>
      </c>
      <c r="EG51" s="79">
        <v>169784</v>
      </c>
      <c r="EH51" s="79">
        <v>1245173</v>
      </c>
      <c r="EI51" s="79">
        <v>0</v>
      </c>
      <c r="EJ51" s="79">
        <v>2720644</v>
      </c>
      <c r="EK51" s="79">
        <v>1544230</v>
      </c>
      <c r="EL51" s="79">
        <v>312807</v>
      </c>
      <c r="EM51" s="79">
        <v>182429</v>
      </c>
      <c r="EN51" s="79">
        <v>999389</v>
      </c>
      <c r="EO51" s="79">
        <v>131981</v>
      </c>
      <c r="EP51" s="79">
        <v>3170836</v>
      </c>
      <c r="EQ51" s="79">
        <v>271042</v>
      </c>
      <c r="ER51" s="79">
        <v>134245</v>
      </c>
      <c r="ES51" s="79">
        <v>106198</v>
      </c>
      <c r="ET51" s="79">
        <v>236702</v>
      </c>
      <c r="EU51" s="79">
        <v>1720211</v>
      </c>
      <c r="EV51" s="79">
        <v>2468398</v>
      </c>
      <c r="EW51" s="79">
        <v>53101</v>
      </c>
      <c r="EX51" s="79">
        <v>50101</v>
      </c>
      <c r="EY51" s="79">
        <v>19836</v>
      </c>
      <c r="EZ51" s="79">
        <v>361596</v>
      </c>
      <c r="FA51" s="79">
        <v>0</v>
      </c>
      <c r="FB51" s="79">
        <v>484634</v>
      </c>
      <c r="FC51" s="79">
        <v>4674607</v>
      </c>
      <c r="FD51" s="79">
        <v>269234</v>
      </c>
      <c r="FE51" s="79">
        <v>295682</v>
      </c>
      <c r="FF51" s="79">
        <v>1615002</v>
      </c>
      <c r="FG51" s="79">
        <v>3290698</v>
      </c>
      <c r="FH51" s="79">
        <v>10145223</v>
      </c>
      <c r="FI51" s="79">
        <v>143420</v>
      </c>
      <c r="FJ51" s="79">
        <v>15135</v>
      </c>
      <c r="FK51" s="79">
        <v>0</v>
      </c>
      <c r="FL51" s="79">
        <v>3474</v>
      </c>
      <c r="FM51" s="79">
        <v>197462</v>
      </c>
      <c r="FN51" s="79">
        <v>359491</v>
      </c>
      <c r="FO51" s="79">
        <v>0</v>
      </c>
      <c r="FP51" s="79">
        <v>0</v>
      </c>
      <c r="FQ51" s="79">
        <v>0</v>
      </c>
      <c r="FR51" s="79">
        <v>0</v>
      </c>
      <c r="FS51" s="79">
        <v>0</v>
      </c>
      <c r="FT51" s="79">
        <v>0</v>
      </c>
      <c r="FU51" s="79">
        <v>198983</v>
      </c>
      <c r="FV51" s="79">
        <v>25112</v>
      </c>
      <c r="FW51" s="79">
        <v>18891</v>
      </c>
      <c r="FX51" s="79">
        <v>517646</v>
      </c>
      <c r="FY51" s="79">
        <v>34047</v>
      </c>
      <c r="FZ51" s="79">
        <v>794679</v>
      </c>
      <c r="GA51" s="79">
        <v>2600</v>
      </c>
      <c r="GB51" s="79">
        <v>120</v>
      </c>
      <c r="GC51" s="79">
        <v>1120</v>
      </c>
      <c r="GD51" s="79">
        <v>6409</v>
      </c>
      <c r="GE51" s="79">
        <v>33082</v>
      </c>
      <c r="GF51" s="79">
        <v>43331</v>
      </c>
      <c r="GG51" s="79">
        <v>1703087</v>
      </c>
      <c r="GH51" s="79">
        <v>244133</v>
      </c>
      <c r="GI51" s="79">
        <v>109900</v>
      </c>
      <c r="GJ51" s="79">
        <v>648253</v>
      </c>
      <c r="GK51" s="79">
        <v>3889483</v>
      </c>
      <c r="GL51" s="79">
        <v>6594856</v>
      </c>
      <c r="GM51" s="79">
        <v>28267069</v>
      </c>
      <c r="GN51" s="79">
        <v>5564603</v>
      </c>
      <c r="GO51" s="79">
        <v>3032047</v>
      </c>
      <c r="GP51" s="79">
        <v>16125433</v>
      </c>
      <c r="GQ51" s="79">
        <v>18326655</v>
      </c>
      <c r="GR51" s="79">
        <v>71315807</v>
      </c>
      <c r="GS51" s="79">
        <v>0</v>
      </c>
      <c r="GT51" s="79">
        <v>0</v>
      </c>
      <c r="GU51" s="79">
        <v>0</v>
      </c>
      <c r="GV51" s="79">
        <v>0</v>
      </c>
      <c r="GW51" s="79">
        <v>1864132</v>
      </c>
      <c r="GX51" s="79">
        <v>1864132</v>
      </c>
      <c r="GY51" s="79">
        <v>28267069</v>
      </c>
      <c r="GZ51" s="79">
        <v>5564603</v>
      </c>
      <c r="HA51" s="79">
        <v>3032047</v>
      </c>
      <c r="HB51" s="79">
        <v>16125433</v>
      </c>
      <c r="HC51" s="79">
        <v>20190787</v>
      </c>
      <c r="HD51" s="79">
        <v>73179939</v>
      </c>
      <c r="HF51" s="7">
        <f>SUM(AZ51:AZ51)</f>
        <v>14360076</v>
      </c>
      <c r="HG51" s="7" t="e">
        <f>#REF!-HF51</f>
        <v>#REF!</v>
      </c>
      <c r="HH51" s="7" t="e">
        <f>SUM(#REF!)</f>
        <v>#REF!</v>
      </c>
      <c r="HI51" s="7" t="e">
        <f>#REF!-HH51</f>
        <v>#REF!</v>
      </c>
      <c r="HJ51" s="7">
        <f>SUM(BA51:BA51)</f>
        <v>200000</v>
      </c>
      <c r="HK51" s="7" t="e">
        <f>#REF!-HJ51</f>
        <v>#REF!</v>
      </c>
      <c r="HL51" s="7">
        <f>SUM(BB51:BB51)</f>
        <v>11020691</v>
      </c>
      <c r="HM51" s="7" t="e">
        <f>#REF!-HL51</f>
        <v>#REF!</v>
      </c>
      <c r="HN51" s="7" t="e">
        <f>SUM(#REF!)</f>
        <v>#REF!</v>
      </c>
      <c r="HO51" s="7" t="e">
        <f>#REF!-HN51</f>
        <v>#REF!</v>
      </c>
      <c r="HP51" s="7" t="e">
        <f>SUM(#REF!)</f>
        <v>#REF!</v>
      </c>
      <c r="HQ51" s="7" t="e">
        <f>#REF!-HP51</f>
        <v>#REF!</v>
      </c>
      <c r="HR51" s="7" t="e">
        <f>SUM(#REF!)</f>
        <v>#REF!</v>
      </c>
      <c r="HS51" s="7" t="e">
        <f>#REF!-HR51</f>
        <v>#REF!</v>
      </c>
      <c r="HT51" s="7" t="e">
        <f>SUM(#REF!)</f>
        <v>#REF!</v>
      </c>
      <c r="HU51" s="7" t="e">
        <f>#REF!-HT51</f>
        <v>#REF!</v>
      </c>
      <c r="HV51" s="7" t="e">
        <f>SUM(#REF!)</f>
        <v>#REF!</v>
      </c>
      <c r="HW51" s="7" t="e">
        <f>#REF!-HV51</f>
        <v>#REF!</v>
      </c>
      <c r="HX51" s="7" t="e">
        <f>SUM(#REF!)</f>
        <v>#REF!</v>
      </c>
      <c r="HY51" s="7" t="e">
        <f>#REF!-HX51</f>
        <v>#REF!</v>
      </c>
      <c r="HZ51" s="7">
        <f>SUM(BC51:BC51)</f>
        <v>725097</v>
      </c>
      <c r="IA51" s="7" t="e">
        <f>#REF!-HZ51</f>
        <v>#REF!</v>
      </c>
      <c r="IB51" s="7">
        <f>SUM(BD51:BD51)</f>
        <v>0</v>
      </c>
      <c r="IC51" s="7" t="e">
        <f>#REF!-IB51</f>
        <v>#REF!</v>
      </c>
      <c r="ID51" s="7">
        <f t="shared" si="1"/>
        <v>825339</v>
      </c>
      <c r="IE51" s="7">
        <f>BJ51-ID51</f>
        <v>0</v>
      </c>
      <c r="IF51" s="7">
        <f t="shared" si="3"/>
        <v>519932</v>
      </c>
      <c r="IG51" s="7">
        <f>BP51-IF51</f>
        <v>0</v>
      </c>
      <c r="IH51" s="7">
        <f t="shared" si="5"/>
        <v>3141321</v>
      </c>
      <c r="II51" s="7">
        <f t="shared" si="6"/>
        <v>0</v>
      </c>
      <c r="IJ51" s="7">
        <f t="shared" si="7"/>
        <v>73390050</v>
      </c>
      <c r="IK51" s="7">
        <f>CB51-IJ51</f>
        <v>0</v>
      </c>
      <c r="IL51" s="7">
        <f t="shared" si="9"/>
        <v>7052633</v>
      </c>
      <c r="IM51" s="7">
        <f t="shared" si="10"/>
        <v>0</v>
      </c>
      <c r="IN51" s="7">
        <f t="shared" si="11"/>
        <v>2221322</v>
      </c>
      <c r="IO51" s="7">
        <f>CN51-IN51</f>
        <v>0</v>
      </c>
      <c r="IP51" s="7">
        <f t="shared" si="13"/>
        <v>12070397</v>
      </c>
      <c r="IQ51" s="7">
        <f t="shared" si="14"/>
        <v>0</v>
      </c>
      <c r="IR51" s="7">
        <f t="shared" si="15"/>
        <v>105000</v>
      </c>
      <c r="IS51" s="7">
        <f t="shared" si="16"/>
        <v>0</v>
      </c>
      <c r="IT51" s="7">
        <f t="shared" si="17"/>
        <v>11470140</v>
      </c>
      <c r="IU51" s="7">
        <f t="shared" si="18"/>
        <v>0</v>
      </c>
      <c r="IV51" s="7">
        <f t="shared" si="19"/>
        <v>91000</v>
      </c>
      <c r="IW51" s="7">
        <f t="shared" si="20"/>
        <v>0</v>
      </c>
      <c r="IX51" s="7">
        <f t="shared" si="21"/>
        <v>5942482</v>
      </c>
      <c r="IY51" s="7">
        <f t="shared" si="22"/>
        <v>0</v>
      </c>
      <c r="IZ51" s="7">
        <f t="shared" si="23"/>
        <v>1245317</v>
      </c>
      <c r="JA51" s="7">
        <f t="shared" si="24"/>
        <v>0</v>
      </c>
      <c r="JB51" s="7">
        <f>SUM(DY51:EC51)</f>
        <v>4335424</v>
      </c>
      <c r="JC51" s="7">
        <f t="shared" si="26"/>
        <v>0</v>
      </c>
      <c r="JD51" s="7">
        <f t="shared" si="27"/>
        <v>2720644</v>
      </c>
      <c r="JE51" s="7">
        <f t="shared" si="28"/>
        <v>0</v>
      </c>
      <c r="JF51" s="7">
        <f t="shared" si="29"/>
        <v>3170836</v>
      </c>
      <c r="JG51" s="7">
        <f t="shared" si="30"/>
        <v>0</v>
      </c>
      <c r="JH51" s="7">
        <f t="shared" si="31"/>
        <v>2468398</v>
      </c>
      <c r="JI51" s="7">
        <f t="shared" si="32"/>
        <v>0</v>
      </c>
      <c r="JJ51" s="7">
        <f t="shared" si="33"/>
        <v>484634</v>
      </c>
      <c r="JK51" s="7">
        <f t="shared" si="34"/>
        <v>0</v>
      </c>
      <c r="JL51" s="7">
        <f t="shared" si="35"/>
        <v>10145223</v>
      </c>
      <c r="JM51" s="7">
        <f t="shared" si="36"/>
        <v>0</v>
      </c>
      <c r="JN51" s="7">
        <f t="shared" si="37"/>
        <v>359491</v>
      </c>
      <c r="JO51" s="7">
        <f>FN51-JN51</f>
        <v>0</v>
      </c>
      <c r="JP51" s="7">
        <f t="shared" si="39"/>
        <v>0</v>
      </c>
      <c r="JQ51" s="7">
        <f t="shared" si="40"/>
        <v>0</v>
      </c>
      <c r="JR51" s="7">
        <f>SUM(FU51:FY51)</f>
        <v>794679</v>
      </c>
      <c r="JS51" s="7">
        <f>FZ51-JR51</f>
        <v>0</v>
      </c>
      <c r="JT51" s="7">
        <f t="shared" si="43"/>
        <v>43331</v>
      </c>
      <c r="JU51" s="7">
        <f t="shared" si="44"/>
        <v>0</v>
      </c>
      <c r="JV51" s="7">
        <f t="shared" si="45"/>
        <v>6594856</v>
      </c>
      <c r="JW51" s="7">
        <f t="shared" si="46"/>
        <v>0</v>
      </c>
      <c r="JX51" s="7">
        <f t="shared" si="47"/>
        <v>71315807</v>
      </c>
      <c r="JY51" s="7">
        <f t="shared" si="48"/>
        <v>0</v>
      </c>
      <c r="JZ51" s="7">
        <f t="shared" si="49"/>
        <v>1864132</v>
      </c>
      <c r="KA51" s="7">
        <f t="shared" si="50"/>
        <v>0</v>
      </c>
      <c r="KB51" s="7">
        <f t="shared" si="51"/>
        <v>73179939</v>
      </c>
      <c r="KC51" s="7">
        <f t="shared" si="52"/>
        <v>0</v>
      </c>
      <c r="KE51" s="7" t="e">
        <f t="shared" si="54"/>
        <v>#REF!</v>
      </c>
      <c r="KG51" s="5" t="e">
        <f t="shared" si="53"/>
        <v>#REF!</v>
      </c>
    </row>
    <row r="52" spans="1:293" x14ac:dyDescent="0.15">
      <c r="A52" s="119" t="s">
        <v>254</v>
      </c>
      <c r="B52" s="17" t="s">
        <v>343</v>
      </c>
      <c r="C52" s="41">
        <v>176080</v>
      </c>
      <c r="D52" s="38">
        <v>2013</v>
      </c>
      <c r="E52" s="38">
        <v>1</v>
      </c>
      <c r="F52" s="38">
        <v>5</v>
      </c>
      <c r="G52" s="39">
        <v>10492</v>
      </c>
      <c r="H52" s="39">
        <v>9873</v>
      </c>
      <c r="I52" s="40">
        <v>574985115</v>
      </c>
      <c r="J52" s="40"/>
      <c r="K52" s="40">
        <v>2535017</v>
      </c>
      <c r="L52" s="40"/>
      <c r="M52" s="40">
        <v>16660514</v>
      </c>
      <c r="N52" s="40"/>
      <c r="O52" s="40">
        <v>21728735</v>
      </c>
      <c r="P52" s="40"/>
      <c r="Q52" s="40">
        <v>187560000</v>
      </c>
      <c r="R52" s="40"/>
      <c r="S52" s="40">
        <v>348040202</v>
      </c>
      <c r="T52" s="40"/>
      <c r="U52" s="40">
        <v>15550</v>
      </c>
      <c r="V52" s="40"/>
      <c r="W52" s="40">
        <v>25114</v>
      </c>
      <c r="X52" s="40"/>
      <c r="Y52" s="40">
        <v>20902</v>
      </c>
      <c r="Z52" s="40"/>
      <c r="AA52" s="40">
        <v>30466</v>
      </c>
      <c r="AB52" s="40"/>
      <c r="AC52" s="56">
        <v>8</v>
      </c>
      <c r="AD52" s="56">
        <v>9</v>
      </c>
      <c r="AE52" s="56">
        <v>0</v>
      </c>
      <c r="AF52" s="57">
        <v>3749992</v>
      </c>
      <c r="AG52" s="57">
        <v>2516432</v>
      </c>
      <c r="AH52" s="57">
        <v>779872</v>
      </c>
      <c r="AI52" s="57">
        <v>319112</v>
      </c>
      <c r="AJ52" s="57">
        <v>823455</v>
      </c>
      <c r="AK52" s="58">
        <v>6</v>
      </c>
      <c r="AL52" s="57">
        <v>754834</v>
      </c>
      <c r="AM52" s="58">
        <v>6</v>
      </c>
      <c r="AN52" s="57">
        <v>159546</v>
      </c>
      <c r="AO52" s="58">
        <v>7</v>
      </c>
      <c r="AP52" s="57">
        <v>148150</v>
      </c>
      <c r="AQ52" s="58">
        <v>7</v>
      </c>
      <c r="AR52" s="57">
        <v>224726</v>
      </c>
      <c r="AS52" s="58">
        <v>19</v>
      </c>
      <c r="AT52" s="57">
        <v>224726</v>
      </c>
      <c r="AU52" s="58">
        <v>19</v>
      </c>
      <c r="AV52" s="57">
        <v>78427</v>
      </c>
      <c r="AW52" s="58">
        <v>13</v>
      </c>
      <c r="AX52" s="57">
        <v>78427</v>
      </c>
      <c r="AY52" s="58">
        <v>13</v>
      </c>
      <c r="AZ52" s="79">
        <v>9144985</v>
      </c>
      <c r="BA52" s="79">
        <v>200000</v>
      </c>
      <c r="BB52" s="79">
        <v>0</v>
      </c>
      <c r="BC52" s="79">
        <v>1036613</v>
      </c>
      <c r="BD52" s="79">
        <v>0</v>
      </c>
      <c r="BE52" s="79">
        <v>188000</v>
      </c>
      <c r="BF52" s="79">
        <v>64142</v>
      </c>
      <c r="BG52" s="79">
        <v>34396</v>
      </c>
      <c r="BH52" s="79">
        <v>454431</v>
      </c>
      <c r="BI52" s="79">
        <v>14628</v>
      </c>
      <c r="BJ52" s="79">
        <v>755597</v>
      </c>
      <c r="BK52" s="79">
        <v>0</v>
      </c>
      <c r="BL52" s="79">
        <v>0</v>
      </c>
      <c r="BM52" s="79">
        <v>0</v>
      </c>
      <c r="BN52" s="79">
        <v>0</v>
      </c>
      <c r="BO52" s="79">
        <v>1011703</v>
      </c>
      <c r="BP52" s="79">
        <v>1011703</v>
      </c>
      <c r="BQ52" s="79">
        <v>1113435</v>
      </c>
      <c r="BR52" s="79">
        <v>3806</v>
      </c>
      <c r="BS52" s="79">
        <v>0</v>
      </c>
      <c r="BT52" s="79">
        <v>90962</v>
      </c>
      <c r="BU52" s="79">
        <v>501861</v>
      </c>
      <c r="BV52" s="79">
        <v>1710064</v>
      </c>
      <c r="BW52" s="79">
        <v>25824155</v>
      </c>
      <c r="BX52" s="79">
        <v>6747823</v>
      </c>
      <c r="BY52" s="79">
        <v>91685</v>
      </c>
      <c r="BZ52" s="79">
        <v>1814562</v>
      </c>
      <c r="CA52" s="79">
        <v>28285800</v>
      </c>
      <c r="CB52" s="79">
        <v>62764025</v>
      </c>
      <c r="CC52" s="79">
        <v>2277977</v>
      </c>
      <c r="CD52" s="79">
        <v>418940</v>
      </c>
      <c r="CE52" s="79">
        <v>407854</v>
      </c>
      <c r="CF52" s="79">
        <v>3161653</v>
      </c>
      <c r="CG52" s="79">
        <v>234438</v>
      </c>
      <c r="CH52" s="79">
        <v>6500862</v>
      </c>
      <c r="CI52" s="79">
        <v>1578550</v>
      </c>
      <c r="CJ52" s="79">
        <v>514880</v>
      </c>
      <c r="CK52" s="79">
        <v>93247</v>
      </c>
      <c r="CL52" s="79">
        <v>93272</v>
      </c>
      <c r="CM52" s="79">
        <v>0</v>
      </c>
      <c r="CN52" s="79">
        <v>2279949</v>
      </c>
      <c r="CO52" s="79">
        <v>5424324</v>
      </c>
      <c r="CP52" s="79">
        <v>1608540</v>
      </c>
      <c r="CQ52" s="79">
        <v>746503</v>
      </c>
      <c r="CR52" s="79">
        <v>3076045</v>
      </c>
      <c r="CS52" s="79">
        <v>0</v>
      </c>
      <c r="CT52" s="79">
        <v>10855412</v>
      </c>
      <c r="CU52" s="79">
        <v>0</v>
      </c>
      <c r="CV52" s="79">
        <v>3113</v>
      </c>
      <c r="CW52" s="79">
        <v>2713</v>
      </c>
      <c r="CX52" s="79">
        <v>135427</v>
      </c>
      <c r="CY52" s="79">
        <v>0</v>
      </c>
      <c r="CZ52" s="79">
        <v>141253</v>
      </c>
      <c r="DA52" s="79">
        <v>890580</v>
      </c>
      <c r="DB52" s="79">
        <v>202786</v>
      </c>
      <c r="DC52" s="79">
        <v>115854</v>
      </c>
      <c r="DD52" s="79">
        <v>163358</v>
      </c>
      <c r="DE52" s="79">
        <v>6083342</v>
      </c>
      <c r="DF52" s="79">
        <v>7455920</v>
      </c>
      <c r="DG52" s="79">
        <v>0</v>
      </c>
      <c r="DH52" s="79">
        <v>0</v>
      </c>
      <c r="DI52" s="79">
        <v>0</v>
      </c>
      <c r="DJ52" s="79">
        <v>0</v>
      </c>
      <c r="DK52" s="79">
        <v>7713</v>
      </c>
      <c r="DL52" s="79">
        <v>7713</v>
      </c>
      <c r="DM52" s="79">
        <v>0</v>
      </c>
      <c r="DN52" s="79">
        <v>0</v>
      </c>
      <c r="DO52" s="79">
        <v>0</v>
      </c>
      <c r="DP52" s="79">
        <v>0</v>
      </c>
      <c r="DQ52" s="79">
        <v>587875</v>
      </c>
      <c r="DR52" s="79">
        <v>587875</v>
      </c>
      <c r="DS52" s="79">
        <v>468536</v>
      </c>
      <c r="DT52" s="79">
        <v>168510</v>
      </c>
      <c r="DU52" s="79">
        <v>119635</v>
      </c>
      <c r="DV52" s="79">
        <v>342303</v>
      </c>
      <c r="DW52" s="79">
        <v>0</v>
      </c>
      <c r="DX52" s="79">
        <v>1098984</v>
      </c>
      <c r="DY52" s="79">
        <v>1416854</v>
      </c>
      <c r="DZ52" s="79">
        <v>732159</v>
      </c>
      <c r="EA52" s="79">
        <v>344386</v>
      </c>
      <c r="EB52" s="79">
        <v>1473699</v>
      </c>
      <c r="EC52" s="79">
        <v>0</v>
      </c>
      <c r="ED52" s="79">
        <v>3967098</v>
      </c>
      <c r="EE52" s="79">
        <v>634221</v>
      </c>
      <c r="EF52" s="79">
        <v>28117</v>
      </c>
      <c r="EG52" s="79">
        <v>62522</v>
      </c>
      <c r="EH52" s="79">
        <v>407097</v>
      </c>
      <c r="EI52" s="79">
        <v>35863</v>
      </c>
      <c r="EJ52" s="79">
        <v>1167820</v>
      </c>
      <c r="EK52" s="79">
        <v>1550028</v>
      </c>
      <c r="EL52" s="79">
        <v>300770</v>
      </c>
      <c r="EM52" s="79">
        <v>141785</v>
      </c>
      <c r="EN52" s="79">
        <v>351830</v>
      </c>
      <c r="EO52" s="79">
        <v>206018</v>
      </c>
      <c r="EP52" s="79">
        <v>2550431</v>
      </c>
      <c r="EQ52" s="79">
        <v>49384</v>
      </c>
      <c r="ER52" s="79">
        <v>5905</v>
      </c>
      <c r="ES52" s="79">
        <v>0</v>
      </c>
      <c r="ET52" s="79">
        <v>9695</v>
      </c>
      <c r="EU52" s="79">
        <v>4694443</v>
      </c>
      <c r="EV52" s="79">
        <v>4759427</v>
      </c>
      <c r="EW52" s="79">
        <v>156871</v>
      </c>
      <c r="EX52" s="79">
        <v>45336</v>
      </c>
      <c r="EY52" s="79">
        <v>28081</v>
      </c>
      <c r="EZ52" s="79">
        <v>407385</v>
      </c>
      <c r="FA52" s="79">
        <v>7108</v>
      </c>
      <c r="FB52" s="79">
        <v>644781</v>
      </c>
      <c r="FC52" s="79">
        <v>264742</v>
      </c>
      <c r="FD52" s="79">
        <v>27819</v>
      </c>
      <c r="FE52" s="79">
        <v>23226</v>
      </c>
      <c r="FF52" s="79">
        <v>67445</v>
      </c>
      <c r="FG52" s="79">
        <v>9689090</v>
      </c>
      <c r="FH52" s="79">
        <v>10072322</v>
      </c>
      <c r="FI52" s="79">
        <v>0</v>
      </c>
      <c r="FJ52" s="79">
        <v>0</v>
      </c>
      <c r="FK52" s="79">
        <v>0</v>
      </c>
      <c r="FL52" s="79">
        <v>0</v>
      </c>
      <c r="FM52" s="79">
        <v>142475</v>
      </c>
      <c r="FN52" s="79">
        <v>142475</v>
      </c>
      <c r="FO52" s="79">
        <v>0</v>
      </c>
      <c r="FP52" s="79">
        <v>0</v>
      </c>
      <c r="FQ52" s="79">
        <v>0</v>
      </c>
      <c r="FR52" s="79">
        <v>0</v>
      </c>
      <c r="FS52" s="79">
        <v>0</v>
      </c>
      <c r="FT52" s="79">
        <v>0</v>
      </c>
      <c r="FU52" s="79">
        <v>228328</v>
      </c>
      <c r="FV52" s="79">
        <v>75918</v>
      </c>
      <c r="FW52" s="79">
        <v>71310</v>
      </c>
      <c r="FX52" s="79">
        <v>438487</v>
      </c>
      <c r="FY52" s="79">
        <v>231254</v>
      </c>
      <c r="FZ52" s="79">
        <v>1045297</v>
      </c>
      <c r="GA52" s="79">
        <v>2300</v>
      </c>
      <c r="GB52" s="79">
        <v>1855</v>
      </c>
      <c r="GC52" s="79">
        <v>2682</v>
      </c>
      <c r="GD52" s="79">
        <v>25812</v>
      </c>
      <c r="GE52" s="79">
        <v>23225</v>
      </c>
      <c r="GF52" s="79">
        <v>55874</v>
      </c>
      <c r="GG52" s="79">
        <v>336375</v>
      </c>
      <c r="GH52" s="79">
        <v>181421</v>
      </c>
      <c r="GI52" s="79">
        <v>141838</v>
      </c>
      <c r="GJ52" s="79">
        <v>430601</v>
      </c>
      <c r="GK52" s="79">
        <v>2938496</v>
      </c>
      <c r="GL52" s="79">
        <v>4028731</v>
      </c>
      <c r="GM52" s="79">
        <v>15279070</v>
      </c>
      <c r="GN52" s="79">
        <v>4316069</v>
      </c>
      <c r="GO52" s="79">
        <v>2301636</v>
      </c>
      <c r="GP52" s="79">
        <v>10584109</v>
      </c>
      <c r="GQ52" s="79">
        <v>24881340</v>
      </c>
      <c r="GR52" s="79">
        <v>57362224</v>
      </c>
      <c r="GS52" s="79">
        <v>0</v>
      </c>
      <c r="GT52" s="79">
        <v>0</v>
      </c>
      <c r="GU52" s="79">
        <v>0</v>
      </c>
      <c r="GV52" s="79">
        <v>0</v>
      </c>
      <c r="GW52" s="79">
        <v>750000</v>
      </c>
      <c r="GX52" s="79">
        <v>750000</v>
      </c>
      <c r="GY52" s="79">
        <v>15279070</v>
      </c>
      <c r="GZ52" s="79">
        <v>4316069</v>
      </c>
      <c r="HA52" s="79">
        <v>2301636</v>
      </c>
      <c r="HB52" s="79">
        <v>10584109</v>
      </c>
      <c r="HC52" s="79">
        <v>25631340</v>
      </c>
      <c r="HD52" s="79">
        <v>58112224</v>
      </c>
      <c r="HF52" s="7">
        <f>SUM(AZ52:AZ52)</f>
        <v>9144985</v>
      </c>
      <c r="HG52" s="7" t="e">
        <f>#REF!-HF52</f>
        <v>#REF!</v>
      </c>
      <c r="HH52" s="7" t="e">
        <f>SUM(#REF!)</f>
        <v>#REF!</v>
      </c>
      <c r="HI52" s="7" t="e">
        <f>#REF!-HH52</f>
        <v>#REF!</v>
      </c>
      <c r="HJ52" s="7">
        <f>SUM(BA52:BA52)</f>
        <v>200000</v>
      </c>
      <c r="HK52" s="7" t="e">
        <f>#REF!-HJ52</f>
        <v>#REF!</v>
      </c>
      <c r="HL52" s="7">
        <f>SUM(BB52:BB52)</f>
        <v>0</v>
      </c>
      <c r="HM52" s="7" t="e">
        <f>#REF!-HL52</f>
        <v>#REF!</v>
      </c>
      <c r="HN52" s="7" t="e">
        <f>SUM(#REF!)</f>
        <v>#REF!</v>
      </c>
      <c r="HO52" s="7" t="e">
        <f>#REF!-HN52</f>
        <v>#REF!</v>
      </c>
      <c r="HP52" s="7" t="e">
        <f>SUM(#REF!)</f>
        <v>#REF!</v>
      </c>
      <c r="HQ52" s="7" t="e">
        <f>#REF!-HP52</f>
        <v>#REF!</v>
      </c>
      <c r="HR52" s="7" t="e">
        <f>SUM(#REF!)</f>
        <v>#REF!</v>
      </c>
      <c r="HS52" s="7" t="e">
        <f>#REF!-HR52</f>
        <v>#REF!</v>
      </c>
      <c r="HT52" s="7" t="e">
        <f>SUM(#REF!)</f>
        <v>#REF!</v>
      </c>
      <c r="HU52" s="7" t="e">
        <f>#REF!-HT52</f>
        <v>#REF!</v>
      </c>
      <c r="HV52" s="7" t="e">
        <f>SUM(#REF!)</f>
        <v>#REF!</v>
      </c>
      <c r="HW52" s="7" t="e">
        <f>#REF!-HV52</f>
        <v>#REF!</v>
      </c>
      <c r="HX52" s="7" t="e">
        <f>SUM(#REF!)</f>
        <v>#REF!</v>
      </c>
      <c r="HY52" s="7" t="e">
        <f>#REF!-HX52</f>
        <v>#REF!</v>
      </c>
      <c r="HZ52" s="7">
        <f>SUM(BC52:BC52)</f>
        <v>1036613</v>
      </c>
      <c r="IA52" s="7" t="e">
        <f>#REF!-HZ52</f>
        <v>#REF!</v>
      </c>
      <c r="IB52" s="7">
        <f>SUM(BD52:BD52)</f>
        <v>0</v>
      </c>
      <c r="IC52" s="7" t="e">
        <f>#REF!-IB52</f>
        <v>#REF!</v>
      </c>
      <c r="ID52" s="7">
        <f t="shared" si="1"/>
        <v>755597</v>
      </c>
      <c r="IE52" s="7">
        <f t="shared" si="2"/>
        <v>0</v>
      </c>
      <c r="IF52" s="7">
        <f t="shared" si="3"/>
        <v>1011703</v>
      </c>
      <c r="IG52" s="7">
        <f t="shared" si="4"/>
        <v>0</v>
      </c>
      <c r="IH52" s="7">
        <f t="shared" si="5"/>
        <v>1710064</v>
      </c>
      <c r="II52" s="7">
        <f t="shared" si="6"/>
        <v>0</v>
      </c>
      <c r="IJ52" s="7">
        <f t="shared" si="7"/>
        <v>62764025</v>
      </c>
      <c r="IK52" s="7">
        <f t="shared" si="8"/>
        <v>0</v>
      </c>
      <c r="IL52" s="7">
        <f t="shared" si="9"/>
        <v>6500862</v>
      </c>
      <c r="IM52" s="7">
        <f t="shared" si="10"/>
        <v>0</v>
      </c>
      <c r="IN52" s="7">
        <f t="shared" si="11"/>
        <v>2279949</v>
      </c>
      <c r="IO52" s="7">
        <f t="shared" si="12"/>
        <v>0</v>
      </c>
      <c r="IP52" s="7">
        <f t="shared" si="13"/>
        <v>10855412</v>
      </c>
      <c r="IQ52" s="7">
        <f t="shared" si="14"/>
        <v>0</v>
      </c>
      <c r="IR52" s="7">
        <f t="shared" si="15"/>
        <v>141253</v>
      </c>
      <c r="IS52" s="7">
        <f t="shared" si="16"/>
        <v>0</v>
      </c>
      <c r="IT52" s="7">
        <f t="shared" si="17"/>
        <v>7455920</v>
      </c>
      <c r="IU52" s="7">
        <f t="shared" si="18"/>
        <v>0</v>
      </c>
      <c r="IV52" s="7">
        <f t="shared" si="19"/>
        <v>7713</v>
      </c>
      <c r="IW52" s="7">
        <f t="shared" si="20"/>
        <v>0</v>
      </c>
      <c r="IX52" s="7">
        <f t="shared" si="21"/>
        <v>587875</v>
      </c>
      <c r="IY52" s="7">
        <f t="shared" si="22"/>
        <v>0</v>
      </c>
      <c r="IZ52" s="7">
        <f t="shared" si="23"/>
        <v>1098984</v>
      </c>
      <c r="JA52" s="7">
        <f t="shared" si="24"/>
        <v>0</v>
      </c>
      <c r="JB52" s="7">
        <f t="shared" si="25"/>
        <v>3967098</v>
      </c>
      <c r="JC52" s="7">
        <f t="shared" si="26"/>
        <v>0</v>
      </c>
      <c r="JD52" s="7">
        <f t="shared" si="27"/>
        <v>1167820</v>
      </c>
      <c r="JE52" s="7">
        <f t="shared" si="28"/>
        <v>0</v>
      </c>
      <c r="JF52" s="7">
        <f t="shared" si="29"/>
        <v>2550431</v>
      </c>
      <c r="JG52" s="7">
        <f t="shared" si="30"/>
        <v>0</v>
      </c>
      <c r="JH52" s="7">
        <f t="shared" si="31"/>
        <v>4759427</v>
      </c>
      <c r="JI52" s="7">
        <f t="shared" si="32"/>
        <v>0</v>
      </c>
      <c r="JJ52" s="7">
        <f t="shared" si="33"/>
        <v>644781</v>
      </c>
      <c r="JK52" s="7">
        <f t="shared" si="34"/>
        <v>0</v>
      </c>
      <c r="JL52" s="7">
        <f t="shared" si="35"/>
        <v>10072322</v>
      </c>
      <c r="JM52" s="7">
        <f t="shared" si="36"/>
        <v>0</v>
      </c>
      <c r="JN52" s="7">
        <f t="shared" si="37"/>
        <v>142475</v>
      </c>
      <c r="JO52" s="7">
        <f t="shared" si="38"/>
        <v>0</v>
      </c>
      <c r="JP52" s="7">
        <f t="shared" si="39"/>
        <v>0</v>
      </c>
      <c r="JQ52" s="7">
        <f t="shared" si="40"/>
        <v>0</v>
      </c>
      <c r="JR52" s="7">
        <f t="shared" si="41"/>
        <v>1045297</v>
      </c>
      <c r="JS52" s="7">
        <f t="shared" si="42"/>
        <v>0</v>
      </c>
      <c r="JT52" s="7">
        <f t="shared" si="43"/>
        <v>55874</v>
      </c>
      <c r="JU52" s="7">
        <f t="shared" si="44"/>
        <v>0</v>
      </c>
      <c r="JV52" s="7">
        <f t="shared" si="45"/>
        <v>4028731</v>
      </c>
      <c r="JW52" s="7">
        <f t="shared" si="46"/>
        <v>0</v>
      </c>
      <c r="JX52" s="7">
        <f t="shared" si="47"/>
        <v>57362224</v>
      </c>
      <c r="JY52" s="7">
        <f t="shared" si="48"/>
        <v>0</v>
      </c>
      <c r="JZ52" s="7">
        <f t="shared" si="49"/>
        <v>750000</v>
      </c>
      <c r="KA52" s="7">
        <f t="shared" si="50"/>
        <v>0</v>
      </c>
      <c r="KB52" s="7">
        <f t="shared" si="51"/>
        <v>58112224</v>
      </c>
      <c r="KC52" s="7">
        <f t="shared" si="52"/>
        <v>0</v>
      </c>
      <c r="KE52" s="7" t="e">
        <f t="shared" si="54"/>
        <v>#REF!</v>
      </c>
      <c r="KG52" s="5" t="e">
        <f t="shared" si="53"/>
        <v>#REF!</v>
      </c>
    </row>
    <row r="53" spans="1:293" x14ac:dyDescent="0.15">
      <c r="A53" s="13" t="s">
        <v>255</v>
      </c>
      <c r="B53" s="17" t="s">
        <v>403</v>
      </c>
      <c r="C53" s="38">
        <v>178396</v>
      </c>
      <c r="D53" s="38">
        <v>2013</v>
      </c>
      <c r="E53" s="38">
        <v>1</v>
      </c>
      <c r="F53" s="38">
        <v>5</v>
      </c>
      <c r="G53" s="39">
        <v>12097</v>
      </c>
      <c r="H53" s="39">
        <v>13081</v>
      </c>
      <c r="I53" s="40">
        <v>1208151742</v>
      </c>
      <c r="J53" s="40"/>
      <c r="K53" s="40">
        <v>3090899</v>
      </c>
      <c r="L53" s="40"/>
      <c r="M53" s="40">
        <v>40711000</v>
      </c>
      <c r="N53" s="40"/>
      <c r="O53" s="40">
        <v>22839576</v>
      </c>
      <c r="P53" s="40"/>
      <c r="Q53" s="40">
        <v>605833082</v>
      </c>
      <c r="R53" s="40"/>
      <c r="S53" s="40">
        <v>721933852</v>
      </c>
      <c r="T53" s="40"/>
      <c r="U53" s="40">
        <v>19787</v>
      </c>
      <c r="V53" s="40"/>
      <c r="W53" s="40">
        <v>33179</v>
      </c>
      <c r="X53" s="40"/>
      <c r="Y53" s="40">
        <v>22964</v>
      </c>
      <c r="Z53" s="40"/>
      <c r="AA53" s="40">
        <v>36356</v>
      </c>
      <c r="AB53" s="40"/>
      <c r="AC53" s="56">
        <v>9</v>
      </c>
      <c r="AD53" s="56">
        <v>11</v>
      </c>
      <c r="AE53" s="56">
        <v>0</v>
      </c>
      <c r="AF53" s="57">
        <v>4678376</v>
      </c>
      <c r="AG53" s="57">
        <v>3621714</v>
      </c>
      <c r="AH53" s="57">
        <v>972587</v>
      </c>
      <c r="AI53" s="57">
        <v>364009</v>
      </c>
      <c r="AJ53" s="57">
        <v>988732.5</v>
      </c>
      <c r="AK53" s="58">
        <v>6</v>
      </c>
      <c r="AL53" s="57">
        <v>847485</v>
      </c>
      <c r="AM53" s="58">
        <v>7</v>
      </c>
      <c r="AN53" s="57">
        <v>216322</v>
      </c>
      <c r="AO53" s="58">
        <v>8</v>
      </c>
      <c r="AP53" s="57">
        <v>192286.22</v>
      </c>
      <c r="AQ53" s="58">
        <v>9</v>
      </c>
      <c r="AR53" s="57">
        <v>237994.33</v>
      </c>
      <c r="AS53" s="58">
        <v>21</v>
      </c>
      <c r="AT53" s="57">
        <v>192226.19</v>
      </c>
      <c r="AU53" s="58">
        <v>26</v>
      </c>
      <c r="AV53" s="57">
        <v>97154.72</v>
      </c>
      <c r="AW53" s="58">
        <v>18</v>
      </c>
      <c r="AX53" s="57">
        <v>76034.13</v>
      </c>
      <c r="AY53" s="58">
        <v>23</v>
      </c>
      <c r="AZ53" s="79">
        <v>14982431</v>
      </c>
      <c r="BA53" s="79">
        <v>300000</v>
      </c>
      <c r="BB53" s="79">
        <v>1391833</v>
      </c>
      <c r="BC53" s="79">
        <v>1575478</v>
      </c>
      <c r="BD53" s="79">
        <v>0</v>
      </c>
      <c r="BE53" s="79">
        <v>285197</v>
      </c>
      <c r="BF53" s="79">
        <v>308684</v>
      </c>
      <c r="BG53" s="79">
        <v>90292</v>
      </c>
      <c r="BH53" s="79">
        <v>1341393</v>
      </c>
      <c r="BI53" s="79">
        <v>20581</v>
      </c>
      <c r="BJ53" s="79">
        <v>2046147</v>
      </c>
      <c r="BK53" s="79">
        <v>0</v>
      </c>
      <c r="BL53" s="79">
        <v>0</v>
      </c>
      <c r="BM53" s="79">
        <v>0</v>
      </c>
      <c r="BN53" s="79">
        <v>0</v>
      </c>
      <c r="BO53" s="79">
        <v>1272288</v>
      </c>
      <c r="BP53" s="79">
        <v>1272288</v>
      </c>
      <c r="BQ53" s="79">
        <v>0</v>
      </c>
      <c r="BR53" s="79">
        <v>321970</v>
      </c>
      <c r="BS53" s="79">
        <v>26542</v>
      </c>
      <c r="BT53" s="79">
        <v>140553</v>
      </c>
      <c r="BU53" s="79">
        <v>1298003</v>
      </c>
      <c r="BV53" s="79">
        <v>1787068</v>
      </c>
      <c r="BW53" s="79">
        <v>31883205</v>
      </c>
      <c r="BX53" s="79">
        <v>12561891</v>
      </c>
      <c r="BY53" s="79">
        <v>257816</v>
      </c>
      <c r="BZ53" s="79">
        <v>1910987</v>
      </c>
      <c r="CA53" s="79">
        <v>29692990</v>
      </c>
      <c r="CB53" s="79">
        <v>76306889</v>
      </c>
      <c r="CC53" s="79">
        <v>2746349</v>
      </c>
      <c r="CD53" s="79">
        <v>472289</v>
      </c>
      <c r="CE53" s="79">
        <v>403590</v>
      </c>
      <c r="CF53" s="79">
        <v>4677862</v>
      </c>
      <c r="CG53" s="79">
        <v>246317</v>
      </c>
      <c r="CH53" s="79">
        <v>8546407</v>
      </c>
      <c r="CI53" s="79">
        <v>1625000</v>
      </c>
      <c r="CJ53" s="79">
        <v>733000</v>
      </c>
      <c r="CK53" s="79">
        <v>123000</v>
      </c>
      <c r="CL53" s="79">
        <v>72112</v>
      </c>
      <c r="CM53" s="79">
        <v>1317205</v>
      </c>
      <c r="CN53" s="79">
        <v>3870317</v>
      </c>
      <c r="CO53" s="79">
        <v>6553943</v>
      </c>
      <c r="CP53" s="79">
        <v>2763120</v>
      </c>
      <c r="CQ53" s="79">
        <v>1051508</v>
      </c>
      <c r="CR53" s="79">
        <v>4041066</v>
      </c>
      <c r="CS53" s="79">
        <v>0</v>
      </c>
      <c r="CT53" s="79">
        <v>14409637</v>
      </c>
      <c r="CU53" s="79">
        <v>0</v>
      </c>
      <c r="CV53" s="79">
        <v>0</v>
      </c>
      <c r="CW53" s="79">
        <v>0</v>
      </c>
      <c r="CX53" s="79">
        <v>0</v>
      </c>
      <c r="CY53" s="79">
        <v>0</v>
      </c>
      <c r="CZ53" s="79">
        <v>0</v>
      </c>
      <c r="DA53" s="79">
        <v>805158</v>
      </c>
      <c r="DB53" s="79">
        <v>415216</v>
      </c>
      <c r="DC53" s="79">
        <v>141355</v>
      </c>
      <c r="DD53" s="79">
        <v>499094</v>
      </c>
      <c r="DE53" s="79">
        <v>12426241</v>
      </c>
      <c r="DF53" s="79">
        <v>14287064</v>
      </c>
      <c r="DG53" s="79">
        <v>0</v>
      </c>
      <c r="DH53" s="79">
        <v>0</v>
      </c>
      <c r="DI53" s="79">
        <v>0</v>
      </c>
      <c r="DJ53" s="79">
        <v>0</v>
      </c>
      <c r="DK53" s="79">
        <v>0</v>
      </c>
      <c r="DL53" s="79">
        <v>0</v>
      </c>
      <c r="DM53" s="79">
        <v>0</v>
      </c>
      <c r="DN53" s="79">
        <v>0</v>
      </c>
      <c r="DO53" s="79">
        <v>0</v>
      </c>
      <c r="DP53" s="79">
        <v>0</v>
      </c>
      <c r="DQ53" s="79">
        <v>0</v>
      </c>
      <c r="DR53" s="79">
        <v>0</v>
      </c>
      <c r="DS53" s="79">
        <v>631630</v>
      </c>
      <c r="DT53" s="79">
        <v>186383</v>
      </c>
      <c r="DU53" s="79">
        <v>76536</v>
      </c>
      <c r="DV53" s="79">
        <v>442047</v>
      </c>
      <c r="DW53" s="79">
        <v>0</v>
      </c>
      <c r="DX53" s="79">
        <v>1336596</v>
      </c>
      <c r="DY53" s="79">
        <v>1145036</v>
      </c>
      <c r="DZ53" s="79">
        <v>905512</v>
      </c>
      <c r="EA53" s="79">
        <v>470185</v>
      </c>
      <c r="EB53" s="79">
        <v>2138090</v>
      </c>
      <c r="EC53" s="79">
        <v>60050</v>
      </c>
      <c r="ED53" s="79">
        <v>4718873</v>
      </c>
      <c r="EE53" s="79">
        <v>1130960</v>
      </c>
      <c r="EF53" s="79">
        <v>88812</v>
      </c>
      <c r="EG53" s="79">
        <v>85863</v>
      </c>
      <c r="EH53" s="79">
        <v>592234</v>
      </c>
      <c r="EI53" s="79">
        <v>2169086</v>
      </c>
      <c r="EJ53" s="79">
        <v>4066955</v>
      </c>
      <c r="EK53" s="79">
        <v>1435222</v>
      </c>
      <c r="EL53" s="79">
        <v>439787</v>
      </c>
      <c r="EM53" s="79">
        <v>153099</v>
      </c>
      <c r="EN53" s="79">
        <v>370912</v>
      </c>
      <c r="EO53" s="79">
        <v>458069</v>
      </c>
      <c r="EP53" s="79">
        <v>2857089</v>
      </c>
      <c r="EQ53" s="79">
        <v>1127</v>
      </c>
      <c r="ER53" s="79">
        <v>2446</v>
      </c>
      <c r="ES53" s="79">
        <v>2517</v>
      </c>
      <c r="ET53" s="79">
        <v>19476</v>
      </c>
      <c r="EU53" s="79">
        <v>874865</v>
      </c>
      <c r="EV53" s="79">
        <v>900431</v>
      </c>
      <c r="EW53" s="79">
        <v>122241</v>
      </c>
      <c r="EX53" s="79">
        <v>177254</v>
      </c>
      <c r="EY53" s="79">
        <v>44140</v>
      </c>
      <c r="EZ53" s="79">
        <v>668090</v>
      </c>
      <c r="FA53" s="79">
        <v>2723</v>
      </c>
      <c r="FB53" s="79">
        <v>1014448</v>
      </c>
      <c r="FC53" s="79">
        <v>159344</v>
      </c>
      <c r="FD53" s="79">
        <v>3269</v>
      </c>
      <c r="FE53" s="79">
        <v>53286</v>
      </c>
      <c r="FF53" s="79">
        <v>118225</v>
      </c>
      <c r="FG53" s="79">
        <v>6814061</v>
      </c>
      <c r="FH53" s="79">
        <v>7148185</v>
      </c>
      <c r="FI53" s="79">
        <v>0</v>
      </c>
      <c r="FJ53" s="79">
        <v>0</v>
      </c>
      <c r="FK53" s="79">
        <v>0</v>
      </c>
      <c r="FL53" s="79">
        <v>0</v>
      </c>
      <c r="FM53" s="79">
        <v>364362</v>
      </c>
      <c r="FN53" s="79">
        <v>364362</v>
      </c>
      <c r="FO53" s="79">
        <v>0</v>
      </c>
      <c r="FP53" s="79">
        <v>0</v>
      </c>
      <c r="FQ53" s="79">
        <v>0</v>
      </c>
      <c r="FR53" s="79">
        <v>0</v>
      </c>
      <c r="FS53" s="79">
        <v>0</v>
      </c>
      <c r="FT53" s="79">
        <v>0</v>
      </c>
      <c r="FU53" s="79">
        <v>0</v>
      </c>
      <c r="FV53" s="79">
        <v>0</v>
      </c>
      <c r="FW53" s="79">
        <v>0</v>
      </c>
      <c r="FX53" s="79">
        <v>0</v>
      </c>
      <c r="FY53" s="79">
        <v>840408</v>
      </c>
      <c r="FZ53" s="79">
        <v>840408</v>
      </c>
      <c r="GA53" s="79">
        <v>2560</v>
      </c>
      <c r="GB53" s="79">
        <v>2642</v>
      </c>
      <c r="GC53" s="79">
        <v>1732</v>
      </c>
      <c r="GD53" s="79">
        <v>12609</v>
      </c>
      <c r="GE53" s="79">
        <v>56231</v>
      </c>
      <c r="GF53" s="79">
        <v>75774</v>
      </c>
      <c r="GG53" s="79">
        <v>1000305</v>
      </c>
      <c r="GH53" s="79">
        <v>161957</v>
      </c>
      <c r="GI53" s="79">
        <v>72527</v>
      </c>
      <c r="GJ53" s="79">
        <v>467591</v>
      </c>
      <c r="GK53" s="79">
        <v>4137089</v>
      </c>
      <c r="GL53" s="79">
        <v>5839469</v>
      </c>
      <c r="GM53" s="79">
        <v>17358875</v>
      </c>
      <c r="GN53" s="79">
        <v>6351687</v>
      </c>
      <c r="GO53" s="79">
        <v>2679338</v>
      </c>
      <c r="GP53" s="79">
        <v>14119408</v>
      </c>
      <c r="GQ53" s="79">
        <v>29766707</v>
      </c>
      <c r="GR53" s="79">
        <v>70276015</v>
      </c>
      <c r="GS53" s="79">
        <v>0</v>
      </c>
      <c r="GT53" s="79">
        <v>0</v>
      </c>
      <c r="GU53" s="79">
        <v>0</v>
      </c>
      <c r="GV53" s="79">
        <v>0</v>
      </c>
      <c r="GW53" s="79">
        <v>1991491</v>
      </c>
      <c r="GX53" s="79">
        <v>1991491</v>
      </c>
      <c r="GY53" s="79">
        <v>17358875</v>
      </c>
      <c r="GZ53" s="79">
        <v>6351687</v>
      </c>
      <c r="HA53" s="79">
        <v>2679338</v>
      </c>
      <c r="HB53" s="79">
        <v>14119408</v>
      </c>
      <c r="HC53" s="79">
        <v>31758198</v>
      </c>
      <c r="HD53" s="79">
        <v>72267506</v>
      </c>
      <c r="HF53" s="7">
        <f>SUM(AZ53:AZ53)</f>
        <v>14982431</v>
      </c>
      <c r="HG53" s="7" t="e">
        <f>#REF!-HF53</f>
        <v>#REF!</v>
      </c>
      <c r="HH53" s="7" t="e">
        <f>SUM(#REF!)</f>
        <v>#REF!</v>
      </c>
      <c r="HI53" s="7" t="e">
        <f>#REF!-HH53</f>
        <v>#REF!</v>
      </c>
      <c r="HJ53" s="7">
        <f>SUM(BA53:BA53)</f>
        <v>300000</v>
      </c>
      <c r="HK53" s="7" t="e">
        <f>#REF!-HJ53</f>
        <v>#REF!</v>
      </c>
      <c r="HL53" s="7">
        <f>SUM(BB53:BB53)</f>
        <v>1391833</v>
      </c>
      <c r="HM53" s="7" t="e">
        <f>#REF!-HL53</f>
        <v>#REF!</v>
      </c>
      <c r="HN53" s="7" t="e">
        <f>SUM(#REF!)</f>
        <v>#REF!</v>
      </c>
      <c r="HO53" s="7" t="e">
        <f>#REF!-HN53</f>
        <v>#REF!</v>
      </c>
      <c r="HP53" s="7" t="e">
        <f>SUM(#REF!)</f>
        <v>#REF!</v>
      </c>
      <c r="HQ53" s="7" t="e">
        <f>#REF!-HP53</f>
        <v>#REF!</v>
      </c>
      <c r="HR53" s="7" t="e">
        <f>SUM(#REF!)</f>
        <v>#REF!</v>
      </c>
      <c r="HS53" s="7" t="e">
        <f>#REF!-HR53</f>
        <v>#REF!</v>
      </c>
      <c r="HT53" s="7" t="e">
        <f>SUM(#REF!)</f>
        <v>#REF!</v>
      </c>
      <c r="HU53" s="7" t="e">
        <f>#REF!-HT53</f>
        <v>#REF!</v>
      </c>
      <c r="HV53" s="7" t="e">
        <f>SUM(#REF!)</f>
        <v>#REF!</v>
      </c>
      <c r="HW53" s="7" t="e">
        <f>#REF!-HV53</f>
        <v>#REF!</v>
      </c>
      <c r="HX53" s="7" t="e">
        <f>SUM(#REF!)</f>
        <v>#REF!</v>
      </c>
      <c r="HY53" s="7" t="e">
        <f>#REF!-HX53</f>
        <v>#REF!</v>
      </c>
      <c r="HZ53" s="7">
        <f>SUM(BC53:BC53)</f>
        <v>1575478</v>
      </c>
      <c r="IA53" s="7" t="e">
        <f>#REF!-HZ53</f>
        <v>#REF!</v>
      </c>
      <c r="IB53" s="7">
        <f>SUM(BD53:BD53)</f>
        <v>0</v>
      </c>
      <c r="IC53" s="7" t="e">
        <f>#REF!-IB53</f>
        <v>#REF!</v>
      </c>
      <c r="ID53" s="7">
        <f t="shared" si="1"/>
        <v>2046147</v>
      </c>
      <c r="IE53" s="7">
        <f t="shared" si="2"/>
        <v>0</v>
      </c>
      <c r="IF53" s="7">
        <f t="shared" si="3"/>
        <v>1272288</v>
      </c>
      <c r="IG53" s="7">
        <f t="shared" si="4"/>
        <v>0</v>
      </c>
      <c r="IH53" s="7">
        <f t="shared" si="5"/>
        <v>1787068</v>
      </c>
      <c r="II53" s="7">
        <f t="shared" si="6"/>
        <v>0</v>
      </c>
      <c r="IJ53" s="7">
        <f t="shared" si="7"/>
        <v>76306889</v>
      </c>
      <c r="IK53" s="7">
        <f t="shared" si="8"/>
        <v>0</v>
      </c>
      <c r="IL53" s="7">
        <f t="shared" si="9"/>
        <v>8546407</v>
      </c>
      <c r="IM53" s="7">
        <f t="shared" si="10"/>
        <v>0</v>
      </c>
      <c r="IN53" s="7">
        <f t="shared" si="11"/>
        <v>3870317</v>
      </c>
      <c r="IO53" s="7">
        <f t="shared" si="12"/>
        <v>0</v>
      </c>
      <c r="IP53" s="7">
        <f t="shared" si="13"/>
        <v>14409637</v>
      </c>
      <c r="IQ53" s="7">
        <f t="shared" si="14"/>
        <v>0</v>
      </c>
      <c r="IR53" s="7">
        <f t="shared" si="15"/>
        <v>0</v>
      </c>
      <c r="IS53" s="7">
        <f t="shared" si="16"/>
        <v>0</v>
      </c>
      <c r="IT53" s="7">
        <f t="shared" si="17"/>
        <v>14287064</v>
      </c>
      <c r="IU53" s="7">
        <f t="shared" si="18"/>
        <v>0</v>
      </c>
      <c r="IV53" s="7">
        <f t="shared" si="19"/>
        <v>0</v>
      </c>
      <c r="IW53" s="7">
        <f t="shared" si="20"/>
        <v>0</v>
      </c>
      <c r="IX53" s="7">
        <f t="shared" si="21"/>
        <v>0</v>
      </c>
      <c r="IY53" s="7">
        <f t="shared" si="22"/>
        <v>0</v>
      </c>
      <c r="IZ53" s="7">
        <f t="shared" si="23"/>
        <v>1336596</v>
      </c>
      <c r="JA53" s="7">
        <f t="shared" si="24"/>
        <v>0</v>
      </c>
      <c r="JB53" s="7">
        <f t="shared" si="25"/>
        <v>4718873</v>
      </c>
      <c r="JC53" s="7">
        <f t="shared" si="26"/>
        <v>0</v>
      </c>
      <c r="JD53" s="7">
        <f t="shared" si="27"/>
        <v>4066955</v>
      </c>
      <c r="JE53" s="7">
        <f t="shared" si="28"/>
        <v>0</v>
      </c>
      <c r="JF53" s="7">
        <f t="shared" si="29"/>
        <v>2857089</v>
      </c>
      <c r="JG53" s="7">
        <f t="shared" si="30"/>
        <v>0</v>
      </c>
      <c r="JH53" s="7">
        <f t="shared" si="31"/>
        <v>900431</v>
      </c>
      <c r="JI53" s="7">
        <f t="shared" si="32"/>
        <v>0</v>
      </c>
      <c r="JJ53" s="7">
        <f t="shared" si="33"/>
        <v>1014448</v>
      </c>
      <c r="JK53" s="7">
        <f t="shared" si="34"/>
        <v>0</v>
      </c>
      <c r="JL53" s="7">
        <f t="shared" si="35"/>
        <v>7148185</v>
      </c>
      <c r="JM53" s="7">
        <f t="shared" si="36"/>
        <v>0</v>
      </c>
      <c r="JN53" s="7">
        <f t="shared" si="37"/>
        <v>364362</v>
      </c>
      <c r="JO53" s="7">
        <f t="shared" si="38"/>
        <v>0</v>
      </c>
      <c r="JP53" s="7">
        <f t="shared" si="39"/>
        <v>0</v>
      </c>
      <c r="JQ53" s="7">
        <f t="shared" si="40"/>
        <v>0</v>
      </c>
      <c r="JR53" s="7">
        <f t="shared" si="41"/>
        <v>840408</v>
      </c>
      <c r="JS53" s="7">
        <f t="shared" si="42"/>
        <v>0</v>
      </c>
      <c r="JT53" s="7">
        <f t="shared" si="43"/>
        <v>75774</v>
      </c>
      <c r="JU53" s="7">
        <f t="shared" si="44"/>
        <v>0</v>
      </c>
      <c r="JV53" s="7">
        <f t="shared" si="45"/>
        <v>5839469</v>
      </c>
      <c r="JW53" s="7">
        <f t="shared" si="46"/>
        <v>0</v>
      </c>
      <c r="JX53" s="7">
        <f t="shared" si="47"/>
        <v>70276015</v>
      </c>
      <c r="JY53" s="7">
        <f t="shared" si="48"/>
        <v>0</v>
      </c>
      <c r="JZ53" s="7">
        <f t="shared" si="49"/>
        <v>1991491</v>
      </c>
      <c r="KA53" s="7">
        <f t="shared" si="50"/>
        <v>0</v>
      </c>
      <c r="KB53" s="7">
        <f t="shared" si="51"/>
        <v>72267506</v>
      </c>
      <c r="KC53" s="7">
        <f t="shared" si="52"/>
        <v>0</v>
      </c>
      <c r="KE53" s="7" t="e">
        <f t="shared" si="54"/>
        <v>#REF!</v>
      </c>
      <c r="KG53" s="5" t="e">
        <f t="shared" si="53"/>
        <v>#REF!</v>
      </c>
    </row>
    <row r="54" spans="1:293" x14ac:dyDescent="0.15">
      <c r="A54" s="13" t="s">
        <v>256</v>
      </c>
      <c r="B54" s="17" t="s">
        <v>403</v>
      </c>
      <c r="C54" s="38">
        <v>181464</v>
      </c>
      <c r="D54" s="38">
        <v>2013</v>
      </c>
      <c r="E54" s="38">
        <v>1</v>
      </c>
      <c r="F54" s="38">
        <v>3</v>
      </c>
      <c r="G54" s="39">
        <v>9604</v>
      </c>
      <c r="H54" s="39">
        <v>8162</v>
      </c>
      <c r="I54" s="40">
        <v>895236635</v>
      </c>
      <c r="J54" s="40"/>
      <c r="K54" s="40">
        <v>3364180</v>
      </c>
      <c r="L54" s="40"/>
      <c r="M54" s="40">
        <v>19714147</v>
      </c>
      <c r="N54" s="40"/>
      <c r="O54" s="40">
        <v>28335000</v>
      </c>
      <c r="P54" s="40"/>
      <c r="Q54" s="40">
        <v>339953870</v>
      </c>
      <c r="R54" s="40"/>
      <c r="S54" s="40">
        <v>673936812</v>
      </c>
      <c r="T54" s="40"/>
      <c r="U54" s="40">
        <v>17800</v>
      </c>
      <c r="V54" s="40"/>
      <c r="W54" s="40">
        <v>30550</v>
      </c>
      <c r="X54" s="40"/>
      <c r="Y54" s="40">
        <v>20738</v>
      </c>
      <c r="Z54" s="40"/>
      <c r="AA54" s="40">
        <v>33022</v>
      </c>
      <c r="AB54" s="40"/>
      <c r="AC54" s="56">
        <v>10</v>
      </c>
      <c r="AD54" s="56">
        <v>14</v>
      </c>
      <c r="AE54" s="56">
        <v>0</v>
      </c>
      <c r="AF54" s="57">
        <v>5193917</v>
      </c>
      <c r="AG54" s="57">
        <v>3746542</v>
      </c>
      <c r="AH54" s="57">
        <v>1351620</v>
      </c>
      <c r="AI54" s="57">
        <v>443127</v>
      </c>
      <c r="AJ54" s="57">
        <v>757822.8</v>
      </c>
      <c r="AK54" s="58">
        <v>7.5</v>
      </c>
      <c r="AL54" s="57">
        <v>710458.88</v>
      </c>
      <c r="AM54" s="58">
        <v>8</v>
      </c>
      <c r="AN54" s="57">
        <v>237254.48</v>
      </c>
      <c r="AO54" s="58">
        <v>10.5</v>
      </c>
      <c r="AP54" s="57">
        <v>207597.67</v>
      </c>
      <c r="AQ54" s="58">
        <v>12</v>
      </c>
      <c r="AR54" s="57">
        <v>212116.61</v>
      </c>
      <c r="AS54" s="58">
        <v>21.92</v>
      </c>
      <c r="AT54" s="57">
        <v>185983.84</v>
      </c>
      <c r="AU54" s="58">
        <v>25</v>
      </c>
      <c r="AV54" s="57">
        <v>102554.5</v>
      </c>
      <c r="AW54" s="58">
        <v>18</v>
      </c>
      <c r="AX54" s="57">
        <v>83908.23</v>
      </c>
      <c r="AY54" s="58">
        <v>22</v>
      </c>
      <c r="AZ54" s="79">
        <v>28214545</v>
      </c>
      <c r="BA54" s="79">
        <v>300000</v>
      </c>
      <c r="BB54" s="79">
        <v>1946294</v>
      </c>
      <c r="BC54" s="79">
        <v>4399884</v>
      </c>
      <c r="BD54" s="79">
        <v>6299121</v>
      </c>
      <c r="BE54" s="79">
        <v>0</v>
      </c>
      <c r="BF54" s="79">
        <v>0</v>
      </c>
      <c r="BG54" s="79">
        <v>0</v>
      </c>
      <c r="BH54" s="79">
        <v>0</v>
      </c>
      <c r="BI54" s="79">
        <v>0</v>
      </c>
      <c r="BJ54" s="79">
        <v>0</v>
      </c>
      <c r="BK54" s="79">
        <v>0</v>
      </c>
      <c r="BL54" s="79">
        <v>0</v>
      </c>
      <c r="BM54" s="79">
        <v>0</v>
      </c>
      <c r="BN54" s="79">
        <v>0</v>
      </c>
      <c r="BO54" s="79">
        <v>119640</v>
      </c>
      <c r="BP54" s="79">
        <v>119640</v>
      </c>
      <c r="BQ54" s="79">
        <v>72247</v>
      </c>
      <c r="BR54" s="79">
        <v>3154</v>
      </c>
      <c r="BS54" s="79">
        <v>2948</v>
      </c>
      <c r="BT54" s="79">
        <v>265276</v>
      </c>
      <c r="BU54" s="79">
        <v>1537749</v>
      </c>
      <c r="BV54" s="79">
        <v>1881374</v>
      </c>
      <c r="BW54" s="79">
        <v>55866615</v>
      </c>
      <c r="BX54" s="79">
        <v>7749456</v>
      </c>
      <c r="BY54" s="79">
        <v>1010582</v>
      </c>
      <c r="BZ54" s="79">
        <v>4214684</v>
      </c>
      <c r="CA54" s="79">
        <v>18074664</v>
      </c>
      <c r="CB54" s="79">
        <v>86916001</v>
      </c>
      <c r="CC54" s="79">
        <v>2831384</v>
      </c>
      <c r="CD54" s="79">
        <v>443650</v>
      </c>
      <c r="CE54" s="79">
        <v>391923</v>
      </c>
      <c r="CF54" s="79">
        <v>5273502</v>
      </c>
      <c r="CG54" s="79">
        <v>0</v>
      </c>
      <c r="CH54" s="79">
        <v>8940459</v>
      </c>
      <c r="CI54" s="79">
        <v>1900000</v>
      </c>
      <c r="CJ54" s="79">
        <v>584078</v>
      </c>
      <c r="CK54" s="79">
        <v>147260</v>
      </c>
      <c r="CL54" s="79">
        <v>165242</v>
      </c>
      <c r="CM54" s="79">
        <v>0</v>
      </c>
      <c r="CN54" s="79">
        <v>2796580</v>
      </c>
      <c r="CO54" s="79">
        <v>6444623</v>
      </c>
      <c r="CP54" s="79">
        <v>2153055</v>
      </c>
      <c r="CQ54" s="79">
        <v>1356514</v>
      </c>
      <c r="CR54" s="79">
        <v>4716228</v>
      </c>
      <c r="CS54" s="79">
        <v>0</v>
      </c>
      <c r="CT54" s="79">
        <v>14670420</v>
      </c>
      <c r="CU54" s="79">
        <v>0</v>
      </c>
      <c r="CV54" s="79">
        <v>0</v>
      </c>
      <c r="CW54" s="79">
        <v>0</v>
      </c>
      <c r="CX54" s="79">
        <v>0</v>
      </c>
      <c r="CY54" s="79">
        <v>0</v>
      </c>
      <c r="CZ54" s="79">
        <v>0</v>
      </c>
      <c r="DA54" s="79">
        <v>1571675</v>
      </c>
      <c r="DB54" s="79">
        <v>383345</v>
      </c>
      <c r="DC54" s="79">
        <v>289729</v>
      </c>
      <c r="DD54" s="79">
        <v>1270374</v>
      </c>
      <c r="DE54" s="79">
        <v>13347978</v>
      </c>
      <c r="DF54" s="79">
        <v>16863101</v>
      </c>
      <c r="DG54" s="79">
        <v>0</v>
      </c>
      <c r="DH54" s="79">
        <v>0</v>
      </c>
      <c r="DI54" s="79">
        <v>0</v>
      </c>
      <c r="DJ54" s="79">
        <v>0</v>
      </c>
      <c r="DK54" s="79">
        <v>0</v>
      </c>
      <c r="DL54" s="79">
        <v>0</v>
      </c>
      <c r="DM54" s="79">
        <v>0</v>
      </c>
      <c r="DN54" s="79">
        <v>0</v>
      </c>
      <c r="DO54" s="79">
        <v>0</v>
      </c>
      <c r="DP54" s="79">
        <v>0</v>
      </c>
      <c r="DQ54" s="79">
        <v>0</v>
      </c>
      <c r="DR54" s="79">
        <v>0</v>
      </c>
      <c r="DS54" s="79">
        <v>818509</v>
      </c>
      <c r="DT54" s="79">
        <v>323356</v>
      </c>
      <c r="DU54" s="79">
        <v>129982</v>
      </c>
      <c r="DV54" s="79">
        <v>522900</v>
      </c>
      <c r="DW54" s="79">
        <v>0</v>
      </c>
      <c r="DX54" s="79">
        <v>1794747</v>
      </c>
      <c r="DY54" s="79">
        <v>2350839</v>
      </c>
      <c r="DZ54" s="79">
        <v>677995</v>
      </c>
      <c r="EA54" s="79">
        <v>555710</v>
      </c>
      <c r="EB54" s="79">
        <v>3000356</v>
      </c>
      <c r="EC54" s="79">
        <v>203762</v>
      </c>
      <c r="ED54" s="79">
        <v>6788662</v>
      </c>
      <c r="EE54" s="79">
        <v>190781</v>
      </c>
      <c r="EF54" s="79">
        <v>18653</v>
      </c>
      <c r="EG54" s="79">
        <v>4493</v>
      </c>
      <c r="EH54" s="79">
        <v>353646</v>
      </c>
      <c r="EI54" s="79">
        <v>166140</v>
      </c>
      <c r="EJ54" s="79">
        <v>733713</v>
      </c>
      <c r="EK54" s="79">
        <v>1862086</v>
      </c>
      <c r="EL54" s="79">
        <v>309795</v>
      </c>
      <c r="EM54" s="79">
        <v>242335</v>
      </c>
      <c r="EN54" s="79">
        <v>558225</v>
      </c>
      <c r="EO54" s="79">
        <v>923874</v>
      </c>
      <c r="EP54" s="79">
        <v>3896315</v>
      </c>
      <c r="EQ54" s="79">
        <v>40428</v>
      </c>
      <c r="ER54" s="79">
        <v>1172</v>
      </c>
      <c r="ES54" s="79">
        <v>550</v>
      </c>
      <c r="ET54" s="79">
        <v>0</v>
      </c>
      <c r="EU54" s="79">
        <v>207484</v>
      </c>
      <c r="EV54" s="79">
        <v>249634</v>
      </c>
      <c r="EW54" s="79">
        <v>0</v>
      </c>
      <c r="EX54" s="79">
        <v>0</v>
      </c>
      <c r="EY54" s="79">
        <v>0</v>
      </c>
      <c r="EZ54" s="79">
        <v>0</v>
      </c>
      <c r="FA54" s="79">
        <v>0</v>
      </c>
      <c r="FB54" s="79">
        <v>0</v>
      </c>
      <c r="FC54" s="79">
        <v>300888</v>
      </c>
      <c r="FD54" s="79">
        <v>862</v>
      </c>
      <c r="FE54" s="79">
        <v>117</v>
      </c>
      <c r="FF54" s="79">
        <v>610456</v>
      </c>
      <c r="FG54" s="79">
        <v>10741088</v>
      </c>
      <c r="FH54" s="79">
        <v>11653411</v>
      </c>
      <c r="FI54" s="79">
        <v>0</v>
      </c>
      <c r="FJ54" s="79">
        <v>0</v>
      </c>
      <c r="FK54" s="79">
        <v>0</v>
      </c>
      <c r="FL54" s="79">
        <v>0</v>
      </c>
      <c r="FM54" s="79">
        <v>485147</v>
      </c>
      <c r="FN54" s="79">
        <v>485147</v>
      </c>
      <c r="FO54" s="79">
        <v>0</v>
      </c>
      <c r="FP54" s="79">
        <v>0</v>
      </c>
      <c r="FQ54" s="79">
        <v>0</v>
      </c>
      <c r="FR54" s="79">
        <v>0</v>
      </c>
      <c r="FS54" s="79">
        <v>0</v>
      </c>
      <c r="FT54" s="79">
        <v>0</v>
      </c>
      <c r="FU54" s="79">
        <v>5477</v>
      </c>
      <c r="FV54" s="79">
        <v>784</v>
      </c>
      <c r="FW54" s="79">
        <v>629</v>
      </c>
      <c r="FX54" s="79">
        <v>12250</v>
      </c>
      <c r="FY54" s="79">
        <v>846636</v>
      </c>
      <c r="FZ54" s="79">
        <v>865776</v>
      </c>
      <c r="GA54" s="79">
        <v>3393</v>
      </c>
      <c r="GB54" s="79">
        <v>889</v>
      </c>
      <c r="GC54" s="79">
        <v>1026</v>
      </c>
      <c r="GD54" s="79">
        <v>15128</v>
      </c>
      <c r="GE54" s="79">
        <v>117827</v>
      </c>
      <c r="GF54" s="79">
        <v>138263</v>
      </c>
      <c r="GG54" s="79">
        <v>3039227</v>
      </c>
      <c r="GH54" s="79">
        <v>413987</v>
      </c>
      <c r="GI54" s="79">
        <v>215255</v>
      </c>
      <c r="GJ54" s="79">
        <v>1448840</v>
      </c>
      <c r="GK54" s="79">
        <v>6672732</v>
      </c>
      <c r="GL54" s="79">
        <v>11790041</v>
      </c>
      <c r="GM54" s="79">
        <v>21359310</v>
      </c>
      <c r="GN54" s="79">
        <v>5311621</v>
      </c>
      <c r="GO54" s="79">
        <v>3335523</v>
      </c>
      <c r="GP54" s="79">
        <v>17947147</v>
      </c>
      <c r="GQ54" s="79">
        <v>33712668</v>
      </c>
      <c r="GR54" s="79">
        <v>81666269</v>
      </c>
      <c r="GS54" s="79">
        <v>0</v>
      </c>
      <c r="GT54" s="79">
        <v>0</v>
      </c>
      <c r="GU54" s="79">
        <v>0</v>
      </c>
      <c r="GV54" s="79">
        <v>0</v>
      </c>
      <c r="GW54" s="79">
        <v>2662408</v>
      </c>
      <c r="GX54" s="79">
        <v>2662408</v>
      </c>
      <c r="GY54" s="79">
        <v>21359310</v>
      </c>
      <c r="GZ54" s="79">
        <v>5311621</v>
      </c>
      <c r="HA54" s="79">
        <v>3335523</v>
      </c>
      <c r="HB54" s="79">
        <v>17947147</v>
      </c>
      <c r="HC54" s="79">
        <v>36375076</v>
      </c>
      <c r="HD54" s="79">
        <v>84328677</v>
      </c>
      <c r="HF54" s="7">
        <f>SUM(AZ54:AZ54)</f>
        <v>28214545</v>
      </c>
      <c r="HG54" s="7" t="e">
        <f>#REF!-HF54</f>
        <v>#REF!</v>
      </c>
      <c r="HH54" s="7" t="e">
        <f>SUM(#REF!)</f>
        <v>#REF!</v>
      </c>
      <c r="HI54" s="7" t="e">
        <f>#REF!-HH54</f>
        <v>#REF!</v>
      </c>
      <c r="HJ54" s="7">
        <f>SUM(BA54:BA54)</f>
        <v>300000</v>
      </c>
      <c r="HK54" s="7" t="e">
        <f>#REF!-HJ54</f>
        <v>#REF!</v>
      </c>
      <c r="HL54" s="7">
        <f>SUM(BB54:BB54)</f>
        <v>1946294</v>
      </c>
      <c r="HM54" s="7" t="e">
        <f>#REF!-HL54</f>
        <v>#REF!</v>
      </c>
      <c r="HN54" s="7" t="e">
        <f>SUM(#REF!)</f>
        <v>#REF!</v>
      </c>
      <c r="HO54" s="7" t="e">
        <f>#REF!-HN54</f>
        <v>#REF!</v>
      </c>
      <c r="HP54" s="7" t="e">
        <f>SUM(#REF!)</f>
        <v>#REF!</v>
      </c>
      <c r="HQ54" s="7" t="e">
        <f>#REF!-HP54</f>
        <v>#REF!</v>
      </c>
      <c r="HR54" s="7" t="e">
        <f>SUM(#REF!)</f>
        <v>#REF!</v>
      </c>
      <c r="HS54" s="7" t="e">
        <f>#REF!-HR54</f>
        <v>#REF!</v>
      </c>
      <c r="HT54" s="7" t="e">
        <f>SUM(#REF!)</f>
        <v>#REF!</v>
      </c>
      <c r="HU54" s="7" t="e">
        <f>#REF!-HT54</f>
        <v>#REF!</v>
      </c>
      <c r="HV54" s="7" t="e">
        <f>SUM(#REF!)</f>
        <v>#REF!</v>
      </c>
      <c r="HW54" s="7" t="e">
        <f>#REF!-HV54</f>
        <v>#REF!</v>
      </c>
      <c r="HX54" s="7" t="e">
        <f>SUM(#REF!)</f>
        <v>#REF!</v>
      </c>
      <c r="HY54" s="7" t="e">
        <f>#REF!-HX54</f>
        <v>#REF!</v>
      </c>
      <c r="HZ54" s="7">
        <f>SUM(BC54:BC54)</f>
        <v>4399884</v>
      </c>
      <c r="IA54" s="7" t="e">
        <f>#REF!-HZ54</f>
        <v>#REF!</v>
      </c>
      <c r="IB54" s="7">
        <f>SUM(BD54:BD54)</f>
        <v>6299121</v>
      </c>
      <c r="IC54" s="7" t="e">
        <f>#REF!-IB54</f>
        <v>#REF!</v>
      </c>
      <c r="ID54" s="7">
        <f t="shared" si="1"/>
        <v>0</v>
      </c>
      <c r="IE54" s="7">
        <f t="shared" si="2"/>
        <v>0</v>
      </c>
      <c r="IF54" s="7">
        <f t="shared" si="3"/>
        <v>119640</v>
      </c>
      <c r="IG54" s="7">
        <f t="shared" si="4"/>
        <v>0</v>
      </c>
      <c r="IH54" s="7">
        <f t="shared" si="5"/>
        <v>1881374</v>
      </c>
      <c r="II54" s="7">
        <f t="shared" si="6"/>
        <v>0</v>
      </c>
      <c r="IJ54" s="7">
        <f t="shared" si="7"/>
        <v>86916001</v>
      </c>
      <c r="IK54" s="7">
        <f t="shared" si="8"/>
        <v>0</v>
      </c>
      <c r="IL54" s="7">
        <f t="shared" si="9"/>
        <v>8940459</v>
      </c>
      <c r="IM54" s="7">
        <f t="shared" si="10"/>
        <v>0</v>
      </c>
      <c r="IN54" s="7">
        <f t="shared" si="11"/>
        <v>2796580</v>
      </c>
      <c r="IO54" s="7">
        <f t="shared" si="12"/>
        <v>0</v>
      </c>
      <c r="IP54" s="7">
        <f t="shared" si="13"/>
        <v>14670420</v>
      </c>
      <c r="IQ54" s="7">
        <f t="shared" si="14"/>
        <v>0</v>
      </c>
      <c r="IR54" s="7">
        <f t="shared" si="15"/>
        <v>0</v>
      </c>
      <c r="IS54" s="7">
        <f t="shared" si="16"/>
        <v>0</v>
      </c>
      <c r="IT54" s="7">
        <f t="shared" si="17"/>
        <v>16863101</v>
      </c>
      <c r="IU54" s="7">
        <f t="shared" si="18"/>
        <v>0</v>
      </c>
      <c r="IV54" s="7">
        <f t="shared" si="19"/>
        <v>0</v>
      </c>
      <c r="IW54" s="7">
        <f t="shared" si="20"/>
        <v>0</v>
      </c>
      <c r="IX54" s="7">
        <f t="shared" si="21"/>
        <v>0</v>
      </c>
      <c r="IY54" s="7">
        <f t="shared" si="22"/>
        <v>0</v>
      </c>
      <c r="IZ54" s="7">
        <f t="shared" si="23"/>
        <v>1794747</v>
      </c>
      <c r="JA54" s="7">
        <f t="shared" si="24"/>
        <v>0</v>
      </c>
      <c r="JB54" s="7">
        <f t="shared" si="25"/>
        <v>6788662</v>
      </c>
      <c r="JC54" s="7">
        <f t="shared" si="26"/>
        <v>0</v>
      </c>
      <c r="JD54" s="7">
        <f t="shared" si="27"/>
        <v>733713</v>
      </c>
      <c r="JE54" s="7">
        <f t="shared" si="28"/>
        <v>0</v>
      </c>
      <c r="JF54" s="7">
        <f t="shared" si="29"/>
        <v>3896315</v>
      </c>
      <c r="JG54" s="7">
        <f t="shared" si="30"/>
        <v>0</v>
      </c>
      <c r="JH54" s="7">
        <f t="shared" si="31"/>
        <v>249634</v>
      </c>
      <c r="JI54" s="7">
        <f t="shared" si="32"/>
        <v>0</v>
      </c>
      <c r="JJ54" s="7">
        <f t="shared" si="33"/>
        <v>0</v>
      </c>
      <c r="JK54" s="7">
        <f t="shared" si="34"/>
        <v>0</v>
      </c>
      <c r="JL54" s="7">
        <f t="shared" si="35"/>
        <v>11653411</v>
      </c>
      <c r="JM54" s="7">
        <f t="shared" si="36"/>
        <v>0</v>
      </c>
      <c r="JN54" s="7">
        <f t="shared" si="37"/>
        <v>485147</v>
      </c>
      <c r="JO54" s="7">
        <f t="shared" si="38"/>
        <v>0</v>
      </c>
      <c r="JP54" s="7">
        <f t="shared" si="39"/>
        <v>0</v>
      </c>
      <c r="JQ54" s="7">
        <f t="shared" si="40"/>
        <v>0</v>
      </c>
      <c r="JR54" s="7">
        <f t="shared" si="41"/>
        <v>865776</v>
      </c>
      <c r="JS54" s="7">
        <f t="shared" si="42"/>
        <v>0</v>
      </c>
      <c r="JT54" s="7">
        <f t="shared" si="43"/>
        <v>138263</v>
      </c>
      <c r="JU54" s="7">
        <f t="shared" si="44"/>
        <v>0</v>
      </c>
      <c r="JV54" s="7">
        <f t="shared" si="45"/>
        <v>11790041</v>
      </c>
      <c r="JW54" s="7">
        <f t="shared" si="46"/>
        <v>0</v>
      </c>
      <c r="JX54" s="7">
        <f t="shared" si="47"/>
        <v>81666269</v>
      </c>
      <c r="JY54" s="7">
        <f t="shared" si="48"/>
        <v>0</v>
      </c>
      <c r="JZ54" s="7">
        <f t="shared" si="49"/>
        <v>2662408</v>
      </c>
      <c r="KA54" s="7">
        <f t="shared" si="50"/>
        <v>0</v>
      </c>
      <c r="KB54" s="7">
        <f t="shared" si="51"/>
        <v>84328677</v>
      </c>
      <c r="KC54" s="7">
        <f t="shared" si="52"/>
        <v>0</v>
      </c>
      <c r="KE54" s="7" t="e">
        <f t="shared" si="54"/>
        <v>#REF!</v>
      </c>
      <c r="KG54" s="5" t="e">
        <f t="shared" si="53"/>
        <v>#REF!</v>
      </c>
    </row>
    <row r="55" spans="1:293" x14ac:dyDescent="0.15">
      <c r="A55" s="119" t="s">
        <v>257</v>
      </c>
      <c r="B55" s="17" t="s">
        <v>403</v>
      </c>
      <c r="C55" s="38">
        <v>182290</v>
      </c>
      <c r="D55" s="38">
        <v>2013</v>
      </c>
      <c r="E55" s="38">
        <v>1</v>
      </c>
      <c r="F55" s="38">
        <v>9</v>
      </c>
      <c r="G55" s="39">
        <v>5853</v>
      </c>
      <c r="H55" s="39">
        <v>6546</v>
      </c>
      <c r="I55" s="40">
        <v>527172897</v>
      </c>
      <c r="J55" s="40"/>
      <c r="K55" s="40">
        <v>238558</v>
      </c>
      <c r="L55" s="40"/>
      <c r="M55" s="40">
        <v>105611403</v>
      </c>
      <c r="N55" s="40"/>
      <c r="O55" s="40">
        <v>2765000</v>
      </c>
      <c r="P55" s="40"/>
      <c r="Q55" s="40">
        <v>244547587</v>
      </c>
      <c r="R55" s="40"/>
      <c r="S55" s="40">
        <v>460019101</v>
      </c>
      <c r="T55" s="40"/>
      <c r="U55" s="40">
        <v>18002</v>
      </c>
      <c r="V55" s="40"/>
      <c r="W55" s="40">
        <v>31912</v>
      </c>
      <c r="X55" s="40"/>
      <c r="Y55" s="40">
        <v>22600</v>
      </c>
      <c r="Z55" s="40"/>
      <c r="AA55" s="40">
        <v>36510</v>
      </c>
      <c r="AB55" s="40"/>
      <c r="AC55" s="56">
        <v>6</v>
      </c>
      <c r="AD55" s="56">
        <v>11</v>
      </c>
      <c r="AE55" s="56">
        <v>1</v>
      </c>
      <c r="AF55" s="57">
        <v>3099586</v>
      </c>
      <c r="AG55" s="57">
        <v>2565313</v>
      </c>
      <c r="AH55" s="57">
        <v>347859</v>
      </c>
      <c r="AI55" s="57">
        <v>97845</v>
      </c>
      <c r="AJ55" s="57">
        <v>288904.34999999998</v>
      </c>
      <c r="AK55" s="58">
        <v>5.0599999999999996</v>
      </c>
      <c r="AL55" s="57">
        <v>243642.67</v>
      </c>
      <c r="AM55" s="58">
        <v>6</v>
      </c>
      <c r="AN55" s="57">
        <v>102808.56</v>
      </c>
      <c r="AO55" s="58">
        <v>8.06</v>
      </c>
      <c r="AP55" s="57">
        <v>92070.78</v>
      </c>
      <c r="AQ55" s="58">
        <v>9</v>
      </c>
      <c r="AR55" s="57">
        <v>133306.72</v>
      </c>
      <c r="AS55" s="58">
        <v>14.43</v>
      </c>
      <c r="AT55" s="57">
        <v>128241.07</v>
      </c>
      <c r="AU55" s="58">
        <v>15</v>
      </c>
      <c r="AV55" s="57">
        <v>61116.23</v>
      </c>
      <c r="AW55" s="58">
        <v>13</v>
      </c>
      <c r="AX55" s="57">
        <v>61116.23</v>
      </c>
      <c r="AY55" s="58">
        <v>13</v>
      </c>
      <c r="AZ55" s="79">
        <v>2177773</v>
      </c>
      <c r="BA55" s="79">
        <v>675000</v>
      </c>
      <c r="BB55" s="79">
        <v>1131702</v>
      </c>
      <c r="BC55" s="79">
        <v>321101</v>
      </c>
      <c r="BD55" s="79">
        <v>0</v>
      </c>
      <c r="BE55" s="79">
        <v>0</v>
      </c>
      <c r="BF55" s="79">
        <v>0</v>
      </c>
      <c r="BG55" s="79">
        <v>0</v>
      </c>
      <c r="BH55" s="79">
        <v>0</v>
      </c>
      <c r="BI55" s="79">
        <v>0</v>
      </c>
      <c r="BJ55" s="79">
        <v>0</v>
      </c>
      <c r="BK55" s="79">
        <v>0</v>
      </c>
      <c r="BL55" s="79">
        <v>0</v>
      </c>
      <c r="BM55" s="79">
        <v>0</v>
      </c>
      <c r="BN55" s="79">
        <v>0</v>
      </c>
      <c r="BO55" s="79">
        <v>250000</v>
      </c>
      <c r="BP55" s="79">
        <v>250000</v>
      </c>
      <c r="BQ55" s="79">
        <v>506961</v>
      </c>
      <c r="BR55" s="79">
        <v>71224</v>
      </c>
      <c r="BS55" s="79">
        <v>44703</v>
      </c>
      <c r="BT55" s="79">
        <v>106939</v>
      </c>
      <c r="BU55" s="79">
        <v>578872</v>
      </c>
      <c r="BV55" s="79">
        <v>1308699</v>
      </c>
      <c r="BW55" s="79">
        <v>6267288</v>
      </c>
      <c r="BX55" s="79">
        <v>5256635</v>
      </c>
      <c r="BY55" s="79">
        <v>275764</v>
      </c>
      <c r="BZ55" s="79">
        <v>1240168</v>
      </c>
      <c r="CA55" s="79">
        <v>13587560</v>
      </c>
      <c r="CB55" s="79">
        <v>26627415</v>
      </c>
      <c r="CC55" s="79">
        <v>2057014</v>
      </c>
      <c r="CD55" s="79">
        <v>425161</v>
      </c>
      <c r="CE55" s="79">
        <v>347626</v>
      </c>
      <c r="CF55" s="79">
        <v>2915742</v>
      </c>
      <c r="CG55" s="79">
        <v>55327</v>
      </c>
      <c r="CH55" s="79">
        <v>5800870</v>
      </c>
      <c r="CI55" s="79">
        <v>556061</v>
      </c>
      <c r="CJ55" s="79">
        <v>309000</v>
      </c>
      <c r="CK55" s="79">
        <v>17000</v>
      </c>
      <c r="CL55" s="79">
        <v>9789</v>
      </c>
      <c r="CM55" s="79">
        <v>0</v>
      </c>
      <c r="CN55" s="79">
        <v>891850</v>
      </c>
      <c r="CO55" s="79">
        <v>2082611</v>
      </c>
      <c r="CP55" s="79">
        <v>906920</v>
      </c>
      <c r="CQ55" s="79">
        <v>485211</v>
      </c>
      <c r="CR55" s="79">
        <v>1533878</v>
      </c>
      <c r="CS55" s="79">
        <v>0</v>
      </c>
      <c r="CT55" s="79">
        <v>5008620</v>
      </c>
      <c r="CU55" s="79">
        <v>0</v>
      </c>
      <c r="CV55" s="79">
        <v>0</v>
      </c>
      <c r="CW55" s="79">
        <v>0</v>
      </c>
      <c r="CX55" s="79">
        <v>0</v>
      </c>
      <c r="CY55" s="79">
        <v>0</v>
      </c>
      <c r="CZ55" s="79">
        <v>0</v>
      </c>
      <c r="DA55" s="79">
        <v>0</v>
      </c>
      <c r="DB55" s="79">
        <v>0</v>
      </c>
      <c r="DC55" s="79">
        <v>0</v>
      </c>
      <c r="DD55" s="79">
        <v>0</v>
      </c>
      <c r="DE55" s="79">
        <v>3892329</v>
      </c>
      <c r="DF55" s="79">
        <v>3892329</v>
      </c>
      <c r="DG55" s="79">
        <v>0</v>
      </c>
      <c r="DH55" s="79">
        <v>0</v>
      </c>
      <c r="DI55" s="79">
        <v>0</v>
      </c>
      <c r="DJ55" s="79">
        <v>0</v>
      </c>
      <c r="DK55" s="79">
        <v>0</v>
      </c>
      <c r="DL55" s="79">
        <v>0</v>
      </c>
      <c r="DM55" s="79">
        <v>0</v>
      </c>
      <c r="DN55" s="79">
        <v>0</v>
      </c>
      <c r="DO55" s="79">
        <v>0</v>
      </c>
      <c r="DP55" s="79">
        <v>0</v>
      </c>
      <c r="DQ55" s="79">
        <v>0</v>
      </c>
      <c r="DR55" s="79">
        <v>0</v>
      </c>
      <c r="DS55" s="79">
        <v>208485</v>
      </c>
      <c r="DT55" s="79">
        <v>115392</v>
      </c>
      <c r="DU55" s="79">
        <v>42643</v>
      </c>
      <c r="DV55" s="79">
        <v>79755</v>
      </c>
      <c r="DW55" s="79">
        <v>9344</v>
      </c>
      <c r="DX55" s="79">
        <v>455619</v>
      </c>
      <c r="DY55" s="79">
        <v>1179782</v>
      </c>
      <c r="DZ55" s="79">
        <v>363173</v>
      </c>
      <c r="EA55" s="79">
        <v>225747</v>
      </c>
      <c r="EB55" s="79">
        <v>1051539</v>
      </c>
      <c r="EC55" s="79">
        <v>68528</v>
      </c>
      <c r="ED55" s="79">
        <v>2888769</v>
      </c>
      <c r="EE55" s="79">
        <v>250425</v>
      </c>
      <c r="EF55" s="79">
        <v>40670</v>
      </c>
      <c r="EG55" s="79">
        <v>49611</v>
      </c>
      <c r="EH55" s="79">
        <v>257725</v>
      </c>
      <c r="EI55" s="79">
        <v>175623</v>
      </c>
      <c r="EJ55" s="79">
        <v>774054</v>
      </c>
      <c r="EK55" s="79">
        <v>497240</v>
      </c>
      <c r="EL55" s="79">
        <v>179306</v>
      </c>
      <c r="EM55" s="79">
        <v>93253</v>
      </c>
      <c r="EN55" s="79">
        <v>117017</v>
      </c>
      <c r="EO55" s="79">
        <v>0</v>
      </c>
      <c r="EP55" s="79">
        <v>886816</v>
      </c>
      <c r="EQ55" s="79">
        <v>0</v>
      </c>
      <c r="ER55" s="79">
        <v>0</v>
      </c>
      <c r="ES55" s="79">
        <v>200</v>
      </c>
      <c r="ET55" s="79">
        <v>0</v>
      </c>
      <c r="EU55" s="79">
        <v>339628</v>
      </c>
      <c r="EV55" s="79">
        <v>339828</v>
      </c>
      <c r="EW55" s="79">
        <v>0</v>
      </c>
      <c r="EX55" s="79">
        <v>0</v>
      </c>
      <c r="EY55" s="79">
        <v>0</v>
      </c>
      <c r="EZ55" s="79">
        <v>0</v>
      </c>
      <c r="FA55" s="79">
        <v>0</v>
      </c>
      <c r="FB55" s="79">
        <v>0</v>
      </c>
      <c r="FC55" s="79">
        <v>0</v>
      </c>
      <c r="FD55" s="79">
        <v>0</v>
      </c>
      <c r="FE55" s="79">
        <v>0</v>
      </c>
      <c r="FF55" s="79">
        <v>0</v>
      </c>
      <c r="FG55" s="79">
        <v>1246508</v>
      </c>
      <c r="FH55" s="79">
        <v>1246508</v>
      </c>
      <c r="FI55" s="79">
        <v>0</v>
      </c>
      <c r="FJ55" s="79">
        <v>0</v>
      </c>
      <c r="FK55" s="79">
        <v>0</v>
      </c>
      <c r="FL55" s="79">
        <v>0</v>
      </c>
      <c r="FM55" s="79">
        <v>54449</v>
      </c>
      <c r="FN55" s="79">
        <v>54449</v>
      </c>
      <c r="FO55" s="79">
        <v>0</v>
      </c>
      <c r="FP55" s="79">
        <v>0</v>
      </c>
      <c r="FQ55" s="79">
        <v>0</v>
      </c>
      <c r="FR55" s="79">
        <v>0</v>
      </c>
      <c r="FS55" s="79">
        <v>1924406</v>
      </c>
      <c r="FT55" s="79">
        <v>1924406</v>
      </c>
      <c r="FU55" s="79">
        <v>0</v>
      </c>
      <c r="FV55" s="79">
        <v>0</v>
      </c>
      <c r="FW55" s="79">
        <v>0</v>
      </c>
      <c r="FX55" s="79">
        <v>0</v>
      </c>
      <c r="FY55" s="79">
        <v>294118</v>
      </c>
      <c r="FZ55" s="79">
        <v>294118</v>
      </c>
      <c r="GA55" s="79">
        <v>0</v>
      </c>
      <c r="GB55" s="79">
        <v>680</v>
      </c>
      <c r="GC55" s="79">
        <v>3695</v>
      </c>
      <c r="GD55" s="79">
        <v>4783</v>
      </c>
      <c r="GE55" s="79">
        <v>393465</v>
      </c>
      <c r="GF55" s="79">
        <v>402623</v>
      </c>
      <c r="GG55" s="79">
        <v>306288</v>
      </c>
      <c r="GH55" s="79">
        <v>116534</v>
      </c>
      <c r="GI55" s="79">
        <v>74154</v>
      </c>
      <c r="GJ55" s="79">
        <v>150988</v>
      </c>
      <c r="GK55" s="79">
        <v>1765406</v>
      </c>
      <c r="GL55" s="79">
        <v>2413370</v>
      </c>
      <c r="GM55" s="79">
        <v>7137906</v>
      </c>
      <c r="GN55" s="79">
        <v>2456836</v>
      </c>
      <c r="GO55" s="79">
        <v>1339140</v>
      </c>
      <c r="GP55" s="79">
        <v>6121216</v>
      </c>
      <c r="GQ55" s="79">
        <v>10219131</v>
      </c>
      <c r="GR55" s="79">
        <v>27274229</v>
      </c>
      <c r="GS55" s="79">
        <v>0</v>
      </c>
      <c r="GT55" s="79">
        <v>0</v>
      </c>
      <c r="GU55" s="79">
        <v>0</v>
      </c>
      <c r="GV55" s="79">
        <v>0</v>
      </c>
      <c r="GW55" s="79">
        <v>0</v>
      </c>
      <c r="GX55" s="79">
        <v>0</v>
      </c>
      <c r="GY55" s="79">
        <v>7137906</v>
      </c>
      <c r="GZ55" s="79">
        <v>2456836</v>
      </c>
      <c r="HA55" s="79">
        <v>1339140</v>
      </c>
      <c r="HB55" s="79">
        <v>6121216</v>
      </c>
      <c r="HC55" s="79">
        <v>10219131</v>
      </c>
      <c r="HD55" s="79">
        <v>27274229</v>
      </c>
      <c r="HF55" s="7">
        <f>SUM(AZ55:AZ55)</f>
        <v>2177773</v>
      </c>
      <c r="HG55" s="7" t="e">
        <f>#REF!-HF55</f>
        <v>#REF!</v>
      </c>
      <c r="HH55" s="7" t="e">
        <f>SUM(#REF!)</f>
        <v>#REF!</v>
      </c>
      <c r="HI55" s="7" t="e">
        <f>#REF!-HH55</f>
        <v>#REF!</v>
      </c>
      <c r="HJ55" s="7">
        <f>SUM(BA55:BA55)</f>
        <v>675000</v>
      </c>
      <c r="HK55" s="7" t="e">
        <f>#REF!-HJ55</f>
        <v>#REF!</v>
      </c>
      <c r="HL55" s="7">
        <f>SUM(BB55:BB55)</f>
        <v>1131702</v>
      </c>
      <c r="HM55" s="7" t="e">
        <f>#REF!-HL55</f>
        <v>#REF!</v>
      </c>
      <c r="HN55" s="7" t="e">
        <f>SUM(#REF!)</f>
        <v>#REF!</v>
      </c>
      <c r="HO55" s="7" t="e">
        <f>#REF!-HN55</f>
        <v>#REF!</v>
      </c>
      <c r="HP55" s="7" t="e">
        <f>SUM(#REF!)</f>
        <v>#REF!</v>
      </c>
      <c r="HQ55" s="7" t="e">
        <f>#REF!-HP55</f>
        <v>#REF!</v>
      </c>
      <c r="HR55" s="7" t="e">
        <f>SUM(#REF!)</f>
        <v>#REF!</v>
      </c>
      <c r="HS55" s="7" t="e">
        <f>#REF!-HR55</f>
        <v>#REF!</v>
      </c>
      <c r="HT55" s="7" t="e">
        <f>SUM(#REF!)</f>
        <v>#REF!</v>
      </c>
      <c r="HU55" s="7" t="e">
        <f>#REF!-HT55</f>
        <v>#REF!</v>
      </c>
      <c r="HV55" s="7" t="e">
        <f>SUM(#REF!)</f>
        <v>#REF!</v>
      </c>
      <c r="HW55" s="7" t="e">
        <f>#REF!-HV55</f>
        <v>#REF!</v>
      </c>
      <c r="HX55" s="7" t="e">
        <f>SUM(#REF!)</f>
        <v>#REF!</v>
      </c>
      <c r="HY55" s="7" t="e">
        <f>#REF!-HX55</f>
        <v>#REF!</v>
      </c>
      <c r="HZ55" s="7">
        <f>SUM(BC55:BC55)</f>
        <v>321101</v>
      </c>
      <c r="IA55" s="7" t="e">
        <f>#REF!-HZ55</f>
        <v>#REF!</v>
      </c>
      <c r="IB55" s="7">
        <f>SUM(BD55:BD55)</f>
        <v>0</v>
      </c>
      <c r="IC55" s="7" t="e">
        <f>#REF!-IB55</f>
        <v>#REF!</v>
      </c>
      <c r="ID55" s="7">
        <f t="shared" si="1"/>
        <v>0</v>
      </c>
      <c r="IE55" s="7">
        <f t="shared" si="2"/>
        <v>0</v>
      </c>
      <c r="IF55" s="7">
        <f t="shared" si="3"/>
        <v>250000</v>
      </c>
      <c r="IG55" s="7">
        <f t="shared" si="4"/>
        <v>0</v>
      </c>
      <c r="IH55" s="7">
        <f t="shared" si="5"/>
        <v>1308699</v>
      </c>
      <c r="II55" s="7">
        <f t="shared" si="6"/>
        <v>0</v>
      </c>
      <c r="IJ55" s="7">
        <f t="shared" si="7"/>
        <v>26627415</v>
      </c>
      <c r="IK55" s="7">
        <f t="shared" si="8"/>
        <v>0</v>
      </c>
      <c r="IL55" s="7">
        <f t="shared" si="9"/>
        <v>5800870</v>
      </c>
      <c r="IM55" s="7">
        <f t="shared" si="10"/>
        <v>0</v>
      </c>
      <c r="IN55" s="7">
        <f t="shared" si="11"/>
        <v>891850</v>
      </c>
      <c r="IO55" s="7">
        <f t="shared" si="12"/>
        <v>0</v>
      </c>
      <c r="IP55" s="7">
        <f t="shared" si="13"/>
        <v>5008620</v>
      </c>
      <c r="IQ55" s="7">
        <f t="shared" si="14"/>
        <v>0</v>
      </c>
      <c r="IR55" s="7">
        <f t="shared" si="15"/>
        <v>0</v>
      </c>
      <c r="IS55" s="7">
        <f t="shared" si="16"/>
        <v>0</v>
      </c>
      <c r="IT55" s="7">
        <f t="shared" si="17"/>
        <v>3892329</v>
      </c>
      <c r="IU55" s="7">
        <f t="shared" si="18"/>
        <v>0</v>
      </c>
      <c r="IV55" s="7">
        <f t="shared" si="19"/>
        <v>0</v>
      </c>
      <c r="IW55" s="7">
        <f t="shared" si="20"/>
        <v>0</v>
      </c>
      <c r="IX55" s="7">
        <f t="shared" si="21"/>
        <v>0</v>
      </c>
      <c r="IY55" s="7">
        <f t="shared" si="22"/>
        <v>0</v>
      </c>
      <c r="IZ55" s="7">
        <f t="shared" si="23"/>
        <v>455619</v>
      </c>
      <c r="JA55" s="7">
        <f t="shared" si="24"/>
        <v>0</v>
      </c>
      <c r="JB55" s="7">
        <f t="shared" si="25"/>
        <v>2888769</v>
      </c>
      <c r="JC55" s="7">
        <f t="shared" si="26"/>
        <v>0</v>
      </c>
      <c r="JD55" s="7">
        <f t="shared" si="27"/>
        <v>774054</v>
      </c>
      <c r="JE55" s="7">
        <f t="shared" si="28"/>
        <v>0</v>
      </c>
      <c r="JF55" s="7">
        <f>SUM(EK55:EO55)</f>
        <v>886816</v>
      </c>
      <c r="JG55" s="7">
        <f>EP55-JF55</f>
        <v>0</v>
      </c>
      <c r="JH55" s="7">
        <f t="shared" si="31"/>
        <v>339828</v>
      </c>
      <c r="JI55" s="7">
        <f t="shared" si="32"/>
        <v>0</v>
      </c>
      <c r="JJ55" s="7">
        <f t="shared" si="33"/>
        <v>0</v>
      </c>
      <c r="JK55" s="7">
        <f t="shared" si="34"/>
        <v>0</v>
      </c>
      <c r="JL55" s="7">
        <f t="shared" si="35"/>
        <v>1246508</v>
      </c>
      <c r="JM55" s="7">
        <f t="shared" si="36"/>
        <v>0</v>
      </c>
      <c r="JN55" s="7">
        <f t="shared" si="37"/>
        <v>54449</v>
      </c>
      <c r="JO55" s="7">
        <f>FN55-JN55</f>
        <v>0</v>
      </c>
      <c r="JP55" s="7">
        <f t="shared" si="39"/>
        <v>1924406</v>
      </c>
      <c r="JQ55" s="7">
        <f t="shared" si="40"/>
        <v>0</v>
      </c>
      <c r="JR55" s="7">
        <f t="shared" si="41"/>
        <v>294118</v>
      </c>
      <c r="JS55" s="7">
        <f t="shared" si="42"/>
        <v>0</v>
      </c>
      <c r="JT55" s="7">
        <f t="shared" si="43"/>
        <v>402623</v>
      </c>
      <c r="JU55" s="7">
        <f t="shared" si="44"/>
        <v>0</v>
      </c>
      <c r="JV55" s="7">
        <f t="shared" si="45"/>
        <v>2413370</v>
      </c>
      <c r="JW55" s="7">
        <f t="shared" si="46"/>
        <v>0</v>
      </c>
      <c r="JX55" s="7">
        <f t="shared" si="47"/>
        <v>27274229</v>
      </c>
      <c r="JY55" s="7">
        <f t="shared" si="48"/>
        <v>0</v>
      </c>
      <c r="JZ55" s="7">
        <f t="shared" si="49"/>
        <v>0</v>
      </c>
      <c r="KA55" s="7">
        <f t="shared" si="50"/>
        <v>0</v>
      </c>
      <c r="KB55" s="7">
        <f t="shared" si="51"/>
        <v>27274229</v>
      </c>
      <c r="KC55" s="7">
        <f t="shared" si="52"/>
        <v>0</v>
      </c>
      <c r="KE55" s="7" t="e">
        <f t="shared" si="54"/>
        <v>#REF!</v>
      </c>
      <c r="KG55" s="5" t="e">
        <f t="shared" si="53"/>
        <v>#REF!</v>
      </c>
    </row>
    <row r="56" spans="1:293" x14ac:dyDescent="0.15">
      <c r="A56" s="119" t="s">
        <v>258</v>
      </c>
      <c r="B56" s="17" t="s">
        <v>341</v>
      </c>
      <c r="C56" s="41">
        <v>187985</v>
      </c>
      <c r="D56" s="38">
        <v>2013</v>
      </c>
      <c r="E56" s="38">
        <v>1</v>
      </c>
      <c r="F56" s="38">
        <v>10</v>
      </c>
      <c r="G56" s="39">
        <v>9089</v>
      </c>
      <c r="H56" s="39">
        <v>11590</v>
      </c>
      <c r="I56" s="40">
        <v>1844715867</v>
      </c>
      <c r="J56" s="40"/>
      <c r="K56" s="40">
        <v>2833524</v>
      </c>
      <c r="L56" s="40"/>
      <c r="M56" s="40">
        <v>3204741</v>
      </c>
      <c r="N56" s="40"/>
      <c r="O56" s="40">
        <v>81792749</v>
      </c>
      <c r="P56" s="40"/>
      <c r="Q56" s="40">
        <v>248824698</v>
      </c>
      <c r="R56" s="40"/>
      <c r="S56" s="40">
        <v>903480109</v>
      </c>
      <c r="T56" s="40"/>
      <c r="U56" s="40">
        <v>15755</v>
      </c>
      <c r="V56" s="40"/>
      <c r="W56" s="40">
        <v>30312</v>
      </c>
      <c r="X56" s="40"/>
      <c r="Y56" s="40">
        <v>19074</v>
      </c>
      <c r="Z56" s="40"/>
      <c r="AA56" s="40">
        <v>33713</v>
      </c>
      <c r="AB56" s="40"/>
      <c r="AC56" s="59">
        <v>10</v>
      </c>
      <c r="AD56" s="59">
        <v>11</v>
      </c>
      <c r="AE56" s="59">
        <v>0</v>
      </c>
      <c r="AF56" s="57">
        <v>4242722</v>
      </c>
      <c r="AG56" s="57">
        <v>2509163</v>
      </c>
      <c r="AH56" s="57">
        <v>471057</v>
      </c>
      <c r="AI56" s="57">
        <v>172201</v>
      </c>
      <c r="AJ56" s="57">
        <v>387784</v>
      </c>
      <c r="AK56" s="58">
        <v>7</v>
      </c>
      <c r="AL56" s="57">
        <v>339311</v>
      </c>
      <c r="AM56" s="58">
        <v>8</v>
      </c>
      <c r="AN56" s="57">
        <v>145143</v>
      </c>
      <c r="AO56" s="58">
        <v>8</v>
      </c>
      <c r="AP56" s="57">
        <v>129019</v>
      </c>
      <c r="AQ56" s="58">
        <v>9</v>
      </c>
      <c r="AR56" s="57">
        <v>140392</v>
      </c>
      <c r="AS56" s="58">
        <v>20.5</v>
      </c>
      <c r="AT56" s="57">
        <v>125132</v>
      </c>
      <c r="AU56" s="58">
        <v>23</v>
      </c>
      <c r="AV56" s="57">
        <v>73735</v>
      </c>
      <c r="AW56" s="58">
        <v>15.5</v>
      </c>
      <c r="AX56" s="57">
        <v>63494</v>
      </c>
      <c r="AY56" s="58">
        <v>18</v>
      </c>
      <c r="AZ56" s="79">
        <v>1652547</v>
      </c>
      <c r="BA56" s="79">
        <v>1275000</v>
      </c>
      <c r="BB56" s="79">
        <v>0</v>
      </c>
      <c r="BC56" s="79">
        <v>0</v>
      </c>
      <c r="BD56" s="79">
        <v>0</v>
      </c>
      <c r="BE56" s="79">
        <v>0</v>
      </c>
      <c r="BF56" s="79">
        <v>0</v>
      </c>
      <c r="BG56" s="79">
        <v>0</v>
      </c>
      <c r="BH56" s="79">
        <v>0</v>
      </c>
      <c r="BI56" s="79">
        <v>0</v>
      </c>
      <c r="BJ56" s="79">
        <v>0</v>
      </c>
      <c r="BK56" s="79">
        <v>16878</v>
      </c>
      <c r="BL56" s="79">
        <v>760</v>
      </c>
      <c r="BM56" s="79">
        <v>1509</v>
      </c>
      <c r="BN56" s="79">
        <v>31640</v>
      </c>
      <c r="BO56" s="79">
        <v>322668</v>
      </c>
      <c r="BP56" s="79">
        <v>373455</v>
      </c>
      <c r="BQ56" s="79">
        <v>0</v>
      </c>
      <c r="BR56" s="79">
        <v>0</v>
      </c>
      <c r="BS56" s="79">
        <v>0</v>
      </c>
      <c r="BT56" s="79">
        <v>0</v>
      </c>
      <c r="BU56" s="79">
        <v>532168</v>
      </c>
      <c r="BV56" s="79">
        <v>532168</v>
      </c>
      <c r="BW56" s="79">
        <v>3812089</v>
      </c>
      <c r="BX56" s="79">
        <v>4823958</v>
      </c>
      <c r="BY56" s="79">
        <v>700266</v>
      </c>
      <c r="BZ56" s="79">
        <v>1674251</v>
      </c>
      <c r="CA56" s="79">
        <v>33335276</v>
      </c>
      <c r="CB56" s="79">
        <v>44345840</v>
      </c>
      <c r="CC56" s="79">
        <v>2310401</v>
      </c>
      <c r="CD56" s="79">
        <v>570662</v>
      </c>
      <c r="CE56" s="79">
        <v>471837</v>
      </c>
      <c r="CF56" s="79">
        <v>3794989</v>
      </c>
      <c r="CG56" s="79">
        <v>30468</v>
      </c>
      <c r="CH56" s="79">
        <v>7178357</v>
      </c>
      <c r="CI56" s="79">
        <v>450000</v>
      </c>
      <c r="CJ56" s="79">
        <v>425000</v>
      </c>
      <c r="CK56" s="79">
        <v>76000</v>
      </c>
      <c r="CL56" s="79">
        <v>82138</v>
      </c>
      <c r="CM56" s="79">
        <v>0</v>
      </c>
      <c r="CN56" s="79">
        <v>1033138</v>
      </c>
      <c r="CO56" s="79">
        <v>2414533</v>
      </c>
      <c r="CP56" s="79">
        <v>1866766</v>
      </c>
      <c r="CQ56" s="79">
        <v>751785</v>
      </c>
      <c r="CR56" s="79">
        <v>2863547</v>
      </c>
      <c r="CS56" s="79">
        <v>0</v>
      </c>
      <c r="CT56" s="79">
        <v>7896631</v>
      </c>
      <c r="CU56" s="79">
        <v>0</v>
      </c>
      <c r="CV56" s="79">
        <v>0</v>
      </c>
      <c r="CW56" s="79">
        <v>0</v>
      </c>
      <c r="CX56" s="79">
        <v>0</v>
      </c>
      <c r="CY56" s="79">
        <v>0</v>
      </c>
      <c r="CZ56" s="79">
        <v>0</v>
      </c>
      <c r="DA56" s="79">
        <v>94138</v>
      </c>
      <c r="DB56" s="79">
        <v>0</v>
      </c>
      <c r="DC56" s="79">
        <v>0</v>
      </c>
      <c r="DD56" s="79">
        <v>19478</v>
      </c>
      <c r="DE56" s="79">
        <v>5672391</v>
      </c>
      <c r="DF56" s="79">
        <v>5786007</v>
      </c>
      <c r="DG56" s="79">
        <v>0</v>
      </c>
      <c r="DH56" s="79">
        <v>0</v>
      </c>
      <c r="DI56" s="79">
        <v>0</v>
      </c>
      <c r="DJ56" s="79">
        <v>0</v>
      </c>
      <c r="DK56" s="79">
        <v>0</v>
      </c>
      <c r="DL56" s="79">
        <v>0</v>
      </c>
      <c r="DM56" s="79">
        <v>0</v>
      </c>
      <c r="DN56" s="79">
        <v>0</v>
      </c>
      <c r="DO56" s="79">
        <v>0</v>
      </c>
      <c r="DP56" s="79">
        <v>0</v>
      </c>
      <c r="DQ56" s="79">
        <v>0</v>
      </c>
      <c r="DR56" s="79">
        <v>0</v>
      </c>
      <c r="DS56" s="79">
        <v>274705</v>
      </c>
      <c r="DT56" s="79">
        <v>104124</v>
      </c>
      <c r="DU56" s="79">
        <v>75925</v>
      </c>
      <c r="DV56" s="79">
        <v>188504</v>
      </c>
      <c r="DW56" s="79">
        <v>0</v>
      </c>
      <c r="DX56" s="79">
        <v>643258</v>
      </c>
      <c r="DY56" s="79">
        <v>1064196</v>
      </c>
      <c r="DZ56" s="79">
        <v>415814</v>
      </c>
      <c r="EA56" s="79">
        <v>159824</v>
      </c>
      <c r="EB56" s="79">
        <v>1530098</v>
      </c>
      <c r="EC56" s="79">
        <v>281428</v>
      </c>
      <c r="ED56" s="79">
        <v>3451360</v>
      </c>
      <c r="EE56" s="79">
        <v>76496</v>
      </c>
      <c r="EF56" s="79">
        <v>37945</v>
      </c>
      <c r="EG56" s="79">
        <v>8382</v>
      </c>
      <c r="EH56" s="79">
        <v>205970</v>
      </c>
      <c r="EI56" s="79">
        <v>0</v>
      </c>
      <c r="EJ56" s="79">
        <v>328793</v>
      </c>
      <c r="EK56" s="79">
        <v>769986</v>
      </c>
      <c r="EL56" s="79">
        <v>474095</v>
      </c>
      <c r="EM56" s="79">
        <v>311487</v>
      </c>
      <c r="EN56" s="79">
        <v>248413</v>
      </c>
      <c r="EO56" s="79">
        <v>0</v>
      </c>
      <c r="EP56" s="79">
        <v>1803981</v>
      </c>
      <c r="EQ56" s="79">
        <v>0</v>
      </c>
      <c r="ER56" s="79">
        <v>0</v>
      </c>
      <c r="ES56" s="79">
        <v>0</v>
      </c>
      <c r="ET56" s="79">
        <v>0</v>
      </c>
      <c r="EU56" s="79">
        <v>215679</v>
      </c>
      <c r="EV56" s="79">
        <v>215679</v>
      </c>
      <c r="EW56" s="79">
        <v>0</v>
      </c>
      <c r="EX56" s="79">
        <v>0</v>
      </c>
      <c r="EY56" s="79">
        <v>0</v>
      </c>
      <c r="EZ56" s="79">
        <v>0</v>
      </c>
      <c r="FA56" s="79">
        <v>0</v>
      </c>
      <c r="FB56" s="79">
        <v>0</v>
      </c>
      <c r="FC56" s="79">
        <v>0</v>
      </c>
      <c r="FD56" s="79">
        <v>0</v>
      </c>
      <c r="FE56" s="79">
        <v>0</v>
      </c>
      <c r="FF56" s="79">
        <v>0</v>
      </c>
      <c r="FG56" s="79">
        <v>2915381</v>
      </c>
      <c r="FH56" s="79">
        <v>2915381</v>
      </c>
      <c r="FI56" s="79">
        <v>0</v>
      </c>
      <c r="FJ56" s="79">
        <v>0</v>
      </c>
      <c r="FK56" s="79">
        <v>0</v>
      </c>
      <c r="FL56" s="79">
        <v>0</v>
      </c>
      <c r="FM56" s="79">
        <v>220619</v>
      </c>
      <c r="FN56" s="79">
        <v>220619</v>
      </c>
      <c r="FO56" s="79">
        <v>0</v>
      </c>
      <c r="FP56" s="79">
        <v>0</v>
      </c>
      <c r="FQ56" s="79">
        <v>0</v>
      </c>
      <c r="FR56" s="79">
        <v>0</v>
      </c>
      <c r="FS56" s="79">
        <v>7045722</v>
      </c>
      <c r="FT56" s="79">
        <v>7045722</v>
      </c>
      <c r="FU56" s="79">
        <v>0</v>
      </c>
      <c r="FV56" s="79">
        <v>0</v>
      </c>
      <c r="FW56" s="79">
        <v>0</v>
      </c>
      <c r="FX56" s="79">
        <v>0</v>
      </c>
      <c r="FY56" s="79">
        <v>394197</v>
      </c>
      <c r="FZ56" s="79">
        <v>394197</v>
      </c>
      <c r="GA56" s="79">
        <v>1535</v>
      </c>
      <c r="GB56" s="79">
        <v>2143</v>
      </c>
      <c r="GC56" s="79">
        <v>810</v>
      </c>
      <c r="GD56" s="79">
        <v>12109</v>
      </c>
      <c r="GE56" s="79">
        <v>403408</v>
      </c>
      <c r="GF56" s="79">
        <v>420005</v>
      </c>
      <c r="GG56" s="79">
        <v>442433</v>
      </c>
      <c r="GH56" s="79">
        <v>159597</v>
      </c>
      <c r="GI56" s="79">
        <v>84433</v>
      </c>
      <c r="GJ56" s="79">
        <v>355106</v>
      </c>
      <c r="GK56" s="79">
        <v>4671604</v>
      </c>
      <c r="GL56" s="79">
        <v>5713173</v>
      </c>
      <c r="GM56" s="79">
        <v>7898396</v>
      </c>
      <c r="GN56" s="79">
        <v>4056146</v>
      </c>
      <c r="GO56" s="79">
        <v>1940483</v>
      </c>
      <c r="GP56" s="79">
        <v>9300352</v>
      </c>
      <c r="GQ56" s="79">
        <v>21850897</v>
      </c>
      <c r="GR56" s="79">
        <v>45046274</v>
      </c>
      <c r="GS56" s="79">
        <v>0</v>
      </c>
      <c r="GT56" s="79">
        <v>0</v>
      </c>
      <c r="GU56" s="79">
        <v>0</v>
      </c>
      <c r="GV56" s="79">
        <v>0</v>
      </c>
      <c r="GW56" s="79">
        <v>105264</v>
      </c>
      <c r="GX56" s="79">
        <v>105264</v>
      </c>
      <c r="GY56" s="79">
        <v>7898396</v>
      </c>
      <c r="GZ56" s="79">
        <v>4056146</v>
      </c>
      <c r="HA56" s="79">
        <v>1940483</v>
      </c>
      <c r="HB56" s="79">
        <v>9300352</v>
      </c>
      <c r="HC56" s="79">
        <v>21956161</v>
      </c>
      <c r="HD56" s="79">
        <v>45151538</v>
      </c>
      <c r="HF56" s="7">
        <f>SUM(AZ56:AZ56)</f>
        <v>1652547</v>
      </c>
      <c r="HG56" s="7" t="e">
        <f>#REF!-HF56</f>
        <v>#REF!</v>
      </c>
      <c r="HH56" s="7" t="e">
        <f>SUM(#REF!)</f>
        <v>#REF!</v>
      </c>
      <c r="HI56" s="7" t="e">
        <f>#REF!-HH56</f>
        <v>#REF!</v>
      </c>
      <c r="HJ56" s="7">
        <f>SUM(BA56:BA56)</f>
        <v>1275000</v>
      </c>
      <c r="HK56" s="7" t="e">
        <f>#REF!-HJ56</f>
        <v>#REF!</v>
      </c>
      <c r="HL56" s="7">
        <f>SUM(BB56:BB56)</f>
        <v>0</v>
      </c>
      <c r="HM56" s="7" t="e">
        <f>#REF!-HL56</f>
        <v>#REF!</v>
      </c>
      <c r="HN56" s="7" t="e">
        <f>SUM(#REF!)</f>
        <v>#REF!</v>
      </c>
      <c r="HO56" s="7" t="e">
        <f>#REF!-HN56</f>
        <v>#REF!</v>
      </c>
      <c r="HP56" s="7" t="e">
        <f>SUM(#REF!)</f>
        <v>#REF!</v>
      </c>
      <c r="HQ56" s="7" t="e">
        <f>#REF!-HP56</f>
        <v>#REF!</v>
      </c>
      <c r="HR56" s="7" t="e">
        <f>SUM(#REF!)</f>
        <v>#REF!</v>
      </c>
      <c r="HS56" s="7" t="e">
        <f>#REF!-HR56</f>
        <v>#REF!</v>
      </c>
      <c r="HT56" s="7" t="e">
        <f>SUM(#REF!)</f>
        <v>#REF!</v>
      </c>
      <c r="HU56" s="7" t="e">
        <f>#REF!-HT56</f>
        <v>#REF!</v>
      </c>
      <c r="HV56" s="7" t="e">
        <f>SUM(#REF!)</f>
        <v>#REF!</v>
      </c>
      <c r="HW56" s="7" t="e">
        <f>#REF!-HV56</f>
        <v>#REF!</v>
      </c>
      <c r="HX56" s="7" t="e">
        <f>SUM(#REF!)</f>
        <v>#REF!</v>
      </c>
      <c r="HY56" s="7" t="e">
        <f>#REF!-HX56</f>
        <v>#REF!</v>
      </c>
      <c r="HZ56" s="7">
        <f>SUM(BC56:BC56)</f>
        <v>0</v>
      </c>
      <c r="IA56" s="7" t="e">
        <f>#REF!-HZ56</f>
        <v>#REF!</v>
      </c>
      <c r="IB56" s="7">
        <f>SUM(BD56:BD56)</f>
        <v>0</v>
      </c>
      <c r="IC56" s="7" t="e">
        <f>#REF!-IB56</f>
        <v>#REF!</v>
      </c>
      <c r="ID56" s="7">
        <f t="shared" si="1"/>
        <v>0</v>
      </c>
      <c r="IE56" s="7">
        <f t="shared" si="2"/>
        <v>0</v>
      </c>
      <c r="IF56" s="7">
        <f t="shared" si="3"/>
        <v>373455</v>
      </c>
      <c r="IG56" s="7">
        <f t="shared" si="4"/>
        <v>0</v>
      </c>
      <c r="IH56" s="7">
        <f t="shared" si="5"/>
        <v>532168</v>
      </c>
      <c r="II56" s="7">
        <f t="shared" si="6"/>
        <v>0</v>
      </c>
      <c r="IJ56" s="7">
        <f t="shared" si="7"/>
        <v>44345840</v>
      </c>
      <c r="IK56" s="7">
        <f t="shared" si="8"/>
        <v>0</v>
      </c>
      <c r="IL56" s="7">
        <f t="shared" si="9"/>
        <v>7178357</v>
      </c>
      <c r="IM56" s="7">
        <f t="shared" si="10"/>
        <v>0</v>
      </c>
      <c r="IN56" s="7">
        <f t="shared" si="11"/>
        <v>1033138</v>
      </c>
      <c r="IO56" s="7">
        <f t="shared" si="12"/>
        <v>0</v>
      </c>
      <c r="IP56" s="7">
        <f t="shared" si="13"/>
        <v>7896631</v>
      </c>
      <c r="IQ56" s="7">
        <f t="shared" si="14"/>
        <v>0</v>
      </c>
      <c r="IR56" s="7">
        <f t="shared" si="15"/>
        <v>0</v>
      </c>
      <c r="IS56" s="7">
        <f t="shared" si="16"/>
        <v>0</v>
      </c>
      <c r="IT56" s="7">
        <f t="shared" si="17"/>
        <v>5786007</v>
      </c>
      <c r="IU56" s="7">
        <f t="shared" si="18"/>
        <v>0</v>
      </c>
      <c r="IV56" s="7">
        <f t="shared" si="19"/>
        <v>0</v>
      </c>
      <c r="IW56" s="7">
        <f t="shared" si="20"/>
        <v>0</v>
      </c>
      <c r="IX56" s="7">
        <f t="shared" si="21"/>
        <v>0</v>
      </c>
      <c r="IY56" s="7">
        <f t="shared" si="22"/>
        <v>0</v>
      </c>
      <c r="IZ56" s="7">
        <f t="shared" si="23"/>
        <v>643258</v>
      </c>
      <c r="JA56" s="7">
        <f t="shared" si="24"/>
        <v>0</v>
      </c>
      <c r="JB56" s="7">
        <f t="shared" si="25"/>
        <v>3451360</v>
      </c>
      <c r="JC56" s="7">
        <f t="shared" si="26"/>
        <v>0</v>
      </c>
      <c r="JD56" s="7">
        <f t="shared" si="27"/>
        <v>328793</v>
      </c>
      <c r="JE56" s="7">
        <f t="shared" si="28"/>
        <v>0</v>
      </c>
      <c r="JF56" s="7">
        <f t="shared" si="29"/>
        <v>1803981</v>
      </c>
      <c r="JG56" s="7">
        <f t="shared" si="30"/>
        <v>0</v>
      </c>
      <c r="JH56" s="7">
        <f t="shared" si="31"/>
        <v>215679</v>
      </c>
      <c r="JI56" s="7">
        <f t="shared" si="32"/>
        <v>0</v>
      </c>
      <c r="JJ56" s="7">
        <f t="shared" si="33"/>
        <v>0</v>
      </c>
      <c r="JK56" s="7">
        <f t="shared" si="34"/>
        <v>0</v>
      </c>
      <c r="JL56" s="7">
        <f t="shared" si="35"/>
        <v>2915381</v>
      </c>
      <c r="JM56" s="7">
        <f t="shared" si="36"/>
        <v>0</v>
      </c>
      <c r="JN56" s="7">
        <f t="shared" si="37"/>
        <v>220619</v>
      </c>
      <c r="JO56" s="7">
        <f t="shared" si="38"/>
        <v>0</v>
      </c>
      <c r="JP56" s="7">
        <f t="shared" si="39"/>
        <v>7045722</v>
      </c>
      <c r="JQ56" s="7">
        <f t="shared" si="40"/>
        <v>0</v>
      </c>
      <c r="JR56" s="7">
        <f t="shared" si="41"/>
        <v>394197</v>
      </c>
      <c r="JS56" s="7">
        <f t="shared" si="42"/>
        <v>0</v>
      </c>
      <c r="JT56" s="7">
        <f t="shared" si="43"/>
        <v>420005</v>
      </c>
      <c r="JU56" s="7">
        <f t="shared" si="44"/>
        <v>0</v>
      </c>
      <c r="JV56" s="7">
        <f t="shared" ref="JV56:JV68" si="55">SUM(GG56:GK56)</f>
        <v>5713173</v>
      </c>
      <c r="JW56" s="7">
        <f t="shared" ref="JW56:JW68" si="56">GL56-JV56</f>
        <v>0</v>
      </c>
      <c r="JX56" s="7">
        <f t="shared" si="47"/>
        <v>45046274</v>
      </c>
      <c r="JY56" s="7">
        <f t="shared" si="48"/>
        <v>0</v>
      </c>
      <c r="JZ56" s="7">
        <f t="shared" si="49"/>
        <v>105264</v>
      </c>
      <c r="KA56" s="7">
        <f t="shared" si="50"/>
        <v>0</v>
      </c>
      <c r="KB56" s="7">
        <f t="shared" si="51"/>
        <v>45151538</v>
      </c>
      <c r="KC56" s="7">
        <f t="shared" si="52"/>
        <v>0</v>
      </c>
      <c r="KE56" s="7" t="e">
        <f t="shared" si="54"/>
        <v>#REF!</v>
      </c>
      <c r="KG56" s="5" t="e">
        <f t="shared" si="53"/>
        <v>#REF!</v>
      </c>
    </row>
    <row r="57" spans="1:293" x14ac:dyDescent="0.15">
      <c r="A57" s="119" t="s">
        <v>259</v>
      </c>
      <c r="B57" s="17" t="s">
        <v>343</v>
      </c>
      <c r="C57" s="41">
        <v>188030</v>
      </c>
      <c r="D57" s="38">
        <v>2013</v>
      </c>
      <c r="E57" s="38">
        <v>1</v>
      </c>
      <c r="F57" s="38">
        <v>12</v>
      </c>
      <c r="G57" s="39">
        <v>5433</v>
      </c>
      <c r="H57" s="39">
        <v>6151</v>
      </c>
      <c r="I57" s="40">
        <v>543428019</v>
      </c>
      <c r="J57" s="40"/>
      <c r="K57" s="40">
        <v>1320000</v>
      </c>
      <c r="L57" s="40"/>
      <c r="M57" s="40">
        <v>15511000</v>
      </c>
      <c r="N57" s="40"/>
      <c r="O57" s="40">
        <v>8877000</v>
      </c>
      <c r="P57" s="40"/>
      <c r="Q57" s="40">
        <v>143191000</v>
      </c>
      <c r="R57" s="40"/>
      <c r="S57" s="40">
        <v>439757671</v>
      </c>
      <c r="T57" s="40"/>
      <c r="U57" s="40">
        <v>14395</v>
      </c>
      <c r="V57" s="40"/>
      <c r="W57" s="40">
        <v>27422</v>
      </c>
      <c r="X57" s="40"/>
      <c r="Y57" s="40">
        <v>19042</v>
      </c>
      <c r="Z57" s="40"/>
      <c r="AA57" s="40">
        <v>32068</v>
      </c>
      <c r="AB57" s="40"/>
      <c r="AC57" s="56">
        <v>6</v>
      </c>
      <c r="AD57" s="56">
        <v>11</v>
      </c>
      <c r="AE57" s="56">
        <v>0</v>
      </c>
      <c r="AF57" s="57">
        <v>3582396</v>
      </c>
      <c r="AG57" s="57">
        <v>2890700</v>
      </c>
      <c r="AH57" s="57">
        <v>279867</v>
      </c>
      <c r="AI57" s="57">
        <v>136979</v>
      </c>
      <c r="AJ57" s="57">
        <v>275353</v>
      </c>
      <c r="AK57" s="58">
        <v>5</v>
      </c>
      <c r="AL57" s="57">
        <v>227625</v>
      </c>
      <c r="AM57" s="58">
        <v>6</v>
      </c>
      <c r="AN57" s="57">
        <v>101917</v>
      </c>
      <c r="AO57" s="58">
        <v>8</v>
      </c>
      <c r="AP57" s="57">
        <v>95462</v>
      </c>
      <c r="AQ57" s="58">
        <v>9</v>
      </c>
      <c r="AR57" s="57">
        <v>83086</v>
      </c>
      <c r="AS57" s="58">
        <v>16</v>
      </c>
      <c r="AT57" s="57">
        <v>70536</v>
      </c>
      <c r="AU57" s="58">
        <v>19</v>
      </c>
      <c r="AV57" s="57">
        <v>46278</v>
      </c>
      <c r="AW57" s="58">
        <v>15</v>
      </c>
      <c r="AX57" s="57">
        <v>45877</v>
      </c>
      <c r="AY57" s="58">
        <v>15</v>
      </c>
      <c r="AZ57" s="79">
        <v>567417</v>
      </c>
      <c r="BA57" s="79">
        <v>1075000</v>
      </c>
      <c r="BB57" s="79">
        <v>83598</v>
      </c>
      <c r="BC57" s="79">
        <v>0</v>
      </c>
      <c r="BD57" s="79">
        <v>0</v>
      </c>
      <c r="BE57" s="79">
        <v>0</v>
      </c>
      <c r="BF57" s="79">
        <v>0</v>
      </c>
      <c r="BG57" s="79">
        <v>0</v>
      </c>
      <c r="BH57" s="79">
        <v>0</v>
      </c>
      <c r="BI57" s="79">
        <v>0</v>
      </c>
      <c r="BJ57" s="79">
        <v>0</v>
      </c>
      <c r="BK57" s="79">
        <v>2176</v>
      </c>
      <c r="BL57" s="79">
        <v>13733</v>
      </c>
      <c r="BM57" s="79">
        <v>457</v>
      </c>
      <c r="BN57" s="79">
        <v>9354</v>
      </c>
      <c r="BO57" s="79">
        <v>17641</v>
      </c>
      <c r="BP57" s="79">
        <v>43361</v>
      </c>
      <c r="BQ57" s="79">
        <v>65241</v>
      </c>
      <c r="BR57" s="79">
        <v>57296</v>
      </c>
      <c r="BS57" s="79">
        <v>14600</v>
      </c>
      <c r="BT57" s="79">
        <v>58640</v>
      </c>
      <c r="BU57" s="79">
        <v>152247</v>
      </c>
      <c r="BV57" s="79">
        <v>348024</v>
      </c>
      <c r="BW57" s="79">
        <v>3372975</v>
      </c>
      <c r="BX57" s="79">
        <v>1301833</v>
      </c>
      <c r="BY57" s="79">
        <v>345771</v>
      </c>
      <c r="BZ57" s="79">
        <v>2275000</v>
      </c>
      <c r="CA57" s="79">
        <v>22809881</v>
      </c>
      <c r="CB57" s="79">
        <v>30105460</v>
      </c>
      <c r="CC57" s="79">
        <v>2555656</v>
      </c>
      <c r="CD57" s="79">
        <v>473587</v>
      </c>
      <c r="CE57" s="79">
        <v>427134</v>
      </c>
      <c r="CF57" s="79">
        <v>3016719</v>
      </c>
      <c r="CG57" s="79">
        <v>10101</v>
      </c>
      <c r="CH57" s="79">
        <v>6483197</v>
      </c>
      <c r="CI57" s="79">
        <v>509486</v>
      </c>
      <c r="CJ57" s="79">
        <v>243441</v>
      </c>
      <c r="CK57" s="79">
        <v>46866</v>
      </c>
      <c r="CL57" s="79">
        <v>96882</v>
      </c>
      <c r="CM57" s="79">
        <v>0</v>
      </c>
      <c r="CN57" s="79">
        <v>896675</v>
      </c>
      <c r="CO57" s="79">
        <v>1297220</v>
      </c>
      <c r="CP57" s="79">
        <v>1030748</v>
      </c>
      <c r="CQ57" s="79">
        <v>402844</v>
      </c>
      <c r="CR57" s="79">
        <v>1522455</v>
      </c>
      <c r="CS57" s="79">
        <v>0</v>
      </c>
      <c r="CT57" s="79">
        <v>4253267</v>
      </c>
      <c r="CU57" s="79">
        <v>0</v>
      </c>
      <c r="CV57" s="79">
        <v>0</v>
      </c>
      <c r="CW57" s="79">
        <v>0</v>
      </c>
      <c r="CX57" s="79">
        <v>0</v>
      </c>
      <c r="CY57" s="79">
        <v>0</v>
      </c>
      <c r="CZ57" s="79">
        <v>0</v>
      </c>
      <c r="DA57" s="79">
        <v>222642</v>
      </c>
      <c r="DB57" s="79">
        <v>177377</v>
      </c>
      <c r="DC57" s="79">
        <v>74617</v>
      </c>
      <c r="DD57" s="79">
        <v>121735</v>
      </c>
      <c r="DE57" s="79">
        <v>2565129</v>
      </c>
      <c r="DF57" s="79">
        <v>3161500</v>
      </c>
      <c r="DG57" s="79">
        <v>0</v>
      </c>
      <c r="DH57" s="79">
        <v>0</v>
      </c>
      <c r="DI57" s="79">
        <v>0</v>
      </c>
      <c r="DJ57" s="79">
        <v>0</v>
      </c>
      <c r="DK57" s="79">
        <v>0</v>
      </c>
      <c r="DL57" s="79">
        <v>0</v>
      </c>
      <c r="DM57" s="79">
        <v>0</v>
      </c>
      <c r="DN57" s="79">
        <v>0</v>
      </c>
      <c r="DO57" s="79">
        <v>0</v>
      </c>
      <c r="DP57" s="79">
        <v>0</v>
      </c>
      <c r="DQ57" s="79">
        <v>0</v>
      </c>
      <c r="DR57" s="79">
        <v>0</v>
      </c>
      <c r="DS57" s="79">
        <v>167394</v>
      </c>
      <c r="DT57" s="79">
        <v>82646</v>
      </c>
      <c r="DU57" s="79">
        <v>60000</v>
      </c>
      <c r="DV57" s="79">
        <v>106806</v>
      </c>
      <c r="DW57" s="79">
        <v>1129</v>
      </c>
      <c r="DX57" s="79">
        <v>417975</v>
      </c>
      <c r="DY57" s="79">
        <v>791262</v>
      </c>
      <c r="DZ57" s="79">
        <v>328490</v>
      </c>
      <c r="EA57" s="79">
        <v>144974</v>
      </c>
      <c r="EB57" s="79">
        <v>1174145</v>
      </c>
      <c r="EC57" s="79">
        <v>0</v>
      </c>
      <c r="ED57" s="79">
        <v>2438871</v>
      </c>
      <c r="EE57" s="79">
        <v>223297</v>
      </c>
      <c r="EF57" s="79">
        <v>20086</v>
      </c>
      <c r="EG57" s="79">
        <v>27548</v>
      </c>
      <c r="EH57" s="79">
        <v>289577</v>
      </c>
      <c r="EI57" s="79">
        <v>87827</v>
      </c>
      <c r="EJ57" s="79">
        <v>648335</v>
      </c>
      <c r="EK57" s="79">
        <v>365697</v>
      </c>
      <c r="EL57" s="79">
        <v>218923</v>
      </c>
      <c r="EM57" s="79">
        <v>124762</v>
      </c>
      <c r="EN57" s="79">
        <v>196589</v>
      </c>
      <c r="EO57" s="79">
        <v>0</v>
      </c>
      <c r="EP57" s="79">
        <v>905971</v>
      </c>
      <c r="EQ57" s="79">
        <v>40166</v>
      </c>
      <c r="ER57" s="79">
        <v>49500</v>
      </c>
      <c r="ES57" s="79">
        <v>2838</v>
      </c>
      <c r="ET57" s="79">
        <v>36288</v>
      </c>
      <c r="EU57" s="79">
        <v>2280234</v>
      </c>
      <c r="EV57" s="79">
        <v>2409026</v>
      </c>
      <c r="EW57" s="79">
        <v>0</v>
      </c>
      <c r="EX57" s="79">
        <v>0</v>
      </c>
      <c r="EY57" s="79">
        <v>0</v>
      </c>
      <c r="EZ57" s="79">
        <v>0</v>
      </c>
      <c r="FA57" s="79">
        <v>0</v>
      </c>
      <c r="FB57" s="79">
        <v>0</v>
      </c>
      <c r="FC57" s="79">
        <v>225856</v>
      </c>
      <c r="FD57" s="79">
        <v>213205</v>
      </c>
      <c r="FE57" s="79">
        <v>210135</v>
      </c>
      <c r="FF57" s="79">
        <v>249210</v>
      </c>
      <c r="FG57" s="79">
        <v>161364</v>
      </c>
      <c r="FH57" s="79">
        <v>1059770</v>
      </c>
      <c r="FI57" s="79">
        <v>0</v>
      </c>
      <c r="FJ57" s="79">
        <v>0</v>
      </c>
      <c r="FK57" s="79">
        <v>0</v>
      </c>
      <c r="FL57" s="79">
        <v>0</v>
      </c>
      <c r="FM57" s="79">
        <v>121200</v>
      </c>
      <c r="FN57" s="79">
        <v>121200</v>
      </c>
      <c r="FO57" s="79">
        <v>0</v>
      </c>
      <c r="FP57" s="79">
        <v>0</v>
      </c>
      <c r="FQ57" s="79">
        <v>0</v>
      </c>
      <c r="FR57" s="79">
        <v>0</v>
      </c>
      <c r="FS57" s="79">
        <v>3688359</v>
      </c>
      <c r="FT57" s="79">
        <v>3688359</v>
      </c>
      <c r="FU57" s="79">
        <v>7653</v>
      </c>
      <c r="FV57" s="79">
        <v>8136</v>
      </c>
      <c r="FW57" s="79">
        <v>899</v>
      </c>
      <c r="FX57" s="79">
        <v>46653</v>
      </c>
      <c r="FY57" s="79">
        <v>453951</v>
      </c>
      <c r="FZ57" s="79">
        <v>517292</v>
      </c>
      <c r="GA57" s="79">
        <v>1340</v>
      </c>
      <c r="GB57" s="79">
        <v>860</v>
      </c>
      <c r="GC57" s="79">
        <v>840</v>
      </c>
      <c r="GD57" s="79">
        <v>5454</v>
      </c>
      <c r="GE57" s="79">
        <v>412061</v>
      </c>
      <c r="GF57" s="79">
        <v>420555</v>
      </c>
      <c r="GG57" s="79">
        <v>251434</v>
      </c>
      <c r="GH57" s="79">
        <v>154609</v>
      </c>
      <c r="GI57" s="79">
        <v>54227</v>
      </c>
      <c r="GJ57" s="79">
        <v>209131</v>
      </c>
      <c r="GK57" s="79">
        <v>392724</v>
      </c>
      <c r="GL57" s="79">
        <v>1062125</v>
      </c>
      <c r="GM57" s="79">
        <v>6659103</v>
      </c>
      <c r="GN57" s="79">
        <v>3001608</v>
      </c>
      <c r="GO57" s="79">
        <v>1577684</v>
      </c>
      <c r="GP57" s="79">
        <v>7071644</v>
      </c>
      <c r="GQ57" s="79">
        <v>10174079</v>
      </c>
      <c r="GR57" s="79">
        <v>28484118</v>
      </c>
      <c r="GS57" s="79">
        <v>0</v>
      </c>
      <c r="GT57" s="79">
        <v>0</v>
      </c>
      <c r="GU57" s="79">
        <v>0</v>
      </c>
      <c r="GV57" s="79">
        <v>0</v>
      </c>
      <c r="GW57" s="79">
        <v>0</v>
      </c>
      <c r="GX57" s="79">
        <v>0</v>
      </c>
      <c r="GY57" s="79">
        <v>6659103</v>
      </c>
      <c r="GZ57" s="79">
        <v>3001608</v>
      </c>
      <c r="HA57" s="79">
        <v>1577684</v>
      </c>
      <c r="HB57" s="79">
        <v>7071644</v>
      </c>
      <c r="HC57" s="79">
        <v>10174079</v>
      </c>
      <c r="HD57" s="79">
        <v>28484118</v>
      </c>
      <c r="HF57" s="7">
        <f>SUM(AZ57:AZ57)</f>
        <v>567417</v>
      </c>
      <c r="HG57" s="7" t="e">
        <f>#REF!-HF57</f>
        <v>#REF!</v>
      </c>
      <c r="HH57" s="7" t="e">
        <f>SUM(#REF!)</f>
        <v>#REF!</v>
      </c>
      <c r="HI57" s="7" t="e">
        <f>#REF!-HH57</f>
        <v>#REF!</v>
      </c>
      <c r="HJ57" s="7">
        <f>SUM(BA57:BA57)</f>
        <v>1075000</v>
      </c>
      <c r="HK57" s="7" t="e">
        <f>#REF!-HJ57</f>
        <v>#REF!</v>
      </c>
      <c r="HL57" s="7">
        <f>SUM(BB57:BB57)</f>
        <v>83598</v>
      </c>
      <c r="HM57" s="7" t="e">
        <f>#REF!-HL57</f>
        <v>#REF!</v>
      </c>
      <c r="HN57" s="7" t="e">
        <f>SUM(#REF!)</f>
        <v>#REF!</v>
      </c>
      <c r="HO57" s="7" t="e">
        <f>#REF!-HN57</f>
        <v>#REF!</v>
      </c>
      <c r="HP57" s="7" t="e">
        <f>SUM(#REF!)</f>
        <v>#REF!</v>
      </c>
      <c r="HQ57" s="7" t="e">
        <f>#REF!-HP57</f>
        <v>#REF!</v>
      </c>
      <c r="HR57" s="7" t="e">
        <f>SUM(#REF!)</f>
        <v>#REF!</v>
      </c>
      <c r="HS57" s="7" t="e">
        <f>#REF!-HR57</f>
        <v>#REF!</v>
      </c>
      <c r="HT57" s="7" t="e">
        <f>SUM(#REF!)</f>
        <v>#REF!</v>
      </c>
      <c r="HU57" s="7" t="e">
        <f>#REF!-HT57</f>
        <v>#REF!</v>
      </c>
      <c r="HV57" s="7" t="e">
        <f>SUM(#REF!)</f>
        <v>#REF!</v>
      </c>
      <c r="HW57" s="7" t="e">
        <f>#REF!-HV57</f>
        <v>#REF!</v>
      </c>
      <c r="HX57" s="7" t="e">
        <f>SUM(#REF!)</f>
        <v>#REF!</v>
      </c>
      <c r="HY57" s="7" t="e">
        <f>#REF!-HX57</f>
        <v>#REF!</v>
      </c>
      <c r="HZ57" s="7">
        <f>SUM(BC57:BC57)</f>
        <v>0</v>
      </c>
      <c r="IA57" s="7" t="e">
        <f>#REF!-HZ57</f>
        <v>#REF!</v>
      </c>
      <c r="IB57" s="7">
        <f>SUM(BD57:BD57)</f>
        <v>0</v>
      </c>
      <c r="IC57" s="7" t="e">
        <f>#REF!-IB57</f>
        <v>#REF!</v>
      </c>
      <c r="ID57" s="7">
        <f t="shared" ref="ID57:ID68" si="57">SUM(BE57:BI57)</f>
        <v>0</v>
      </c>
      <c r="IE57" s="7">
        <f t="shared" ref="IE57:IE68" si="58">BJ57-ID57</f>
        <v>0</v>
      </c>
      <c r="IF57" s="7">
        <f t="shared" ref="IF57:IF68" si="59">SUM(BK57:BO57)</f>
        <v>43361</v>
      </c>
      <c r="IG57" s="7">
        <f t="shared" ref="IG57:IG68" si="60">BP57-IF57</f>
        <v>0</v>
      </c>
      <c r="IH57" s="7">
        <f t="shared" ref="IH57:IH68" si="61">SUM(BQ57:BU57)</f>
        <v>348024</v>
      </c>
      <c r="II57" s="7">
        <f t="shared" ref="II57:II68" si="62">BV57-IH57</f>
        <v>0</v>
      </c>
      <c r="IJ57" s="7">
        <f t="shared" ref="IJ57:IJ68" si="63">SUM(BW57:CA57)</f>
        <v>30105460</v>
      </c>
      <c r="IK57" s="7">
        <f t="shared" ref="IK57:IK68" si="64">CB57-IJ57</f>
        <v>0</v>
      </c>
      <c r="IL57" s="7">
        <f t="shared" ref="IL57:IL68" si="65">SUM(CC57:CG57)</f>
        <v>6483197</v>
      </c>
      <c r="IM57" s="7">
        <f t="shared" ref="IM57:IM68" si="66">CH57-IL57</f>
        <v>0</v>
      </c>
      <c r="IN57" s="7">
        <f t="shared" ref="IN57:IN68" si="67">SUM(CI57:CM57)</f>
        <v>896675</v>
      </c>
      <c r="IO57" s="7">
        <f t="shared" ref="IO57:IO68" si="68">CN57-IN57</f>
        <v>0</v>
      </c>
      <c r="IP57" s="7">
        <f t="shared" ref="IP57:IP68" si="69">SUM(CO57:CS57)</f>
        <v>4253267</v>
      </c>
      <c r="IQ57" s="7">
        <f t="shared" ref="IQ57:IQ68" si="70">CT57-IP57</f>
        <v>0</v>
      </c>
      <c r="IR57" s="7">
        <f t="shared" ref="IR57:IR68" si="71">SUM(CU57:CY57)</f>
        <v>0</v>
      </c>
      <c r="IS57" s="7">
        <f t="shared" ref="IS57:IS68" si="72">CZ57-IR57</f>
        <v>0</v>
      </c>
      <c r="IT57" s="7">
        <f t="shared" ref="IT57:IT68" si="73">SUM(DA57:DE57)</f>
        <v>3161500</v>
      </c>
      <c r="IU57" s="7">
        <f t="shared" ref="IU57:IU68" si="74">DF57-IT57</f>
        <v>0</v>
      </c>
      <c r="IV57" s="7">
        <f t="shared" ref="IV57:IV68" si="75">SUM(DG57:DK57)</f>
        <v>0</v>
      </c>
      <c r="IW57" s="7">
        <f t="shared" ref="IW57:IW68" si="76">DL57-IV57</f>
        <v>0</v>
      </c>
      <c r="IX57" s="7">
        <f t="shared" ref="IX57:IX68" si="77">SUM(DM57:DQ57)</f>
        <v>0</v>
      </c>
      <c r="IY57" s="7">
        <f t="shared" ref="IY57:IY68" si="78">DR57-IX57</f>
        <v>0</v>
      </c>
      <c r="IZ57" s="7">
        <f t="shared" ref="IZ57:IZ68" si="79">SUM(DS57:DW57)</f>
        <v>417975</v>
      </c>
      <c r="JA57" s="7">
        <f t="shared" ref="JA57:JA68" si="80">DX57-IZ57</f>
        <v>0</v>
      </c>
      <c r="JB57" s="7">
        <f t="shared" ref="JB57:JB68" si="81">SUM(DY57:EC57)</f>
        <v>2438871</v>
      </c>
      <c r="JC57" s="7">
        <f t="shared" ref="JC57:JC68" si="82">ED57-JB57</f>
        <v>0</v>
      </c>
      <c r="JD57" s="7">
        <f t="shared" ref="JD57:JD68" si="83">SUM(EE57:EI57)</f>
        <v>648335</v>
      </c>
      <c r="JE57" s="7">
        <f t="shared" ref="JE57:JE68" si="84">EJ57-JD57</f>
        <v>0</v>
      </c>
      <c r="JF57" s="7">
        <f t="shared" ref="JF57:JF68" si="85">SUM(EK57:EO57)</f>
        <v>905971</v>
      </c>
      <c r="JG57" s="7">
        <f t="shared" ref="JG57:JG68" si="86">EP57-JF57</f>
        <v>0</v>
      </c>
      <c r="JH57" s="7">
        <f t="shared" ref="JH57:JH68" si="87">SUM(EQ57:EU57)</f>
        <v>2409026</v>
      </c>
      <c r="JI57" s="7">
        <f t="shared" ref="JI57:JI68" si="88">EV57-JH57</f>
        <v>0</v>
      </c>
      <c r="JJ57" s="7">
        <f t="shared" ref="JJ57:JJ68" si="89">SUM(EW57:FA57)</f>
        <v>0</v>
      </c>
      <c r="JK57" s="7">
        <f t="shared" ref="JK57:JK68" si="90">FB57-JJ57</f>
        <v>0</v>
      </c>
      <c r="JL57" s="7">
        <f t="shared" ref="JL57:JL68" si="91">SUM(FC57:FG57)</f>
        <v>1059770</v>
      </c>
      <c r="JM57" s="7">
        <f t="shared" ref="JM57:JM68" si="92">FH57-JL57</f>
        <v>0</v>
      </c>
      <c r="JN57" s="7">
        <f t="shared" ref="JN57:JN68" si="93">SUM(FI57:FM57)</f>
        <v>121200</v>
      </c>
      <c r="JO57" s="7">
        <f t="shared" ref="JO57:JO68" si="94">FN57-JN57</f>
        <v>0</v>
      </c>
      <c r="JP57" s="7">
        <f t="shared" ref="JP57:JP68" si="95">SUM(FO57:FS57)</f>
        <v>3688359</v>
      </c>
      <c r="JQ57" s="7">
        <f t="shared" ref="JQ57:JQ68" si="96">FT57-JP57</f>
        <v>0</v>
      </c>
      <c r="JR57" s="7">
        <f t="shared" ref="JR57:JR68" si="97">SUM(FU57:FY57)</f>
        <v>517292</v>
      </c>
      <c r="JS57" s="7">
        <f t="shared" ref="JS57:JS68" si="98">FZ57-JR57</f>
        <v>0</v>
      </c>
      <c r="JT57" s="7">
        <f t="shared" ref="JT57:JT68" si="99">SUM(GA57:GE57)</f>
        <v>420555</v>
      </c>
      <c r="JU57" s="7">
        <f t="shared" ref="JU57:JU68" si="100">GF57-JT57</f>
        <v>0</v>
      </c>
      <c r="JV57" s="7">
        <f t="shared" si="55"/>
        <v>1062125</v>
      </c>
      <c r="JW57" s="7">
        <f t="shared" si="56"/>
        <v>0</v>
      </c>
      <c r="JX57" s="7">
        <f t="shared" ref="JX57:JX68" si="101">SUM(GM57:GQ57)</f>
        <v>28484118</v>
      </c>
      <c r="JY57" s="7">
        <f t="shared" ref="JY57:JY68" si="102">GR57-JX57</f>
        <v>0</v>
      </c>
      <c r="JZ57" s="7">
        <f t="shared" ref="JZ57:JZ68" si="103">SUM(GS57:GW57)</f>
        <v>0</v>
      </c>
      <c r="KA57" s="7">
        <f t="shared" ref="KA57:KA68" si="104">GX57-JZ57</f>
        <v>0</v>
      </c>
      <c r="KB57" s="7">
        <f t="shared" ref="KB57:KB68" si="105">SUM(GY57:HC57)</f>
        <v>28484118</v>
      </c>
      <c r="KC57" s="7">
        <f t="shared" ref="KC57:KC68" si="106">HD57-KB57</f>
        <v>0</v>
      </c>
      <c r="KE57" s="7" t="e">
        <f t="shared" si="54"/>
        <v>#REF!</v>
      </c>
      <c r="KG57" s="5" t="e">
        <f t="shared" si="53"/>
        <v>#REF!</v>
      </c>
    </row>
    <row r="58" spans="1:293" x14ac:dyDescent="0.15">
      <c r="A58" s="119" t="s">
        <v>260</v>
      </c>
      <c r="B58" s="17" t="s">
        <v>341</v>
      </c>
      <c r="C58" s="41">
        <v>199120</v>
      </c>
      <c r="D58" s="41">
        <v>2013</v>
      </c>
      <c r="E58" s="41">
        <v>1</v>
      </c>
      <c r="F58" s="41">
        <v>1</v>
      </c>
      <c r="G58" s="39">
        <v>7728</v>
      </c>
      <c r="H58" s="51">
        <v>10775</v>
      </c>
      <c r="I58" s="52">
        <v>2552476058</v>
      </c>
      <c r="J58" s="52"/>
      <c r="K58" s="52">
        <v>4987274</v>
      </c>
      <c r="L58" s="52"/>
      <c r="M58" s="52">
        <v>130683098</v>
      </c>
      <c r="N58" s="52"/>
      <c r="O58" s="52">
        <v>60881913</v>
      </c>
      <c r="P58" s="52"/>
      <c r="Q58" s="52">
        <v>1479366379</v>
      </c>
      <c r="R58" s="52"/>
      <c r="S58" s="52">
        <v>1697197599</v>
      </c>
      <c r="T58" s="52"/>
      <c r="U58" s="52">
        <v>18224</v>
      </c>
      <c r="V58" s="52"/>
      <c r="W58" s="52">
        <v>38976</v>
      </c>
      <c r="X58" s="52"/>
      <c r="Y58" s="52">
        <v>22340</v>
      </c>
      <c r="Z58" s="52"/>
      <c r="AA58" s="52">
        <v>43848</v>
      </c>
      <c r="AB58" s="52"/>
      <c r="AC58" s="75">
        <v>13</v>
      </c>
      <c r="AD58" s="75">
        <v>15</v>
      </c>
      <c r="AE58" s="75">
        <v>0</v>
      </c>
      <c r="AF58" s="76">
        <v>5409933</v>
      </c>
      <c r="AG58" s="76">
        <v>5026096</v>
      </c>
      <c r="AH58" s="76">
        <v>1102893</v>
      </c>
      <c r="AI58" s="76">
        <v>391610</v>
      </c>
      <c r="AJ58" s="76">
        <v>523926</v>
      </c>
      <c r="AK58" s="77">
        <v>9.5</v>
      </c>
      <c r="AL58" s="76">
        <v>452481</v>
      </c>
      <c r="AM58" s="77">
        <v>11</v>
      </c>
      <c r="AN58" s="76">
        <v>161082</v>
      </c>
      <c r="AO58" s="77">
        <v>11.5</v>
      </c>
      <c r="AP58" s="76">
        <v>142496</v>
      </c>
      <c r="AQ58" s="77">
        <v>13</v>
      </c>
      <c r="AR58" s="76">
        <v>155526</v>
      </c>
      <c r="AS58" s="77">
        <v>27.38</v>
      </c>
      <c r="AT58" s="76">
        <v>129039</v>
      </c>
      <c r="AU58" s="77">
        <v>33</v>
      </c>
      <c r="AV58" s="76">
        <v>76069</v>
      </c>
      <c r="AW58" s="77">
        <v>23.38</v>
      </c>
      <c r="AX58" s="76">
        <v>61327</v>
      </c>
      <c r="AY58" s="77">
        <v>29</v>
      </c>
      <c r="AZ58" s="88">
        <v>11103737</v>
      </c>
      <c r="BA58" s="88">
        <v>1100000</v>
      </c>
      <c r="BB58" s="88">
        <v>5041046</v>
      </c>
      <c r="BC58" s="88">
        <v>803612</v>
      </c>
      <c r="BD58" s="88">
        <v>0</v>
      </c>
      <c r="BE58" s="88">
        <v>0</v>
      </c>
      <c r="BF58" s="88">
        <v>0</v>
      </c>
      <c r="BG58" s="88">
        <v>0</v>
      </c>
      <c r="BH58" s="88">
        <v>0</v>
      </c>
      <c r="BI58" s="88">
        <v>0</v>
      </c>
      <c r="BJ58" s="88">
        <v>0</v>
      </c>
      <c r="BK58" s="88">
        <v>0</v>
      </c>
      <c r="BL58" s="88">
        <v>0</v>
      </c>
      <c r="BM58" s="88">
        <v>0</v>
      </c>
      <c r="BN58" s="88">
        <v>0</v>
      </c>
      <c r="BO58" s="88">
        <v>14458</v>
      </c>
      <c r="BP58" s="88">
        <v>14458</v>
      </c>
      <c r="BQ58" s="88">
        <v>10609</v>
      </c>
      <c r="BR58" s="88">
        <v>1120</v>
      </c>
      <c r="BS58" s="88">
        <v>1256</v>
      </c>
      <c r="BT58" s="88">
        <v>36435</v>
      </c>
      <c r="BU58" s="88">
        <v>2104458</v>
      </c>
      <c r="BV58" s="88">
        <v>2153878</v>
      </c>
      <c r="BW58" s="88">
        <v>32363528</v>
      </c>
      <c r="BX58" s="88">
        <v>20309943</v>
      </c>
      <c r="BY58" s="88">
        <v>711885</v>
      </c>
      <c r="BZ58" s="88">
        <v>9506124</v>
      </c>
      <c r="CA58" s="88">
        <v>19900862</v>
      </c>
      <c r="CB58" s="88">
        <v>82792342</v>
      </c>
      <c r="CC58" s="88">
        <v>2438873</v>
      </c>
      <c r="CD58" s="88">
        <v>426572</v>
      </c>
      <c r="CE58" s="88">
        <v>497624</v>
      </c>
      <c r="CF58" s="88">
        <v>7072960</v>
      </c>
      <c r="CG58" s="88">
        <v>988538</v>
      </c>
      <c r="CH58" s="88">
        <v>11424567</v>
      </c>
      <c r="CI58" s="88">
        <v>1400000</v>
      </c>
      <c r="CJ58" s="88">
        <v>572000</v>
      </c>
      <c r="CK58" s="88">
        <v>147178</v>
      </c>
      <c r="CL58" s="88">
        <v>37295</v>
      </c>
      <c r="CM58" s="88">
        <v>0</v>
      </c>
      <c r="CN58" s="88">
        <v>2156473</v>
      </c>
      <c r="CO58" s="88">
        <v>4147126</v>
      </c>
      <c r="CP58" s="88">
        <v>2890885</v>
      </c>
      <c r="CQ58" s="88">
        <v>1192070</v>
      </c>
      <c r="CR58" s="88">
        <v>4636487</v>
      </c>
      <c r="CS58" s="88">
        <v>0</v>
      </c>
      <c r="CT58" s="88">
        <v>12866568</v>
      </c>
      <c r="CU58" s="88">
        <v>0</v>
      </c>
      <c r="CV58" s="88">
        <v>0</v>
      </c>
      <c r="CW58" s="88">
        <v>0</v>
      </c>
      <c r="CX58" s="88">
        <v>0</v>
      </c>
      <c r="CY58" s="88">
        <v>0</v>
      </c>
      <c r="CZ58" s="88">
        <v>0</v>
      </c>
      <c r="DA58" s="88">
        <v>1905450</v>
      </c>
      <c r="DB58" s="88">
        <v>1035004</v>
      </c>
      <c r="DC58" s="88">
        <v>338753</v>
      </c>
      <c r="DD58" s="88">
        <v>300180</v>
      </c>
      <c r="DE58" s="88">
        <v>14404051</v>
      </c>
      <c r="DF58" s="88">
        <v>17983438</v>
      </c>
      <c r="DG58" s="88">
        <v>0</v>
      </c>
      <c r="DH58" s="88">
        <v>0</v>
      </c>
      <c r="DI58" s="88">
        <v>0</v>
      </c>
      <c r="DJ58" s="88">
        <v>0</v>
      </c>
      <c r="DK58" s="88">
        <v>0</v>
      </c>
      <c r="DL58" s="88">
        <v>0</v>
      </c>
      <c r="DM58" s="88">
        <v>875412</v>
      </c>
      <c r="DN58" s="88">
        <v>0</v>
      </c>
      <c r="DO58" s="88">
        <v>0</v>
      </c>
      <c r="DP58" s="88">
        <v>0</v>
      </c>
      <c r="DQ58" s="88">
        <v>0</v>
      </c>
      <c r="DR58" s="88">
        <v>875412</v>
      </c>
      <c r="DS58" s="88">
        <v>539392</v>
      </c>
      <c r="DT58" s="88">
        <v>320304</v>
      </c>
      <c r="DU58" s="88">
        <v>142916</v>
      </c>
      <c r="DV58" s="88">
        <v>491891</v>
      </c>
      <c r="DW58" s="88">
        <v>0</v>
      </c>
      <c r="DX58" s="88">
        <v>1494503</v>
      </c>
      <c r="DY58" s="88">
        <v>780902</v>
      </c>
      <c r="DZ58" s="88">
        <v>1215104</v>
      </c>
      <c r="EA58" s="88">
        <v>574555</v>
      </c>
      <c r="EB58" s="88">
        <v>1694687</v>
      </c>
      <c r="EC58" s="88">
        <v>317593</v>
      </c>
      <c r="ED58" s="88">
        <v>4582841</v>
      </c>
      <c r="EE58" s="88">
        <v>941159</v>
      </c>
      <c r="EF58" s="88">
        <v>125704</v>
      </c>
      <c r="EG58" s="88">
        <v>89691</v>
      </c>
      <c r="EH58" s="88">
        <v>460514</v>
      </c>
      <c r="EI58" s="88">
        <v>1500000</v>
      </c>
      <c r="EJ58" s="88">
        <v>3117068</v>
      </c>
      <c r="EK58" s="88">
        <v>1076340</v>
      </c>
      <c r="EL58" s="79">
        <v>1038253</v>
      </c>
      <c r="EM58" s="88">
        <v>161039</v>
      </c>
      <c r="EN58" s="88">
        <v>878379</v>
      </c>
      <c r="EO58" s="88">
        <v>706261</v>
      </c>
      <c r="EP58" s="88">
        <v>3860272</v>
      </c>
      <c r="EQ58" s="88">
        <v>0</v>
      </c>
      <c r="ER58" s="88">
        <v>0</v>
      </c>
      <c r="ES58" s="88">
        <v>0</v>
      </c>
      <c r="ET58" s="88">
        <v>0</v>
      </c>
      <c r="EU58" s="88">
        <v>577414</v>
      </c>
      <c r="EV58" s="88">
        <v>577414</v>
      </c>
      <c r="EW58" s="88">
        <v>0</v>
      </c>
      <c r="EX58" s="88">
        <v>0</v>
      </c>
      <c r="EY58" s="88">
        <v>0</v>
      </c>
      <c r="EZ58" s="88">
        <v>0</v>
      </c>
      <c r="FA58" s="88">
        <v>0</v>
      </c>
      <c r="FB58" s="88">
        <v>0</v>
      </c>
      <c r="FC58" s="88">
        <v>4113518</v>
      </c>
      <c r="FD58" s="88">
        <v>0</v>
      </c>
      <c r="FE58" s="88">
        <v>1464</v>
      </c>
      <c r="FF58" s="88">
        <v>987063</v>
      </c>
      <c r="FG58" s="88">
        <v>7107314</v>
      </c>
      <c r="FH58" s="88">
        <v>12209359</v>
      </c>
      <c r="FI58" s="88">
        <v>0</v>
      </c>
      <c r="FJ58" s="88">
        <v>0</v>
      </c>
      <c r="FK58" s="88">
        <v>0</v>
      </c>
      <c r="FL58" s="88">
        <v>0</v>
      </c>
      <c r="FM58" s="88">
        <v>389311</v>
      </c>
      <c r="FN58" s="88">
        <v>389311</v>
      </c>
      <c r="FO58" s="88">
        <v>0</v>
      </c>
      <c r="FP58" s="88">
        <v>0</v>
      </c>
      <c r="FQ58" s="88">
        <v>0</v>
      </c>
      <c r="FR58" s="88">
        <v>0</v>
      </c>
      <c r="FS58" s="88">
        <v>1905386</v>
      </c>
      <c r="FT58" s="88">
        <v>1905386</v>
      </c>
      <c r="FU58" s="88">
        <v>0</v>
      </c>
      <c r="FV58" s="88">
        <v>0</v>
      </c>
      <c r="FW58" s="88">
        <v>0</v>
      </c>
      <c r="FX58" s="88">
        <v>0</v>
      </c>
      <c r="FY58" s="88">
        <v>2328081</v>
      </c>
      <c r="FZ58" s="88">
        <v>2328081</v>
      </c>
      <c r="GA58" s="88">
        <v>4365</v>
      </c>
      <c r="GB58" s="88">
        <v>595</v>
      </c>
      <c r="GC58" s="88">
        <v>1169</v>
      </c>
      <c r="GD58" s="88">
        <v>8682</v>
      </c>
      <c r="GE58" s="88">
        <v>1476139</v>
      </c>
      <c r="GF58" s="88">
        <v>1490950</v>
      </c>
      <c r="GG58" s="88">
        <v>466052</v>
      </c>
      <c r="GH58" s="88">
        <v>160351</v>
      </c>
      <c r="GI58" s="88">
        <v>162895</v>
      </c>
      <c r="GJ58" s="88">
        <v>665366</v>
      </c>
      <c r="GK58" s="88">
        <v>4018832</v>
      </c>
      <c r="GL58" s="88">
        <v>5473496</v>
      </c>
      <c r="GM58" s="88">
        <v>18688589</v>
      </c>
      <c r="GN58" s="88">
        <v>7784772</v>
      </c>
      <c r="GO58" s="88">
        <v>3309354</v>
      </c>
      <c r="GP58" s="88">
        <v>17233504</v>
      </c>
      <c r="GQ58" s="88">
        <v>35718920</v>
      </c>
      <c r="GR58" s="88">
        <v>82735139</v>
      </c>
      <c r="GS58" s="88">
        <v>0</v>
      </c>
      <c r="GT58" s="88">
        <v>0</v>
      </c>
      <c r="GU58" s="88">
        <v>0</v>
      </c>
      <c r="GV58" s="88">
        <v>0</v>
      </c>
      <c r="GW58" s="88">
        <v>0</v>
      </c>
      <c r="GX58" s="88">
        <v>0</v>
      </c>
      <c r="GY58" s="88">
        <v>18688589</v>
      </c>
      <c r="GZ58" s="88">
        <v>7784772</v>
      </c>
      <c r="HA58" s="88">
        <v>3309354</v>
      </c>
      <c r="HB58" s="88">
        <v>17233504</v>
      </c>
      <c r="HC58" s="88">
        <v>35718920</v>
      </c>
      <c r="HD58" s="88">
        <v>82735139</v>
      </c>
      <c r="HF58" s="7">
        <f>SUM(AZ58:AZ58)</f>
        <v>11103737</v>
      </c>
      <c r="HG58" s="7" t="e">
        <f>#REF!-HF58</f>
        <v>#REF!</v>
      </c>
      <c r="HH58" s="7" t="e">
        <f>SUM(#REF!)</f>
        <v>#REF!</v>
      </c>
      <c r="HI58" s="7" t="e">
        <f>#REF!-HH58</f>
        <v>#REF!</v>
      </c>
      <c r="HJ58" s="7">
        <f>SUM(BA58:BA58)</f>
        <v>1100000</v>
      </c>
      <c r="HK58" s="7" t="e">
        <f>#REF!-HJ58</f>
        <v>#REF!</v>
      </c>
      <c r="HL58" s="7">
        <f>SUM(BB58:BB58)</f>
        <v>5041046</v>
      </c>
      <c r="HM58" s="7" t="e">
        <f>#REF!-HL58</f>
        <v>#REF!</v>
      </c>
      <c r="HN58" s="7" t="e">
        <f>SUM(#REF!)</f>
        <v>#REF!</v>
      </c>
      <c r="HO58" s="7" t="e">
        <f>#REF!-HN58</f>
        <v>#REF!</v>
      </c>
      <c r="HP58" s="7" t="e">
        <f>SUM(#REF!)</f>
        <v>#REF!</v>
      </c>
      <c r="HQ58" s="7" t="e">
        <f>#REF!-HP58</f>
        <v>#REF!</v>
      </c>
      <c r="HR58" s="7" t="e">
        <f>SUM(#REF!)</f>
        <v>#REF!</v>
      </c>
      <c r="HS58" s="7" t="e">
        <f>#REF!-HR58</f>
        <v>#REF!</v>
      </c>
      <c r="HT58" s="7" t="e">
        <f>SUM(#REF!)</f>
        <v>#REF!</v>
      </c>
      <c r="HU58" s="7" t="e">
        <f>#REF!-HT58</f>
        <v>#REF!</v>
      </c>
      <c r="HV58" s="7" t="e">
        <f>SUM(#REF!)</f>
        <v>#REF!</v>
      </c>
      <c r="HW58" s="7" t="e">
        <f>#REF!-HV58</f>
        <v>#REF!</v>
      </c>
      <c r="HX58" s="7" t="e">
        <f>SUM(#REF!)</f>
        <v>#REF!</v>
      </c>
      <c r="HY58" s="7" t="e">
        <f>#REF!-HX58</f>
        <v>#REF!</v>
      </c>
      <c r="HZ58" s="7">
        <f>SUM(BC58:BC58)</f>
        <v>803612</v>
      </c>
      <c r="IA58" s="7" t="e">
        <f>#REF!-HZ58</f>
        <v>#REF!</v>
      </c>
      <c r="IB58" s="7">
        <f>SUM(BD58:BD58)</f>
        <v>0</v>
      </c>
      <c r="IC58" s="7" t="e">
        <f>#REF!-IB58</f>
        <v>#REF!</v>
      </c>
      <c r="ID58" s="7">
        <f t="shared" si="57"/>
        <v>0</v>
      </c>
      <c r="IE58" s="7">
        <f t="shared" si="58"/>
        <v>0</v>
      </c>
      <c r="IF58" s="7">
        <f t="shared" si="59"/>
        <v>14458</v>
      </c>
      <c r="IG58" s="7">
        <f t="shared" si="60"/>
        <v>0</v>
      </c>
      <c r="IH58" s="7">
        <f t="shared" si="61"/>
        <v>2153878</v>
      </c>
      <c r="II58" s="7">
        <f t="shared" si="62"/>
        <v>0</v>
      </c>
      <c r="IJ58" s="7">
        <f t="shared" si="63"/>
        <v>82792342</v>
      </c>
      <c r="IK58" s="7">
        <f t="shared" si="64"/>
        <v>0</v>
      </c>
      <c r="IL58" s="7">
        <f t="shared" si="65"/>
        <v>11424567</v>
      </c>
      <c r="IM58" s="7">
        <f t="shared" si="66"/>
        <v>0</v>
      </c>
      <c r="IN58" s="7">
        <f t="shared" si="67"/>
        <v>2156473</v>
      </c>
      <c r="IO58" s="7">
        <f t="shared" si="68"/>
        <v>0</v>
      </c>
      <c r="IP58" s="7">
        <f t="shared" si="69"/>
        <v>12866568</v>
      </c>
      <c r="IQ58" s="7">
        <f t="shared" si="70"/>
        <v>0</v>
      </c>
      <c r="IR58" s="7">
        <f t="shared" si="71"/>
        <v>0</v>
      </c>
      <c r="IS58" s="7">
        <f t="shared" si="72"/>
        <v>0</v>
      </c>
      <c r="IT58" s="7">
        <f t="shared" si="73"/>
        <v>17983438</v>
      </c>
      <c r="IU58" s="7">
        <f t="shared" si="74"/>
        <v>0</v>
      </c>
      <c r="IV58" s="7">
        <f t="shared" si="75"/>
        <v>0</v>
      </c>
      <c r="IW58" s="7">
        <f t="shared" si="76"/>
        <v>0</v>
      </c>
      <c r="IX58" s="7">
        <f t="shared" si="77"/>
        <v>875412</v>
      </c>
      <c r="IY58" s="7">
        <f t="shared" si="78"/>
        <v>0</v>
      </c>
      <c r="IZ58" s="7">
        <f t="shared" si="79"/>
        <v>1494503</v>
      </c>
      <c r="JA58" s="7">
        <f t="shared" si="80"/>
        <v>0</v>
      </c>
      <c r="JB58" s="7">
        <f t="shared" si="81"/>
        <v>4582841</v>
      </c>
      <c r="JC58" s="7">
        <f t="shared" si="82"/>
        <v>0</v>
      </c>
      <c r="JD58" s="7">
        <f t="shared" si="83"/>
        <v>3117068</v>
      </c>
      <c r="JE58" s="7">
        <f t="shared" si="84"/>
        <v>0</v>
      </c>
      <c r="JF58" s="7">
        <f t="shared" si="85"/>
        <v>3860272</v>
      </c>
      <c r="JG58" s="7">
        <f t="shared" si="86"/>
        <v>0</v>
      </c>
      <c r="JH58" s="7">
        <f t="shared" si="87"/>
        <v>577414</v>
      </c>
      <c r="JI58" s="7">
        <f t="shared" si="88"/>
        <v>0</v>
      </c>
      <c r="JJ58" s="7">
        <f t="shared" si="89"/>
        <v>0</v>
      </c>
      <c r="JK58" s="7">
        <f t="shared" si="90"/>
        <v>0</v>
      </c>
      <c r="JL58" s="7">
        <f t="shared" si="91"/>
        <v>12209359</v>
      </c>
      <c r="JM58" s="7">
        <f t="shared" si="92"/>
        <v>0</v>
      </c>
      <c r="JN58" s="7">
        <f t="shared" si="93"/>
        <v>389311</v>
      </c>
      <c r="JO58" s="7">
        <f t="shared" si="94"/>
        <v>0</v>
      </c>
      <c r="JP58" s="7">
        <f t="shared" si="95"/>
        <v>1905386</v>
      </c>
      <c r="JQ58" s="7">
        <f t="shared" si="96"/>
        <v>0</v>
      </c>
      <c r="JR58" s="7">
        <f t="shared" si="97"/>
        <v>2328081</v>
      </c>
      <c r="JS58" s="7">
        <f t="shared" si="98"/>
        <v>0</v>
      </c>
      <c r="JT58" s="7">
        <f t="shared" si="99"/>
        <v>1490950</v>
      </c>
      <c r="JU58" s="7">
        <f t="shared" si="100"/>
        <v>0</v>
      </c>
      <c r="JV58" s="7">
        <f t="shared" si="55"/>
        <v>5473496</v>
      </c>
      <c r="JW58" s="7">
        <f t="shared" si="56"/>
        <v>0</v>
      </c>
      <c r="JX58" s="7">
        <f t="shared" si="101"/>
        <v>82735139</v>
      </c>
      <c r="JY58" s="7">
        <f t="shared" si="102"/>
        <v>0</v>
      </c>
      <c r="JZ58" s="7">
        <f t="shared" si="103"/>
        <v>0</v>
      </c>
      <c r="KA58" s="7">
        <f t="shared" si="104"/>
        <v>0</v>
      </c>
      <c r="KB58" s="7">
        <f t="shared" si="105"/>
        <v>82735139</v>
      </c>
      <c r="KC58" s="7">
        <f t="shared" si="106"/>
        <v>0</v>
      </c>
      <c r="KE58" s="7" t="e">
        <f t="shared" si="54"/>
        <v>#REF!</v>
      </c>
      <c r="KG58" s="5" t="e">
        <f t="shared" si="53"/>
        <v>#REF!</v>
      </c>
    </row>
    <row r="59" spans="1:293" x14ac:dyDescent="0.15">
      <c r="A59" s="119" t="s">
        <v>261</v>
      </c>
      <c r="B59" s="17" t="s">
        <v>343</v>
      </c>
      <c r="C59" s="41">
        <v>199193</v>
      </c>
      <c r="D59" s="38">
        <v>2013</v>
      </c>
      <c r="E59" s="38">
        <v>1</v>
      </c>
      <c r="F59" s="38">
        <v>1</v>
      </c>
      <c r="G59" s="39">
        <v>12191</v>
      </c>
      <c r="H59" s="39">
        <v>9474</v>
      </c>
      <c r="I59" s="40">
        <v>1279177823</v>
      </c>
      <c r="J59" s="40"/>
      <c r="K59" s="40">
        <v>5245972</v>
      </c>
      <c r="L59" s="40"/>
      <c r="M59" s="40">
        <v>27540642</v>
      </c>
      <c r="N59" s="40"/>
      <c r="O59" s="40">
        <v>44427191</v>
      </c>
      <c r="P59" s="40"/>
      <c r="Q59" s="40">
        <v>580432894</v>
      </c>
      <c r="R59" s="40"/>
      <c r="S59" s="40">
        <v>1136595741</v>
      </c>
      <c r="T59" s="40"/>
      <c r="U59" s="40">
        <v>17382</v>
      </c>
      <c r="V59" s="40"/>
      <c r="W59" s="40">
        <v>30547</v>
      </c>
      <c r="X59" s="40"/>
      <c r="Y59" s="40">
        <v>20644</v>
      </c>
      <c r="Z59" s="40"/>
      <c r="AA59" s="40">
        <v>33809</v>
      </c>
      <c r="AB59" s="40"/>
      <c r="AC59" s="56">
        <v>12</v>
      </c>
      <c r="AD59" s="56">
        <v>12</v>
      </c>
      <c r="AE59" s="56">
        <v>1</v>
      </c>
      <c r="AF59" s="57">
        <v>4865879</v>
      </c>
      <c r="AG59" s="57">
        <v>3422668</v>
      </c>
      <c r="AH59" s="57">
        <v>1018919</v>
      </c>
      <c r="AI59" s="57">
        <v>357208</v>
      </c>
      <c r="AJ59" s="57">
        <v>643703</v>
      </c>
      <c r="AK59" s="58">
        <v>9</v>
      </c>
      <c r="AL59" s="57">
        <v>526666</v>
      </c>
      <c r="AM59" s="58">
        <v>11</v>
      </c>
      <c r="AN59" s="57">
        <v>167782</v>
      </c>
      <c r="AO59" s="58">
        <v>9</v>
      </c>
      <c r="AP59" s="57">
        <v>137276</v>
      </c>
      <c r="AQ59" s="58">
        <v>11</v>
      </c>
      <c r="AR59" s="57">
        <v>238566</v>
      </c>
      <c r="AS59" s="58">
        <v>25</v>
      </c>
      <c r="AT59" s="57">
        <v>201547</v>
      </c>
      <c r="AU59" s="58">
        <v>29</v>
      </c>
      <c r="AV59" s="57">
        <v>102968</v>
      </c>
      <c r="AW59" s="58">
        <v>18</v>
      </c>
      <c r="AX59" s="57">
        <v>81906</v>
      </c>
      <c r="AY59" s="58">
        <v>22</v>
      </c>
      <c r="AZ59" s="79">
        <v>12631710</v>
      </c>
      <c r="BA59" s="79">
        <v>250000</v>
      </c>
      <c r="BB59" s="79">
        <v>3550930</v>
      </c>
      <c r="BC59" s="79">
        <v>1888773</v>
      </c>
      <c r="BD59" s="79">
        <v>400000</v>
      </c>
      <c r="BE59" s="79">
        <v>3540</v>
      </c>
      <c r="BF59" s="79">
        <v>35722</v>
      </c>
      <c r="BG59" s="79">
        <v>8098</v>
      </c>
      <c r="BH59" s="79">
        <v>18186</v>
      </c>
      <c r="BI59" s="79">
        <v>0</v>
      </c>
      <c r="BJ59" s="79">
        <v>65546</v>
      </c>
      <c r="BK59" s="79">
        <v>0</v>
      </c>
      <c r="BL59" s="79">
        <v>0</v>
      </c>
      <c r="BM59" s="79">
        <v>0</v>
      </c>
      <c r="BN59" s="79">
        <v>0</v>
      </c>
      <c r="BO59" s="79">
        <v>0</v>
      </c>
      <c r="BP59" s="79">
        <v>0</v>
      </c>
      <c r="BQ59" s="79">
        <v>0</v>
      </c>
      <c r="BR59" s="79">
        <v>0</v>
      </c>
      <c r="BS59" s="79">
        <v>0</v>
      </c>
      <c r="BT59" s="79">
        <v>0</v>
      </c>
      <c r="BU59" s="79">
        <v>3201473</v>
      </c>
      <c r="BV59" s="79">
        <v>3201473</v>
      </c>
      <c r="BW59" s="79">
        <v>30585880</v>
      </c>
      <c r="BX59" s="79">
        <v>16488516</v>
      </c>
      <c r="BY59" s="79">
        <v>730778</v>
      </c>
      <c r="BZ59" s="79">
        <v>8791031</v>
      </c>
      <c r="CA59" s="79">
        <v>10885434</v>
      </c>
      <c r="CB59" s="79">
        <v>67481639</v>
      </c>
      <c r="CC59" s="79">
        <v>2743430</v>
      </c>
      <c r="CD59" s="79">
        <v>310760</v>
      </c>
      <c r="CE59" s="79">
        <v>402756</v>
      </c>
      <c r="CF59" s="79">
        <v>4918308</v>
      </c>
      <c r="CG59" s="79">
        <v>372043</v>
      </c>
      <c r="CH59" s="79">
        <v>8747297</v>
      </c>
      <c r="CI59" s="79">
        <v>575000</v>
      </c>
      <c r="CJ59" s="79">
        <v>440000</v>
      </c>
      <c r="CK59" s="79">
        <v>114078</v>
      </c>
      <c r="CL59" s="79">
        <v>52346</v>
      </c>
      <c r="CM59" s="79">
        <v>0</v>
      </c>
      <c r="CN59" s="79">
        <v>1181424</v>
      </c>
      <c r="CO59" s="79">
        <v>6107928</v>
      </c>
      <c r="CP59" s="79">
        <v>3322774</v>
      </c>
      <c r="CQ59" s="79">
        <v>1108591</v>
      </c>
      <c r="CR59" s="79">
        <v>4410909</v>
      </c>
      <c r="CS59" s="79">
        <v>0</v>
      </c>
      <c r="CT59" s="79">
        <v>14950202</v>
      </c>
      <c r="CU59" s="79">
        <v>0</v>
      </c>
      <c r="CV59" s="79">
        <v>0</v>
      </c>
      <c r="CW59" s="79">
        <v>0</v>
      </c>
      <c r="CX59" s="79">
        <v>0</v>
      </c>
      <c r="CY59" s="79">
        <v>0</v>
      </c>
      <c r="CZ59" s="79">
        <v>0</v>
      </c>
      <c r="DA59" s="79">
        <v>1741680</v>
      </c>
      <c r="DB59" s="79">
        <v>475648</v>
      </c>
      <c r="DC59" s="79">
        <v>208267</v>
      </c>
      <c r="DD59" s="79">
        <v>310740</v>
      </c>
      <c r="DE59" s="79">
        <v>8919754</v>
      </c>
      <c r="DF59" s="79">
        <v>11656089</v>
      </c>
      <c r="DG59" s="79">
        <v>0</v>
      </c>
      <c r="DH59" s="79">
        <v>0</v>
      </c>
      <c r="DI59" s="79">
        <v>0</v>
      </c>
      <c r="DJ59" s="79">
        <v>0</v>
      </c>
      <c r="DK59" s="79">
        <v>0</v>
      </c>
      <c r="DL59" s="79">
        <v>0</v>
      </c>
      <c r="DM59" s="79">
        <v>616775</v>
      </c>
      <c r="DN59" s="79">
        <v>0</v>
      </c>
      <c r="DO59" s="79">
        <v>58754</v>
      </c>
      <c r="DP59" s="79">
        <v>48657</v>
      </c>
      <c r="DQ59" s="79">
        <v>296569</v>
      </c>
      <c r="DR59" s="79">
        <v>1020755</v>
      </c>
      <c r="DS59" s="79">
        <v>514380</v>
      </c>
      <c r="DT59" s="79">
        <v>330393</v>
      </c>
      <c r="DU59" s="79">
        <v>141599</v>
      </c>
      <c r="DV59" s="79">
        <v>393059</v>
      </c>
      <c r="DW59" s="79">
        <v>0</v>
      </c>
      <c r="DX59" s="79">
        <v>1379431</v>
      </c>
      <c r="DY59" s="79">
        <v>1058964</v>
      </c>
      <c r="DZ59" s="79">
        <v>853681</v>
      </c>
      <c r="EA59" s="79">
        <v>329896</v>
      </c>
      <c r="EB59" s="79">
        <v>1761044</v>
      </c>
      <c r="EC59" s="79">
        <v>0</v>
      </c>
      <c r="ED59" s="79">
        <v>4003585</v>
      </c>
      <c r="EE59" s="79">
        <v>187250</v>
      </c>
      <c r="EF59" s="79">
        <v>21573</v>
      </c>
      <c r="EG59" s="79">
        <v>11086</v>
      </c>
      <c r="EH59" s="79">
        <v>359234</v>
      </c>
      <c r="EI59" s="79">
        <v>0</v>
      </c>
      <c r="EJ59" s="79">
        <v>579143</v>
      </c>
      <c r="EK59" s="79">
        <v>1282510</v>
      </c>
      <c r="EL59" s="79">
        <v>290608</v>
      </c>
      <c r="EM59" s="79">
        <v>204391</v>
      </c>
      <c r="EN59" s="79">
        <v>244558</v>
      </c>
      <c r="EO59" s="79">
        <v>1128025</v>
      </c>
      <c r="EP59" s="79">
        <v>3150092</v>
      </c>
      <c r="EQ59" s="79">
        <v>0</v>
      </c>
      <c r="ER59" s="79">
        <v>0</v>
      </c>
      <c r="ES59" s="79">
        <v>0</v>
      </c>
      <c r="ET59" s="79">
        <v>0</v>
      </c>
      <c r="EU59" s="79">
        <v>950400</v>
      </c>
      <c r="EV59" s="79">
        <v>950400</v>
      </c>
      <c r="EW59" s="79">
        <v>0</v>
      </c>
      <c r="EX59" s="79">
        <v>33595</v>
      </c>
      <c r="EY59" s="79">
        <v>7226</v>
      </c>
      <c r="EZ59" s="79">
        <v>8644</v>
      </c>
      <c r="FA59" s="79">
        <v>0</v>
      </c>
      <c r="FB59" s="79">
        <v>49465</v>
      </c>
      <c r="FC59" s="79">
        <v>3223193</v>
      </c>
      <c r="FD59" s="79">
        <v>1852953</v>
      </c>
      <c r="FE59" s="79">
        <v>83405</v>
      </c>
      <c r="FF59" s="79">
        <v>1616941</v>
      </c>
      <c r="FG59" s="79">
        <v>2777643</v>
      </c>
      <c r="FH59" s="79">
        <v>9554135</v>
      </c>
      <c r="FI59" s="79">
        <v>0</v>
      </c>
      <c r="FJ59" s="79">
        <v>0</v>
      </c>
      <c r="FK59" s="79">
        <v>0</v>
      </c>
      <c r="FL59" s="79">
        <v>0</v>
      </c>
      <c r="FM59" s="79">
        <v>415654</v>
      </c>
      <c r="FN59" s="79">
        <v>415654</v>
      </c>
      <c r="FO59" s="79">
        <v>0</v>
      </c>
      <c r="FP59" s="79">
        <v>0</v>
      </c>
      <c r="FQ59" s="79">
        <v>0</v>
      </c>
      <c r="FR59" s="79">
        <v>0</v>
      </c>
      <c r="FS59" s="79">
        <v>0</v>
      </c>
      <c r="FT59" s="79">
        <v>0</v>
      </c>
      <c r="FU59" s="79">
        <v>0</v>
      </c>
      <c r="FV59" s="79">
        <v>0</v>
      </c>
      <c r="FW59" s="79">
        <v>0</v>
      </c>
      <c r="FX59" s="79">
        <v>0</v>
      </c>
      <c r="FY59" s="79">
        <v>735147</v>
      </c>
      <c r="FZ59" s="79">
        <v>735147</v>
      </c>
      <c r="GA59" s="79">
        <v>4134</v>
      </c>
      <c r="GB59" s="79">
        <v>3965</v>
      </c>
      <c r="GC59" s="79">
        <v>17063</v>
      </c>
      <c r="GD59" s="79">
        <v>15431</v>
      </c>
      <c r="GE59" s="79">
        <v>1517443</v>
      </c>
      <c r="GF59" s="79">
        <v>1558036</v>
      </c>
      <c r="GG59" s="79">
        <v>0</v>
      </c>
      <c r="GH59" s="79">
        <v>0</v>
      </c>
      <c r="GI59" s="79">
        <v>0</v>
      </c>
      <c r="GJ59" s="79">
        <v>0</v>
      </c>
      <c r="GK59" s="79">
        <v>3206538</v>
      </c>
      <c r="GL59" s="79">
        <v>3206538</v>
      </c>
      <c r="GM59" s="79">
        <v>18055244</v>
      </c>
      <c r="GN59" s="79">
        <v>7935950</v>
      </c>
      <c r="GO59" s="79">
        <v>2687112</v>
      </c>
      <c r="GP59" s="79">
        <v>14139871</v>
      </c>
      <c r="GQ59" s="79">
        <v>20319216</v>
      </c>
      <c r="GR59" s="79">
        <v>63137393</v>
      </c>
      <c r="GS59" s="79">
        <v>0</v>
      </c>
      <c r="GT59" s="79">
        <v>0</v>
      </c>
      <c r="GU59" s="79">
        <v>0</v>
      </c>
      <c r="GV59" s="79">
        <v>0</v>
      </c>
      <c r="GW59" s="79">
        <v>897138</v>
      </c>
      <c r="GX59" s="79">
        <v>897138</v>
      </c>
      <c r="GY59" s="79">
        <v>18055244</v>
      </c>
      <c r="GZ59" s="79">
        <v>7935950</v>
      </c>
      <c r="HA59" s="79">
        <v>2687112</v>
      </c>
      <c r="HB59" s="79">
        <v>14139871</v>
      </c>
      <c r="HC59" s="79">
        <v>21216354</v>
      </c>
      <c r="HD59" s="79">
        <v>64034531</v>
      </c>
      <c r="HF59" s="7">
        <f>SUM(AZ59:AZ59)</f>
        <v>12631710</v>
      </c>
      <c r="HG59" s="7" t="e">
        <f>#REF!-HF59</f>
        <v>#REF!</v>
      </c>
      <c r="HH59" s="7" t="e">
        <f>SUM(#REF!)</f>
        <v>#REF!</v>
      </c>
      <c r="HI59" s="7" t="e">
        <f>#REF!-HH59</f>
        <v>#REF!</v>
      </c>
      <c r="HJ59" s="7">
        <f>SUM(BA59:BA59)</f>
        <v>250000</v>
      </c>
      <c r="HK59" s="7" t="e">
        <f>#REF!-HJ59</f>
        <v>#REF!</v>
      </c>
      <c r="HL59" s="7">
        <f>SUM(BB59:BB59)</f>
        <v>3550930</v>
      </c>
      <c r="HM59" s="7" t="e">
        <f>#REF!-HL59</f>
        <v>#REF!</v>
      </c>
      <c r="HN59" s="7" t="e">
        <f>SUM(#REF!)</f>
        <v>#REF!</v>
      </c>
      <c r="HO59" s="7" t="e">
        <f>#REF!-HN59</f>
        <v>#REF!</v>
      </c>
      <c r="HP59" s="7" t="e">
        <f>SUM(#REF!)</f>
        <v>#REF!</v>
      </c>
      <c r="HQ59" s="7" t="e">
        <f>#REF!-HP59</f>
        <v>#REF!</v>
      </c>
      <c r="HR59" s="7" t="e">
        <f>SUM(#REF!)</f>
        <v>#REF!</v>
      </c>
      <c r="HS59" s="7" t="e">
        <f>#REF!-HR59</f>
        <v>#REF!</v>
      </c>
      <c r="HT59" s="7" t="e">
        <f>SUM(#REF!)</f>
        <v>#REF!</v>
      </c>
      <c r="HU59" s="7" t="e">
        <f>#REF!-HT59</f>
        <v>#REF!</v>
      </c>
      <c r="HV59" s="7" t="e">
        <f>SUM(#REF!)</f>
        <v>#REF!</v>
      </c>
      <c r="HW59" s="7" t="e">
        <f>#REF!-HV59</f>
        <v>#REF!</v>
      </c>
      <c r="HX59" s="7" t="e">
        <f>SUM(#REF!)</f>
        <v>#REF!</v>
      </c>
      <c r="HY59" s="7" t="e">
        <f>#REF!-HX59</f>
        <v>#REF!</v>
      </c>
      <c r="HZ59" s="7">
        <f>SUM(BC59:BC59)</f>
        <v>1888773</v>
      </c>
      <c r="IA59" s="7" t="e">
        <f>#REF!-HZ59</f>
        <v>#REF!</v>
      </c>
      <c r="IB59" s="7">
        <f>SUM(BD59:BD59)</f>
        <v>400000</v>
      </c>
      <c r="IC59" s="7" t="e">
        <f>#REF!-IB59</f>
        <v>#REF!</v>
      </c>
      <c r="ID59" s="7">
        <f t="shared" si="57"/>
        <v>65546</v>
      </c>
      <c r="IE59" s="7">
        <f t="shared" si="58"/>
        <v>0</v>
      </c>
      <c r="IF59" s="7">
        <f t="shared" si="59"/>
        <v>0</v>
      </c>
      <c r="IG59" s="7">
        <f t="shared" si="60"/>
        <v>0</v>
      </c>
      <c r="IH59" s="7">
        <f t="shared" si="61"/>
        <v>3201473</v>
      </c>
      <c r="II59" s="7">
        <f t="shared" si="62"/>
        <v>0</v>
      </c>
      <c r="IJ59" s="7">
        <f t="shared" si="63"/>
        <v>67481639</v>
      </c>
      <c r="IK59" s="7">
        <f t="shared" si="64"/>
        <v>0</v>
      </c>
      <c r="IL59" s="7">
        <f t="shared" si="65"/>
        <v>8747297</v>
      </c>
      <c r="IM59" s="7">
        <f t="shared" si="66"/>
        <v>0</v>
      </c>
      <c r="IN59" s="7">
        <f t="shared" si="67"/>
        <v>1181424</v>
      </c>
      <c r="IO59" s="7">
        <f t="shared" si="68"/>
        <v>0</v>
      </c>
      <c r="IP59" s="7">
        <f t="shared" si="69"/>
        <v>14950202</v>
      </c>
      <c r="IQ59" s="7">
        <f t="shared" si="70"/>
        <v>0</v>
      </c>
      <c r="IR59" s="7">
        <f t="shared" si="71"/>
        <v>0</v>
      </c>
      <c r="IS59" s="7">
        <f t="shared" si="72"/>
        <v>0</v>
      </c>
      <c r="IT59" s="7">
        <f t="shared" si="73"/>
        <v>11656089</v>
      </c>
      <c r="IU59" s="7">
        <f t="shared" si="74"/>
        <v>0</v>
      </c>
      <c r="IV59" s="7">
        <f t="shared" si="75"/>
        <v>0</v>
      </c>
      <c r="IW59" s="7">
        <f t="shared" si="76"/>
        <v>0</v>
      </c>
      <c r="IX59" s="7">
        <f t="shared" si="77"/>
        <v>1020755</v>
      </c>
      <c r="IY59" s="7">
        <f t="shared" si="78"/>
        <v>0</v>
      </c>
      <c r="IZ59" s="7">
        <f t="shared" si="79"/>
        <v>1379431</v>
      </c>
      <c r="JA59" s="7">
        <f t="shared" si="80"/>
        <v>0</v>
      </c>
      <c r="JB59" s="7">
        <f t="shared" si="81"/>
        <v>4003585</v>
      </c>
      <c r="JC59" s="7">
        <f t="shared" si="82"/>
        <v>0</v>
      </c>
      <c r="JD59" s="7">
        <f t="shared" si="83"/>
        <v>579143</v>
      </c>
      <c r="JE59" s="7">
        <f t="shared" si="84"/>
        <v>0</v>
      </c>
      <c r="JF59" s="7">
        <f t="shared" si="85"/>
        <v>3150092</v>
      </c>
      <c r="JG59" s="7">
        <f t="shared" si="86"/>
        <v>0</v>
      </c>
      <c r="JH59" s="7">
        <f t="shared" si="87"/>
        <v>950400</v>
      </c>
      <c r="JI59" s="7">
        <f t="shared" si="88"/>
        <v>0</v>
      </c>
      <c r="JJ59" s="7">
        <f t="shared" si="89"/>
        <v>49465</v>
      </c>
      <c r="JK59" s="7">
        <f t="shared" si="90"/>
        <v>0</v>
      </c>
      <c r="JL59" s="7">
        <f t="shared" si="91"/>
        <v>9554135</v>
      </c>
      <c r="JM59" s="7">
        <f t="shared" si="92"/>
        <v>0</v>
      </c>
      <c r="JN59" s="7">
        <f t="shared" si="93"/>
        <v>415654</v>
      </c>
      <c r="JO59" s="7">
        <f t="shared" si="94"/>
        <v>0</v>
      </c>
      <c r="JP59" s="7">
        <f t="shared" si="95"/>
        <v>0</v>
      </c>
      <c r="JQ59" s="7">
        <f t="shared" si="96"/>
        <v>0</v>
      </c>
      <c r="JR59" s="7">
        <f t="shared" si="97"/>
        <v>735147</v>
      </c>
      <c r="JS59" s="7">
        <f t="shared" si="98"/>
        <v>0</v>
      </c>
      <c r="JT59" s="7">
        <f t="shared" si="99"/>
        <v>1558036</v>
      </c>
      <c r="JU59" s="7">
        <f t="shared" si="100"/>
        <v>0</v>
      </c>
      <c r="JV59" s="7">
        <f t="shared" si="55"/>
        <v>3206538</v>
      </c>
      <c r="JW59" s="7">
        <f t="shared" si="56"/>
        <v>0</v>
      </c>
      <c r="JX59" s="7">
        <f t="shared" si="101"/>
        <v>63137393</v>
      </c>
      <c r="JY59" s="7">
        <f t="shared" si="102"/>
        <v>0</v>
      </c>
      <c r="JZ59" s="7">
        <f t="shared" si="103"/>
        <v>897138</v>
      </c>
      <c r="KA59" s="7">
        <f t="shared" si="104"/>
        <v>0</v>
      </c>
      <c r="KB59" s="7">
        <f t="shared" si="105"/>
        <v>64034531</v>
      </c>
      <c r="KC59" s="7">
        <f t="shared" si="106"/>
        <v>0</v>
      </c>
      <c r="KE59" s="7" t="e">
        <f t="shared" si="54"/>
        <v>#REF!</v>
      </c>
      <c r="KG59" s="5" t="e">
        <f t="shared" si="53"/>
        <v>#REF!</v>
      </c>
    </row>
    <row r="60" spans="1:293" x14ac:dyDescent="0.15">
      <c r="A60" s="119" t="s">
        <v>272</v>
      </c>
      <c r="B60" s="17" t="s">
        <v>341</v>
      </c>
      <c r="C60" s="41">
        <v>227216</v>
      </c>
      <c r="D60" s="38">
        <v>2013</v>
      </c>
      <c r="E60" s="38">
        <v>1</v>
      </c>
      <c r="F60" s="38">
        <v>8</v>
      </c>
      <c r="G60" s="39">
        <v>14958</v>
      </c>
      <c r="H60" s="39">
        <v>13593</v>
      </c>
      <c r="I60" s="40">
        <v>587823235</v>
      </c>
      <c r="J60" s="40"/>
      <c r="K60" s="40">
        <v>2135000</v>
      </c>
      <c r="L60" s="40"/>
      <c r="M60" s="40">
        <v>29356928</v>
      </c>
      <c r="N60" s="40"/>
      <c r="O60" s="40">
        <v>76330000</v>
      </c>
      <c r="P60" s="40"/>
      <c r="Q60" s="40">
        <v>3524307804</v>
      </c>
      <c r="R60" s="40"/>
      <c r="S60" s="40">
        <v>514306750</v>
      </c>
      <c r="T60" s="40"/>
      <c r="U60" s="40">
        <v>16965</v>
      </c>
      <c r="V60" s="40"/>
      <c r="W60" s="40">
        <v>26705</v>
      </c>
      <c r="X60" s="40"/>
      <c r="Y60" s="40">
        <v>20244</v>
      </c>
      <c r="Z60" s="40"/>
      <c r="AA60" s="40">
        <v>30774</v>
      </c>
      <c r="AB60" s="40"/>
      <c r="AC60" s="59">
        <v>6</v>
      </c>
      <c r="AD60" s="59">
        <v>10</v>
      </c>
      <c r="AE60" s="59">
        <v>0</v>
      </c>
      <c r="AF60" s="57">
        <v>2083756</v>
      </c>
      <c r="AG60" s="57">
        <v>1741650</v>
      </c>
      <c r="AH60" s="57">
        <v>243292</v>
      </c>
      <c r="AI60" s="57">
        <v>97111</v>
      </c>
      <c r="AJ60" s="57">
        <v>348703</v>
      </c>
      <c r="AK60" s="58">
        <v>3.5</v>
      </c>
      <c r="AL60" s="57">
        <v>305115</v>
      </c>
      <c r="AM60" s="58">
        <v>4</v>
      </c>
      <c r="AN60" s="57">
        <v>108421</v>
      </c>
      <c r="AO60" s="58">
        <v>7.5</v>
      </c>
      <c r="AP60" s="57">
        <v>101644</v>
      </c>
      <c r="AQ60" s="58">
        <v>8</v>
      </c>
      <c r="AR60" s="57">
        <v>143091</v>
      </c>
      <c r="AS60" s="58">
        <v>14</v>
      </c>
      <c r="AT60" s="57">
        <v>125204</v>
      </c>
      <c r="AU60" s="58">
        <v>16</v>
      </c>
      <c r="AV60" s="57">
        <v>59655</v>
      </c>
      <c r="AW60" s="58">
        <v>12</v>
      </c>
      <c r="AX60" s="57">
        <v>51133</v>
      </c>
      <c r="AY60" s="58">
        <v>14</v>
      </c>
      <c r="AZ60" s="79">
        <v>903242</v>
      </c>
      <c r="BA60" s="79">
        <v>1750000</v>
      </c>
      <c r="BB60" s="79">
        <v>1047495</v>
      </c>
      <c r="BC60" s="79">
        <v>282479</v>
      </c>
      <c r="BD60" s="79">
        <v>0</v>
      </c>
      <c r="BE60" s="79">
        <v>82396</v>
      </c>
      <c r="BF60" s="79">
        <v>31309</v>
      </c>
      <c r="BG60" s="79">
        <v>15913</v>
      </c>
      <c r="BH60" s="79">
        <v>354447</v>
      </c>
      <c r="BI60" s="79">
        <v>0</v>
      </c>
      <c r="BJ60" s="79">
        <v>484065</v>
      </c>
      <c r="BK60" s="79">
        <v>1916</v>
      </c>
      <c r="BL60" s="79">
        <v>0</v>
      </c>
      <c r="BM60" s="79">
        <v>0</v>
      </c>
      <c r="BN60" s="79">
        <v>7044</v>
      </c>
      <c r="BO60" s="79">
        <v>1245</v>
      </c>
      <c r="BP60" s="79">
        <v>10205</v>
      </c>
      <c r="BQ60" s="79">
        <v>66766</v>
      </c>
      <c r="BR60" s="79">
        <v>55109</v>
      </c>
      <c r="BS60" s="79">
        <v>4958</v>
      </c>
      <c r="BT60" s="79">
        <v>100795</v>
      </c>
      <c r="BU60" s="79">
        <v>338534</v>
      </c>
      <c r="BV60" s="79">
        <v>566162</v>
      </c>
      <c r="BW60" s="79">
        <v>6829323</v>
      </c>
      <c r="BX60" s="79">
        <v>2316352</v>
      </c>
      <c r="BY60" s="79">
        <v>1553799</v>
      </c>
      <c r="BZ60" s="79">
        <v>3573403</v>
      </c>
      <c r="CA60" s="79">
        <v>14527559</v>
      </c>
      <c r="CB60" s="79">
        <v>28800436</v>
      </c>
      <c r="CC60" s="79">
        <v>1498836</v>
      </c>
      <c r="CD60" s="79">
        <v>272582</v>
      </c>
      <c r="CE60" s="79">
        <v>290432</v>
      </c>
      <c r="CF60" s="79">
        <v>1763562</v>
      </c>
      <c r="CG60" s="79">
        <v>83818</v>
      </c>
      <c r="CH60" s="79">
        <v>3909230</v>
      </c>
      <c r="CI60" s="79">
        <v>790000</v>
      </c>
      <c r="CJ60" s="79">
        <v>161120</v>
      </c>
      <c r="CK60" s="79">
        <v>0</v>
      </c>
      <c r="CL60" s="79">
        <v>0</v>
      </c>
      <c r="CM60" s="79">
        <v>0</v>
      </c>
      <c r="CN60" s="79">
        <v>951120</v>
      </c>
      <c r="CO60" s="79">
        <v>1980788</v>
      </c>
      <c r="CP60" s="79">
        <v>880816</v>
      </c>
      <c r="CQ60" s="79">
        <v>490380</v>
      </c>
      <c r="CR60" s="79">
        <v>1100367</v>
      </c>
      <c r="CS60" s="79">
        <v>300416</v>
      </c>
      <c r="CT60" s="79">
        <v>4752767</v>
      </c>
      <c r="CU60" s="79">
        <v>0</v>
      </c>
      <c r="CV60" s="79">
        <v>0</v>
      </c>
      <c r="CW60" s="79">
        <v>0</v>
      </c>
      <c r="CX60" s="79">
        <v>0</v>
      </c>
      <c r="CY60" s="79">
        <v>0</v>
      </c>
      <c r="CZ60" s="79">
        <v>0</v>
      </c>
      <c r="DA60" s="79">
        <v>284550</v>
      </c>
      <c r="DB60" s="79">
        <v>84950</v>
      </c>
      <c r="DC60" s="79">
        <v>81328</v>
      </c>
      <c r="DD60" s="79">
        <v>261066</v>
      </c>
      <c r="DE60" s="79">
        <v>3634692</v>
      </c>
      <c r="DF60" s="79">
        <v>4346586</v>
      </c>
      <c r="DG60" s="79">
        <v>0</v>
      </c>
      <c r="DH60" s="79">
        <v>0</v>
      </c>
      <c r="DI60" s="79">
        <v>0</v>
      </c>
      <c r="DJ60" s="79">
        <v>0</v>
      </c>
      <c r="DK60" s="79">
        <v>0</v>
      </c>
      <c r="DL60" s="79">
        <v>0</v>
      </c>
      <c r="DM60" s="79">
        <v>0</v>
      </c>
      <c r="DN60" s="79">
        <v>0</v>
      </c>
      <c r="DO60" s="79">
        <v>0</v>
      </c>
      <c r="DP60" s="79">
        <v>0</v>
      </c>
      <c r="DQ60" s="79">
        <v>0</v>
      </c>
      <c r="DR60" s="79">
        <v>0</v>
      </c>
      <c r="DS60" s="79">
        <v>145280</v>
      </c>
      <c r="DT60" s="79">
        <v>91012</v>
      </c>
      <c r="DU60" s="79">
        <v>54064</v>
      </c>
      <c r="DV60" s="79">
        <v>50047</v>
      </c>
      <c r="DW60" s="79">
        <v>0</v>
      </c>
      <c r="DX60" s="79">
        <v>340403</v>
      </c>
      <c r="DY60" s="79">
        <v>685379</v>
      </c>
      <c r="DZ60" s="79">
        <v>245102</v>
      </c>
      <c r="EA60" s="79">
        <v>196850</v>
      </c>
      <c r="EB60" s="79">
        <v>764504</v>
      </c>
      <c r="EC60" s="79">
        <v>2417</v>
      </c>
      <c r="ED60" s="79">
        <v>1894252</v>
      </c>
      <c r="EE60" s="79">
        <v>252841</v>
      </c>
      <c r="EF60" s="79">
        <v>32732</v>
      </c>
      <c r="EG60" s="79">
        <v>27313</v>
      </c>
      <c r="EH60" s="79">
        <v>166028</v>
      </c>
      <c r="EI60" s="79">
        <v>0</v>
      </c>
      <c r="EJ60" s="79">
        <v>478914</v>
      </c>
      <c r="EK60" s="79">
        <v>540685</v>
      </c>
      <c r="EL60" s="79">
        <v>179939</v>
      </c>
      <c r="EM60" s="79">
        <v>68402</v>
      </c>
      <c r="EN60" s="79">
        <v>78175</v>
      </c>
      <c r="EO60" s="79">
        <v>127342</v>
      </c>
      <c r="EP60" s="79">
        <v>994543</v>
      </c>
      <c r="EQ60" s="79">
        <v>51946</v>
      </c>
      <c r="ER60" s="79">
        <v>34940</v>
      </c>
      <c r="ES60" s="79">
        <v>18112</v>
      </c>
      <c r="ET60" s="79">
        <v>16584</v>
      </c>
      <c r="EU60" s="79">
        <v>431974</v>
      </c>
      <c r="EV60" s="79">
        <v>553556</v>
      </c>
      <c r="EW60" s="79">
        <v>20852</v>
      </c>
      <c r="EX60" s="79">
        <v>16176</v>
      </c>
      <c r="EY60" s="79">
        <v>10278</v>
      </c>
      <c r="EZ60" s="79">
        <v>122682</v>
      </c>
      <c r="FA60" s="79">
        <v>525</v>
      </c>
      <c r="FB60" s="79">
        <v>170513</v>
      </c>
      <c r="FC60" s="79">
        <v>5978851</v>
      </c>
      <c r="FD60" s="79">
        <v>539538</v>
      </c>
      <c r="FE60" s="79">
        <v>539626</v>
      </c>
      <c r="FF60" s="79">
        <v>21411</v>
      </c>
      <c r="FG60" s="79">
        <v>880951</v>
      </c>
      <c r="FH60" s="79">
        <v>7960377</v>
      </c>
      <c r="FI60" s="79">
        <v>0</v>
      </c>
      <c r="FJ60" s="79">
        <v>0</v>
      </c>
      <c r="FK60" s="79">
        <v>0</v>
      </c>
      <c r="FL60" s="79">
        <v>0</v>
      </c>
      <c r="FM60" s="79">
        <v>79742</v>
      </c>
      <c r="FN60" s="79">
        <v>79742</v>
      </c>
      <c r="FO60" s="79">
        <v>0</v>
      </c>
      <c r="FP60" s="79">
        <v>0</v>
      </c>
      <c r="FQ60" s="79">
        <v>0</v>
      </c>
      <c r="FR60" s="79">
        <v>0</v>
      </c>
      <c r="FS60" s="79">
        <v>35291</v>
      </c>
      <c r="FT60" s="79">
        <v>35291</v>
      </c>
      <c r="FU60" s="79">
        <v>30446</v>
      </c>
      <c r="FV60" s="79">
        <v>5167</v>
      </c>
      <c r="FW60" s="79">
        <v>5328</v>
      </c>
      <c r="FX60" s="79">
        <v>35774</v>
      </c>
      <c r="FY60" s="79">
        <v>325100</v>
      </c>
      <c r="FZ60" s="79">
        <v>401815</v>
      </c>
      <c r="GA60" s="79">
        <v>3585</v>
      </c>
      <c r="GB60" s="79">
        <v>3460</v>
      </c>
      <c r="GC60" s="79">
        <v>3365</v>
      </c>
      <c r="GD60" s="79">
        <v>3477</v>
      </c>
      <c r="GE60" s="79">
        <v>97821</v>
      </c>
      <c r="GF60" s="79">
        <v>111708</v>
      </c>
      <c r="GG60" s="79">
        <v>496311</v>
      </c>
      <c r="GH60" s="79">
        <v>150713</v>
      </c>
      <c r="GI60" s="79">
        <v>99245</v>
      </c>
      <c r="GJ60" s="79">
        <v>162557</v>
      </c>
      <c r="GK60" s="79">
        <v>1036827</v>
      </c>
      <c r="GL60" s="79">
        <v>1945653</v>
      </c>
      <c r="GM60" s="79">
        <v>12760350</v>
      </c>
      <c r="GN60" s="79">
        <v>2698247</v>
      </c>
      <c r="GO60" s="79">
        <v>1884723</v>
      </c>
      <c r="GP60" s="79">
        <v>4546234</v>
      </c>
      <c r="GQ60" s="79">
        <v>7036916</v>
      </c>
      <c r="GR60" s="79">
        <v>28926470</v>
      </c>
      <c r="GS60" s="79">
        <v>0</v>
      </c>
      <c r="GT60" s="79">
        <v>0</v>
      </c>
      <c r="GU60" s="79">
        <v>0</v>
      </c>
      <c r="GV60" s="79">
        <v>0</v>
      </c>
      <c r="GW60" s="79">
        <v>0</v>
      </c>
      <c r="GX60" s="79">
        <v>0</v>
      </c>
      <c r="GY60" s="79">
        <v>12760350</v>
      </c>
      <c r="GZ60" s="79">
        <v>2698247</v>
      </c>
      <c r="HA60" s="79">
        <v>1884723</v>
      </c>
      <c r="HB60" s="79">
        <v>4546234</v>
      </c>
      <c r="HC60" s="79">
        <v>7036916</v>
      </c>
      <c r="HD60" s="79">
        <v>28926470</v>
      </c>
      <c r="HF60" s="7">
        <f>SUM(AZ60:AZ60)</f>
        <v>903242</v>
      </c>
      <c r="HG60" s="7" t="e">
        <f>#REF!-HF60</f>
        <v>#REF!</v>
      </c>
      <c r="HH60" s="7" t="e">
        <f>SUM(#REF!)</f>
        <v>#REF!</v>
      </c>
      <c r="HI60" s="7" t="e">
        <f>#REF!-HH60</f>
        <v>#REF!</v>
      </c>
      <c r="HJ60" s="7">
        <f>SUM(BA60:BA60)</f>
        <v>1750000</v>
      </c>
      <c r="HK60" s="7" t="e">
        <f>#REF!-HJ60</f>
        <v>#REF!</v>
      </c>
      <c r="HL60" s="7">
        <f>SUM(BB60:BB60)</f>
        <v>1047495</v>
      </c>
      <c r="HM60" s="7" t="e">
        <f>#REF!-HL60</f>
        <v>#REF!</v>
      </c>
      <c r="HN60" s="7" t="e">
        <f>SUM(#REF!)</f>
        <v>#REF!</v>
      </c>
      <c r="HO60" s="7" t="e">
        <f>#REF!-HN60</f>
        <v>#REF!</v>
      </c>
      <c r="HP60" s="7" t="e">
        <f>SUM(#REF!)</f>
        <v>#REF!</v>
      </c>
      <c r="HQ60" s="7" t="e">
        <f>#REF!-HP60</f>
        <v>#REF!</v>
      </c>
      <c r="HR60" s="7" t="e">
        <f>SUM(#REF!)</f>
        <v>#REF!</v>
      </c>
      <c r="HS60" s="7" t="e">
        <f>#REF!-HR60</f>
        <v>#REF!</v>
      </c>
      <c r="HT60" s="7" t="e">
        <f>SUM(#REF!)</f>
        <v>#REF!</v>
      </c>
      <c r="HU60" s="7" t="e">
        <f>#REF!-HT60</f>
        <v>#REF!</v>
      </c>
      <c r="HV60" s="7" t="e">
        <f>SUM(#REF!)</f>
        <v>#REF!</v>
      </c>
      <c r="HW60" s="7" t="e">
        <f>#REF!-HV60</f>
        <v>#REF!</v>
      </c>
      <c r="HX60" s="7" t="e">
        <f>SUM(#REF!)</f>
        <v>#REF!</v>
      </c>
      <c r="HY60" s="7" t="e">
        <f>#REF!-HX60</f>
        <v>#REF!</v>
      </c>
      <c r="HZ60" s="7">
        <f>SUM(BC60:BC60)</f>
        <v>282479</v>
      </c>
      <c r="IA60" s="7" t="e">
        <f>#REF!-HZ60</f>
        <v>#REF!</v>
      </c>
      <c r="IB60" s="7">
        <f>SUM(BD60:BD60)</f>
        <v>0</v>
      </c>
      <c r="IC60" s="7" t="e">
        <f>#REF!-IB60</f>
        <v>#REF!</v>
      </c>
      <c r="ID60" s="7">
        <f t="shared" si="57"/>
        <v>484065</v>
      </c>
      <c r="IE60" s="7">
        <f t="shared" si="58"/>
        <v>0</v>
      </c>
      <c r="IF60" s="7">
        <f t="shared" si="59"/>
        <v>10205</v>
      </c>
      <c r="IG60" s="7">
        <f t="shared" si="60"/>
        <v>0</v>
      </c>
      <c r="IH60" s="7">
        <f t="shared" si="61"/>
        <v>566162</v>
      </c>
      <c r="II60" s="7">
        <f t="shared" si="62"/>
        <v>0</v>
      </c>
      <c r="IJ60" s="7">
        <f t="shared" si="63"/>
        <v>28800436</v>
      </c>
      <c r="IK60" s="7">
        <f t="shared" si="64"/>
        <v>0</v>
      </c>
      <c r="IL60" s="7">
        <f t="shared" si="65"/>
        <v>3909230</v>
      </c>
      <c r="IM60" s="7">
        <f t="shared" si="66"/>
        <v>0</v>
      </c>
      <c r="IN60" s="7">
        <f t="shared" si="67"/>
        <v>951120</v>
      </c>
      <c r="IO60" s="7">
        <f t="shared" si="68"/>
        <v>0</v>
      </c>
      <c r="IP60" s="7">
        <f t="shared" si="69"/>
        <v>4752767</v>
      </c>
      <c r="IQ60" s="7">
        <f t="shared" si="70"/>
        <v>0</v>
      </c>
      <c r="IR60" s="7">
        <f t="shared" si="71"/>
        <v>0</v>
      </c>
      <c r="IS60" s="7">
        <f t="shared" si="72"/>
        <v>0</v>
      </c>
      <c r="IT60" s="7">
        <f t="shared" si="73"/>
        <v>4346586</v>
      </c>
      <c r="IU60" s="7">
        <f t="shared" si="74"/>
        <v>0</v>
      </c>
      <c r="IV60" s="7">
        <f t="shared" si="75"/>
        <v>0</v>
      </c>
      <c r="IW60" s="7">
        <f t="shared" si="76"/>
        <v>0</v>
      </c>
      <c r="IX60" s="7">
        <f t="shared" si="77"/>
        <v>0</v>
      </c>
      <c r="IY60" s="7">
        <f t="shared" si="78"/>
        <v>0</v>
      </c>
      <c r="IZ60" s="7">
        <f t="shared" si="79"/>
        <v>340403</v>
      </c>
      <c r="JA60" s="7">
        <f t="shared" si="80"/>
        <v>0</v>
      </c>
      <c r="JB60" s="7">
        <f t="shared" si="81"/>
        <v>1894252</v>
      </c>
      <c r="JC60" s="7">
        <f t="shared" si="82"/>
        <v>0</v>
      </c>
      <c r="JD60" s="7">
        <f t="shared" si="83"/>
        <v>478914</v>
      </c>
      <c r="JE60" s="7">
        <f t="shared" si="84"/>
        <v>0</v>
      </c>
      <c r="JF60" s="7">
        <f t="shared" si="85"/>
        <v>994543</v>
      </c>
      <c r="JG60" s="7">
        <f t="shared" si="86"/>
        <v>0</v>
      </c>
      <c r="JH60" s="7">
        <f t="shared" si="87"/>
        <v>553556</v>
      </c>
      <c r="JI60" s="7">
        <f t="shared" si="88"/>
        <v>0</v>
      </c>
      <c r="JJ60" s="7">
        <f t="shared" si="89"/>
        <v>170513</v>
      </c>
      <c r="JK60" s="7">
        <f t="shared" si="90"/>
        <v>0</v>
      </c>
      <c r="JL60" s="7">
        <f t="shared" si="91"/>
        <v>7960377</v>
      </c>
      <c r="JM60" s="7">
        <f t="shared" si="92"/>
        <v>0</v>
      </c>
      <c r="JN60" s="7">
        <f t="shared" si="93"/>
        <v>79742</v>
      </c>
      <c r="JO60" s="7">
        <f t="shared" si="94"/>
        <v>0</v>
      </c>
      <c r="JP60" s="7">
        <f t="shared" si="95"/>
        <v>35291</v>
      </c>
      <c r="JQ60" s="7">
        <f t="shared" si="96"/>
        <v>0</v>
      </c>
      <c r="JR60" s="7">
        <f t="shared" si="97"/>
        <v>401815</v>
      </c>
      <c r="JS60" s="7">
        <f t="shared" si="98"/>
        <v>0</v>
      </c>
      <c r="JT60" s="7">
        <f t="shared" si="99"/>
        <v>111708</v>
      </c>
      <c r="JU60" s="7">
        <f t="shared" si="100"/>
        <v>0</v>
      </c>
      <c r="JV60" s="7">
        <f t="shared" si="55"/>
        <v>1945653</v>
      </c>
      <c r="JW60" s="7">
        <f t="shared" si="56"/>
        <v>0</v>
      </c>
      <c r="JX60" s="7">
        <f t="shared" si="101"/>
        <v>28926470</v>
      </c>
      <c r="JY60" s="7">
        <f t="shared" si="102"/>
        <v>0</v>
      </c>
      <c r="JZ60" s="7">
        <f t="shared" si="103"/>
        <v>0</v>
      </c>
      <c r="KA60" s="7">
        <f t="shared" si="104"/>
        <v>0</v>
      </c>
      <c r="KB60" s="7">
        <f t="shared" si="105"/>
        <v>28926470</v>
      </c>
      <c r="KC60" s="7">
        <f t="shared" si="106"/>
        <v>0</v>
      </c>
      <c r="KE60" s="7" t="e">
        <f t="shared" si="54"/>
        <v>#REF!</v>
      </c>
      <c r="KG60" s="5" t="e">
        <f t="shared" si="53"/>
        <v>#REF!</v>
      </c>
    </row>
    <row r="61" spans="1:293" x14ac:dyDescent="0.15">
      <c r="A61" s="119" t="s">
        <v>262</v>
      </c>
      <c r="B61" s="17" t="s">
        <v>343</v>
      </c>
      <c r="C61" s="41">
        <v>147703</v>
      </c>
      <c r="D61" s="38">
        <v>2013</v>
      </c>
      <c r="E61" s="38">
        <v>1</v>
      </c>
      <c r="F61" s="38">
        <v>9</v>
      </c>
      <c r="G61" s="39">
        <v>7254</v>
      </c>
      <c r="H61" s="39">
        <v>7233</v>
      </c>
      <c r="I61" s="40">
        <v>572949000</v>
      </c>
      <c r="J61" s="40"/>
      <c r="K61" s="40">
        <v>0</v>
      </c>
      <c r="L61" s="40"/>
      <c r="M61" s="40">
        <v>10266000</v>
      </c>
      <c r="N61" s="40"/>
      <c r="O61" s="40">
        <v>8152000</v>
      </c>
      <c r="P61" s="40"/>
      <c r="Q61" s="40">
        <v>378627000</v>
      </c>
      <c r="R61" s="40"/>
      <c r="S61" s="40">
        <v>544533000</v>
      </c>
      <c r="T61" s="40"/>
      <c r="U61" s="40">
        <v>23587</v>
      </c>
      <c r="V61" s="40"/>
      <c r="W61" s="40">
        <v>33537</v>
      </c>
      <c r="X61" s="40"/>
      <c r="Y61" s="40">
        <v>28000</v>
      </c>
      <c r="Z61" s="40"/>
      <c r="AA61" s="40">
        <v>37466</v>
      </c>
      <c r="AB61" s="40"/>
      <c r="AC61" s="56">
        <v>7</v>
      </c>
      <c r="AD61" s="56">
        <v>8</v>
      </c>
      <c r="AE61" s="56">
        <v>0</v>
      </c>
      <c r="AF61" s="57">
        <v>4270228</v>
      </c>
      <c r="AG61" s="57">
        <v>2979799</v>
      </c>
      <c r="AH61" s="57">
        <v>250030</v>
      </c>
      <c r="AI61" s="57">
        <v>83352</v>
      </c>
      <c r="AJ61" s="57">
        <v>162844</v>
      </c>
      <c r="AK61" s="58">
        <v>7</v>
      </c>
      <c r="AL61" s="57">
        <v>162844</v>
      </c>
      <c r="AM61" s="58">
        <v>7</v>
      </c>
      <c r="AN61" s="57">
        <v>70913</v>
      </c>
      <c r="AO61" s="58">
        <v>9</v>
      </c>
      <c r="AP61" s="57">
        <v>70913</v>
      </c>
      <c r="AQ61" s="58">
        <v>9</v>
      </c>
      <c r="AR61" s="57">
        <v>76160</v>
      </c>
      <c r="AS61" s="58">
        <v>21</v>
      </c>
      <c r="AT61" s="57">
        <v>66640</v>
      </c>
      <c r="AU61" s="58">
        <v>24</v>
      </c>
      <c r="AV61" s="57">
        <v>40438</v>
      </c>
      <c r="AW61" s="58">
        <v>13</v>
      </c>
      <c r="AX61" s="57">
        <v>34372</v>
      </c>
      <c r="AY61" s="58">
        <v>15</v>
      </c>
      <c r="AZ61" s="79">
        <v>2110216</v>
      </c>
      <c r="BA61" s="79">
        <v>150000</v>
      </c>
      <c r="BB61" s="79">
        <v>232310.62</v>
      </c>
      <c r="BC61" s="79">
        <v>67231.31</v>
      </c>
      <c r="BD61" s="79">
        <v>0</v>
      </c>
      <c r="BE61" s="79">
        <v>68435</v>
      </c>
      <c r="BF61" s="79">
        <v>7475</v>
      </c>
      <c r="BG61" s="79">
        <v>1250</v>
      </c>
      <c r="BH61" s="79">
        <f>190668.5+174110-BE61-BF61-BG61</f>
        <v>287618.5</v>
      </c>
      <c r="BI61" s="79">
        <v>14676</v>
      </c>
      <c r="BJ61" s="79">
        <v>379454.5</v>
      </c>
      <c r="BK61" s="79">
        <v>16252.57</v>
      </c>
      <c r="BL61" s="79">
        <v>23035.73</v>
      </c>
      <c r="BM61" s="79">
        <v>6837.01</v>
      </c>
      <c r="BN61" s="79">
        <f>45581.1+8359.28-BK61-BL61-BM61</f>
        <v>7815.0699999999979</v>
      </c>
      <c r="BO61" s="79">
        <v>48850.32</v>
      </c>
      <c r="BP61" s="79">
        <v>102790.7</v>
      </c>
      <c r="BQ61" s="79">
        <v>868163.79</v>
      </c>
      <c r="BR61" s="79">
        <v>1450</v>
      </c>
      <c r="BS61" s="79">
        <v>890</v>
      </c>
      <c r="BT61" s="79">
        <f>938348.92+32156.12-BQ61-BR61-BS61</f>
        <v>100001.25</v>
      </c>
      <c r="BU61" s="79">
        <v>145872.01</v>
      </c>
      <c r="BV61" s="79">
        <v>1116377.05</v>
      </c>
      <c r="BW61" s="79" t="e">
        <f>AZ61+#REF!+BA61+BB61+#REF!+#REF!+#REF!+#REF!+#REF!+#REF!+BC61+BD61+BE61+BK61+BQ61</f>
        <v>#REF!</v>
      </c>
      <c r="BX61" s="79" t="e">
        <f>#REF!+#REF!+#REF!+#REF!+#REF!+#REF!+#REF!+#REF!+#REF!+#REF!+#REF!+#REF!+BF61+BL61+BR61</f>
        <v>#REF!</v>
      </c>
      <c r="BY61" s="79" t="e">
        <f>#REF!+#REF!+#REF!+#REF!+#REF!+#REF!+#REF!+#REF!+#REF!+#REF!+#REF!+#REF!+BG61+BM61+BS61</f>
        <v>#REF!</v>
      </c>
      <c r="BZ61" s="79" t="e">
        <f>#REF!+#REF!+#REF!+#REF!+#REF!+#REF!+#REF!+#REF!+#REF!+#REF!+#REF!+#REF!+BH61+BN61+BT61</f>
        <v>#REF!</v>
      </c>
      <c r="CA61" s="79" t="e">
        <f>#REF!+#REF!+#REF!+#REF!+#REF!+#REF!+#REF!+#REF!+#REF!+#REF!+#REF!+#REF!+BI61+BO61+BU61</f>
        <v>#REF!</v>
      </c>
      <c r="CB61" s="79" t="e">
        <f>#REF!+#REF!+#REF!+#REF!+#REF!+#REF!+#REF!+#REF!+#REF!+#REF!+#REF!+#REF!+BJ61+BP61+BV61</f>
        <v>#REF!</v>
      </c>
      <c r="CC61" s="79">
        <v>2717849.86</v>
      </c>
      <c r="CD61" s="79">
        <v>415689.69</v>
      </c>
      <c r="CE61" s="79">
        <v>423619.63</v>
      </c>
      <c r="CF61" s="79">
        <f>4270228.36+2979799.93-CC61-CD61-CE61</f>
        <v>3692869.1100000017</v>
      </c>
      <c r="CG61" s="79">
        <v>101344.01</v>
      </c>
      <c r="CH61" s="79">
        <v>7351372.3000000007</v>
      </c>
      <c r="CI61" s="79">
        <v>450000</v>
      </c>
      <c r="CJ61" s="79">
        <v>5000</v>
      </c>
      <c r="CK61" s="79">
        <v>0</v>
      </c>
      <c r="CL61" s="79">
        <f>456000+0-CI61-CJ61-CK61</f>
        <v>1000</v>
      </c>
      <c r="CM61" s="79">
        <v>0</v>
      </c>
      <c r="CN61" s="79">
        <v>456000</v>
      </c>
      <c r="CO61" s="79">
        <f>479850+1136612.57</f>
        <v>1616462.57</v>
      </c>
      <c r="CP61" s="79">
        <f>316140+228998.76</f>
        <v>545138.76</v>
      </c>
      <c r="CQ61" s="79">
        <f>138372+211948.41</f>
        <v>350320.41000000003</v>
      </c>
      <c r="CR61" s="79">
        <f>1139912.89+1599360.49+638225.75+515592.41-CO61-CP61-CQ61</f>
        <v>1381169.7999999998</v>
      </c>
      <c r="CS61" s="79">
        <v>0</v>
      </c>
      <c r="CT61" s="79">
        <v>3893091.5400000005</v>
      </c>
      <c r="CU61" s="79">
        <v>0</v>
      </c>
      <c r="CV61" s="79">
        <v>0</v>
      </c>
      <c r="CW61" s="79">
        <v>0</v>
      </c>
      <c r="CX61" s="79">
        <v>0</v>
      </c>
      <c r="CY61" s="79">
        <v>0</v>
      </c>
      <c r="CZ61" s="79">
        <v>0</v>
      </c>
      <c r="DA61" s="79">
        <v>189184</v>
      </c>
      <c r="DB61" s="79">
        <v>56083</v>
      </c>
      <c r="DC61" s="79">
        <v>52474.75</v>
      </c>
      <c r="DD61" s="79">
        <f>245267+52474.75-DA61-DB61-DC61</f>
        <v>0</v>
      </c>
      <c r="DE61" s="79">
        <v>2183942.41</v>
      </c>
      <c r="DF61" s="79">
        <v>2481684.16</v>
      </c>
      <c r="DG61" s="79">
        <v>0</v>
      </c>
      <c r="DH61" s="79">
        <v>0</v>
      </c>
      <c r="DI61" s="79">
        <v>0</v>
      </c>
      <c r="DJ61" s="79">
        <v>0</v>
      </c>
      <c r="DK61" s="79">
        <v>0</v>
      </c>
      <c r="DL61" s="79">
        <v>0</v>
      </c>
      <c r="DM61" s="79">
        <v>0</v>
      </c>
      <c r="DN61" s="79">
        <v>0</v>
      </c>
      <c r="DO61" s="79">
        <v>0</v>
      </c>
      <c r="DP61" s="79">
        <v>0</v>
      </c>
      <c r="DQ61" s="79">
        <v>0</v>
      </c>
      <c r="DR61" s="79">
        <v>0</v>
      </c>
      <c r="DS61" s="79">
        <v>138260.68</v>
      </c>
      <c r="DT61" s="79">
        <v>54161.87</v>
      </c>
      <c r="DU61" s="79">
        <v>35192.699999999997</v>
      </c>
      <c r="DV61" s="79">
        <f>250030.55+83352.95-DS61-DT61-DU61</f>
        <v>105768.25000000001</v>
      </c>
      <c r="DW61" s="79">
        <v>12000</v>
      </c>
      <c r="DX61" s="79">
        <v>345383.5</v>
      </c>
      <c r="DY61" s="79">
        <v>1228925.07</v>
      </c>
      <c r="DZ61" s="79">
        <v>148706.15</v>
      </c>
      <c r="EA61" s="79">
        <v>137457.14000000001</v>
      </c>
      <c r="EB61" s="79">
        <f>1759310.65+586485.2-DY61-DZ61-EA61</f>
        <v>830707.48999999953</v>
      </c>
      <c r="EC61" s="79">
        <v>0</v>
      </c>
      <c r="ED61" s="79">
        <v>2345795.85</v>
      </c>
      <c r="EE61" s="79">
        <v>311088.06</v>
      </c>
      <c r="EF61" s="79">
        <v>44602.22</v>
      </c>
      <c r="EG61" s="79">
        <v>49029.49</v>
      </c>
      <c r="EH61" s="79">
        <f>465867.98+178551.09-EE61-EF61-EG61</f>
        <v>239699.29999999993</v>
      </c>
      <c r="EI61" s="79">
        <v>102293.11</v>
      </c>
      <c r="EJ61" s="79">
        <v>746712.17999999993</v>
      </c>
      <c r="EK61" s="79">
        <v>231550.64</v>
      </c>
      <c r="EL61" s="79">
        <v>75334.11</v>
      </c>
      <c r="EM61" s="79">
        <v>38977.21</v>
      </c>
      <c r="EN61" s="79">
        <f>373221.96+108483.74-EK61-EL61-EM61</f>
        <v>135843.74000000002</v>
      </c>
      <c r="EO61" s="79">
        <v>13228.3</v>
      </c>
      <c r="EP61" s="79">
        <v>494934</v>
      </c>
      <c r="EQ61" s="79">
        <v>32993.58</v>
      </c>
      <c r="ER61" s="79">
        <v>32993.58</v>
      </c>
      <c r="ES61" s="79">
        <v>27764.46</v>
      </c>
      <c r="ET61" s="79">
        <f>441839.41+53347.41-EQ61-ER61-ES61</f>
        <v>401435.1999999999</v>
      </c>
      <c r="EU61" s="79">
        <v>175132.27</v>
      </c>
      <c r="EV61" s="79">
        <v>670319.09000000008</v>
      </c>
      <c r="EW61" s="79">
        <v>30910.02</v>
      </c>
      <c r="EX61" s="79">
        <v>8057.99</v>
      </c>
      <c r="EY61" s="79">
        <v>1395.24</v>
      </c>
      <c r="EZ61" s="79">
        <f>121225.27+101011.55-EW61-EX61-EY61</f>
        <v>181873.57000000004</v>
      </c>
      <c r="FA61" s="79">
        <v>7454.14</v>
      </c>
      <c r="FB61" s="79">
        <v>229690.96000000002</v>
      </c>
      <c r="FC61" s="79">
        <v>178042.43</v>
      </c>
      <c r="FD61" s="79">
        <v>280.94</v>
      </c>
      <c r="FE61" s="79">
        <v>500</v>
      </c>
      <c r="FF61" s="79">
        <f>270485.6+129049.23-FC61-FD61-FE61</f>
        <v>220711.45999999996</v>
      </c>
      <c r="FG61" s="79">
        <v>33496.33</v>
      </c>
      <c r="FH61" s="79">
        <v>433031.16</v>
      </c>
      <c r="FI61" s="79">
        <v>236389.38</v>
      </c>
      <c r="FJ61" s="79">
        <v>0</v>
      </c>
      <c r="FK61" s="79">
        <v>0</v>
      </c>
      <c r="FL61" s="79">
        <f>236389.38+0-FI61-FJ61-FK61</f>
        <v>0</v>
      </c>
      <c r="FM61" s="79">
        <v>56038.47</v>
      </c>
      <c r="FN61" s="79">
        <v>292427.84999999998</v>
      </c>
      <c r="FO61" s="79">
        <v>147484.13</v>
      </c>
      <c r="FP61" s="79">
        <v>96009.95</v>
      </c>
      <c r="FQ61" s="79">
        <v>72991.25</v>
      </c>
      <c r="FR61" s="79">
        <f>308559.08+154673.06-FO61-FP61-FQ61</f>
        <v>146746.81</v>
      </c>
      <c r="FS61" s="79">
        <v>3244018.38</v>
      </c>
      <c r="FT61" s="79">
        <v>3707250.52</v>
      </c>
      <c r="FU61" s="79">
        <v>120518.43</v>
      </c>
      <c r="FV61" s="79">
        <v>3733.77</v>
      </c>
      <c r="FW61" s="79">
        <v>25241.62</v>
      </c>
      <c r="FX61" s="79">
        <f>167205.6+80147.48-FU61-FV61-FW61</f>
        <v>97859.260000000024</v>
      </c>
      <c r="FY61" s="79">
        <v>148306.18</v>
      </c>
      <c r="FZ61" s="79">
        <v>395659.26</v>
      </c>
      <c r="GA61" s="79">
        <v>8227.01</v>
      </c>
      <c r="GB61" s="79">
        <v>3421.9</v>
      </c>
      <c r="GC61" s="79">
        <v>968</v>
      </c>
      <c r="GD61" s="79">
        <f>14325.9+4380.5-GA61-GB61-GC61</f>
        <v>6089.4900000000016</v>
      </c>
      <c r="GE61" s="79">
        <v>23757.26</v>
      </c>
      <c r="GF61" s="79">
        <v>42463.66</v>
      </c>
      <c r="GG61" s="79">
        <v>373417.63</v>
      </c>
      <c r="GH61" s="79">
        <v>54084.54</v>
      </c>
      <c r="GI61" s="79">
        <v>42997.37</v>
      </c>
      <c r="GJ61" s="79">
        <f>563618.07+202753.5-GG61-GH61-GI61</f>
        <v>295872.02999999997</v>
      </c>
      <c r="GK61" s="79">
        <v>641865.5</v>
      </c>
      <c r="GL61" s="79">
        <v>1408237.07</v>
      </c>
      <c r="GM61" s="79">
        <v>8293577.54</v>
      </c>
      <c r="GN61" s="79">
        <v>1543298.47</v>
      </c>
      <c r="GO61" s="79">
        <v>1258929.27</v>
      </c>
      <c r="GP61" s="79">
        <f>12682848.19+5868328.55-GM61-GN61-GO61</f>
        <v>7455371.459999999</v>
      </c>
      <c r="GQ61" s="79">
        <v>6742876.3599999994</v>
      </c>
      <c r="GR61" s="79">
        <v>25294053.100000005</v>
      </c>
      <c r="GS61" s="79">
        <v>0</v>
      </c>
      <c r="GT61" s="79">
        <v>0</v>
      </c>
      <c r="GU61" s="79">
        <v>0</v>
      </c>
      <c r="GV61" s="79">
        <v>0</v>
      </c>
      <c r="GW61" s="79">
        <v>0</v>
      </c>
      <c r="GX61" s="79">
        <v>0</v>
      </c>
      <c r="GY61" s="79">
        <v>8293577.54</v>
      </c>
      <c r="GZ61" s="79">
        <v>1543298.47</v>
      </c>
      <c r="HA61" s="79">
        <v>1258929.27</v>
      </c>
      <c r="HB61" s="79">
        <f>12682848.19+5868328.55-GY61-GZ61-HA61</f>
        <v>7455371.459999999</v>
      </c>
      <c r="HC61" s="79">
        <v>6742876.3599999994</v>
      </c>
      <c r="HD61" s="79">
        <v>25294053.100000005</v>
      </c>
      <c r="HF61" s="7">
        <f>SUM(AZ61:AZ61)</f>
        <v>2110216</v>
      </c>
      <c r="HG61" s="7" t="e">
        <f>#REF!-HF61</f>
        <v>#REF!</v>
      </c>
      <c r="HH61" s="7" t="e">
        <f>SUM(#REF!)</f>
        <v>#REF!</v>
      </c>
      <c r="HI61" s="7" t="e">
        <f>#REF!-HH61</f>
        <v>#REF!</v>
      </c>
      <c r="HJ61" s="7">
        <f>SUM(BA61:BA61)</f>
        <v>150000</v>
      </c>
      <c r="HK61" s="7" t="e">
        <f>#REF!-HJ61</f>
        <v>#REF!</v>
      </c>
      <c r="HL61" s="7">
        <f>SUM(BB61:BB61)</f>
        <v>232310.62</v>
      </c>
      <c r="HM61" s="7" t="e">
        <f>#REF!-HL61</f>
        <v>#REF!</v>
      </c>
      <c r="HN61" s="7" t="e">
        <f>SUM(#REF!)</f>
        <v>#REF!</v>
      </c>
      <c r="HO61" s="7" t="e">
        <f>#REF!-HN61</f>
        <v>#REF!</v>
      </c>
      <c r="HP61" s="7" t="e">
        <f>SUM(#REF!)</f>
        <v>#REF!</v>
      </c>
      <c r="HQ61" s="7" t="e">
        <f>#REF!-HP61</f>
        <v>#REF!</v>
      </c>
      <c r="HR61" s="7" t="e">
        <f>SUM(#REF!)</f>
        <v>#REF!</v>
      </c>
      <c r="HS61" s="7" t="e">
        <f>#REF!-HR61</f>
        <v>#REF!</v>
      </c>
      <c r="HT61" s="7" t="e">
        <f>SUM(#REF!)</f>
        <v>#REF!</v>
      </c>
      <c r="HU61" s="7" t="e">
        <f>#REF!-HT61</f>
        <v>#REF!</v>
      </c>
      <c r="HV61" s="7" t="e">
        <f>SUM(#REF!)</f>
        <v>#REF!</v>
      </c>
      <c r="HW61" s="7" t="e">
        <f>#REF!-HV61</f>
        <v>#REF!</v>
      </c>
      <c r="HX61" s="7" t="e">
        <f>SUM(#REF!)</f>
        <v>#REF!</v>
      </c>
      <c r="HY61" s="7" t="e">
        <f>#REF!-HX61</f>
        <v>#REF!</v>
      </c>
      <c r="HZ61" s="7">
        <f>SUM(BC61:BC61)</f>
        <v>67231.31</v>
      </c>
      <c r="IA61" s="7" t="e">
        <f>#REF!-HZ61</f>
        <v>#REF!</v>
      </c>
      <c r="IB61" s="7">
        <f>SUM(BD61:BD61)</f>
        <v>0</v>
      </c>
      <c r="IC61" s="7" t="e">
        <f>#REF!-IB61</f>
        <v>#REF!</v>
      </c>
      <c r="ID61" s="7">
        <f t="shared" si="57"/>
        <v>379454.5</v>
      </c>
      <c r="IE61" s="7">
        <f t="shared" si="58"/>
        <v>0</v>
      </c>
      <c r="IF61" s="7">
        <f t="shared" si="59"/>
        <v>102790.70000000001</v>
      </c>
      <c r="IG61" s="7">
        <f t="shared" si="60"/>
        <v>0</v>
      </c>
      <c r="IH61" s="7">
        <f t="shared" si="61"/>
        <v>1116377.05</v>
      </c>
      <c r="II61" s="7">
        <f t="shared" si="62"/>
        <v>0</v>
      </c>
      <c r="IJ61" s="7" t="e">
        <f t="shared" si="63"/>
        <v>#REF!</v>
      </c>
      <c r="IK61" s="7" t="e">
        <f t="shared" si="64"/>
        <v>#REF!</v>
      </c>
      <c r="IL61" s="7">
        <f t="shared" si="65"/>
        <v>7351372.3000000007</v>
      </c>
      <c r="IM61" s="7">
        <f t="shared" si="66"/>
        <v>0</v>
      </c>
      <c r="IN61" s="7">
        <f t="shared" si="67"/>
        <v>456000</v>
      </c>
      <c r="IO61" s="7">
        <f t="shared" si="68"/>
        <v>0</v>
      </c>
      <c r="IP61" s="7">
        <f t="shared" si="69"/>
        <v>3893091.54</v>
      </c>
      <c r="IQ61" s="7">
        <f t="shared" si="70"/>
        <v>0</v>
      </c>
      <c r="IR61" s="7">
        <f t="shared" si="71"/>
        <v>0</v>
      </c>
      <c r="IS61" s="7">
        <f t="shared" si="72"/>
        <v>0</v>
      </c>
      <c r="IT61" s="7">
        <f t="shared" si="73"/>
        <v>2481684.16</v>
      </c>
      <c r="IU61" s="7">
        <f t="shared" si="74"/>
        <v>0</v>
      </c>
      <c r="IV61" s="7">
        <f t="shared" si="75"/>
        <v>0</v>
      </c>
      <c r="IW61" s="7">
        <f t="shared" si="76"/>
        <v>0</v>
      </c>
      <c r="IX61" s="7">
        <f t="shared" si="77"/>
        <v>0</v>
      </c>
      <c r="IY61" s="7">
        <f t="shared" si="78"/>
        <v>0</v>
      </c>
      <c r="IZ61" s="7">
        <f t="shared" si="79"/>
        <v>345383.5</v>
      </c>
      <c r="JA61" s="7">
        <f t="shared" si="80"/>
        <v>0</v>
      </c>
      <c r="JB61" s="7">
        <f t="shared" si="81"/>
        <v>2345795.8499999996</v>
      </c>
      <c r="JC61" s="7">
        <f t="shared" si="82"/>
        <v>0</v>
      </c>
      <c r="JD61" s="7">
        <f t="shared" si="83"/>
        <v>746712.17999999993</v>
      </c>
      <c r="JE61" s="7">
        <f t="shared" si="84"/>
        <v>0</v>
      </c>
      <c r="JF61" s="7">
        <f t="shared" si="85"/>
        <v>494934.00000000006</v>
      </c>
      <c r="JG61" s="7">
        <f t="shared" si="86"/>
        <v>0</v>
      </c>
      <c r="JH61" s="7">
        <f t="shared" si="87"/>
        <v>670319.08999999985</v>
      </c>
      <c r="JI61" s="7">
        <f t="shared" si="88"/>
        <v>0</v>
      </c>
      <c r="JJ61" s="7">
        <f t="shared" si="89"/>
        <v>229690.96000000005</v>
      </c>
      <c r="JK61" s="7">
        <f t="shared" si="90"/>
        <v>0</v>
      </c>
      <c r="JL61" s="7">
        <f t="shared" si="91"/>
        <v>433031.16</v>
      </c>
      <c r="JM61" s="7">
        <f t="shared" si="92"/>
        <v>0</v>
      </c>
      <c r="JN61" s="7">
        <f t="shared" si="93"/>
        <v>292427.84999999998</v>
      </c>
      <c r="JO61" s="7">
        <f t="shared" si="94"/>
        <v>0</v>
      </c>
      <c r="JP61" s="7">
        <f t="shared" si="95"/>
        <v>3707250.52</v>
      </c>
      <c r="JQ61" s="7">
        <f t="shared" si="96"/>
        <v>0</v>
      </c>
      <c r="JR61" s="7">
        <f t="shared" si="97"/>
        <v>395659.26</v>
      </c>
      <c r="JS61" s="7">
        <f t="shared" si="98"/>
        <v>0</v>
      </c>
      <c r="JT61" s="7">
        <f t="shared" si="99"/>
        <v>42463.66</v>
      </c>
      <c r="JU61" s="7">
        <f t="shared" si="100"/>
        <v>0</v>
      </c>
      <c r="JV61" s="7">
        <f t="shared" si="55"/>
        <v>1408237.0699999998</v>
      </c>
      <c r="JW61" s="7">
        <f t="shared" si="56"/>
        <v>0</v>
      </c>
      <c r="JX61" s="7">
        <f t="shared" si="101"/>
        <v>25294053.099999998</v>
      </c>
      <c r="JY61" s="7">
        <f t="shared" si="102"/>
        <v>0</v>
      </c>
      <c r="JZ61" s="7">
        <f t="shared" si="103"/>
        <v>0</v>
      </c>
      <c r="KA61" s="7">
        <f t="shared" si="104"/>
        <v>0</v>
      </c>
      <c r="KB61" s="7">
        <f t="shared" si="105"/>
        <v>25294053.099999998</v>
      </c>
      <c r="KC61" s="7">
        <f t="shared" si="106"/>
        <v>0</v>
      </c>
      <c r="KE61" s="7" t="e">
        <f t="shared" si="54"/>
        <v>#REF!</v>
      </c>
      <c r="KG61" s="5" t="e">
        <f t="shared" si="53"/>
        <v>#REF!</v>
      </c>
    </row>
    <row r="62" spans="1:293" x14ac:dyDescent="0.15">
      <c r="A62" s="119" t="s">
        <v>273</v>
      </c>
      <c r="B62" s="17" t="s">
        <v>343</v>
      </c>
      <c r="C62" s="41">
        <v>204857</v>
      </c>
      <c r="D62" s="38">
        <v>2013</v>
      </c>
      <c r="E62" s="38">
        <v>1</v>
      </c>
      <c r="F62" s="38">
        <v>9</v>
      </c>
      <c r="G62" s="39">
        <v>7936</v>
      </c>
      <c r="H62" s="39">
        <v>8919</v>
      </c>
      <c r="I62" s="40">
        <v>643231932</v>
      </c>
      <c r="J62" s="40"/>
      <c r="K62" s="40">
        <v>239634</v>
      </c>
      <c r="L62" s="40"/>
      <c r="M62" s="40">
        <v>54340345</v>
      </c>
      <c r="N62" s="40"/>
      <c r="O62" s="40">
        <v>2853396</v>
      </c>
      <c r="P62" s="40"/>
      <c r="Q62" s="40">
        <v>324848654</v>
      </c>
      <c r="R62" s="40"/>
      <c r="S62" s="40">
        <v>572668355</v>
      </c>
      <c r="T62" s="40"/>
      <c r="U62" s="40">
        <v>21176</v>
      </c>
      <c r="V62" s="40"/>
      <c r="W62" s="40">
        <v>30140</v>
      </c>
      <c r="X62" s="40"/>
      <c r="Y62" s="40">
        <v>24920</v>
      </c>
      <c r="Z62" s="40"/>
      <c r="AA62" s="40">
        <v>33884</v>
      </c>
      <c r="AB62" s="40"/>
      <c r="AC62" s="56">
        <v>6</v>
      </c>
      <c r="AD62" s="56">
        <v>10</v>
      </c>
      <c r="AE62" s="56">
        <v>0</v>
      </c>
      <c r="AF62" s="57">
        <v>3993373</v>
      </c>
      <c r="AG62" s="57">
        <v>2897873</v>
      </c>
      <c r="AH62" s="57">
        <v>406360</v>
      </c>
      <c r="AI62" s="57">
        <v>141936</v>
      </c>
      <c r="AJ62" s="57">
        <v>326905</v>
      </c>
      <c r="AK62" s="58">
        <v>5</v>
      </c>
      <c r="AL62" s="57">
        <v>288766</v>
      </c>
      <c r="AM62" s="58">
        <v>6</v>
      </c>
      <c r="AN62" s="57">
        <v>120053</v>
      </c>
      <c r="AO62" s="58">
        <v>8</v>
      </c>
      <c r="AP62" s="57">
        <v>115551</v>
      </c>
      <c r="AQ62" s="58">
        <v>8</v>
      </c>
      <c r="AR62" s="57">
        <v>104999</v>
      </c>
      <c r="AS62" s="58">
        <v>16</v>
      </c>
      <c r="AT62" s="57">
        <v>99317</v>
      </c>
      <c r="AU62" s="58">
        <v>17</v>
      </c>
      <c r="AV62" s="57">
        <v>69136</v>
      </c>
      <c r="AW62" s="58">
        <v>12</v>
      </c>
      <c r="AX62" s="57">
        <v>66211</v>
      </c>
      <c r="AY62" s="58">
        <v>13</v>
      </c>
      <c r="AZ62" s="79">
        <v>637533</v>
      </c>
      <c r="BA62" s="79">
        <v>900000</v>
      </c>
      <c r="BB62" s="79">
        <v>131889</v>
      </c>
      <c r="BC62" s="79">
        <v>38921</v>
      </c>
      <c r="BD62" s="79">
        <v>0</v>
      </c>
      <c r="BE62" s="79">
        <v>30979</v>
      </c>
      <c r="BF62" s="79">
        <v>135906</v>
      </c>
      <c r="BG62" s="79">
        <v>2845</v>
      </c>
      <c r="BH62" s="79">
        <v>80932</v>
      </c>
      <c r="BI62" s="79">
        <v>0</v>
      </c>
      <c r="BJ62" s="79">
        <v>250662</v>
      </c>
      <c r="BK62" s="79">
        <v>6879</v>
      </c>
      <c r="BL62" s="79">
        <v>6174</v>
      </c>
      <c r="BM62" s="79">
        <v>0</v>
      </c>
      <c r="BN62" s="79">
        <v>33835</v>
      </c>
      <c r="BO62" s="79">
        <v>67990</v>
      </c>
      <c r="BP62" s="79">
        <v>114878</v>
      </c>
      <c r="BQ62" s="79">
        <v>4320</v>
      </c>
      <c r="BR62" s="79">
        <v>0</v>
      </c>
      <c r="BS62" s="79">
        <v>0</v>
      </c>
      <c r="BT62" s="79">
        <v>73642</v>
      </c>
      <c r="BU62" s="79">
        <v>101587</v>
      </c>
      <c r="BV62" s="79">
        <v>179549</v>
      </c>
      <c r="BW62" s="79">
        <v>6045236</v>
      </c>
      <c r="BX62" s="79">
        <v>2426218</v>
      </c>
      <c r="BY62" s="79">
        <v>644188</v>
      </c>
      <c r="BZ62" s="79">
        <v>4719826</v>
      </c>
      <c r="CA62" s="79">
        <v>13429593</v>
      </c>
      <c r="CB62" s="79">
        <v>27265061</v>
      </c>
      <c r="CC62" s="79">
        <v>2676195</v>
      </c>
      <c r="CD62" s="79">
        <v>471189</v>
      </c>
      <c r="CE62" s="79">
        <v>454508</v>
      </c>
      <c r="CF62" s="79">
        <v>3289354</v>
      </c>
      <c r="CG62" s="79">
        <v>177445</v>
      </c>
      <c r="CH62" s="79">
        <v>7068691</v>
      </c>
      <c r="CI62" s="79">
        <v>400000</v>
      </c>
      <c r="CJ62" s="79">
        <v>286500</v>
      </c>
      <c r="CK62" s="79">
        <v>9200</v>
      </c>
      <c r="CL62" s="79">
        <v>5500</v>
      </c>
      <c r="CM62" s="79">
        <v>0</v>
      </c>
      <c r="CN62" s="79">
        <v>701200</v>
      </c>
      <c r="CO62" s="79">
        <v>1922429</v>
      </c>
      <c r="CP62" s="79">
        <v>971587</v>
      </c>
      <c r="CQ62" s="79">
        <v>557831</v>
      </c>
      <c r="CR62" s="79">
        <v>1754305</v>
      </c>
      <c r="CS62" s="79">
        <v>0</v>
      </c>
      <c r="CT62" s="79">
        <v>5206152</v>
      </c>
      <c r="CU62" s="79">
        <v>0</v>
      </c>
      <c r="CV62" s="79">
        <v>0</v>
      </c>
      <c r="CW62" s="79">
        <v>0</v>
      </c>
      <c r="CX62" s="79">
        <v>0</v>
      </c>
      <c r="CY62" s="79">
        <v>0</v>
      </c>
      <c r="CZ62" s="79">
        <v>0</v>
      </c>
      <c r="DA62" s="79">
        <v>216234</v>
      </c>
      <c r="DB62" s="79">
        <v>92847</v>
      </c>
      <c r="DC62" s="79">
        <v>68988</v>
      </c>
      <c r="DD62" s="79">
        <v>99676</v>
      </c>
      <c r="DE62" s="79">
        <v>2210954</v>
      </c>
      <c r="DF62" s="79">
        <v>2688699</v>
      </c>
      <c r="DG62" s="79">
        <v>0</v>
      </c>
      <c r="DH62" s="79">
        <v>0</v>
      </c>
      <c r="DI62" s="79">
        <v>0</v>
      </c>
      <c r="DJ62" s="79">
        <v>0</v>
      </c>
      <c r="DK62" s="79">
        <v>0</v>
      </c>
      <c r="DL62" s="79">
        <v>0</v>
      </c>
      <c r="DM62" s="79">
        <v>0</v>
      </c>
      <c r="DN62" s="79">
        <v>0</v>
      </c>
      <c r="DO62" s="79">
        <v>0</v>
      </c>
      <c r="DP62" s="79">
        <v>0</v>
      </c>
      <c r="DQ62" s="79">
        <v>0</v>
      </c>
      <c r="DR62" s="79">
        <v>0</v>
      </c>
      <c r="DS62" s="79">
        <v>264928</v>
      </c>
      <c r="DT62" s="79">
        <v>90206</v>
      </c>
      <c r="DU62" s="79">
        <v>69462</v>
      </c>
      <c r="DV62" s="79">
        <v>123700</v>
      </c>
      <c r="DW62" s="79">
        <v>0</v>
      </c>
      <c r="DX62" s="79">
        <v>548296</v>
      </c>
      <c r="DY62" s="79">
        <v>848360</v>
      </c>
      <c r="DZ62" s="79">
        <v>375849</v>
      </c>
      <c r="EA62" s="79">
        <v>145851</v>
      </c>
      <c r="EB62" s="79">
        <v>871454</v>
      </c>
      <c r="EC62" s="79">
        <v>0</v>
      </c>
      <c r="ED62" s="79">
        <v>2241514</v>
      </c>
      <c r="EE62" s="79">
        <v>355175</v>
      </c>
      <c r="EF62" s="79">
        <v>41191</v>
      </c>
      <c r="EG62" s="79">
        <v>23360</v>
      </c>
      <c r="EH62" s="79">
        <v>298755</v>
      </c>
      <c r="EI62" s="79">
        <v>289835</v>
      </c>
      <c r="EJ62" s="79">
        <v>1008316</v>
      </c>
      <c r="EK62" s="79">
        <v>73725</v>
      </c>
      <c r="EL62" s="79">
        <v>88984</v>
      </c>
      <c r="EM62" s="79">
        <v>44750</v>
      </c>
      <c r="EN62" s="79">
        <v>64178</v>
      </c>
      <c r="EO62" s="79">
        <v>0</v>
      </c>
      <c r="EP62" s="79">
        <v>271637</v>
      </c>
      <c r="EQ62" s="79">
        <v>28826</v>
      </c>
      <c r="ER62" s="79">
        <v>8944</v>
      </c>
      <c r="ES62" s="79">
        <v>6725</v>
      </c>
      <c r="ET62" s="79">
        <v>25224</v>
      </c>
      <c r="EU62" s="79">
        <v>1057289</v>
      </c>
      <c r="EV62" s="79">
        <v>1127008</v>
      </c>
      <c r="EW62" s="79">
        <v>30009</v>
      </c>
      <c r="EX62" s="79">
        <v>137516</v>
      </c>
      <c r="EY62" s="79">
        <v>800</v>
      </c>
      <c r="EZ62" s="79">
        <v>80270</v>
      </c>
      <c r="FA62" s="79">
        <v>0</v>
      </c>
      <c r="FB62" s="79">
        <v>248595</v>
      </c>
      <c r="FC62" s="79">
        <v>127547</v>
      </c>
      <c r="FD62" s="79">
        <v>296301</v>
      </c>
      <c r="FE62" s="79">
        <v>12848</v>
      </c>
      <c r="FF62" s="79">
        <v>331432</v>
      </c>
      <c r="FG62" s="79">
        <v>1198550</v>
      </c>
      <c r="FH62" s="79">
        <v>1966678</v>
      </c>
      <c r="FI62" s="79">
        <v>0</v>
      </c>
      <c r="FJ62" s="79">
        <v>0</v>
      </c>
      <c r="FK62" s="79">
        <v>0</v>
      </c>
      <c r="FL62" s="79">
        <v>0</v>
      </c>
      <c r="FM62" s="79">
        <v>0</v>
      </c>
      <c r="FN62" s="79">
        <v>0</v>
      </c>
      <c r="FO62" s="79">
        <v>677715</v>
      </c>
      <c r="FP62" s="79">
        <v>280434</v>
      </c>
      <c r="FQ62" s="79">
        <v>140217</v>
      </c>
      <c r="FR62" s="79">
        <v>677712</v>
      </c>
      <c r="FS62" s="79">
        <v>560872</v>
      </c>
      <c r="FT62" s="79">
        <v>2336950</v>
      </c>
      <c r="FU62" s="79">
        <v>6338</v>
      </c>
      <c r="FV62" s="79">
        <v>260</v>
      </c>
      <c r="FW62" s="79">
        <v>3050</v>
      </c>
      <c r="FX62" s="79">
        <v>4160</v>
      </c>
      <c r="FY62" s="79">
        <v>593615</v>
      </c>
      <c r="FZ62" s="79">
        <v>607423</v>
      </c>
      <c r="GA62" s="79">
        <v>80</v>
      </c>
      <c r="GB62" s="79">
        <v>590</v>
      </c>
      <c r="GC62" s="79">
        <v>897</v>
      </c>
      <c r="GD62" s="79">
        <v>26804</v>
      </c>
      <c r="GE62" s="79">
        <v>242756</v>
      </c>
      <c r="GF62" s="79">
        <v>271127</v>
      </c>
      <c r="GG62" s="79">
        <v>263981</v>
      </c>
      <c r="GH62" s="79">
        <v>80000</v>
      </c>
      <c r="GI62" s="79">
        <v>7361</v>
      </c>
      <c r="GJ62" s="79">
        <v>52343</v>
      </c>
      <c r="GK62" s="79">
        <v>331579</v>
      </c>
      <c r="GL62" s="79">
        <v>735264</v>
      </c>
      <c r="GM62" s="79">
        <v>7891542</v>
      </c>
      <c r="GN62" s="79">
        <v>3222398</v>
      </c>
      <c r="GO62" s="79">
        <v>1545848</v>
      </c>
      <c r="GP62" s="79">
        <v>7704867</v>
      </c>
      <c r="GQ62" s="79">
        <v>6662895</v>
      </c>
      <c r="GR62" s="79">
        <v>27027550</v>
      </c>
      <c r="GS62" s="79">
        <v>0</v>
      </c>
      <c r="GT62" s="79">
        <v>0</v>
      </c>
      <c r="GU62" s="79">
        <v>0</v>
      </c>
      <c r="GV62" s="79">
        <v>0</v>
      </c>
      <c r="GW62" s="79">
        <v>0</v>
      </c>
      <c r="GX62" s="79">
        <v>0</v>
      </c>
      <c r="GY62" s="79">
        <v>7891542</v>
      </c>
      <c r="GZ62" s="79">
        <v>3222398</v>
      </c>
      <c r="HA62" s="79">
        <v>1545848</v>
      </c>
      <c r="HB62" s="79">
        <v>7704867</v>
      </c>
      <c r="HC62" s="79">
        <v>6662895</v>
      </c>
      <c r="HD62" s="79">
        <v>27027550</v>
      </c>
      <c r="HF62" s="7">
        <f>SUM(AZ62:AZ62)</f>
        <v>637533</v>
      </c>
      <c r="HG62" s="7" t="e">
        <f>#REF!-HF62</f>
        <v>#REF!</v>
      </c>
      <c r="HH62" s="7" t="e">
        <f>SUM(#REF!)</f>
        <v>#REF!</v>
      </c>
      <c r="HI62" s="7" t="e">
        <f>#REF!-HH62</f>
        <v>#REF!</v>
      </c>
      <c r="HJ62" s="7">
        <f>SUM(BA62:BA62)</f>
        <v>900000</v>
      </c>
      <c r="HK62" s="7" t="e">
        <f>#REF!-HJ62</f>
        <v>#REF!</v>
      </c>
      <c r="HL62" s="7">
        <f>SUM(BB62:BB62)</f>
        <v>131889</v>
      </c>
      <c r="HM62" s="7" t="e">
        <f>#REF!-HL62</f>
        <v>#REF!</v>
      </c>
      <c r="HN62" s="7" t="e">
        <f>SUM(#REF!)</f>
        <v>#REF!</v>
      </c>
      <c r="HO62" s="7" t="e">
        <f>#REF!-HN62</f>
        <v>#REF!</v>
      </c>
      <c r="HP62" s="7" t="e">
        <f>SUM(#REF!)</f>
        <v>#REF!</v>
      </c>
      <c r="HQ62" s="7" t="e">
        <f>#REF!-HP62</f>
        <v>#REF!</v>
      </c>
      <c r="HR62" s="7" t="e">
        <f>SUM(#REF!)</f>
        <v>#REF!</v>
      </c>
      <c r="HS62" s="7" t="e">
        <f>#REF!-HR62</f>
        <v>#REF!</v>
      </c>
      <c r="HT62" s="7" t="e">
        <f>SUM(#REF!)</f>
        <v>#REF!</v>
      </c>
      <c r="HU62" s="7" t="e">
        <f>#REF!-HT62</f>
        <v>#REF!</v>
      </c>
      <c r="HV62" s="7" t="e">
        <f>SUM(#REF!)</f>
        <v>#REF!</v>
      </c>
      <c r="HW62" s="7" t="e">
        <f>#REF!-HV62</f>
        <v>#REF!</v>
      </c>
      <c r="HX62" s="7" t="e">
        <f>SUM(#REF!)</f>
        <v>#REF!</v>
      </c>
      <c r="HY62" s="7" t="e">
        <f>#REF!-HX62</f>
        <v>#REF!</v>
      </c>
      <c r="HZ62" s="7">
        <f>SUM(BC62:BC62)</f>
        <v>38921</v>
      </c>
      <c r="IA62" s="7" t="e">
        <f>#REF!-HZ62</f>
        <v>#REF!</v>
      </c>
      <c r="IB62" s="7">
        <f>SUM(BD62:BD62)</f>
        <v>0</v>
      </c>
      <c r="IC62" s="7" t="e">
        <f>#REF!-IB62</f>
        <v>#REF!</v>
      </c>
      <c r="ID62" s="7">
        <f t="shared" si="57"/>
        <v>250662</v>
      </c>
      <c r="IE62" s="7">
        <f t="shared" si="58"/>
        <v>0</v>
      </c>
      <c r="IF62" s="7">
        <f t="shared" si="59"/>
        <v>114878</v>
      </c>
      <c r="IG62" s="7">
        <f t="shared" si="60"/>
        <v>0</v>
      </c>
      <c r="IH62" s="7">
        <f t="shared" si="61"/>
        <v>179549</v>
      </c>
      <c r="II62" s="7">
        <f t="shared" si="62"/>
        <v>0</v>
      </c>
      <c r="IJ62" s="7">
        <f t="shared" si="63"/>
        <v>27265061</v>
      </c>
      <c r="IK62" s="7">
        <f t="shared" si="64"/>
        <v>0</v>
      </c>
      <c r="IL62" s="7">
        <f t="shared" si="65"/>
        <v>7068691</v>
      </c>
      <c r="IM62" s="7">
        <f t="shared" si="66"/>
        <v>0</v>
      </c>
      <c r="IN62" s="7">
        <f t="shared" si="67"/>
        <v>701200</v>
      </c>
      <c r="IO62" s="7">
        <f t="shared" si="68"/>
        <v>0</v>
      </c>
      <c r="IP62" s="7">
        <f t="shared" si="69"/>
        <v>5206152</v>
      </c>
      <c r="IQ62" s="7">
        <f t="shared" si="70"/>
        <v>0</v>
      </c>
      <c r="IR62" s="7">
        <f t="shared" si="71"/>
        <v>0</v>
      </c>
      <c r="IS62" s="7">
        <f t="shared" si="72"/>
        <v>0</v>
      </c>
      <c r="IT62" s="7">
        <f t="shared" si="73"/>
        <v>2688699</v>
      </c>
      <c r="IU62" s="7">
        <f t="shared" si="74"/>
        <v>0</v>
      </c>
      <c r="IV62" s="7">
        <f t="shared" si="75"/>
        <v>0</v>
      </c>
      <c r="IW62" s="7">
        <f t="shared" si="76"/>
        <v>0</v>
      </c>
      <c r="IX62" s="7">
        <f t="shared" si="77"/>
        <v>0</v>
      </c>
      <c r="IY62" s="7">
        <f t="shared" si="78"/>
        <v>0</v>
      </c>
      <c r="IZ62" s="7">
        <f t="shared" si="79"/>
        <v>548296</v>
      </c>
      <c r="JA62" s="7">
        <f t="shared" si="80"/>
        <v>0</v>
      </c>
      <c r="JB62" s="7">
        <f t="shared" si="81"/>
        <v>2241514</v>
      </c>
      <c r="JC62" s="7">
        <f t="shared" si="82"/>
        <v>0</v>
      </c>
      <c r="JD62" s="7">
        <f t="shared" si="83"/>
        <v>1008316</v>
      </c>
      <c r="JE62" s="7">
        <f t="shared" si="84"/>
        <v>0</v>
      </c>
      <c r="JF62" s="7">
        <f t="shared" si="85"/>
        <v>271637</v>
      </c>
      <c r="JG62" s="7">
        <f t="shared" si="86"/>
        <v>0</v>
      </c>
      <c r="JH62" s="7">
        <f t="shared" si="87"/>
        <v>1127008</v>
      </c>
      <c r="JI62" s="7">
        <f t="shared" si="88"/>
        <v>0</v>
      </c>
      <c r="JJ62" s="7">
        <f t="shared" si="89"/>
        <v>248595</v>
      </c>
      <c r="JK62" s="7">
        <f t="shared" si="90"/>
        <v>0</v>
      </c>
      <c r="JL62" s="7">
        <f t="shared" si="91"/>
        <v>1966678</v>
      </c>
      <c r="JM62" s="7">
        <f t="shared" si="92"/>
        <v>0</v>
      </c>
      <c r="JN62" s="7">
        <f t="shared" si="93"/>
        <v>0</v>
      </c>
      <c r="JO62" s="7">
        <f t="shared" si="94"/>
        <v>0</v>
      </c>
      <c r="JP62" s="7">
        <f t="shared" si="95"/>
        <v>2336950</v>
      </c>
      <c r="JQ62" s="7">
        <f t="shared" si="96"/>
        <v>0</v>
      </c>
      <c r="JR62" s="7">
        <f t="shared" si="97"/>
        <v>607423</v>
      </c>
      <c r="JS62" s="7">
        <f t="shared" si="98"/>
        <v>0</v>
      </c>
      <c r="JT62" s="7">
        <f t="shared" si="99"/>
        <v>271127</v>
      </c>
      <c r="JU62" s="7">
        <f t="shared" si="100"/>
        <v>0</v>
      </c>
      <c r="JV62" s="7">
        <f t="shared" si="55"/>
        <v>735264</v>
      </c>
      <c r="JW62" s="7">
        <f t="shared" si="56"/>
        <v>0</v>
      </c>
      <c r="JX62" s="7">
        <f t="shared" si="101"/>
        <v>27027550</v>
      </c>
      <c r="JY62" s="7">
        <f t="shared" si="102"/>
        <v>0</v>
      </c>
      <c r="JZ62" s="7">
        <f t="shared" si="103"/>
        <v>0</v>
      </c>
      <c r="KA62" s="7">
        <f t="shared" si="104"/>
        <v>0</v>
      </c>
      <c r="KB62" s="7">
        <f t="shared" si="105"/>
        <v>27027550</v>
      </c>
      <c r="KC62" s="7">
        <f t="shared" si="106"/>
        <v>0</v>
      </c>
      <c r="KE62" s="7" t="e">
        <f t="shared" si="54"/>
        <v>#REF!</v>
      </c>
      <c r="KG62" s="5" t="e">
        <f t="shared" si="53"/>
        <v>#REF!</v>
      </c>
    </row>
    <row r="63" spans="1:293" x14ac:dyDescent="0.15">
      <c r="A63" s="119" t="s">
        <v>274</v>
      </c>
      <c r="B63" s="17" t="s">
        <v>343</v>
      </c>
      <c r="C63" s="41">
        <v>204796</v>
      </c>
      <c r="D63" s="38">
        <v>2013</v>
      </c>
      <c r="E63" s="38">
        <v>1</v>
      </c>
      <c r="F63" s="38">
        <v>3</v>
      </c>
      <c r="G63" s="39">
        <v>20358</v>
      </c>
      <c r="H63" s="39">
        <v>18526</v>
      </c>
      <c r="I63" s="40">
        <v>4841425000</v>
      </c>
      <c r="J63" s="40"/>
      <c r="K63" s="40">
        <v>15882000</v>
      </c>
      <c r="L63" s="40"/>
      <c r="M63" s="40">
        <v>335743000</v>
      </c>
      <c r="N63" s="40"/>
      <c r="O63" s="40">
        <v>169342000</v>
      </c>
      <c r="P63" s="40"/>
      <c r="Q63" s="40">
        <v>2700165000</v>
      </c>
      <c r="R63" s="40"/>
      <c r="S63" s="40">
        <v>2221666000</v>
      </c>
      <c r="T63" s="40"/>
      <c r="U63" s="40">
        <v>22468</v>
      </c>
      <c r="V63" s="40"/>
      <c r="W63" s="40">
        <v>37876</v>
      </c>
      <c r="X63" s="40"/>
      <c r="Y63" s="40">
        <v>27159</v>
      </c>
      <c r="Z63" s="40"/>
      <c r="AA63" s="40">
        <v>43287</v>
      </c>
      <c r="AB63" s="40"/>
      <c r="AC63" s="56">
        <v>17</v>
      </c>
      <c r="AD63" s="56">
        <v>17</v>
      </c>
      <c r="AE63" s="56">
        <v>1</v>
      </c>
      <c r="AF63" s="57">
        <v>7761328</v>
      </c>
      <c r="AG63" s="57">
        <v>7377647</v>
      </c>
      <c r="AH63" s="57">
        <v>1270845</v>
      </c>
      <c r="AI63" s="57">
        <v>459760</v>
      </c>
      <c r="AJ63" s="57">
        <v>823183.87</v>
      </c>
      <c r="AK63" s="58">
        <v>15</v>
      </c>
      <c r="AL63" s="57">
        <v>726338.71</v>
      </c>
      <c r="AM63" s="58">
        <v>17</v>
      </c>
      <c r="AN63" s="57">
        <v>314764.38</v>
      </c>
      <c r="AO63" s="58">
        <v>16</v>
      </c>
      <c r="AP63" s="57">
        <v>279790.56</v>
      </c>
      <c r="AQ63" s="58">
        <v>18</v>
      </c>
      <c r="AR63" s="57">
        <v>269404.77</v>
      </c>
      <c r="AS63" s="58">
        <v>32.5</v>
      </c>
      <c r="AT63" s="57">
        <v>257519.26</v>
      </c>
      <c r="AU63" s="58">
        <v>34</v>
      </c>
      <c r="AV63" s="57">
        <v>87799.7</v>
      </c>
      <c r="AW63" s="58">
        <v>26.5</v>
      </c>
      <c r="AX63" s="57">
        <v>83096.14</v>
      </c>
      <c r="AY63" s="58">
        <v>28</v>
      </c>
      <c r="AZ63" s="79">
        <v>46317719</v>
      </c>
      <c r="BA63" s="79">
        <v>3088171</v>
      </c>
      <c r="BB63" s="79">
        <v>425443</v>
      </c>
      <c r="BC63" s="79">
        <v>4088537</v>
      </c>
      <c r="BD63" s="79">
        <v>0</v>
      </c>
      <c r="BE63" s="79">
        <v>574771</v>
      </c>
      <c r="BF63" s="79">
        <v>141154</v>
      </c>
      <c r="BG63" s="79">
        <v>0</v>
      </c>
      <c r="BH63" s="79">
        <v>2311697</v>
      </c>
      <c r="BI63" s="79">
        <v>141064</v>
      </c>
      <c r="BJ63" s="79">
        <v>3168686</v>
      </c>
      <c r="BK63" s="79">
        <v>546280</v>
      </c>
      <c r="BL63" s="79">
        <v>124351</v>
      </c>
      <c r="BM63" s="79">
        <v>30879</v>
      </c>
      <c r="BN63" s="79">
        <v>517564</v>
      </c>
      <c r="BO63" s="79">
        <v>1379975</v>
      </c>
      <c r="BP63" s="79">
        <v>2599049</v>
      </c>
      <c r="BQ63" s="79">
        <v>0</v>
      </c>
      <c r="BR63" s="79">
        <v>0</v>
      </c>
      <c r="BS63" s="79">
        <v>157998</v>
      </c>
      <c r="BT63" s="79">
        <v>0</v>
      </c>
      <c r="BU63" s="79">
        <v>7446365</v>
      </c>
      <c r="BV63" s="79">
        <v>7604363</v>
      </c>
      <c r="BW63" s="79">
        <v>69073889</v>
      </c>
      <c r="BX63" s="79">
        <v>21999614</v>
      </c>
      <c r="BY63" s="79">
        <v>738429</v>
      </c>
      <c r="BZ63" s="79">
        <v>5612285</v>
      </c>
      <c r="CA63" s="79">
        <v>42215090</v>
      </c>
      <c r="CB63" s="79">
        <v>139639307</v>
      </c>
      <c r="CC63" s="79">
        <v>3243001</v>
      </c>
      <c r="CD63" s="79">
        <v>488387</v>
      </c>
      <c r="CE63" s="79">
        <v>569296</v>
      </c>
      <c r="CF63" s="79">
        <v>11056525</v>
      </c>
      <c r="CG63" s="79">
        <v>0</v>
      </c>
      <c r="CH63" s="79">
        <v>15357209</v>
      </c>
      <c r="CI63" s="79">
        <v>6948051</v>
      </c>
      <c r="CJ63" s="79">
        <v>752762</v>
      </c>
      <c r="CK63" s="79">
        <v>254119</v>
      </c>
      <c r="CL63" s="79">
        <v>44949</v>
      </c>
      <c r="CM63" s="79">
        <v>0</v>
      </c>
      <c r="CN63" s="79">
        <v>7999881</v>
      </c>
      <c r="CO63" s="79">
        <v>11166835</v>
      </c>
      <c r="CP63" s="79">
        <v>5048668</v>
      </c>
      <c r="CQ63" s="79">
        <v>2956557</v>
      </c>
      <c r="CR63" s="79">
        <v>9294275</v>
      </c>
      <c r="CS63" s="79">
        <v>0</v>
      </c>
      <c r="CT63" s="79">
        <v>28466335</v>
      </c>
      <c r="CU63" s="79">
        <v>21000</v>
      </c>
      <c r="CV63" s="79">
        <v>5000</v>
      </c>
      <c r="CW63" s="79">
        <v>5000</v>
      </c>
      <c r="CX63" s="79">
        <v>0</v>
      </c>
      <c r="CY63" s="79">
        <v>0</v>
      </c>
      <c r="CZ63" s="79">
        <v>31000</v>
      </c>
      <c r="DA63" s="79">
        <v>2587481</v>
      </c>
      <c r="DB63" s="79">
        <v>318243</v>
      </c>
      <c r="DC63" s="79">
        <v>259172</v>
      </c>
      <c r="DD63" s="79">
        <v>359032</v>
      </c>
      <c r="DE63" s="79">
        <v>20826840</v>
      </c>
      <c r="DF63" s="79">
        <v>24350768</v>
      </c>
      <c r="DG63" s="79">
        <v>0</v>
      </c>
      <c r="DH63" s="79">
        <v>0</v>
      </c>
      <c r="DI63" s="79">
        <v>0</v>
      </c>
      <c r="DJ63" s="79">
        <v>0</v>
      </c>
      <c r="DK63" s="79">
        <v>44000</v>
      </c>
      <c r="DL63" s="79">
        <v>44000</v>
      </c>
      <c r="DM63" s="79">
        <v>0</v>
      </c>
      <c r="DN63" s="79">
        <v>0</v>
      </c>
      <c r="DO63" s="79">
        <v>420934</v>
      </c>
      <c r="DP63" s="79">
        <v>129878</v>
      </c>
      <c r="DQ63" s="79">
        <v>0</v>
      </c>
      <c r="DR63" s="79">
        <v>550812</v>
      </c>
      <c r="DS63" s="79">
        <v>564152</v>
      </c>
      <c r="DT63" s="79">
        <v>374844</v>
      </c>
      <c r="DU63" s="79">
        <v>115500</v>
      </c>
      <c r="DV63" s="79">
        <v>684137</v>
      </c>
      <c r="DW63" s="79">
        <v>0</v>
      </c>
      <c r="DX63" s="79">
        <v>1738633</v>
      </c>
      <c r="DY63" s="79">
        <v>1442771</v>
      </c>
      <c r="DZ63" s="79">
        <v>1109060</v>
      </c>
      <c r="EA63" s="79">
        <v>872607</v>
      </c>
      <c r="EB63" s="79">
        <v>4020600</v>
      </c>
      <c r="EC63" s="79">
        <v>0</v>
      </c>
      <c r="ED63" s="79">
        <v>7445038</v>
      </c>
      <c r="EE63" s="79">
        <v>375291</v>
      </c>
      <c r="EF63" s="79">
        <v>12313</v>
      </c>
      <c r="EG63" s="79">
        <v>8493</v>
      </c>
      <c r="EH63" s="79">
        <v>535850</v>
      </c>
      <c r="EI63" s="79">
        <v>0</v>
      </c>
      <c r="EJ63" s="79">
        <v>931947</v>
      </c>
      <c r="EK63" s="79">
        <v>3148047</v>
      </c>
      <c r="EL63" s="79">
        <v>689344</v>
      </c>
      <c r="EM63" s="79">
        <v>240291</v>
      </c>
      <c r="EN63" s="79">
        <v>663330</v>
      </c>
      <c r="EO63" s="79">
        <v>0</v>
      </c>
      <c r="EP63" s="79">
        <v>4741012</v>
      </c>
      <c r="EQ63" s="79">
        <v>0</v>
      </c>
      <c r="ER63" s="79">
        <v>0</v>
      </c>
      <c r="ES63" s="79">
        <v>0</v>
      </c>
      <c r="ET63" s="79">
        <v>0</v>
      </c>
      <c r="EU63" s="79">
        <v>1214265</v>
      </c>
      <c r="EV63" s="79">
        <v>1214265</v>
      </c>
      <c r="EW63" s="79">
        <v>917032</v>
      </c>
      <c r="EX63" s="79">
        <v>137861</v>
      </c>
      <c r="EY63" s="79">
        <v>13605</v>
      </c>
      <c r="EZ63" s="79">
        <v>2140357</v>
      </c>
      <c r="FA63" s="79">
        <v>428427</v>
      </c>
      <c r="FB63" s="79">
        <v>3637282</v>
      </c>
      <c r="FC63" s="79">
        <v>3653590</v>
      </c>
      <c r="FD63" s="79">
        <v>0</v>
      </c>
      <c r="FE63" s="79">
        <v>0</v>
      </c>
      <c r="FF63" s="79">
        <v>2706409</v>
      </c>
      <c r="FG63" s="79">
        <v>0</v>
      </c>
      <c r="FH63" s="79">
        <v>6359999</v>
      </c>
      <c r="FI63" s="79">
        <v>0</v>
      </c>
      <c r="FJ63" s="79">
        <v>0</v>
      </c>
      <c r="FK63" s="79">
        <v>0</v>
      </c>
      <c r="FL63" s="79">
        <v>0</v>
      </c>
      <c r="FM63" s="79">
        <v>300661</v>
      </c>
      <c r="FN63" s="79">
        <v>300661</v>
      </c>
      <c r="FO63" s="79">
        <v>0</v>
      </c>
      <c r="FP63" s="79">
        <v>0</v>
      </c>
      <c r="FQ63" s="79">
        <v>0</v>
      </c>
      <c r="FR63" s="79">
        <v>0</v>
      </c>
      <c r="FS63" s="79">
        <v>0</v>
      </c>
      <c r="FT63" s="79">
        <v>0</v>
      </c>
      <c r="FU63" s="79">
        <v>0</v>
      </c>
      <c r="FV63" s="79">
        <v>0</v>
      </c>
      <c r="FW63" s="79">
        <v>0</v>
      </c>
      <c r="FX63" s="79">
        <v>0</v>
      </c>
      <c r="FY63" s="79">
        <v>1787936</v>
      </c>
      <c r="FZ63" s="79">
        <v>1787936</v>
      </c>
      <c r="GA63" s="79">
        <v>5928</v>
      </c>
      <c r="GB63" s="79">
        <v>1080</v>
      </c>
      <c r="GC63" s="79">
        <v>885</v>
      </c>
      <c r="GD63" s="79">
        <v>26246</v>
      </c>
      <c r="GE63" s="79">
        <v>276833</v>
      </c>
      <c r="GF63" s="79">
        <v>310972</v>
      </c>
      <c r="GG63" s="79">
        <v>0</v>
      </c>
      <c r="GH63" s="79">
        <v>0</v>
      </c>
      <c r="GI63" s="79">
        <v>0</v>
      </c>
      <c r="GJ63" s="79">
        <v>0</v>
      </c>
      <c r="GK63" s="79">
        <v>1787936</v>
      </c>
      <c r="GL63" s="79">
        <v>1787936</v>
      </c>
      <c r="GM63" s="79">
        <v>34074179</v>
      </c>
      <c r="GN63" s="79">
        <v>8937562</v>
      </c>
      <c r="GO63" s="79">
        <v>5716459</v>
      </c>
      <c r="GP63" s="79">
        <v>31661588</v>
      </c>
      <c r="GQ63" s="79">
        <v>35636541</v>
      </c>
      <c r="GR63" s="79">
        <v>116026329</v>
      </c>
      <c r="GS63" s="79">
        <v>0</v>
      </c>
      <c r="GT63" s="79">
        <v>0</v>
      </c>
      <c r="GU63" s="79">
        <v>0</v>
      </c>
      <c r="GV63" s="79">
        <v>0</v>
      </c>
      <c r="GW63" s="79">
        <v>8279172</v>
      </c>
      <c r="GX63" s="79">
        <v>8279172</v>
      </c>
      <c r="GY63" s="79">
        <v>34074179</v>
      </c>
      <c r="GZ63" s="79">
        <v>8937562</v>
      </c>
      <c r="HA63" s="79">
        <v>5716459</v>
      </c>
      <c r="HB63" s="79">
        <v>31661588</v>
      </c>
      <c r="HC63" s="79">
        <v>43915713</v>
      </c>
      <c r="HD63" s="79">
        <v>124305501</v>
      </c>
      <c r="HF63" s="7">
        <f>SUM(AZ63:AZ63)</f>
        <v>46317719</v>
      </c>
      <c r="HG63" s="7" t="e">
        <f>#REF!-HF63</f>
        <v>#REF!</v>
      </c>
      <c r="HH63" s="7" t="e">
        <f>SUM(#REF!)</f>
        <v>#REF!</v>
      </c>
      <c r="HI63" s="7" t="e">
        <f>#REF!-HH63</f>
        <v>#REF!</v>
      </c>
      <c r="HJ63" s="7">
        <f>SUM(BA63:BA63)</f>
        <v>3088171</v>
      </c>
      <c r="HK63" s="7" t="e">
        <f>#REF!-HJ63</f>
        <v>#REF!</v>
      </c>
      <c r="HL63" s="7">
        <f>SUM(BB63:BB63)</f>
        <v>425443</v>
      </c>
      <c r="HM63" s="7" t="e">
        <f>#REF!-HL63</f>
        <v>#REF!</v>
      </c>
      <c r="HN63" s="7" t="e">
        <f>SUM(#REF!)</f>
        <v>#REF!</v>
      </c>
      <c r="HO63" s="7" t="e">
        <f>#REF!-HN63</f>
        <v>#REF!</v>
      </c>
      <c r="HP63" s="7" t="e">
        <f>SUM(#REF!)</f>
        <v>#REF!</v>
      </c>
      <c r="HQ63" s="7" t="e">
        <f>#REF!-HP63</f>
        <v>#REF!</v>
      </c>
      <c r="HR63" s="7" t="e">
        <f>SUM(#REF!)</f>
        <v>#REF!</v>
      </c>
      <c r="HS63" s="7" t="e">
        <f>#REF!-HR63</f>
        <v>#REF!</v>
      </c>
      <c r="HT63" s="7" t="e">
        <f>SUM(#REF!)</f>
        <v>#REF!</v>
      </c>
      <c r="HU63" s="7" t="e">
        <f>#REF!-HT63</f>
        <v>#REF!</v>
      </c>
      <c r="HV63" s="7" t="e">
        <f>SUM(#REF!)</f>
        <v>#REF!</v>
      </c>
      <c r="HW63" s="7" t="e">
        <f>#REF!-HV63</f>
        <v>#REF!</v>
      </c>
      <c r="HX63" s="7" t="e">
        <f>SUM(#REF!)</f>
        <v>#REF!</v>
      </c>
      <c r="HY63" s="7" t="e">
        <f>#REF!-HX63</f>
        <v>#REF!</v>
      </c>
      <c r="HZ63" s="7">
        <f>SUM(BC63:BC63)</f>
        <v>4088537</v>
      </c>
      <c r="IA63" s="7" t="e">
        <f>#REF!-HZ63</f>
        <v>#REF!</v>
      </c>
      <c r="IB63" s="7">
        <f>SUM(BD63:BD63)</f>
        <v>0</v>
      </c>
      <c r="IC63" s="7" t="e">
        <f>#REF!-IB63</f>
        <v>#REF!</v>
      </c>
      <c r="ID63" s="7">
        <f t="shared" si="57"/>
        <v>3168686</v>
      </c>
      <c r="IE63" s="7">
        <f t="shared" si="58"/>
        <v>0</v>
      </c>
      <c r="IF63" s="7">
        <f t="shared" si="59"/>
        <v>2599049</v>
      </c>
      <c r="IG63" s="7">
        <f t="shared" si="60"/>
        <v>0</v>
      </c>
      <c r="IH63" s="7">
        <f t="shared" si="61"/>
        <v>7604363</v>
      </c>
      <c r="II63" s="7">
        <f t="shared" si="62"/>
        <v>0</v>
      </c>
      <c r="IJ63" s="7">
        <f t="shared" si="63"/>
        <v>139639307</v>
      </c>
      <c r="IK63" s="7">
        <f t="shared" si="64"/>
        <v>0</v>
      </c>
      <c r="IL63" s="7">
        <f t="shared" si="65"/>
        <v>15357209</v>
      </c>
      <c r="IM63" s="7">
        <f t="shared" si="66"/>
        <v>0</v>
      </c>
      <c r="IN63" s="7">
        <f t="shared" si="67"/>
        <v>7999881</v>
      </c>
      <c r="IO63" s="7">
        <f t="shared" si="68"/>
        <v>0</v>
      </c>
      <c r="IP63" s="7">
        <f t="shared" si="69"/>
        <v>28466335</v>
      </c>
      <c r="IQ63" s="7">
        <f t="shared" si="70"/>
        <v>0</v>
      </c>
      <c r="IR63" s="7">
        <f t="shared" si="71"/>
        <v>31000</v>
      </c>
      <c r="IS63" s="7">
        <f t="shared" si="72"/>
        <v>0</v>
      </c>
      <c r="IT63" s="7">
        <f t="shared" si="73"/>
        <v>24350768</v>
      </c>
      <c r="IU63" s="7">
        <f t="shared" si="74"/>
        <v>0</v>
      </c>
      <c r="IV63" s="7">
        <f t="shared" si="75"/>
        <v>44000</v>
      </c>
      <c r="IW63" s="7">
        <f t="shared" si="76"/>
        <v>0</v>
      </c>
      <c r="IX63" s="7">
        <f t="shared" si="77"/>
        <v>550812</v>
      </c>
      <c r="IY63" s="7">
        <f t="shared" si="78"/>
        <v>0</v>
      </c>
      <c r="IZ63" s="7">
        <f t="shared" si="79"/>
        <v>1738633</v>
      </c>
      <c r="JA63" s="7">
        <f t="shared" si="80"/>
        <v>0</v>
      </c>
      <c r="JB63" s="7">
        <f t="shared" si="81"/>
        <v>7445038</v>
      </c>
      <c r="JC63" s="7">
        <f t="shared" si="82"/>
        <v>0</v>
      </c>
      <c r="JD63" s="7">
        <f t="shared" si="83"/>
        <v>931947</v>
      </c>
      <c r="JE63" s="7">
        <f t="shared" si="84"/>
        <v>0</v>
      </c>
      <c r="JF63" s="7">
        <f t="shared" si="85"/>
        <v>4741012</v>
      </c>
      <c r="JG63" s="7">
        <f t="shared" si="86"/>
        <v>0</v>
      </c>
      <c r="JH63" s="7">
        <f t="shared" si="87"/>
        <v>1214265</v>
      </c>
      <c r="JI63" s="7">
        <f t="shared" si="88"/>
        <v>0</v>
      </c>
      <c r="JJ63" s="7">
        <f t="shared" si="89"/>
        <v>3637282</v>
      </c>
      <c r="JK63" s="7">
        <f t="shared" si="90"/>
        <v>0</v>
      </c>
      <c r="JL63" s="7">
        <f t="shared" si="91"/>
        <v>6359999</v>
      </c>
      <c r="JM63" s="7">
        <f t="shared" si="92"/>
        <v>0</v>
      </c>
      <c r="JN63" s="7">
        <f t="shared" si="93"/>
        <v>300661</v>
      </c>
      <c r="JO63" s="7">
        <f t="shared" si="94"/>
        <v>0</v>
      </c>
      <c r="JP63" s="7">
        <f t="shared" si="95"/>
        <v>0</v>
      </c>
      <c r="JQ63" s="7">
        <f t="shared" si="96"/>
        <v>0</v>
      </c>
      <c r="JR63" s="7">
        <f t="shared" si="97"/>
        <v>1787936</v>
      </c>
      <c r="JS63" s="7">
        <f t="shared" si="98"/>
        <v>0</v>
      </c>
      <c r="JT63" s="7">
        <f t="shared" si="99"/>
        <v>310972</v>
      </c>
      <c r="JU63" s="7">
        <f t="shared" si="100"/>
        <v>0</v>
      </c>
      <c r="JV63" s="7">
        <f t="shared" si="55"/>
        <v>1787936</v>
      </c>
      <c r="JW63" s="7">
        <f t="shared" si="56"/>
        <v>0</v>
      </c>
      <c r="JX63" s="7">
        <f t="shared" si="101"/>
        <v>116026329</v>
      </c>
      <c r="JY63" s="7">
        <f t="shared" si="102"/>
        <v>0</v>
      </c>
      <c r="JZ63" s="7">
        <f t="shared" si="103"/>
        <v>8279172</v>
      </c>
      <c r="KA63" s="7">
        <f t="shared" si="104"/>
        <v>0</v>
      </c>
      <c r="KB63" s="7">
        <f t="shared" si="105"/>
        <v>124305501</v>
      </c>
      <c r="KC63" s="7">
        <f t="shared" si="106"/>
        <v>0</v>
      </c>
      <c r="KE63" s="7" t="e">
        <f t="shared" ref="KE63:KE93" si="107">SUM(HG63,HI63,HK63,HM63,HO63,HQ63,HS63,HU63,HW63,HY63,IA63,IC63,IE63,IG63,II63,IK63,IM63,IO63,IQ63,IS63,IU63,IY63,JA63,,JE63,JG63,JI63,JK63,JM63,JO63,JQ63,JS63,JU63,JW63,JY63,KA63,KC63)</f>
        <v>#REF!</v>
      </c>
      <c r="KG63" s="5" t="e">
        <f t="shared" si="53"/>
        <v>#REF!</v>
      </c>
    </row>
    <row r="64" spans="1:293" x14ac:dyDescent="0.15">
      <c r="A64" s="13" t="s">
        <v>275</v>
      </c>
      <c r="B64" s="17" t="s">
        <v>341</v>
      </c>
      <c r="C64" s="41">
        <v>207500</v>
      </c>
      <c r="D64" s="38">
        <v>2013</v>
      </c>
      <c r="E64" s="38">
        <v>1</v>
      </c>
      <c r="F64" s="38">
        <v>2</v>
      </c>
      <c r="G64" s="39">
        <v>8765</v>
      </c>
      <c r="H64" s="39">
        <v>9124</v>
      </c>
      <c r="I64" s="40">
        <v>837851000</v>
      </c>
      <c r="J64" s="40"/>
      <c r="K64" s="40">
        <v>9527000</v>
      </c>
      <c r="L64" s="40"/>
      <c r="M64" s="40">
        <v>97877000</v>
      </c>
      <c r="N64" s="40"/>
      <c r="O64" s="40">
        <v>120054000</v>
      </c>
      <c r="P64" s="40"/>
      <c r="Q64" s="40">
        <v>787791000</v>
      </c>
      <c r="R64" s="40"/>
      <c r="S64" s="40">
        <v>485013000</v>
      </c>
      <c r="T64" s="40"/>
      <c r="U64" s="40">
        <v>18774</v>
      </c>
      <c r="V64" s="40"/>
      <c r="W64" s="40">
        <v>30410</v>
      </c>
      <c r="X64" s="40"/>
      <c r="Y64" s="40">
        <v>22441</v>
      </c>
      <c r="Z64" s="40"/>
      <c r="AA64" s="40">
        <v>34078</v>
      </c>
      <c r="AB64" s="40"/>
      <c r="AC64" s="59">
        <v>10</v>
      </c>
      <c r="AD64" s="59">
        <v>11</v>
      </c>
      <c r="AE64" s="59">
        <v>0</v>
      </c>
      <c r="AF64" s="57">
        <v>5188921</v>
      </c>
      <c r="AG64" s="57">
        <v>4111058</v>
      </c>
      <c r="AH64" s="57">
        <v>1378916</v>
      </c>
      <c r="AI64" s="57">
        <v>623776</v>
      </c>
      <c r="AJ64" s="57">
        <v>1284770.93</v>
      </c>
      <c r="AK64" s="58">
        <v>7.5</v>
      </c>
      <c r="AL64" s="57">
        <v>1204472.75</v>
      </c>
      <c r="AM64" s="58">
        <v>8</v>
      </c>
      <c r="AN64" s="57">
        <v>372495.76</v>
      </c>
      <c r="AO64" s="58">
        <v>8.5</v>
      </c>
      <c r="AP64" s="57">
        <v>351801.56</v>
      </c>
      <c r="AQ64" s="58">
        <v>9</v>
      </c>
      <c r="AR64" s="57">
        <v>281518.27</v>
      </c>
      <c r="AS64" s="58">
        <v>22.5</v>
      </c>
      <c r="AT64" s="57">
        <v>253366.44</v>
      </c>
      <c r="AU64" s="58">
        <v>25</v>
      </c>
      <c r="AV64" s="57">
        <v>122191.94</v>
      </c>
      <c r="AW64" s="58">
        <v>17.5</v>
      </c>
      <c r="AX64" s="57">
        <v>106917.95</v>
      </c>
      <c r="AY64" s="58">
        <v>20</v>
      </c>
      <c r="AZ64" s="79">
        <v>34336282</v>
      </c>
      <c r="BA64" s="79">
        <v>725000</v>
      </c>
      <c r="BB64" s="79">
        <v>13961883</v>
      </c>
      <c r="BC64" s="79">
        <v>1246730</v>
      </c>
      <c r="BD64" s="79">
        <v>332266</v>
      </c>
      <c r="BE64" s="88">
        <v>0</v>
      </c>
      <c r="BF64" s="79">
        <v>0</v>
      </c>
      <c r="BG64" s="79">
        <v>0</v>
      </c>
      <c r="BH64" s="79">
        <v>0</v>
      </c>
      <c r="BI64" s="79">
        <v>0</v>
      </c>
      <c r="BJ64" s="79">
        <v>0</v>
      </c>
      <c r="BK64" s="79">
        <v>356989</v>
      </c>
      <c r="BL64" s="79">
        <v>167937</v>
      </c>
      <c r="BM64" s="79">
        <v>215848</v>
      </c>
      <c r="BN64" s="79">
        <v>337103</v>
      </c>
      <c r="BO64" s="79">
        <v>2414108</v>
      </c>
      <c r="BP64" s="79">
        <v>3491985</v>
      </c>
      <c r="BQ64" s="79">
        <v>111842</v>
      </c>
      <c r="BR64" s="79">
        <v>11463</v>
      </c>
      <c r="BS64" s="79">
        <v>57169</v>
      </c>
      <c r="BT64" s="79">
        <v>236871</v>
      </c>
      <c r="BU64" s="79">
        <v>3472706</v>
      </c>
      <c r="BV64" s="79">
        <v>3890051</v>
      </c>
      <c r="BW64" s="79">
        <v>68696332</v>
      </c>
      <c r="BX64" s="79">
        <v>8519520</v>
      </c>
      <c r="BY64" s="79">
        <v>2413805</v>
      </c>
      <c r="BZ64" s="79">
        <v>3527537</v>
      </c>
      <c r="CA64" s="79">
        <v>40648467</v>
      </c>
      <c r="CB64" s="79">
        <v>123805661</v>
      </c>
      <c r="CC64" s="79">
        <v>2736224</v>
      </c>
      <c r="CD64" s="79">
        <v>463674</v>
      </c>
      <c r="CE64" s="79">
        <v>432385</v>
      </c>
      <c r="CF64" s="79">
        <v>5667696</v>
      </c>
      <c r="CG64" s="79">
        <v>157453</v>
      </c>
      <c r="CH64" s="79">
        <v>9457432</v>
      </c>
      <c r="CI64" s="79">
        <v>1150000</v>
      </c>
      <c r="CJ64" s="79">
        <v>462554</v>
      </c>
      <c r="CK64" s="79">
        <v>96500</v>
      </c>
      <c r="CL64" s="79">
        <v>93728</v>
      </c>
      <c r="CM64" s="79">
        <v>0</v>
      </c>
      <c r="CN64" s="79">
        <v>1802782</v>
      </c>
      <c r="CO64" s="79">
        <v>10002520</v>
      </c>
      <c r="CP64" s="79">
        <v>3428140</v>
      </c>
      <c r="CQ64" s="79">
        <v>1990931</v>
      </c>
      <c r="CR64" s="79">
        <v>5852925</v>
      </c>
      <c r="CS64" s="79">
        <v>0</v>
      </c>
      <c r="CT64" s="79">
        <v>21274516</v>
      </c>
      <c r="CU64" s="79">
        <v>0</v>
      </c>
      <c r="CV64" s="79">
        <v>0</v>
      </c>
      <c r="CW64" s="79">
        <v>0</v>
      </c>
      <c r="CX64" s="79">
        <v>0</v>
      </c>
      <c r="CY64" s="79">
        <v>0</v>
      </c>
      <c r="CZ64" s="79">
        <v>0</v>
      </c>
      <c r="DA64" s="79">
        <v>946481</v>
      </c>
      <c r="DB64" s="79">
        <v>395097</v>
      </c>
      <c r="DC64" s="79">
        <v>304548</v>
      </c>
      <c r="DD64" s="79">
        <v>346437</v>
      </c>
      <c r="DE64" s="79">
        <v>15559594</v>
      </c>
      <c r="DF64" s="79">
        <v>17552157</v>
      </c>
      <c r="DG64" s="79">
        <v>0</v>
      </c>
      <c r="DH64" s="79">
        <v>0</v>
      </c>
      <c r="DI64" s="79">
        <v>0</v>
      </c>
      <c r="DJ64" s="79">
        <v>0</v>
      </c>
      <c r="DK64" s="79">
        <v>0</v>
      </c>
      <c r="DL64" s="79">
        <v>0</v>
      </c>
      <c r="DM64" s="79">
        <v>67162</v>
      </c>
      <c r="DN64" s="79">
        <v>0</v>
      </c>
      <c r="DO64" s="79">
        <v>0</v>
      </c>
      <c r="DP64" s="79">
        <v>0</v>
      </c>
      <c r="DQ64" s="79">
        <v>5500</v>
      </c>
      <c r="DR64" s="79">
        <v>72662</v>
      </c>
      <c r="DS64" s="79">
        <v>834326</v>
      </c>
      <c r="DT64" s="79">
        <v>255852</v>
      </c>
      <c r="DU64" s="79">
        <v>201116</v>
      </c>
      <c r="DV64" s="79">
        <v>711398</v>
      </c>
      <c r="DW64" s="79">
        <v>0</v>
      </c>
      <c r="DX64" s="79">
        <v>2002692</v>
      </c>
      <c r="DY64" s="79">
        <v>1452806</v>
      </c>
      <c r="DZ64" s="79">
        <v>748187</v>
      </c>
      <c r="EA64" s="79">
        <v>752228</v>
      </c>
      <c r="EB64" s="79">
        <v>3248051</v>
      </c>
      <c r="EC64" s="79">
        <v>12993</v>
      </c>
      <c r="ED64" s="79">
        <v>6214265</v>
      </c>
      <c r="EE64" s="79">
        <v>1124954</v>
      </c>
      <c r="EF64" s="79">
        <v>183834</v>
      </c>
      <c r="EG64" s="79">
        <v>483737</v>
      </c>
      <c r="EH64" s="79">
        <v>1270928</v>
      </c>
      <c r="EI64" s="79">
        <v>778130</v>
      </c>
      <c r="EJ64" s="79">
        <v>3841583</v>
      </c>
      <c r="EK64" s="79">
        <v>4265286</v>
      </c>
      <c r="EL64" s="79">
        <v>850388</v>
      </c>
      <c r="EM64" s="79">
        <v>526453</v>
      </c>
      <c r="EN64" s="79">
        <v>658201</v>
      </c>
      <c r="EO64" s="79">
        <v>1728540</v>
      </c>
      <c r="EP64" s="79">
        <v>8028868</v>
      </c>
      <c r="EQ64" s="79">
        <v>293371</v>
      </c>
      <c r="ER64" s="79">
        <v>223909</v>
      </c>
      <c r="ES64" s="79">
        <v>119491</v>
      </c>
      <c r="ET64" s="79">
        <v>269557</v>
      </c>
      <c r="EU64" s="79">
        <v>2178112</v>
      </c>
      <c r="EV64" s="79">
        <v>3084440</v>
      </c>
      <c r="EW64" s="79">
        <v>0</v>
      </c>
      <c r="EX64" s="79">
        <v>0</v>
      </c>
      <c r="EY64" s="79">
        <v>0</v>
      </c>
      <c r="EZ64" s="79">
        <v>0</v>
      </c>
      <c r="FA64" s="79">
        <v>0</v>
      </c>
      <c r="FB64" s="79">
        <v>0</v>
      </c>
      <c r="FC64" s="79">
        <v>1080213</v>
      </c>
      <c r="FD64" s="79">
        <v>212807</v>
      </c>
      <c r="FE64" s="79">
        <v>264385</v>
      </c>
      <c r="FF64" s="79">
        <v>1344180</v>
      </c>
      <c r="FG64" s="79">
        <v>19526510</v>
      </c>
      <c r="FH64" s="79">
        <v>22428095</v>
      </c>
      <c r="FI64" s="79">
        <v>0</v>
      </c>
      <c r="FJ64" s="79">
        <v>0</v>
      </c>
      <c r="FK64" s="79">
        <v>0</v>
      </c>
      <c r="FL64" s="79">
        <v>0</v>
      </c>
      <c r="FM64" s="79">
        <v>168203</v>
      </c>
      <c r="FN64" s="79">
        <v>168203</v>
      </c>
      <c r="FO64" s="79">
        <v>0</v>
      </c>
      <c r="FP64" s="79">
        <v>0</v>
      </c>
      <c r="FQ64" s="79">
        <v>0</v>
      </c>
      <c r="FR64" s="79">
        <v>0</v>
      </c>
      <c r="FS64" s="79">
        <v>0</v>
      </c>
      <c r="FT64" s="79">
        <v>0</v>
      </c>
      <c r="FU64" s="79">
        <v>358217</v>
      </c>
      <c r="FV64" s="79">
        <v>30621</v>
      </c>
      <c r="FW64" s="79">
        <v>50952</v>
      </c>
      <c r="FX64" s="79">
        <v>449571</v>
      </c>
      <c r="FY64" s="79">
        <v>478144</v>
      </c>
      <c r="FZ64" s="79">
        <v>1367505</v>
      </c>
      <c r="GA64" s="79">
        <v>3724</v>
      </c>
      <c r="GB64" s="79">
        <v>630</v>
      </c>
      <c r="GC64" s="79">
        <v>2777</v>
      </c>
      <c r="GD64" s="79">
        <v>12592</v>
      </c>
      <c r="GE64" s="79">
        <v>52099</v>
      </c>
      <c r="GF64" s="79">
        <v>71822</v>
      </c>
      <c r="GG64" s="79">
        <v>825349</v>
      </c>
      <c r="GH64" s="79">
        <v>141837</v>
      </c>
      <c r="GI64" s="79">
        <v>111785</v>
      </c>
      <c r="GJ64" s="79">
        <v>272106</v>
      </c>
      <c r="GK64" s="79">
        <v>3729454</v>
      </c>
      <c r="GL64" s="79">
        <v>5080531</v>
      </c>
      <c r="GM64" s="79">
        <v>25140633</v>
      </c>
      <c r="GN64" s="79">
        <v>7397530</v>
      </c>
      <c r="GO64" s="79">
        <v>5337288</v>
      </c>
      <c r="GP64" s="79">
        <v>20197370</v>
      </c>
      <c r="GQ64" s="79">
        <v>44374732</v>
      </c>
      <c r="GR64" s="79">
        <v>102447553</v>
      </c>
      <c r="GS64" s="79">
        <v>0</v>
      </c>
      <c r="GT64" s="79">
        <v>0</v>
      </c>
      <c r="GU64" s="79">
        <v>0</v>
      </c>
      <c r="GV64" s="79">
        <v>0</v>
      </c>
      <c r="GW64" s="79">
        <v>3892845</v>
      </c>
      <c r="GX64" s="79">
        <v>3892845</v>
      </c>
      <c r="GY64" s="79">
        <v>25140633</v>
      </c>
      <c r="GZ64" s="79">
        <v>7397530</v>
      </c>
      <c r="HA64" s="79">
        <v>5337288</v>
      </c>
      <c r="HB64" s="79">
        <v>20197370</v>
      </c>
      <c r="HC64" s="79">
        <v>48267577</v>
      </c>
      <c r="HD64" s="79">
        <v>106340398</v>
      </c>
      <c r="HF64" s="7">
        <f>SUM(AZ64:AZ64)</f>
        <v>34336282</v>
      </c>
      <c r="HG64" s="7" t="e">
        <f>#REF!-HF64</f>
        <v>#REF!</v>
      </c>
      <c r="HH64" s="7" t="e">
        <f>SUM(#REF!)</f>
        <v>#REF!</v>
      </c>
      <c r="HI64" s="7" t="e">
        <f>#REF!-HH64</f>
        <v>#REF!</v>
      </c>
      <c r="HJ64" s="7">
        <f>SUM(BA64:BA64)</f>
        <v>725000</v>
      </c>
      <c r="HK64" s="7" t="e">
        <f>#REF!-HJ64</f>
        <v>#REF!</v>
      </c>
      <c r="HL64" s="7">
        <f>SUM(BB64:BB64)</f>
        <v>13961883</v>
      </c>
      <c r="HM64" s="7" t="e">
        <f>#REF!-HL64</f>
        <v>#REF!</v>
      </c>
      <c r="HN64" s="7" t="e">
        <f>SUM(#REF!)</f>
        <v>#REF!</v>
      </c>
      <c r="HO64" s="7" t="e">
        <f>#REF!-HN64</f>
        <v>#REF!</v>
      </c>
      <c r="HP64" s="7" t="e">
        <f>SUM(#REF!)</f>
        <v>#REF!</v>
      </c>
      <c r="HQ64" s="7" t="e">
        <f>#REF!-HP64</f>
        <v>#REF!</v>
      </c>
      <c r="HR64" s="7" t="e">
        <f>SUM(#REF!)</f>
        <v>#REF!</v>
      </c>
      <c r="HS64" s="7" t="e">
        <f>#REF!-HR64</f>
        <v>#REF!</v>
      </c>
      <c r="HT64" s="7" t="e">
        <f>SUM(#REF!)</f>
        <v>#REF!</v>
      </c>
      <c r="HU64" s="7" t="e">
        <f>#REF!-HT64</f>
        <v>#REF!</v>
      </c>
      <c r="HV64" s="7" t="e">
        <f>SUM(#REF!)</f>
        <v>#REF!</v>
      </c>
      <c r="HW64" s="7" t="e">
        <f>#REF!-HV64</f>
        <v>#REF!</v>
      </c>
      <c r="HX64" s="7" t="e">
        <f>SUM(#REF!)</f>
        <v>#REF!</v>
      </c>
      <c r="HY64" s="7" t="e">
        <f>#REF!-HX64</f>
        <v>#REF!</v>
      </c>
      <c r="HZ64" s="7">
        <f>SUM(BC64:BC64)</f>
        <v>1246730</v>
      </c>
      <c r="IA64" s="7" t="e">
        <f>#REF!-HZ64</f>
        <v>#REF!</v>
      </c>
      <c r="IB64" s="7">
        <f>SUM(BD64:BD64)</f>
        <v>332266</v>
      </c>
      <c r="IC64" s="7" t="e">
        <f>#REF!-IB64</f>
        <v>#REF!</v>
      </c>
      <c r="ID64" s="7">
        <f t="shared" si="57"/>
        <v>0</v>
      </c>
      <c r="IE64" s="7">
        <f t="shared" si="58"/>
        <v>0</v>
      </c>
      <c r="IF64" s="7">
        <f t="shared" si="59"/>
        <v>3491985</v>
      </c>
      <c r="IG64" s="7">
        <f t="shared" si="60"/>
        <v>0</v>
      </c>
      <c r="IH64" s="7">
        <f t="shared" si="61"/>
        <v>3890051</v>
      </c>
      <c r="II64" s="7">
        <f t="shared" si="62"/>
        <v>0</v>
      </c>
      <c r="IJ64" s="7">
        <f t="shared" si="63"/>
        <v>123805661</v>
      </c>
      <c r="IK64" s="7">
        <f t="shared" si="64"/>
        <v>0</v>
      </c>
      <c r="IL64" s="7">
        <f t="shared" si="65"/>
        <v>9457432</v>
      </c>
      <c r="IM64" s="7">
        <f t="shared" si="66"/>
        <v>0</v>
      </c>
      <c r="IN64" s="7">
        <f t="shared" si="67"/>
        <v>1802782</v>
      </c>
      <c r="IO64" s="7">
        <f t="shared" si="68"/>
        <v>0</v>
      </c>
      <c r="IP64" s="7">
        <f t="shared" si="69"/>
        <v>21274516</v>
      </c>
      <c r="IQ64" s="7">
        <f t="shared" si="70"/>
        <v>0</v>
      </c>
      <c r="IR64" s="7">
        <f t="shared" si="71"/>
        <v>0</v>
      </c>
      <c r="IS64" s="7">
        <f t="shared" si="72"/>
        <v>0</v>
      </c>
      <c r="IT64" s="7">
        <f t="shared" si="73"/>
        <v>17552157</v>
      </c>
      <c r="IU64" s="7">
        <f t="shared" si="74"/>
        <v>0</v>
      </c>
      <c r="IV64" s="7">
        <f t="shared" si="75"/>
        <v>0</v>
      </c>
      <c r="IW64" s="7">
        <f t="shared" si="76"/>
        <v>0</v>
      </c>
      <c r="IX64" s="7">
        <f t="shared" si="77"/>
        <v>72662</v>
      </c>
      <c r="IY64" s="7">
        <f t="shared" si="78"/>
        <v>0</v>
      </c>
      <c r="IZ64" s="7">
        <f t="shared" si="79"/>
        <v>2002692</v>
      </c>
      <c r="JA64" s="7">
        <f t="shared" si="80"/>
        <v>0</v>
      </c>
      <c r="JB64" s="7">
        <f t="shared" si="81"/>
        <v>6214265</v>
      </c>
      <c r="JC64" s="7">
        <f t="shared" si="82"/>
        <v>0</v>
      </c>
      <c r="JD64" s="7">
        <f t="shared" si="83"/>
        <v>3841583</v>
      </c>
      <c r="JE64" s="7">
        <f t="shared" si="84"/>
        <v>0</v>
      </c>
      <c r="JF64" s="7">
        <f t="shared" si="85"/>
        <v>8028868</v>
      </c>
      <c r="JG64" s="7">
        <f t="shared" si="86"/>
        <v>0</v>
      </c>
      <c r="JH64" s="7">
        <f t="shared" si="87"/>
        <v>3084440</v>
      </c>
      <c r="JI64" s="7">
        <f t="shared" si="88"/>
        <v>0</v>
      </c>
      <c r="JJ64" s="7">
        <f t="shared" si="89"/>
        <v>0</v>
      </c>
      <c r="JK64" s="7">
        <f t="shared" si="90"/>
        <v>0</v>
      </c>
      <c r="JL64" s="7">
        <f t="shared" si="91"/>
        <v>22428095</v>
      </c>
      <c r="JM64" s="7">
        <f t="shared" si="92"/>
        <v>0</v>
      </c>
      <c r="JN64" s="7">
        <f t="shared" si="93"/>
        <v>168203</v>
      </c>
      <c r="JO64" s="7">
        <f t="shared" si="94"/>
        <v>0</v>
      </c>
      <c r="JP64" s="7">
        <f t="shared" si="95"/>
        <v>0</v>
      </c>
      <c r="JQ64" s="7">
        <f t="shared" si="96"/>
        <v>0</v>
      </c>
      <c r="JR64" s="7">
        <f t="shared" si="97"/>
        <v>1367505</v>
      </c>
      <c r="JS64" s="7">
        <f t="shared" si="98"/>
        <v>0</v>
      </c>
      <c r="JT64" s="7">
        <f t="shared" si="99"/>
        <v>71822</v>
      </c>
      <c r="JU64" s="7">
        <f t="shared" si="100"/>
        <v>0</v>
      </c>
      <c r="JV64" s="7">
        <f t="shared" si="55"/>
        <v>5080531</v>
      </c>
      <c r="JW64" s="7">
        <f t="shared" si="56"/>
        <v>0</v>
      </c>
      <c r="JX64" s="7">
        <f t="shared" si="101"/>
        <v>102447553</v>
      </c>
      <c r="JY64" s="7">
        <f t="shared" si="102"/>
        <v>0</v>
      </c>
      <c r="JZ64" s="7">
        <f t="shared" si="103"/>
        <v>3892845</v>
      </c>
      <c r="KA64" s="7">
        <f t="shared" si="104"/>
        <v>0</v>
      </c>
      <c r="KB64" s="7">
        <f t="shared" si="105"/>
        <v>106340398</v>
      </c>
      <c r="KC64" s="7">
        <f t="shared" si="106"/>
        <v>0</v>
      </c>
      <c r="KE64" s="7" t="e">
        <f t="shared" si="107"/>
        <v>#REF!</v>
      </c>
      <c r="KG64" s="5" t="e">
        <f t="shared" ref="KG64:KG91" si="108">IF(KE64=0,0,1)</f>
        <v>#REF!</v>
      </c>
    </row>
    <row r="65" spans="1:304" x14ac:dyDescent="0.15">
      <c r="A65" s="119" t="s">
        <v>276</v>
      </c>
      <c r="B65" s="17" t="s">
        <v>343</v>
      </c>
      <c r="C65" s="41">
        <v>207388</v>
      </c>
      <c r="D65" s="38">
        <v>2013</v>
      </c>
      <c r="E65" s="38">
        <v>1</v>
      </c>
      <c r="F65" s="38">
        <v>2</v>
      </c>
      <c r="G65" s="39">
        <v>8975</v>
      </c>
      <c r="H65" s="39">
        <v>8476</v>
      </c>
      <c r="I65" s="40">
        <v>1008892000</v>
      </c>
      <c r="J65" s="40"/>
      <c r="K65" s="40">
        <v>6840000</v>
      </c>
      <c r="L65" s="40"/>
      <c r="M65" s="40">
        <v>46817000</v>
      </c>
      <c r="N65" s="40"/>
      <c r="O65" s="40">
        <v>89560000</v>
      </c>
      <c r="P65" s="40"/>
      <c r="Q65" s="40">
        <v>591801000</v>
      </c>
      <c r="R65" s="40"/>
      <c r="S65" s="40">
        <v>730878841</v>
      </c>
      <c r="T65" s="40"/>
      <c r="U65" s="40">
        <v>18200</v>
      </c>
      <c r="V65" s="40"/>
      <c r="W65" s="40">
        <v>29410</v>
      </c>
      <c r="X65" s="40"/>
      <c r="Y65" s="40">
        <v>21810</v>
      </c>
      <c r="Z65" s="40"/>
      <c r="AA65" s="40">
        <v>33020</v>
      </c>
      <c r="AB65" s="40"/>
      <c r="AC65" s="56">
        <v>9</v>
      </c>
      <c r="AD65" s="56">
        <v>9</v>
      </c>
      <c r="AE65" s="56">
        <v>0</v>
      </c>
      <c r="AF65" s="57">
        <v>2606766</v>
      </c>
      <c r="AG65" s="57">
        <v>1587786</v>
      </c>
      <c r="AH65" s="57">
        <v>607492</v>
      </c>
      <c r="AI65" s="57">
        <v>223071</v>
      </c>
      <c r="AJ65" s="57">
        <v>999690</v>
      </c>
      <c r="AK65" s="58">
        <v>7</v>
      </c>
      <c r="AL65" s="57">
        <v>928283</v>
      </c>
      <c r="AM65" s="58">
        <v>7</v>
      </c>
      <c r="AN65" s="57">
        <v>213930</v>
      </c>
      <c r="AO65" s="58">
        <v>7</v>
      </c>
      <c r="AP65" s="57">
        <v>198650</v>
      </c>
      <c r="AQ65" s="58">
        <v>7</v>
      </c>
      <c r="AR65" s="57">
        <v>264861</v>
      </c>
      <c r="AS65" s="58">
        <v>20</v>
      </c>
      <c r="AT65" s="57">
        <v>264861</v>
      </c>
      <c r="AU65" s="58">
        <v>20</v>
      </c>
      <c r="AV65" s="57">
        <v>96016</v>
      </c>
      <c r="AW65" s="58">
        <v>14</v>
      </c>
      <c r="AX65" s="57">
        <v>96016</v>
      </c>
      <c r="AY65" s="58">
        <v>14</v>
      </c>
      <c r="AZ65" s="79">
        <v>18705453</v>
      </c>
      <c r="BA65" s="79">
        <v>250000</v>
      </c>
      <c r="BB65" s="79">
        <v>4779178</v>
      </c>
      <c r="BC65" s="79">
        <v>386113</v>
      </c>
      <c r="BD65" s="79">
        <v>0</v>
      </c>
      <c r="BE65" s="79">
        <v>0</v>
      </c>
      <c r="BF65" s="79">
        <v>0</v>
      </c>
      <c r="BG65" s="79">
        <v>0</v>
      </c>
      <c r="BH65" s="79">
        <v>0</v>
      </c>
      <c r="BI65" s="79">
        <v>0</v>
      </c>
      <c r="BJ65" s="79">
        <v>0</v>
      </c>
      <c r="BK65" s="79">
        <v>193259</v>
      </c>
      <c r="BL65" s="79">
        <v>180208</v>
      </c>
      <c r="BM65" s="79">
        <v>23752</v>
      </c>
      <c r="BN65" s="79">
        <v>225053</v>
      </c>
      <c r="BO65" s="79">
        <v>3889579</v>
      </c>
      <c r="BP65" s="79">
        <v>4511851</v>
      </c>
      <c r="BQ65" s="79">
        <v>400905</v>
      </c>
      <c r="BR65" s="79">
        <v>125</v>
      </c>
      <c r="BS65" s="79">
        <v>0</v>
      </c>
      <c r="BT65" s="79">
        <v>-32549</v>
      </c>
      <c r="BU65" s="79">
        <v>2142836</v>
      </c>
      <c r="BV65" s="79">
        <v>2511317</v>
      </c>
      <c r="BW65" s="79">
        <v>38799125</v>
      </c>
      <c r="BX65" s="79">
        <v>11921814</v>
      </c>
      <c r="BY65" s="79">
        <v>524906</v>
      </c>
      <c r="BZ65" s="79">
        <v>3334187</v>
      </c>
      <c r="CA65" s="79">
        <v>39084305</v>
      </c>
      <c r="CB65" s="79">
        <v>93664337</v>
      </c>
      <c r="CC65" s="79">
        <v>1590924</v>
      </c>
      <c r="CD65" s="79">
        <v>254691</v>
      </c>
      <c r="CE65" s="79">
        <v>221246</v>
      </c>
      <c r="CF65" s="79">
        <v>2127691</v>
      </c>
      <c r="CG65" s="79">
        <v>4354219</v>
      </c>
      <c r="CH65" s="79">
        <v>8548771</v>
      </c>
      <c r="CI65" s="79">
        <v>885000</v>
      </c>
      <c r="CJ65" s="79">
        <v>527685</v>
      </c>
      <c r="CK65" s="79">
        <v>150280</v>
      </c>
      <c r="CL65" s="79">
        <v>81142</v>
      </c>
      <c r="CM65" s="79">
        <v>0</v>
      </c>
      <c r="CN65" s="79">
        <v>1644107</v>
      </c>
      <c r="CO65" s="79">
        <v>6950465</v>
      </c>
      <c r="CP65" s="79">
        <v>2877169</v>
      </c>
      <c r="CQ65" s="79">
        <v>896030</v>
      </c>
      <c r="CR65" s="79">
        <v>3806319</v>
      </c>
      <c r="CS65" s="79">
        <v>0</v>
      </c>
      <c r="CT65" s="79">
        <v>14529983</v>
      </c>
      <c r="CU65" s="79">
        <v>0</v>
      </c>
      <c r="CV65" s="79">
        <v>0</v>
      </c>
      <c r="CW65" s="79">
        <v>0</v>
      </c>
      <c r="CX65" s="79">
        <v>0</v>
      </c>
      <c r="CY65" s="79">
        <v>0</v>
      </c>
      <c r="CZ65" s="79">
        <v>0</v>
      </c>
      <c r="DA65" s="79">
        <v>963824</v>
      </c>
      <c r="DB65" s="79">
        <v>292505</v>
      </c>
      <c r="DC65" s="79">
        <v>168045</v>
      </c>
      <c r="DD65" s="79">
        <v>347141</v>
      </c>
      <c r="DE65" s="79">
        <v>8892196</v>
      </c>
      <c r="DF65" s="79">
        <v>10663711</v>
      </c>
      <c r="DG65" s="79">
        <v>0</v>
      </c>
      <c r="DH65" s="79">
        <v>0</v>
      </c>
      <c r="DI65" s="79">
        <v>0</v>
      </c>
      <c r="DJ65" s="79">
        <v>0</v>
      </c>
      <c r="DK65" s="79">
        <v>0</v>
      </c>
      <c r="DL65" s="79">
        <v>0</v>
      </c>
      <c r="DM65" s="79">
        <v>0</v>
      </c>
      <c r="DN65" s="79">
        <v>0</v>
      </c>
      <c r="DO65" s="79">
        <v>0</v>
      </c>
      <c r="DP65" s="79">
        <v>0</v>
      </c>
      <c r="DQ65" s="79">
        <v>898382</v>
      </c>
      <c r="DR65" s="79">
        <v>898382</v>
      </c>
      <c r="DS65" s="79">
        <v>300729</v>
      </c>
      <c r="DT65" s="79">
        <v>163595</v>
      </c>
      <c r="DU65" s="79">
        <v>84469</v>
      </c>
      <c r="DV65" s="79">
        <v>281770</v>
      </c>
      <c r="DW65" s="79">
        <v>0</v>
      </c>
      <c r="DX65" s="79">
        <v>830563</v>
      </c>
      <c r="DY65" s="79">
        <v>1560987</v>
      </c>
      <c r="DZ65" s="79">
        <v>882401</v>
      </c>
      <c r="EA65" s="79">
        <v>441732</v>
      </c>
      <c r="EB65" s="79">
        <v>1844981</v>
      </c>
      <c r="EC65" s="79">
        <v>188344</v>
      </c>
      <c r="ED65" s="79">
        <v>4918445</v>
      </c>
      <c r="EE65" s="79">
        <v>737516</v>
      </c>
      <c r="EF65" s="79">
        <v>63634</v>
      </c>
      <c r="EG65" s="79">
        <v>23589</v>
      </c>
      <c r="EH65" s="79">
        <v>327974</v>
      </c>
      <c r="EI65" s="79">
        <v>1063051</v>
      </c>
      <c r="EJ65" s="79">
        <v>2215764</v>
      </c>
      <c r="EK65" s="79">
        <v>186519</v>
      </c>
      <c r="EL65" s="79">
        <v>147150</v>
      </c>
      <c r="EM65" s="79">
        <v>109400</v>
      </c>
      <c r="EN65" s="79">
        <v>147123</v>
      </c>
      <c r="EO65" s="79">
        <v>1239149</v>
      </c>
      <c r="EP65" s="79">
        <v>1829341</v>
      </c>
      <c r="EQ65" s="79">
        <v>0</v>
      </c>
      <c r="ER65" s="79">
        <v>0</v>
      </c>
      <c r="ES65" s="79">
        <v>0</v>
      </c>
      <c r="ET65" s="79">
        <v>0</v>
      </c>
      <c r="EU65" s="79">
        <v>1819488</v>
      </c>
      <c r="EV65" s="79">
        <v>1819488</v>
      </c>
      <c r="EW65" s="79">
        <v>0</v>
      </c>
      <c r="EX65" s="79">
        <v>0</v>
      </c>
      <c r="EY65" s="79">
        <v>0</v>
      </c>
      <c r="EZ65" s="79">
        <v>0</v>
      </c>
      <c r="FA65" s="79">
        <v>0</v>
      </c>
      <c r="FB65" s="79">
        <v>0</v>
      </c>
      <c r="FC65" s="79">
        <v>99092</v>
      </c>
      <c r="FD65" s="79">
        <v>44776</v>
      </c>
      <c r="FE65" s="79">
        <v>23497</v>
      </c>
      <c r="FF65" s="79">
        <v>94814</v>
      </c>
      <c r="FG65" s="79">
        <v>28242190</v>
      </c>
      <c r="FH65" s="79">
        <v>28504369</v>
      </c>
      <c r="FI65" s="79">
        <v>0</v>
      </c>
      <c r="FJ65" s="79">
        <v>0</v>
      </c>
      <c r="FK65" s="79">
        <v>0</v>
      </c>
      <c r="FL65" s="79">
        <v>0</v>
      </c>
      <c r="FM65" s="79">
        <v>381016</v>
      </c>
      <c r="FN65" s="79">
        <v>381016</v>
      </c>
      <c r="FO65" s="79">
        <v>0</v>
      </c>
      <c r="FP65" s="79">
        <v>0</v>
      </c>
      <c r="FQ65" s="79">
        <v>0</v>
      </c>
      <c r="FR65" s="79">
        <v>0</v>
      </c>
      <c r="FS65" s="79">
        <v>1492415</v>
      </c>
      <c r="FT65" s="79">
        <v>1492415</v>
      </c>
      <c r="FU65" s="79">
        <v>114902</v>
      </c>
      <c r="FV65" s="79">
        <v>38697</v>
      </c>
      <c r="FW65" s="79">
        <v>19980</v>
      </c>
      <c r="FX65" s="79">
        <v>215575</v>
      </c>
      <c r="FY65" s="79">
        <v>537962</v>
      </c>
      <c r="FZ65" s="79">
        <v>927116</v>
      </c>
      <c r="GA65" s="79">
        <v>64352</v>
      </c>
      <c r="GB65" s="79">
        <v>22658</v>
      </c>
      <c r="GC65" s="79">
        <v>8952</v>
      </c>
      <c r="GD65" s="79">
        <v>17324</v>
      </c>
      <c r="GE65" s="79">
        <v>55382</v>
      </c>
      <c r="GF65" s="79">
        <v>168668</v>
      </c>
      <c r="GG65" s="79">
        <v>6496516</v>
      </c>
      <c r="GH65" s="79">
        <v>5323858</v>
      </c>
      <c r="GI65" s="79">
        <v>110566</v>
      </c>
      <c r="GJ65" s="79">
        <v>2088853</v>
      </c>
      <c r="GK65" s="79">
        <v>3159928</v>
      </c>
      <c r="GL65" s="79">
        <v>17179721</v>
      </c>
      <c r="GM65" s="79">
        <v>19950826</v>
      </c>
      <c r="GN65" s="79">
        <v>10638819</v>
      </c>
      <c r="GO65" s="79">
        <v>2257786</v>
      </c>
      <c r="GP65" s="79">
        <v>11380707</v>
      </c>
      <c r="GQ65" s="79">
        <v>52323722</v>
      </c>
      <c r="GR65" s="79">
        <v>96551860</v>
      </c>
      <c r="GS65" s="79">
        <v>0</v>
      </c>
      <c r="GT65" s="79">
        <v>0</v>
      </c>
      <c r="GU65" s="79">
        <v>0</v>
      </c>
      <c r="GV65" s="79">
        <v>0</v>
      </c>
      <c r="GW65" s="79">
        <v>0</v>
      </c>
      <c r="GX65" s="79">
        <v>0</v>
      </c>
      <c r="GY65" s="79">
        <v>19950826</v>
      </c>
      <c r="GZ65" s="79">
        <v>10638819</v>
      </c>
      <c r="HA65" s="79">
        <v>2257786</v>
      </c>
      <c r="HB65" s="79">
        <v>11380707</v>
      </c>
      <c r="HC65" s="79">
        <v>52323722</v>
      </c>
      <c r="HD65" s="79">
        <v>96551860</v>
      </c>
      <c r="HF65" s="7">
        <f>SUM(AZ65:AZ65)</f>
        <v>18705453</v>
      </c>
      <c r="HG65" s="7" t="e">
        <f>#REF!-HF65</f>
        <v>#REF!</v>
      </c>
      <c r="HH65" s="7" t="e">
        <f>SUM(#REF!)</f>
        <v>#REF!</v>
      </c>
      <c r="HI65" s="7" t="e">
        <f>#REF!-HH65</f>
        <v>#REF!</v>
      </c>
      <c r="HJ65" s="7">
        <f>SUM(BA65:BA65)</f>
        <v>250000</v>
      </c>
      <c r="HK65" s="7" t="e">
        <f>#REF!-HJ65</f>
        <v>#REF!</v>
      </c>
      <c r="HL65" s="7">
        <f>SUM(BB65:BB65)</f>
        <v>4779178</v>
      </c>
      <c r="HM65" s="7" t="e">
        <f>#REF!-HL65</f>
        <v>#REF!</v>
      </c>
      <c r="HN65" s="7" t="e">
        <f>SUM(#REF!)</f>
        <v>#REF!</v>
      </c>
      <c r="HO65" s="7" t="e">
        <f>#REF!-HN65</f>
        <v>#REF!</v>
      </c>
      <c r="HP65" s="7" t="e">
        <f>SUM(#REF!)</f>
        <v>#REF!</v>
      </c>
      <c r="HQ65" s="7" t="e">
        <f>#REF!-HP65</f>
        <v>#REF!</v>
      </c>
      <c r="HR65" s="7" t="e">
        <f>SUM(#REF!)</f>
        <v>#REF!</v>
      </c>
      <c r="HS65" s="7" t="e">
        <f>#REF!-HR65</f>
        <v>#REF!</v>
      </c>
      <c r="HT65" s="7" t="e">
        <f>SUM(#REF!)</f>
        <v>#REF!</v>
      </c>
      <c r="HU65" s="7" t="e">
        <f>#REF!-HT65</f>
        <v>#REF!</v>
      </c>
      <c r="HV65" s="7" t="e">
        <f>SUM(#REF!)</f>
        <v>#REF!</v>
      </c>
      <c r="HW65" s="7" t="e">
        <f>#REF!-HV65</f>
        <v>#REF!</v>
      </c>
      <c r="HX65" s="7" t="e">
        <f>SUM(#REF!)</f>
        <v>#REF!</v>
      </c>
      <c r="HY65" s="7" t="e">
        <f>#REF!-HX65</f>
        <v>#REF!</v>
      </c>
      <c r="HZ65" s="7">
        <f>SUM(BC65:BC65)</f>
        <v>386113</v>
      </c>
      <c r="IA65" s="7" t="e">
        <f>#REF!-HZ65</f>
        <v>#REF!</v>
      </c>
      <c r="IB65" s="7">
        <f>SUM(BD65:BD65)</f>
        <v>0</v>
      </c>
      <c r="IC65" s="7" t="e">
        <f>#REF!-IB65</f>
        <v>#REF!</v>
      </c>
      <c r="ID65" s="7">
        <f t="shared" si="57"/>
        <v>0</v>
      </c>
      <c r="IE65" s="7">
        <f t="shared" si="58"/>
        <v>0</v>
      </c>
      <c r="IF65" s="7">
        <f t="shared" si="59"/>
        <v>4511851</v>
      </c>
      <c r="IG65" s="7">
        <f t="shared" si="60"/>
        <v>0</v>
      </c>
      <c r="IH65" s="7">
        <f t="shared" si="61"/>
        <v>2511317</v>
      </c>
      <c r="II65" s="7">
        <f t="shared" si="62"/>
        <v>0</v>
      </c>
      <c r="IJ65" s="7">
        <f t="shared" si="63"/>
        <v>93664337</v>
      </c>
      <c r="IK65" s="7">
        <f t="shared" si="64"/>
        <v>0</v>
      </c>
      <c r="IL65" s="7">
        <f t="shared" si="65"/>
        <v>8548771</v>
      </c>
      <c r="IM65" s="7">
        <f t="shared" si="66"/>
        <v>0</v>
      </c>
      <c r="IN65" s="7">
        <f t="shared" si="67"/>
        <v>1644107</v>
      </c>
      <c r="IO65" s="7">
        <f t="shared" si="68"/>
        <v>0</v>
      </c>
      <c r="IP65" s="7">
        <f t="shared" si="69"/>
        <v>14529983</v>
      </c>
      <c r="IQ65" s="7">
        <f t="shared" si="70"/>
        <v>0</v>
      </c>
      <c r="IR65" s="7">
        <f t="shared" si="71"/>
        <v>0</v>
      </c>
      <c r="IS65" s="7">
        <f t="shared" si="72"/>
        <v>0</v>
      </c>
      <c r="IT65" s="7">
        <f t="shared" si="73"/>
        <v>10663711</v>
      </c>
      <c r="IU65" s="7">
        <f t="shared" si="74"/>
        <v>0</v>
      </c>
      <c r="IV65" s="7">
        <f t="shared" si="75"/>
        <v>0</v>
      </c>
      <c r="IW65" s="7">
        <f t="shared" si="76"/>
        <v>0</v>
      </c>
      <c r="IX65" s="7">
        <f t="shared" si="77"/>
        <v>898382</v>
      </c>
      <c r="IY65" s="7">
        <f t="shared" si="78"/>
        <v>0</v>
      </c>
      <c r="IZ65" s="7">
        <f t="shared" si="79"/>
        <v>830563</v>
      </c>
      <c r="JA65" s="7">
        <f t="shared" si="80"/>
        <v>0</v>
      </c>
      <c r="JB65" s="7">
        <f t="shared" si="81"/>
        <v>4918445</v>
      </c>
      <c r="JC65" s="7">
        <f t="shared" si="82"/>
        <v>0</v>
      </c>
      <c r="JD65" s="7">
        <f t="shared" si="83"/>
        <v>2215764</v>
      </c>
      <c r="JE65" s="7">
        <f t="shared" si="84"/>
        <v>0</v>
      </c>
      <c r="JF65" s="7">
        <f t="shared" si="85"/>
        <v>1829341</v>
      </c>
      <c r="JG65" s="7">
        <f t="shared" si="86"/>
        <v>0</v>
      </c>
      <c r="JH65" s="7">
        <f t="shared" si="87"/>
        <v>1819488</v>
      </c>
      <c r="JI65" s="7">
        <f t="shared" si="88"/>
        <v>0</v>
      </c>
      <c r="JJ65" s="7">
        <f t="shared" si="89"/>
        <v>0</v>
      </c>
      <c r="JK65" s="7">
        <f t="shared" si="90"/>
        <v>0</v>
      </c>
      <c r="JL65" s="7">
        <f t="shared" si="91"/>
        <v>28504369</v>
      </c>
      <c r="JM65" s="7">
        <f t="shared" si="92"/>
        <v>0</v>
      </c>
      <c r="JN65" s="7">
        <f t="shared" si="93"/>
        <v>381016</v>
      </c>
      <c r="JO65" s="7">
        <f t="shared" si="94"/>
        <v>0</v>
      </c>
      <c r="JP65" s="7">
        <f t="shared" si="95"/>
        <v>1492415</v>
      </c>
      <c r="JQ65" s="7">
        <f t="shared" si="96"/>
        <v>0</v>
      </c>
      <c r="JR65" s="7">
        <f t="shared" si="97"/>
        <v>927116</v>
      </c>
      <c r="JS65" s="7">
        <f t="shared" si="98"/>
        <v>0</v>
      </c>
      <c r="JT65" s="7">
        <f t="shared" si="99"/>
        <v>168668</v>
      </c>
      <c r="JU65" s="7">
        <f t="shared" si="100"/>
        <v>0</v>
      </c>
      <c r="JV65" s="7">
        <f t="shared" si="55"/>
        <v>17179721</v>
      </c>
      <c r="JW65" s="7">
        <f t="shared" si="56"/>
        <v>0</v>
      </c>
      <c r="JX65" s="7">
        <f t="shared" si="101"/>
        <v>96551860</v>
      </c>
      <c r="JY65" s="7">
        <f t="shared" si="102"/>
        <v>0</v>
      </c>
      <c r="JZ65" s="7">
        <f t="shared" si="103"/>
        <v>0</v>
      </c>
      <c r="KA65" s="7">
        <f t="shared" si="104"/>
        <v>0</v>
      </c>
      <c r="KB65" s="7">
        <f t="shared" si="105"/>
        <v>96551860</v>
      </c>
      <c r="KC65" s="7">
        <f t="shared" si="106"/>
        <v>0</v>
      </c>
      <c r="KE65" s="7" t="e">
        <f t="shared" si="107"/>
        <v>#REF!</v>
      </c>
      <c r="KG65" s="5" t="e">
        <f t="shared" si="108"/>
        <v>#REF!</v>
      </c>
      <c r="KR65" s="19"/>
    </row>
    <row r="66" spans="1:304" x14ac:dyDescent="0.15">
      <c r="A66" s="119" t="s">
        <v>277</v>
      </c>
      <c r="B66" s="17" t="s">
        <v>341</v>
      </c>
      <c r="C66" s="41">
        <v>209551</v>
      </c>
      <c r="D66" s="38">
        <v>2013</v>
      </c>
      <c r="E66" s="38">
        <v>1</v>
      </c>
      <c r="F66" s="38">
        <v>4</v>
      </c>
      <c r="G66" s="39">
        <v>8987</v>
      </c>
      <c r="H66" s="39">
        <v>9835</v>
      </c>
      <c r="I66" s="40">
        <v>773028000</v>
      </c>
      <c r="J66" s="40"/>
      <c r="K66" s="40">
        <v>19243594</v>
      </c>
      <c r="L66" s="40"/>
      <c r="M66" s="40">
        <v>55835126</v>
      </c>
      <c r="N66" s="40"/>
      <c r="O66" s="40">
        <v>23322957</v>
      </c>
      <c r="P66" s="40"/>
      <c r="Q66" s="40">
        <v>66848301</v>
      </c>
      <c r="R66" s="40"/>
      <c r="S66" s="40">
        <v>573817000</v>
      </c>
      <c r="T66" s="40"/>
      <c r="U66" s="40">
        <v>20568</v>
      </c>
      <c r="V66" s="40"/>
      <c r="W66" s="40">
        <v>39963</v>
      </c>
      <c r="X66" s="40"/>
      <c r="Y66" s="40">
        <v>22998</v>
      </c>
      <c r="Z66" s="40"/>
      <c r="AA66" s="40">
        <v>42393</v>
      </c>
      <c r="AB66" s="40"/>
      <c r="AC66" s="59">
        <v>8</v>
      </c>
      <c r="AD66" s="59">
        <v>11</v>
      </c>
      <c r="AE66" s="59">
        <v>0</v>
      </c>
      <c r="AF66" s="57">
        <v>4778266</v>
      </c>
      <c r="AG66" s="57">
        <v>4375239</v>
      </c>
      <c r="AH66" s="57">
        <v>1061587</v>
      </c>
      <c r="AI66" s="57">
        <v>318298</v>
      </c>
      <c r="AJ66" s="57">
        <v>1152593</v>
      </c>
      <c r="AK66" s="58">
        <v>5.5</v>
      </c>
      <c r="AL66" s="57">
        <v>1056544</v>
      </c>
      <c r="AM66" s="58">
        <v>6</v>
      </c>
      <c r="AN66" s="57">
        <v>247564</v>
      </c>
      <c r="AO66" s="58">
        <v>8.5</v>
      </c>
      <c r="AP66" s="57">
        <v>233811</v>
      </c>
      <c r="AQ66" s="58">
        <v>9</v>
      </c>
      <c r="AR66" s="57">
        <v>373100</v>
      </c>
      <c r="AS66" s="58">
        <v>18</v>
      </c>
      <c r="AT66" s="57">
        <v>305790</v>
      </c>
      <c r="AU66" s="58">
        <v>20</v>
      </c>
      <c r="AV66" s="57">
        <v>102782</v>
      </c>
      <c r="AW66" s="58">
        <v>16</v>
      </c>
      <c r="AX66" s="57">
        <v>91362</v>
      </c>
      <c r="AY66" s="58">
        <v>18</v>
      </c>
      <c r="AZ66" s="79">
        <v>21604651</v>
      </c>
      <c r="BA66" s="79">
        <v>0</v>
      </c>
      <c r="BB66" s="79">
        <v>19887328</v>
      </c>
      <c r="BC66" s="79">
        <v>2085553</v>
      </c>
      <c r="BD66" s="79">
        <v>5712</v>
      </c>
      <c r="BE66" s="79">
        <v>248312</v>
      </c>
      <c r="BF66" s="79">
        <v>193405</v>
      </c>
      <c r="BG66" s="79">
        <v>15125</v>
      </c>
      <c r="BH66" s="79">
        <v>767549</v>
      </c>
      <c r="BI66" s="79">
        <v>48479</v>
      </c>
      <c r="BJ66" s="79">
        <v>1272870</v>
      </c>
      <c r="BK66" s="79">
        <v>9558</v>
      </c>
      <c r="BL66" s="79">
        <v>0</v>
      </c>
      <c r="BM66" s="79">
        <v>0</v>
      </c>
      <c r="BN66" s="79">
        <v>25014</v>
      </c>
      <c r="BO66" s="79">
        <v>140147</v>
      </c>
      <c r="BP66" s="79">
        <v>174719</v>
      </c>
      <c r="BQ66" s="79">
        <v>2370357</v>
      </c>
      <c r="BR66" s="79">
        <v>295185</v>
      </c>
      <c r="BS66" s="79">
        <v>25069</v>
      </c>
      <c r="BT66" s="79">
        <v>160443</v>
      </c>
      <c r="BU66" s="79">
        <v>5545524</v>
      </c>
      <c r="BV66" s="79">
        <v>8396578</v>
      </c>
      <c r="BW66" s="79">
        <v>60198597</v>
      </c>
      <c r="BX66" s="79">
        <v>8420990</v>
      </c>
      <c r="BY66" s="79">
        <v>236066</v>
      </c>
      <c r="BZ66" s="79">
        <v>10566388</v>
      </c>
      <c r="CA66" s="79">
        <v>35819029</v>
      </c>
      <c r="CB66" s="79">
        <v>115241070</v>
      </c>
      <c r="CC66" s="79">
        <v>3057727</v>
      </c>
      <c r="CD66" s="79">
        <v>425305</v>
      </c>
      <c r="CE66" s="79">
        <v>553785</v>
      </c>
      <c r="CF66" s="79">
        <v>5116688</v>
      </c>
      <c r="CG66" s="79">
        <v>968448</v>
      </c>
      <c r="CH66" s="79">
        <v>10121953</v>
      </c>
      <c r="CI66" s="79">
        <v>2350000</v>
      </c>
      <c r="CJ66" s="79">
        <v>641774</v>
      </c>
      <c r="CK66" s="79">
        <v>54500</v>
      </c>
      <c r="CL66" s="79">
        <v>123672</v>
      </c>
      <c r="CM66" s="79">
        <v>4765</v>
      </c>
      <c r="CN66" s="79">
        <v>3174711</v>
      </c>
      <c r="CO66" s="79">
        <v>7995698</v>
      </c>
      <c r="CP66" s="79">
        <v>3064047</v>
      </c>
      <c r="CQ66" s="79">
        <v>1227504</v>
      </c>
      <c r="CR66" s="79">
        <v>4516648</v>
      </c>
      <c r="CS66" s="79">
        <v>0</v>
      </c>
      <c r="CT66" s="79">
        <v>16803897</v>
      </c>
      <c r="CU66" s="79">
        <v>11000</v>
      </c>
      <c r="CV66" s="79">
        <v>6500</v>
      </c>
      <c r="CW66" s="79">
        <v>7050</v>
      </c>
      <c r="CX66" s="79">
        <v>54850</v>
      </c>
      <c r="CY66" s="79">
        <v>0</v>
      </c>
      <c r="CZ66" s="79">
        <v>79400</v>
      </c>
      <c r="DA66" s="79">
        <v>1461515</v>
      </c>
      <c r="DB66" s="79">
        <v>424446</v>
      </c>
      <c r="DC66" s="79">
        <v>224313</v>
      </c>
      <c r="DD66" s="79">
        <v>1214551</v>
      </c>
      <c r="DE66" s="79">
        <v>14810072</v>
      </c>
      <c r="DF66" s="79">
        <v>18134897</v>
      </c>
      <c r="DG66" s="79">
        <v>20000</v>
      </c>
      <c r="DH66" s="79">
        <v>2000</v>
      </c>
      <c r="DI66" s="79">
        <v>1450</v>
      </c>
      <c r="DJ66" s="79">
        <v>3150</v>
      </c>
      <c r="DK66" s="79">
        <v>23000</v>
      </c>
      <c r="DL66" s="79">
        <v>49600</v>
      </c>
      <c r="DM66" s="79">
        <v>0</v>
      </c>
      <c r="DN66" s="79">
        <v>0</v>
      </c>
      <c r="DO66" s="79">
        <v>0</v>
      </c>
      <c r="DP66" s="79">
        <v>0</v>
      </c>
      <c r="DQ66" s="79">
        <v>0</v>
      </c>
      <c r="DR66" s="79">
        <v>0</v>
      </c>
      <c r="DS66" s="79">
        <v>674755</v>
      </c>
      <c r="DT66" s="79">
        <v>227201</v>
      </c>
      <c r="DU66" s="79">
        <v>94903</v>
      </c>
      <c r="DV66" s="79">
        <v>383026</v>
      </c>
      <c r="DW66" s="79">
        <v>0</v>
      </c>
      <c r="DX66" s="79">
        <v>1379885</v>
      </c>
      <c r="DY66" s="79">
        <v>1151160</v>
      </c>
      <c r="DZ66" s="79">
        <v>311908</v>
      </c>
      <c r="EA66" s="79">
        <v>396807</v>
      </c>
      <c r="EB66" s="79">
        <v>2244407</v>
      </c>
      <c r="EC66" s="79">
        <v>0</v>
      </c>
      <c r="ED66" s="79">
        <v>4104282</v>
      </c>
      <c r="EE66" s="79">
        <v>442358</v>
      </c>
      <c r="EF66" s="79">
        <v>38519</v>
      </c>
      <c r="EG66" s="79">
        <v>18577</v>
      </c>
      <c r="EH66" s="79">
        <v>227212</v>
      </c>
      <c r="EI66" s="79">
        <v>0</v>
      </c>
      <c r="EJ66" s="79">
        <v>726666</v>
      </c>
      <c r="EK66" s="79">
        <v>1735448</v>
      </c>
      <c r="EL66" s="79">
        <v>396956</v>
      </c>
      <c r="EM66" s="79">
        <v>80162</v>
      </c>
      <c r="EN66" s="79">
        <v>257847</v>
      </c>
      <c r="EO66" s="79">
        <v>0</v>
      </c>
      <c r="EP66" s="79">
        <v>2470413</v>
      </c>
      <c r="EQ66" s="79">
        <v>24582</v>
      </c>
      <c r="ER66" s="79">
        <v>83974</v>
      </c>
      <c r="ES66" s="79">
        <v>934</v>
      </c>
      <c r="ET66" s="79">
        <v>105836</v>
      </c>
      <c r="EU66" s="79">
        <v>1419471</v>
      </c>
      <c r="EV66" s="79">
        <v>1634797</v>
      </c>
      <c r="EW66" s="79">
        <v>116608</v>
      </c>
      <c r="EX66" s="79">
        <v>84475</v>
      </c>
      <c r="EY66" s="79">
        <v>2312</v>
      </c>
      <c r="EZ66" s="79">
        <v>269461</v>
      </c>
      <c r="FA66" s="79">
        <v>0</v>
      </c>
      <c r="FB66" s="79">
        <v>472856</v>
      </c>
      <c r="FC66" s="79">
        <v>35067</v>
      </c>
      <c r="FD66" s="79">
        <v>663</v>
      </c>
      <c r="FE66" s="79">
        <v>233</v>
      </c>
      <c r="FF66" s="79">
        <v>14244</v>
      </c>
      <c r="FG66" s="79">
        <v>25001082</v>
      </c>
      <c r="FH66" s="79">
        <v>25051289</v>
      </c>
      <c r="FI66" s="79">
        <v>0</v>
      </c>
      <c r="FJ66" s="79">
        <v>0</v>
      </c>
      <c r="FK66" s="79">
        <v>0</v>
      </c>
      <c r="FL66" s="79">
        <v>0</v>
      </c>
      <c r="FM66" s="79">
        <v>264503</v>
      </c>
      <c r="FN66" s="79">
        <v>264503</v>
      </c>
      <c r="FO66" s="79">
        <v>0</v>
      </c>
      <c r="FP66" s="79">
        <v>0</v>
      </c>
      <c r="FQ66" s="79">
        <v>0</v>
      </c>
      <c r="FR66" s="79">
        <v>0</v>
      </c>
      <c r="FS66" s="79">
        <v>0</v>
      </c>
      <c r="FT66" s="79">
        <v>0</v>
      </c>
      <c r="FU66" s="79">
        <v>184631</v>
      </c>
      <c r="FV66" s="79">
        <v>8553</v>
      </c>
      <c r="FW66" s="79">
        <v>15740</v>
      </c>
      <c r="FX66" s="79">
        <v>152177</v>
      </c>
      <c r="FY66" s="79">
        <v>855853</v>
      </c>
      <c r="FZ66" s="79">
        <v>1216954</v>
      </c>
      <c r="GA66" s="79">
        <v>1375</v>
      </c>
      <c r="GB66" s="79">
        <v>760</v>
      </c>
      <c r="GC66" s="79">
        <v>160</v>
      </c>
      <c r="GD66" s="79">
        <v>7131</v>
      </c>
      <c r="GE66" s="79">
        <v>72677</v>
      </c>
      <c r="GF66" s="79">
        <v>82103</v>
      </c>
      <c r="GG66" s="79">
        <v>1783258</v>
      </c>
      <c r="GH66" s="79">
        <v>236041</v>
      </c>
      <c r="GI66" s="79">
        <v>134694</v>
      </c>
      <c r="GJ66" s="79">
        <v>934590</v>
      </c>
      <c r="GK66" s="79">
        <v>6115919</v>
      </c>
      <c r="GL66" s="79">
        <v>9204502</v>
      </c>
      <c r="GM66" s="79">
        <v>21045182</v>
      </c>
      <c r="GN66" s="79">
        <v>5953122</v>
      </c>
      <c r="GO66" s="79">
        <v>2813124</v>
      </c>
      <c r="GP66" s="79">
        <v>15625490</v>
      </c>
      <c r="GQ66" s="79">
        <v>49535790</v>
      </c>
      <c r="GR66" s="79">
        <v>94972708</v>
      </c>
      <c r="GS66" s="79">
        <v>0</v>
      </c>
      <c r="GT66" s="79">
        <v>0</v>
      </c>
      <c r="GU66" s="79">
        <v>0</v>
      </c>
      <c r="GV66" s="79">
        <v>0</v>
      </c>
      <c r="GW66" s="79">
        <v>0</v>
      </c>
      <c r="GX66" s="79">
        <v>0</v>
      </c>
      <c r="GY66" s="79">
        <v>21045182</v>
      </c>
      <c r="GZ66" s="100">
        <v>5953122</v>
      </c>
      <c r="HA66" s="100">
        <v>2813124</v>
      </c>
      <c r="HB66" s="100">
        <v>15625490</v>
      </c>
      <c r="HC66" s="100">
        <v>49535790</v>
      </c>
      <c r="HD66" s="100">
        <v>94972708</v>
      </c>
      <c r="HF66" s="7">
        <f>SUM(AZ66:AZ66)</f>
        <v>21604651</v>
      </c>
      <c r="HG66" s="7" t="e">
        <f>#REF!-HF66</f>
        <v>#REF!</v>
      </c>
      <c r="HH66" s="7" t="e">
        <f>SUM(#REF!)</f>
        <v>#REF!</v>
      </c>
      <c r="HI66" s="7" t="e">
        <f>#REF!-HH66</f>
        <v>#REF!</v>
      </c>
      <c r="HJ66" s="7">
        <f>SUM(BA66:BA66)</f>
        <v>0</v>
      </c>
      <c r="HK66" s="7" t="e">
        <f>#REF!-HJ66</f>
        <v>#REF!</v>
      </c>
      <c r="HL66" s="7">
        <f>SUM(BB66:BB66)</f>
        <v>19887328</v>
      </c>
      <c r="HM66" s="7" t="e">
        <f>#REF!-HL66</f>
        <v>#REF!</v>
      </c>
      <c r="HN66" s="7" t="e">
        <f>SUM(#REF!)</f>
        <v>#REF!</v>
      </c>
      <c r="HO66" s="7" t="e">
        <f>#REF!-HN66</f>
        <v>#REF!</v>
      </c>
      <c r="HP66" s="7" t="e">
        <f>SUM(#REF!)</f>
        <v>#REF!</v>
      </c>
      <c r="HQ66" s="7" t="e">
        <f>#REF!-HP66</f>
        <v>#REF!</v>
      </c>
      <c r="HR66" s="7" t="e">
        <f>SUM(#REF!)</f>
        <v>#REF!</v>
      </c>
      <c r="HS66" s="7" t="e">
        <f>#REF!-HR66</f>
        <v>#REF!</v>
      </c>
      <c r="HT66" s="7" t="e">
        <f>SUM(#REF!)</f>
        <v>#REF!</v>
      </c>
      <c r="HU66" s="7" t="e">
        <f>#REF!-HT66</f>
        <v>#REF!</v>
      </c>
      <c r="HV66" s="7" t="e">
        <f>SUM(#REF!)</f>
        <v>#REF!</v>
      </c>
      <c r="HW66" s="7" t="e">
        <f>#REF!-HV66</f>
        <v>#REF!</v>
      </c>
      <c r="HX66" s="7" t="e">
        <f>SUM(#REF!)</f>
        <v>#REF!</v>
      </c>
      <c r="HY66" s="7" t="e">
        <f>#REF!-HX66</f>
        <v>#REF!</v>
      </c>
      <c r="HZ66" s="7">
        <f>SUM(BC66:BC66)</f>
        <v>2085553</v>
      </c>
      <c r="IA66" s="7" t="e">
        <f>#REF!-HZ66</f>
        <v>#REF!</v>
      </c>
      <c r="IB66" s="7">
        <f>SUM(BD66:BD66)</f>
        <v>5712</v>
      </c>
      <c r="IC66" s="7" t="e">
        <f>#REF!-IB66</f>
        <v>#REF!</v>
      </c>
      <c r="ID66" s="7">
        <f t="shared" si="57"/>
        <v>1272870</v>
      </c>
      <c r="IE66" s="7">
        <f t="shared" si="58"/>
        <v>0</v>
      </c>
      <c r="IF66" s="7">
        <f t="shared" si="59"/>
        <v>174719</v>
      </c>
      <c r="IG66" s="7">
        <f t="shared" si="60"/>
        <v>0</v>
      </c>
      <c r="IH66" s="7">
        <f t="shared" si="61"/>
        <v>8396578</v>
      </c>
      <c r="II66" s="7">
        <f t="shared" si="62"/>
        <v>0</v>
      </c>
      <c r="IJ66" s="7">
        <f t="shared" si="63"/>
        <v>115241070</v>
      </c>
      <c r="IK66" s="7">
        <f t="shared" si="64"/>
        <v>0</v>
      </c>
      <c r="IL66" s="7">
        <f t="shared" si="65"/>
        <v>10121953</v>
      </c>
      <c r="IM66" s="7">
        <f t="shared" si="66"/>
        <v>0</v>
      </c>
      <c r="IN66" s="7">
        <f t="shared" si="67"/>
        <v>3174711</v>
      </c>
      <c r="IO66" s="7">
        <f t="shared" si="68"/>
        <v>0</v>
      </c>
      <c r="IP66" s="7">
        <f t="shared" si="69"/>
        <v>16803897</v>
      </c>
      <c r="IQ66" s="7">
        <f t="shared" si="70"/>
        <v>0</v>
      </c>
      <c r="IR66" s="7">
        <f t="shared" si="71"/>
        <v>79400</v>
      </c>
      <c r="IS66" s="7">
        <f t="shared" si="72"/>
        <v>0</v>
      </c>
      <c r="IT66" s="7">
        <f t="shared" si="73"/>
        <v>18134897</v>
      </c>
      <c r="IU66" s="7">
        <f t="shared" si="74"/>
        <v>0</v>
      </c>
      <c r="IV66" s="7">
        <f t="shared" si="75"/>
        <v>49600</v>
      </c>
      <c r="IW66" s="7">
        <f t="shared" si="76"/>
        <v>0</v>
      </c>
      <c r="IX66" s="7">
        <f t="shared" si="77"/>
        <v>0</v>
      </c>
      <c r="IY66" s="7">
        <f t="shared" si="78"/>
        <v>0</v>
      </c>
      <c r="IZ66" s="7">
        <f t="shared" si="79"/>
        <v>1379885</v>
      </c>
      <c r="JA66" s="7">
        <f t="shared" si="80"/>
        <v>0</v>
      </c>
      <c r="JB66" s="7">
        <f t="shared" si="81"/>
        <v>4104282</v>
      </c>
      <c r="JC66" s="7">
        <f t="shared" si="82"/>
        <v>0</v>
      </c>
      <c r="JD66" s="7">
        <f t="shared" si="83"/>
        <v>726666</v>
      </c>
      <c r="JE66" s="7">
        <f t="shared" si="84"/>
        <v>0</v>
      </c>
      <c r="JF66" s="7">
        <f t="shared" si="85"/>
        <v>2470413</v>
      </c>
      <c r="JG66" s="7">
        <f t="shared" si="86"/>
        <v>0</v>
      </c>
      <c r="JH66" s="7">
        <f t="shared" si="87"/>
        <v>1634797</v>
      </c>
      <c r="JI66" s="7">
        <f t="shared" si="88"/>
        <v>0</v>
      </c>
      <c r="JJ66" s="7">
        <f t="shared" si="89"/>
        <v>472856</v>
      </c>
      <c r="JK66" s="7">
        <f t="shared" si="90"/>
        <v>0</v>
      </c>
      <c r="JL66" s="7">
        <f t="shared" si="91"/>
        <v>25051289</v>
      </c>
      <c r="JM66" s="7">
        <f t="shared" si="92"/>
        <v>0</v>
      </c>
      <c r="JN66" s="7">
        <f t="shared" si="93"/>
        <v>264503</v>
      </c>
      <c r="JO66" s="7">
        <f t="shared" si="94"/>
        <v>0</v>
      </c>
      <c r="JP66" s="7">
        <f t="shared" si="95"/>
        <v>0</v>
      </c>
      <c r="JQ66" s="7">
        <f t="shared" si="96"/>
        <v>0</v>
      </c>
      <c r="JR66" s="7">
        <f t="shared" si="97"/>
        <v>1216954</v>
      </c>
      <c r="JS66" s="7">
        <f t="shared" si="98"/>
        <v>0</v>
      </c>
      <c r="JT66" s="7">
        <f t="shared" si="99"/>
        <v>82103</v>
      </c>
      <c r="JU66" s="7">
        <f t="shared" si="100"/>
        <v>0</v>
      </c>
      <c r="JV66" s="7">
        <f t="shared" si="55"/>
        <v>9204502</v>
      </c>
      <c r="JW66" s="7">
        <f t="shared" si="56"/>
        <v>0</v>
      </c>
      <c r="JX66" s="7">
        <f t="shared" si="101"/>
        <v>94972708</v>
      </c>
      <c r="JY66" s="7">
        <f t="shared" si="102"/>
        <v>0</v>
      </c>
      <c r="JZ66" s="7">
        <f t="shared" si="103"/>
        <v>0</v>
      </c>
      <c r="KA66" s="7">
        <f t="shared" si="104"/>
        <v>0</v>
      </c>
      <c r="KB66" s="7">
        <f t="shared" si="105"/>
        <v>94972708</v>
      </c>
      <c r="KC66" s="7">
        <f t="shared" si="106"/>
        <v>0</v>
      </c>
      <c r="KE66" s="7" t="e">
        <f t="shared" si="107"/>
        <v>#REF!</v>
      </c>
      <c r="KG66" s="5" t="e">
        <f t="shared" si="108"/>
        <v>#REF!</v>
      </c>
      <c r="KR66" s="19"/>
    </row>
    <row r="67" spans="1:304" x14ac:dyDescent="0.15">
      <c r="A67" s="119" t="s">
        <v>278</v>
      </c>
      <c r="B67" s="17" t="s">
        <v>343</v>
      </c>
      <c r="C67" s="41">
        <v>209542</v>
      </c>
      <c r="D67" s="38">
        <v>2013</v>
      </c>
      <c r="E67" s="38">
        <v>1</v>
      </c>
      <c r="F67" s="38">
        <v>4</v>
      </c>
      <c r="G67" s="39">
        <v>9499</v>
      </c>
      <c r="H67" s="39">
        <v>8003</v>
      </c>
      <c r="I67" s="40">
        <v>846302000</v>
      </c>
      <c r="J67" s="40"/>
      <c r="K67" s="40">
        <v>7467398</v>
      </c>
      <c r="L67" s="40"/>
      <c r="M67" s="40">
        <v>72534000</v>
      </c>
      <c r="N67" s="40"/>
      <c r="O67" s="40">
        <v>93264488</v>
      </c>
      <c r="P67" s="40"/>
      <c r="Q67" s="40">
        <v>547520000</v>
      </c>
      <c r="R67" s="40"/>
      <c r="S67" s="40">
        <v>685879000</v>
      </c>
      <c r="T67" s="40"/>
      <c r="U67" s="40">
        <v>21274</v>
      </c>
      <c r="V67" s="40"/>
      <c r="W67" s="40">
        <v>35458</v>
      </c>
      <c r="X67" s="40"/>
      <c r="Y67" s="40">
        <v>23890</v>
      </c>
      <c r="Z67" s="40"/>
      <c r="AA67" s="40">
        <v>38074</v>
      </c>
      <c r="AB67" s="40"/>
      <c r="AC67" s="56">
        <v>9</v>
      </c>
      <c r="AD67" s="56">
        <v>11</v>
      </c>
      <c r="AE67" s="56">
        <v>0</v>
      </c>
      <c r="AF67" s="57">
        <v>4916466</v>
      </c>
      <c r="AG67" s="57">
        <v>3888675</v>
      </c>
      <c r="AH67" s="57">
        <v>716763</v>
      </c>
      <c r="AI67" s="57">
        <v>320660</v>
      </c>
      <c r="AJ67" s="57">
        <v>586836</v>
      </c>
      <c r="AK67" s="58">
        <v>7</v>
      </c>
      <c r="AL67" s="57">
        <v>586836</v>
      </c>
      <c r="AM67" s="58">
        <v>7</v>
      </c>
      <c r="AN67" s="57">
        <v>167286</v>
      </c>
      <c r="AO67" s="58">
        <v>9</v>
      </c>
      <c r="AP67" s="57">
        <v>167286</v>
      </c>
      <c r="AQ67" s="58">
        <v>9</v>
      </c>
      <c r="AR67" s="57">
        <v>204172</v>
      </c>
      <c r="AS67" s="58">
        <v>20</v>
      </c>
      <c r="AT67" s="57">
        <v>204172</v>
      </c>
      <c r="AU67" s="58">
        <v>20</v>
      </c>
      <c r="AV67" s="57">
        <v>82570</v>
      </c>
      <c r="AW67" s="58">
        <v>17</v>
      </c>
      <c r="AX67" s="57">
        <v>82570</v>
      </c>
      <c r="AY67" s="58">
        <v>17</v>
      </c>
      <c r="AZ67" s="79">
        <v>8817750</v>
      </c>
      <c r="BA67" s="79">
        <v>350000</v>
      </c>
      <c r="BB67" s="79">
        <v>1467348</v>
      </c>
      <c r="BC67" s="79">
        <v>505399</v>
      </c>
      <c r="BD67" s="79">
        <v>0</v>
      </c>
      <c r="BE67" s="79">
        <v>228253</v>
      </c>
      <c r="BF67" s="79">
        <v>44436</v>
      </c>
      <c r="BG67" s="79">
        <v>100017</v>
      </c>
      <c r="BH67" s="79">
        <v>806550</v>
      </c>
      <c r="BI67" s="79">
        <v>22396</v>
      </c>
      <c r="BJ67" s="79">
        <v>1201652</v>
      </c>
      <c r="BK67" s="79">
        <v>0</v>
      </c>
      <c r="BL67" s="79">
        <v>0</v>
      </c>
      <c r="BM67" s="79">
        <v>0</v>
      </c>
      <c r="BN67" s="79">
        <v>0</v>
      </c>
      <c r="BO67" s="79">
        <v>228650</v>
      </c>
      <c r="BP67" s="79">
        <v>228650</v>
      </c>
      <c r="BQ67" s="79">
        <v>6251</v>
      </c>
      <c r="BR67" s="79">
        <v>222</v>
      </c>
      <c r="BS67" s="79">
        <v>3761</v>
      </c>
      <c r="BT67" s="79">
        <v>22800</v>
      </c>
      <c r="BU67" s="79">
        <v>249426</v>
      </c>
      <c r="BV67" s="79">
        <v>282460</v>
      </c>
      <c r="BW67" s="79">
        <v>16955875</v>
      </c>
      <c r="BX67" s="79">
        <v>16441465</v>
      </c>
      <c r="BY67" s="79">
        <v>1047012</v>
      </c>
      <c r="BZ67" s="79">
        <v>10100557</v>
      </c>
      <c r="CA67" s="79">
        <v>20923061</v>
      </c>
      <c r="CB67" s="79">
        <v>65467970</v>
      </c>
      <c r="CC67" s="79">
        <v>3187717</v>
      </c>
      <c r="CD67" s="79">
        <v>502029</v>
      </c>
      <c r="CE67" s="79">
        <v>497401</v>
      </c>
      <c r="CF67" s="79">
        <v>4617994</v>
      </c>
      <c r="CG67" s="79">
        <v>90422</v>
      </c>
      <c r="CH67" s="79">
        <v>8895563</v>
      </c>
      <c r="CI67" s="79">
        <v>600000</v>
      </c>
      <c r="CJ67" s="79">
        <v>400000</v>
      </c>
      <c r="CK67" s="79">
        <v>73798</v>
      </c>
      <c r="CL67" s="79">
        <v>74407</v>
      </c>
      <c r="CM67" s="79">
        <v>0</v>
      </c>
      <c r="CN67" s="79">
        <v>1148205</v>
      </c>
      <c r="CO67" s="79">
        <v>4519863</v>
      </c>
      <c r="CP67" s="79">
        <v>1909154</v>
      </c>
      <c r="CQ67" s="79">
        <v>709591</v>
      </c>
      <c r="CR67" s="79">
        <v>3961954</v>
      </c>
      <c r="CS67" s="79">
        <v>0</v>
      </c>
      <c r="CT67" s="79">
        <v>11100562</v>
      </c>
      <c r="CU67" s="79">
        <v>0</v>
      </c>
      <c r="CV67" s="79">
        <v>0</v>
      </c>
      <c r="CW67" s="79">
        <v>0</v>
      </c>
      <c r="CX67" s="79">
        <v>0</v>
      </c>
      <c r="CY67" s="79">
        <v>0</v>
      </c>
      <c r="CZ67" s="79">
        <v>0</v>
      </c>
      <c r="DA67" s="79">
        <v>573541</v>
      </c>
      <c r="DB67" s="79">
        <v>65455</v>
      </c>
      <c r="DC67" s="79">
        <v>124744</v>
      </c>
      <c r="DD67" s="87">
        <v>296760</v>
      </c>
      <c r="DE67" s="89">
        <v>6674696</v>
      </c>
      <c r="DF67" s="82">
        <v>7735196</v>
      </c>
      <c r="DG67" s="79">
        <v>0</v>
      </c>
      <c r="DH67" s="79">
        <v>0</v>
      </c>
      <c r="DI67" s="79">
        <v>0</v>
      </c>
      <c r="DJ67" s="79">
        <v>0</v>
      </c>
      <c r="DK67" s="79">
        <v>0</v>
      </c>
      <c r="DL67" s="79">
        <v>0</v>
      </c>
      <c r="DM67" s="79">
        <v>0</v>
      </c>
      <c r="DN67" s="79">
        <v>0</v>
      </c>
      <c r="DO67" s="79">
        <v>15576</v>
      </c>
      <c r="DP67" s="79">
        <v>0</v>
      </c>
      <c r="DQ67" s="79">
        <v>0</v>
      </c>
      <c r="DR67" s="79">
        <v>15576</v>
      </c>
      <c r="DS67" s="79">
        <v>430882</v>
      </c>
      <c r="DT67" s="79">
        <v>153652</v>
      </c>
      <c r="DU67" s="79">
        <v>131246</v>
      </c>
      <c r="DV67" s="79">
        <f>716763+320660-DS67-DT67-DU67</f>
        <v>321643</v>
      </c>
      <c r="DW67" s="79">
        <v>33741</v>
      </c>
      <c r="DX67" s="79">
        <v>1071164</v>
      </c>
      <c r="DY67" s="79">
        <v>2583143</v>
      </c>
      <c r="DZ67" s="79">
        <v>473504</v>
      </c>
      <c r="EA67" s="79">
        <v>262422</v>
      </c>
      <c r="EB67" s="79">
        <f>3817817+1273401-DY67-DZ67-EA67</f>
        <v>1772149</v>
      </c>
      <c r="EC67" s="79">
        <v>90338</v>
      </c>
      <c r="ED67" s="79">
        <v>5181556</v>
      </c>
      <c r="EE67" s="79">
        <v>423657</v>
      </c>
      <c r="EF67" s="79">
        <v>5683</v>
      </c>
      <c r="EG67" s="79">
        <v>13606</v>
      </c>
      <c r="EH67" s="79">
        <f>479127+260227-EE67-EF67-EG67</f>
        <v>296408</v>
      </c>
      <c r="EI67" s="79">
        <v>301999</v>
      </c>
      <c r="EJ67" s="79">
        <v>1041353</v>
      </c>
      <c r="EK67" s="79">
        <v>315711</v>
      </c>
      <c r="EL67" s="79">
        <v>156926</v>
      </c>
      <c r="EM67" s="79">
        <v>120717</v>
      </c>
      <c r="EN67" s="79">
        <f>904968+276935-EK67-EL67-EM67</f>
        <v>588549</v>
      </c>
      <c r="EO67" s="79">
        <v>1021641</v>
      </c>
      <c r="EP67" s="79">
        <v>2203544</v>
      </c>
      <c r="EQ67" s="79">
        <v>87584</v>
      </c>
      <c r="ER67" s="79">
        <v>52522</v>
      </c>
      <c r="ES67" s="79">
        <v>12644</v>
      </c>
      <c r="ET67" s="79">
        <f>156393+37403-EQ67-ER67-ES67</f>
        <v>41046</v>
      </c>
      <c r="EU67" s="79">
        <v>1814769</v>
      </c>
      <c r="EV67" s="79">
        <v>2008565</v>
      </c>
      <c r="EW67" s="79">
        <v>195344</v>
      </c>
      <c r="EX67" s="79">
        <v>52154</v>
      </c>
      <c r="EY67" s="79">
        <v>116792</v>
      </c>
      <c r="EZ67" s="79">
        <f>527964+522645-EW67-EX67-EY67</f>
        <v>686319</v>
      </c>
      <c r="FA67" s="79">
        <v>19534</v>
      </c>
      <c r="FB67" s="79">
        <v>1070143</v>
      </c>
      <c r="FC67" s="79">
        <v>84632</v>
      </c>
      <c r="FD67" s="79">
        <v>34947</v>
      </c>
      <c r="FE67" s="79">
        <v>17242</v>
      </c>
      <c r="FF67" s="79">
        <f>180395+53520-FC67-FD67-FE67</f>
        <v>97094</v>
      </c>
      <c r="FG67" s="79">
        <v>10139941</v>
      </c>
      <c r="FH67" s="79">
        <v>10373856</v>
      </c>
      <c r="FI67" s="79">
        <v>0</v>
      </c>
      <c r="FJ67" s="79">
        <v>0</v>
      </c>
      <c r="FK67" s="79">
        <v>0</v>
      </c>
      <c r="FL67" s="79">
        <v>0</v>
      </c>
      <c r="FM67" s="79">
        <v>125745</v>
      </c>
      <c r="FN67" s="79">
        <v>125745</v>
      </c>
      <c r="FO67" s="79">
        <v>0</v>
      </c>
      <c r="FP67" s="79">
        <v>0</v>
      </c>
      <c r="FQ67" s="79">
        <v>0</v>
      </c>
      <c r="FR67" s="79">
        <v>0</v>
      </c>
      <c r="FS67" s="79">
        <v>5274948</v>
      </c>
      <c r="FT67" s="79">
        <v>5274948</v>
      </c>
      <c r="FU67" s="79">
        <v>140066</v>
      </c>
      <c r="FV67" s="79">
        <v>20694</v>
      </c>
      <c r="FW67" s="79">
        <v>18650</v>
      </c>
      <c r="FX67" s="79">
        <f>222899+174146-FU67-FV67-FW67</f>
        <v>217635</v>
      </c>
      <c r="FY67" s="79">
        <v>691559</v>
      </c>
      <c r="FZ67" s="79">
        <v>1088604</v>
      </c>
      <c r="GA67" s="79">
        <v>2660</v>
      </c>
      <c r="GB67" s="79">
        <v>320</v>
      </c>
      <c r="GC67" s="79">
        <v>880</v>
      </c>
      <c r="GD67" s="79">
        <f>6640+4294-GA67-GB67-GC67</f>
        <v>7074</v>
      </c>
      <c r="GE67" s="79">
        <v>2310842</v>
      </c>
      <c r="GF67" s="79">
        <v>2321776</v>
      </c>
      <c r="GG67" s="79">
        <v>647792</v>
      </c>
      <c r="GH67" s="79">
        <v>102873</v>
      </c>
      <c r="GI67" s="79">
        <v>49176</v>
      </c>
      <c r="GJ67" s="79">
        <f>911219+283673-GG67-GH67-GI67</f>
        <v>395051</v>
      </c>
      <c r="GK67" s="79">
        <v>2333817</v>
      </c>
      <c r="GL67" s="79">
        <v>3528709</v>
      </c>
      <c r="GM67" s="79">
        <v>13792592</v>
      </c>
      <c r="GN67" s="79">
        <v>3929913</v>
      </c>
      <c r="GO67" s="79">
        <v>2164485</v>
      </c>
      <c r="GP67" s="79">
        <f>22823033+10438040-GM67-GN67-GO67</f>
        <v>13374083</v>
      </c>
      <c r="GQ67" s="79">
        <v>30923992</v>
      </c>
      <c r="GR67" s="79">
        <v>64185065</v>
      </c>
      <c r="GS67" s="79">
        <v>0</v>
      </c>
      <c r="GT67" s="79">
        <v>0</v>
      </c>
      <c r="GU67" s="79">
        <v>0</v>
      </c>
      <c r="GV67" s="79">
        <v>0</v>
      </c>
      <c r="GW67" s="79">
        <v>0</v>
      </c>
      <c r="GX67" s="79">
        <v>0</v>
      </c>
      <c r="GY67" s="79">
        <v>13792592</v>
      </c>
      <c r="GZ67" s="79">
        <v>3929913</v>
      </c>
      <c r="HA67" s="79">
        <v>2164485</v>
      </c>
      <c r="HB67" s="79">
        <f>22823033+10438040-GY67-GZ67-HA67</f>
        <v>13374083</v>
      </c>
      <c r="HC67" s="79">
        <v>30923992</v>
      </c>
      <c r="HD67" s="79">
        <v>64185065</v>
      </c>
      <c r="HF67" s="7">
        <f>SUM(AZ67:AZ67)</f>
        <v>8817750</v>
      </c>
      <c r="HG67" s="7" t="e">
        <f>#REF!-HF67</f>
        <v>#REF!</v>
      </c>
      <c r="HH67" s="7" t="e">
        <f>SUM(#REF!)</f>
        <v>#REF!</v>
      </c>
      <c r="HI67" s="7" t="e">
        <f>#REF!-HH67</f>
        <v>#REF!</v>
      </c>
      <c r="HJ67" s="7">
        <f>SUM(BA67:BA67)</f>
        <v>350000</v>
      </c>
      <c r="HK67" s="7" t="e">
        <f>#REF!-HJ67</f>
        <v>#REF!</v>
      </c>
      <c r="HL67" s="7">
        <f>SUM(BB67:BB67)</f>
        <v>1467348</v>
      </c>
      <c r="HM67" s="7" t="e">
        <f>#REF!-HL67</f>
        <v>#REF!</v>
      </c>
      <c r="HN67" s="7" t="e">
        <f>SUM(#REF!)</f>
        <v>#REF!</v>
      </c>
      <c r="HO67" s="7" t="e">
        <f>#REF!-HN67</f>
        <v>#REF!</v>
      </c>
      <c r="HP67" s="7" t="e">
        <f>SUM(#REF!)</f>
        <v>#REF!</v>
      </c>
      <c r="HQ67" s="7" t="e">
        <f>#REF!-HP67</f>
        <v>#REF!</v>
      </c>
      <c r="HR67" s="7" t="e">
        <f>SUM(#REF!)</f>
        <v>#REF!</v>
      </c>
      <c r="HS67" s="7" t="e">
        <f>#REF!-HR67</f>
        <v>#REF!</v>
      </c>
      <c r="HT67" s="7" t="e">
        <f>SUM(#REF!)</f>
        <v>#REF!</v>
      </c>
      <c r="HU67" s="7" t="e">
        <f>#REF!-HT67</f>
        <v>#REF!</v>
      </c>
      <c r="HV67" s="7" t="e">
        <f>SUM(#REF!)</f>
        <v>#REF!</v>
      </c>
      <c r="HW67" s="7" t="e">
        <f>#REF!-HV67</f>
        <v>#REF!</v>
      </c>
      <c r="HX67" s="7" t="e">
        <f>SUM(#REF!)</f>
        <v>#REF!</v>
      </c>
      <c r="HY67" s="7" t="e">
        <f>#REF!-HX67</f>
        <v>#REF!</v>
      </c>
      <c r="HZ67" s="7">
        <f>SUM(BC67:BC67)</f>
        <v>505399</v>
      </c>
      <c r="IA67" s="7" t="e">
        <f>#REF!-HZ67</f>
        <v>#REF!</v>
      </c>
      <c r="IB67" s="7">
        <f>SUM(BD67:BD67)</f>
        <v>0</v>
      </c>
      <c r="IC67" s="7" t="e">
        <f>#REF!-IB67</f>
        <v>#REF!</v>
      </c>
      <c r="ID67" s="7">
        <f t="shared" si="57"/>
        <v>1201652</v>
      </c>
      <c r="IE67" s="7">
        <f t="shared" si="58"/>
        <v>0</v>
      </c>
      <c r="IF67" s="7">
        <f t="shared" si="59"/>
        <v>228650</v>
      </c>
      <c r="IG67" s="7">
        <f t="shared" si="60"/>
        <v>0</v>
      </c>
      <c r="IH67" s="7">
        <f t="shared" si="61"/>
        <v>282460</v>
      </c>
      <c r="II67" s="7">
        <f t="shared" si="62"/>
        <v>0</v>
      </c>
      <c r="IJ67" s="7">
        <f t="shared" si="63"/>
        <v>65467970</v>
      </c>
      <c r="IK67" s="7">
        <f t="shared" si="64"/>
        <v>0</v>
      </c>
      <c r="IL67" s="7">
        <f t="shared" si="65"/>
        <v>8895563</v>
      </c>
      <c r="IM67" s="7">
        <f t="shared" si="66"/>
        <v>0</v>
      </c>
      <c r="IN67" s="7">
        <f t="shared" si="67"/>
        <v>1148205</v>
      </c>
      <c r="IO67" s="7">
        <f t="shared" si="68"/>
        <v>0</v>
      </c>
      <c r="IP67" s="7">
        <f t="shared" si="69"/>
        <v>11100562</v>
      </c>
      <c r="IQ67" s="7">
        <f t="shared" si="70"/>
        <v>0</v>
      </c>
      <c r="IR67" s="7">
        <f t="shared" si="71"/>
        <v>0</v>
      </c>
      <c r="IS67" s="7">
        <f t="shared" si="72"/>
        <v>0</v>
      </c>
      <c r="IT67" s="7">
        <f t="shared" si="73"/>
        <v>7735196</v>
      </c>
      <c r="IU67" s="7">
        <f t="shared" si="74"/>
        <v>0</v>
      </c>
      <c r="IV67" s="7">
        <f t="shared" si="75"/>
        <v>0</v>
      </c>
      <c r="IW67" s="7">
        <f t="shared" si="76"/>
        <v>0</v>
      </c>
      <c r="IX67" s="7">
        <f t="shared" si="77"/>
        <v>15576</v>
      </c>
      <c r="IY67" s="7">
        <f t="shared" si="78"/>
        <v>0</v>
      </c>
      <c r="IZ67" s="7">
        <f t="shared" si="79"/>
        <v>1071164</v>
      </c>
      <c r="JA67" s="7">
        <f t="shared" si="80"/>
        <v>0</v>
      </c>
      <c r="JB67" s="7">
        <f t="shared" si="81"/>
        <v>5181556</v>
      </c>
      <c r="JC67" s="7">
        <f t="shared" si="82"/>
        <v>0</v>
      </c>
      <c r="JD67" s="7">
        <f t="shared" si="83"/>
        <v>1041353</v>
      </c>
      <c r="JE67" s="7">
        <f t="shared" si="84"/>
        <v>0</v>
      </c>
      <c r="JF67" s="7">
        <f t="shared" si="85"/>
        <v>2203544</v>
      </c>
      <c r="JG67" s="7">
        <f t="shared" si="86"/>
        <v>0</v>
      </c>
      <c r="JH67" s="7">
        <f t="shared" si="87"/>
        <v>2008565</v>
      </c>
      <c r="JI67" s="7">
        <f t="shared" si="88"/>
        <v>0</v>
      </c>
      <c r="JJ67" s="7">
        <f t="shared" si="89"/>
        <v>1070143</v>
      </c>
      <c r="JK67" s="7">
        <f t="shared" si="90"/>
        <v>0</v>
      </c>
      <c r="JL67" s="7">
        <f t="shared" si="91"/>
        <v>10373856</v>
      </c>
      <c r="JM67" s="7">
        <f t="shared" si="92"/>
        <v>0</v>
      </c>
      <c r="JN67" s="7">
        <f t="shared" si="93"/>
        <v>125745</v>
      </c>
      <c r="JO67" s="7">
        <f t="shared" si="94"/>
        <v>0</v>
      </c>
      <c r="JP67" s="7">
        <f t="shared" si="95"/>
        <v>5274948</v>
      </c>
      <c r="JQ67" s="7">
        <f t="shared" si="96"/>
        <v>0</v>
      </c>
      <c r="JR67" s="7">
        <f t="shared" si="97"/>
        <v>1088604</v>
      </c>
      <c r="JS67" s="7">
        <f t="shared" si="98"/>
        <v>0</v>
      </c>
      <c r="JT67" s="7">
        <f t="shared" si="99"/>
        <v>2321776</v>
      </c>
      <c r="JU67" s="7">
        <f t="shared" si="100"/>
        <v>0</v>
      </c>
      <c r="JV67" s="7">
        <f t="shared" si="55"/>
        <v>3528709</v>
      </c>
      <c r="JW67" s="7">
        <f t="shared" si="56"/>
        <v>0</v>
      </c>
      <c r="JX67" s="7">
        <f t="shared" si="101"/>
        <v>64185065</v>
      </c>
      <c r="JY67" s="7">
        <f t="shared" si="102"/>
        <v>0</v>
      </c>
      <c r="JZ67" s="7">
        <f t="shared" si="103"/>
        <v>0</v>
      </c>
      <c r="KA67" s="7">
        <f t="shared" si="104"/>
        <v>0</v>
      </c>
      <c r="KB67" s="7">
        <f t="shared" si="105"/>
        <v>64185065</v>
      </c>
      <c r="KC67" s="7">
        <f t="shared" si="106"/>
        <v>0</v>
      </c>
      <c r="KE67" s="7" t="e">
        <f t="shared" si="107"/>
        <v>#REF!</v>
      </c>
      <c r="KG67" s="5" t="e">
        <f t="shared" si="108"/>
        <v>#REF!</v>
      </c>
      <c r="KR67" s="19"/>
    </row>
    <row r="68" spans="1:304" x14ac:dyDescent="0.15">
      <c r="A68" s="122" t="s">
        <v>378</v>
      </c>
      <c r="B68" s="17" t="s">
        <v>401</v>
      </c>
      <c r="C68" s="38">
        <v>214777</v>
      </c>
      <c r="D68" s="38">
        <v>2013</v>
      </c>
      <c r="E68" s="38">
        <v>1</v>
      </c>
      <c r="F68" s="38">
        <v>3</v>
      </c>
      <c r="G68" s="39">
        <v>20154</v>
      </c>
      <c r="H68" s="39">
        <v>17465</v>
      </c>
      <c r="I68" s="40">
        <v>4469291000</v>
      </c>
      <c r="J68" s="40"/>
      <c r="K68" s="40">
        <v>2852984</v>
      </c>
      <c r="L68" s="40"/>
      <c r="M68" s="40">
        <v>91872000</v>
      </c>
      <c r="N68" s="40"/>
      <c r="O68" s="40">
        <v>48383590</v>
      </c>
      <c r="P68" s="40"/>
      <c r="Q68" s="40">
        <v>1005408000</v>
      </c>
      <c r="R68" s="40"/>
      <c r="S68" s="40">
        <v>2888975000</v>
      </c>
      <c r="T68" s="40"/>
      <c r="U68" s="40">
        <v>27566</v>
      </c>
      <c r="V68" s="40"/>
      <c r="W68" s="40">
        <v>39945</v>
      </c>
      <c r="X68" s="40"/>
      <c r="Y68" s="40">
        <v>31706</v>
      </c>
      <c r="Z68" s="40"/>
      <c r="AA68" s="40">
        <v>44085</v>
      </c>
      <c r="AB68" s="40"/>
      <c r="AC68" s="59">
        <v>16</v>
      </c>
      <c r="AD68" s="59">
        <v>15</v>
      </c>
      <c r="AE68" s="59">
        <v>0</v>
      </c>
      <c r="AF68" s="57">
        <v>8460161</v>
      </c>
      <c r="AG68" s="57">
        <f>14811085-AF68</f>
        <v>6350924</v>
      </c>
      <c r="AH68" s="57">
        <v>1308005</v>
      </c>
      <c r="AI68" s="57">
        <v>386997</v>
      </c>
      <c r="AJ68" s="57">
        <f>7240981/AK68</f>
        <v>579278.48</v>
      </c>
      <c r="AK68" s="58">
        <v>12.5</v>
      </c>
      <c r="AL68" s="57">
        <f>7240981/AM68</f>
        <v>517212.92857142858</v>
      </c>
      <c r="AM68" s="58">
        <v>14</v>
      </c>
      <c r="AN68" s="57">
        <f>2888779/AO68</f>
        <v>251198.17391304349</v>
      </c>
      <c r="AO68" s="58">
        <v>11.5</v>
      </c>
      <c r="AP68" s="57">
        <f>2888779/AQ68</f>
        <v>222213.76923076922</v>
      </c>
      <c r="AQ68" s="58">
        <v>13</v>
      </c>
      <c r="AR68" s="57">
        <f>7195319/AS68</f>
        <v>211627.0294117647</v>
      </c>
      <c r="AS68" s="58">
        <v>34</v>
      </c>
      <c r="AT68" s="57">
        <f>7195319/AU68</f>
        <v>179882.97500000001</v>
      </c>
      <c r="AU68" s="58">
        <v>40</v>
      </c>
      <c r="AV68" s="57">
        <f>2698535/AW68</f>
        <v>107941.4</v>
      </c>
      <c r="AW68" s="58">
        <v>25</v>
      </c>
      <c r="AX68" s="57">
        <f>2698535/AY68</f>
        <v>87049.516129032258</v>
      </c>
      <c r="AY68" s="58">
        <v>31</v>
      </c>
      <c r="AZ68" s="79">
        <v>31754019</v>
      </c>
      <c r="BA68" s="79">
        <v>200000</v>
      </c>
      <c r="BB68" s="79">
        <v>2225714</v>
      </c>
      <c r="BC68" s="79">
        <v>4123953</v>
      </c>
      <c r="BD68" s="79">
        <v>0</v>
      </c>
      <c r="BE68" s="79">
        <v>0</v>
      </c>
      <c r="BF68" s="79">
        <v>0</v>
      </c>
      <c r="BG68" s="79">
        <v>0</v>
      </c>
      <c r="BH68" s="79">
        <v>0</v>
      </c>
      <c r="BI68" s="79">
        <v>0</v>
      </c>
      <c r="BJ68" s="79">
        <v>0</v>
      </c>
      <c r="BK68" s="79">
        <v>913805</v>
      </c>
      <c r="BL68" s="79">
        <v>145692</v>
      </c>
      <c r="BM68" s="79">
        <v>164581</v>
      </c>
      <c r="BN68" s="79">
        <f>2421343+797797-BK68-BL68-BM68</f>
        <v>1995062</v>
      </c>
      <c r="BO68" s="79">
        <v>1790820</v>
      </c>
      <c r="BP68" s="79">
        <v>5009960</v>
      </c>
      <c r="BQ68" s="79">
        <v>203332</v>
      </c>
      <c r="BR68" s="79">
        <v>74313</v>
      </c>
      <c r="BS68" s="79">
        <v>0</v>
      </c>
      <c r="BT68" s="79">
        <f>1403838+1740527-BQ68-BR68-BS68</f>
        <v>2866720</v>
      </c>
      <c r="BU68" s="79">
        <v>2613305</v>
      </c>
      <c r="BV68" s="79">
        <v>5757670</v>
      </c>
      <c r="BW68" s="79">
        <v>52848959</v>
      </c>
      <c r="BX68" s="79">
        <v>10476597</v>
      </c>
      <c r="BY68" s="79">
        <v>796595</v>
      </c>
      <c r="BZ68" s="79">
        <f>69424095+7413013-BW68-BX68-BY68</f>
        <v>12714957</v>
      </c>
      <c r="CA68" s="79">
        <v>27914356</v>
      </c>
      <c r="CB68" s="79">
        <v>104751464</v>
      </c>
      <c r="CC68" s="79">
        <v>3794247</v>
      </c>
      <c r="CD68" s="79">
        <v>545815</v>
      </c>
      <c r="CE68" s="79">
        <v>496229</v>
      </c>
      <c r="CF68" s="79">
        <v>9974794</v>
      </c>
      <c r="CG68" s="79">
        <v>0</v>
      </c>
      <c r="CH68" s="79">
        <v>14811085</v>
      </c>
      <c r="CI68" s="79">
        <v>2300000</v>
      </c>
      <c r="CJ68" s="79">
        <v>394000</v>
      </c>
      <c r="CK68" s="79">
        <v>60000</v>
      </c>
      <c r="CL68" s="79">
        <f>2737000+62500-CI68-CJ68-CK68</f>
        <v>45500</v>
      </c>
      <c r="CM68" s="79">
        <v>0</v>
      </c>
      <c r="CN68" s="79">
        <v>2799500</v>
      </c>
      <c r="CO68" s="79">
        <v>0</v>
      </c>
      <c r="CP68" s="79">
        <v>0</v>
      </c>
      <c r="CQ68" s="79">
        <v>0</v>
      </c>
      <c r="CR68" s="79">
        <v>0</v>
      </c>
      <c r="CS68" s="79">
        <f>7240981+7195319+2888779+2698535</f>
        <v>20023614</v>
      </c>
      <c r="CT68" s="79">
        <v>20023614</v>
      </c>
      <c r="CU68" s="79">
        <v>0</v>
      </c>
      <c r="CV68" s="79">
        <v>0</v>
      </c>
      <c r="CW68" s="79">
        <v>0</v>
      </c>
      <c r="CX68" s="79">
        <v>0</v>
      </c>
      <c r="CY68" s="79">
        <v>0</v>
      </c>
      <c r="CZ68" s="79">
        <v>0</v>
      </c>
      <c r="DA68" s="79">
        <v>683621</v>
      </c>
      <c r="DB68" s="79">
        <v>352302</v>
      </c>
      <c r="DC68" s="79">
        <v>299033</v>
      </c>
      <c r="DD68" s="79">
        <f>1222550+748759-DA68-DB68-DC68</f>
        <v>636353</v>
      </c>
      <c r="DE68" s="79">
        <v>13187838</v>
      </c>
      <c r="DF68" s="79">
        <v>15159147</v>
      </c>
      <c r="DG68" s="79">
        <v>1547297</v>
      </c>
      <c r="DH68" s="79">
        <v>0</v>
      </c>
      <c r="DI68" s="79">
        <v>0</v>
      </c>
      <c r="DJ68" s="79">
        <v>0</v>
      </c>
      <c r="DK68" s="79">
        <v>0</v>
      </c>
      <c r="DL68" s="79">
        <v>0</v>
      </c>
      <c r="DM68" s="79">
        <v>1547297</v>
      </c>
      <c r="DN68" s="79">
        <v>0</v>
      </c>
      <c r="DO68" s="79">
        <v>0</v>
      </c>
      <c r="DP68" s="79">
        <v>0</v>
      </c>
      <c r="DQ68" s="79">
        <v>0</v>
      </c>
      <c r="DR68" s="79">
        <v>1547297</v>
      </c>
      <c r="DS68" s="79">
        <v>736739</v>
      </c>
      <c r="DT68" s="79">
        <v>305987</v>
      </c>
      <c r="DU68" s="79">
        <v>135646</v>
      </c>
      <c r="DV68" s="79">
        <f>1308005+386977-DS68-DT68-DU68</f>
        <v>516610</v>
      </c>
      <c r="DW68" s="79">
        <v>0</v>
      </c>
      <c r="DX68" s="79">
        <v>1694982</v>
      </c>
      <c r="DY68" s="79">
        <v>632546</v>
      </c>
      <c r="DZ68" s="79">
        <v>742357</v>
      </c>
      <c r="EA68" s="79">
        <v>934676</v>
      </c>
      <c r="EB68" s="79">
        <f>2697325+2845499-DY68-DZ68-EA68</f>
        <v>3233245</v>
      </c>
      <c r="EC68" s="79">
        <v>0</v>
      </c>
      <c r="ED68" s="79">
        <v>5542824</v>
      </c>
      <c r="EE68" s="79">
        <v>462703</v>
      </c>
      <c r="EF68" s="79">
        <v>92142</v>
      </c>
      <c r="EG68" s="79">
        <v>69288</v>
      </c>
      <c r="EH68" s="79">
        <f>860035+303242-EE68-EF68-EG68</f>
        <v>539144</v>
      </c>
      <c r="EI68" s="79">
        <v>1284476</v>
      </c>
      <c r="EJ68" s="79">
        <v>2447753</v>
      </c>
      <c r="EK68" s="79">
        <v>3820312</v>
      </c>
      <c r="EL68" s="79">
        <v>42496</v>
      </c>
      <c r="EM68" s="79">
        <v>37534</v>
      </c>
      <c r="EN68" s="79">
        <f>4031685+148917-EK68-EL68-EM68</f>
        <v>280260</v>
      </c>
      <c r="EO68" s="79">
        <v>0</v>
      </c>
      <c r="EP68" s="79">
        <v>4180602</v>
      </c>
      <c r="EQ68" s="79">
        <v>23140</v>
      </c>
      <c r="ER68" s="79">
        <v>6206</v>
      </c>
      <c r="ES68" s="79">
        <v>5227</v>
      </c>
      <c r="ET68" s="79">
        <f>36025+9700-EQ68-ER68-ES68</f>
        <v>11152</v>
      </c>
      <c r="EU68" s="79">
        <v>1990813</v>
      </c>
      <c r="EV68" s="79">
        <v>2036538</v>
      </c>
      <c r="EW68" s="79">
        <v>0</v>
      </c>
      <c r="EX68" s="79">
        <v>0</v>
      </c>
      <c r="EY68" s="79">
        <v>0</v>
      </c>
      <c r="EZ68" s="79">
        <v>0</v>
      </c>
      <c r="FA68" s="79">
        <v>6501</v>
      </c>
      <c r="FB68" s="79">
        <v>6501</v>
      </c>
      <c r="FC68" s="79">
        <v>2018865</v>
      </c>
      <c r="FD68" s="79">
        <v>399858</v>
      </c>
      <c r="FE68" s="79">
        <v>337038</v>
      </c>
      <c r="FF68" s="79">
        <f>2554716+393700-FC68-FD68-FE68</f>
        <v>192655</v>
      </c>
      <c r="FG68" s="79">
        <v>15806296</v>
      </c>
      <c r="FH68" s="79">
        <v>18754712</v>
      </c>
      <c r="FI68" s="79">
        <v>0</v>
      </c>
      <c r="FJ68" s="79">
        <v>0</v>
      </c>
      <c r="FK68" s="79">
        <v>0</v>
      </c>
      <c r="FL68" s="79">
        <v>0</v>
      </c>
      <c r="FM68" s="79">
        <v>336399</v>
      </c>
      <c r="FN68" s="79">
        <v>336399</v>
      </c>
      <c r="FO68" s="79">
        <v>0</v>
      </c>
      <c r="FP68" s="79">
        <v>0</v>
      </c>
      <c r="FQ68" s="79">
        <v>0</v>
      </c>
      <c r="FR68" s="79">
        <v>0</v>
      </c>
      <c r="FS68" s="79">
        <v>0</v>
      </c>
      <c r="FT68" s="79">
        <v>0</v>
      </c>
      <c r="FU68" s="79">
        <v>0</v>
      </c>
      <c r="FV68" s="79">
        <v>0</v>
      </c>
      <c r="FW68" s="79">
        <v>0</v>
      </c>
      <c r="FX68" s="79">
        <v>0</v>
      </c>
      <c r="FY68" s="79">
        <v>2814994</v>
      </c>
      <c r="FZ68" s="79">
        <v>2814994</v>
      </c>
      <c r="GA68" s="79">
        <v>3880</v>
      </c>
      <c r="GB68" s="79">
        <v>890</v>
      </c>
      <c r="GC68" s="79">
        <v>1140</v>
      </c>
      <c r="GD68" s="79">
        <f>18713+15877-GA68-GB68-GC68</f>
        <v>28680</v>
      </c>
      <c r="GE68" s="79">
        <v>29506</v>
      </c>
      <c r="GF68" s="79">
        <v>64096</v>
      </c>
      <c r="GG68" s="79">
        <v>2757580</v>
      </c>
      <c r="GH68" s="79">
        <v>549704</v>
      </c>
      <c r="GI68" s="79">
        <v>378894</v>
      </c>
      <c r="GJ68" s="79">
        <f>5034448+1209056-GG68-GH68-GI68</f>
        <v>2557326</v>
      </c>
      <c r="GK68" s="79">
        <v>12273652</v>
      </c>
      <c r="GL68" s="79">
        <v>18517156</v>
      </c>
      <c r="GM68" s="79">
        <v>18780930</v>
      </c>
      <c r="GN68" s="79">
        <v>3431757</v>
      </c>
      <c r="GO68" s="79">
        <v>2754705</v>
      </c>
      <c r="GP68" s="79">
        <f>44944260+18062465-GM68-GN68-GO68</f>
        <v>38039333</v>
      </c>
      <c r="GQ68" s="79">
        <v>47730475</v>
      </c>
      <c r="GR68" s="79">
        <v>110737200</v>
      </c>
      <c r="GS68" s="79">
        <v>0</v>
      </c>
      <c r="GT68" s="79">
        <v>0</v>
      </c>
      <c r="GU68" s="79">
        <v>0</v>
      </c>
      <c r="GV68" s="79">
        <v>0</v>
      </c>
      <c r="GW68" s="79">
        <v>0</v>
      </c>
      <c r="GX68" s="79">
        <v>0</v>
      </c>
      <c r="GY68" s="79">
        <v>18780930</v>
      </c>
      <c r="GZ68" s="79">
        <v>3431757</v>
      </c>
      <c r="HA68" s="79">
        <v>2754705</v>
      </c>
      <c r="HB68" s="79">
        <f>44944260+18062465-GY68-GZ68-HA68</f>
        <v>38039333</v>
      </c>
      <c r="HC68" s="79">
        <v>47730475</v>
      </c>
      <c r="HD68" s="79">
        <v>110737200</v>
      </c>
      <c r="HF68" s="7">
        <f>SUM(AZ68:AZ68)</f>
        <v>31754019</v>
      </c>
      <c r="HG68" s="7" t="e">
        <f>#REF!-HF68</f>
        <v>#REF!</v>
      </c>
      <c r="HH68" s="7" t="e">
        <f>SUM(#REF!)</f>
        <v>#REF!</v>
      </c>
      <c r="HI68" s="7" t="e">
        <f>#REF!-HH68</f>
        <v>#REF!</v>
      </c>
      <c r="HJ68" s="7">
        <f>SUM(BA68:BA68)</f>
        <v>200000</v>
      </c>
      <c r="HK68" s="7" t="e">
        <f>#REF!-HJ68</f>
        <v>#REF!</v>
      </c>
      <c r="HL68" s="7">
        <f>SUM(BB68:BB68)</f>
        <v>2225714</v>
      </c>
      <c r="HM68" s="7" t="e">
        <f>#REF!-HL68</f>
        <v>#REF!</v>
      </c>
      <c r="HN68" s="7" t="e">
        <f>SUM(#REF!)</f>
        <v>#REF!</v>
      </c>
      <c r="HO68" s="7" t="e">
        <f>#REF!-HN68</f>
        <v>#REF!</v>
      </c>
      <c r="HP68" s="7" t="e">
        <f>SUM(#REF!)</f>
        <v>#REF!</v>
      </c>
      <c r="HQ68" s="7" t="e">
        <f>#REF!-HP68</f>
        <v>#REF!</v>
      </c>
      <c r="HR68" s="7" t="e">
        <f>SUM(#REF!)</f>
        <v>#REF!</v>
      </c>
      <c r="HS68" s="7" t="e">
        <f>#REF!-HR68</f>
        <v>#REF!</v>
      </c>
      <c r="HT68" s="7" t="e">
        <f>SUM(#REF!)</f>
        <v>#REF!</v>
      </c>
      <c r="HU68" s="7" t="e">
        <f>#REF!-HT68</f>
        <v>#REF!</v>
      </c>
      <c r="HV68" s="7" t="e">
        <f>SUM(#REF!)</f>
        <v>#REF!</v>
      </c>
      <c r="HW68" s="7" t="e">
        <f>#REF!-HV68</f>
        <v>#REF!</v>
      </c>
      <c r="HX68" s="7" t="e">
        <f>SUM(#REF!)</f>
        <v>#REF!</v>
      </c>
      <c r="HY68" s="7" t="e">
        <f>#REF!-HX68</f>
        <v>#REF!</v>
      </c>
      <c r="HZ68" s="7">
        <f>SUM(BC68:BC68)</f>
        <v>4123953</v>
      </c>
      <c r="IA68" s="7" t="e">
        <f>#REF!-HZ68</f>
        <v>#REF!</v>
      </c>
      <c r="IB68" s="7">
        <f>SUM(BD68:BD68)</f>
        <v>0</v>
      </c>
      <c r="IC68" s="7" t="e">
        <f>#REF!-IB68</f>
        <v>#REF!</v>
      </c>
      <c r="ID68" s="7">
        <f t="shared" si="57"/>
        <v>0</v>
      </c>
      <c r="IE68" s="7">
        <f t="shared" si="58"/>
        <v>0</v>
      </c>
      <c r="IF68" s="7">
        <f t="shared" si="59"/>
        <v>5009960</v>
      </c>
      <c r="IG68" s="7">
        <f t="shared" si="60"/>
        <v>0</v>
      </c>
      <c r="IH68" s="7">
        <f t="shared" si="61"/>
        <v>5757670</v>
      </c>
      <c r="II68" s="7">
        <f t="shared" si="62"/>
        <v>0</v>
      </c>
      <c r="IJ68" s="7">
        <f t="shared" si="63"/>
        <v>104751464</v>
      </c>
      <c r="IK68" s="7">
        <f t="shared" si="64"/>
        <v>0</v>
      </c>
      <c r="IL68" s="7">
        <f t="shared" si="65"/>
        <v>14811085</v>
      </c>
      <c r="IM68" s="7">
        <f t="shared" si="66"/>
        <v>0</v>
      </c>
      <c r="IN68" s="7">
        <f t="shared" si="67"/>
        <v>2799500</v>
      </c>
      <c r="IO68" s="7">
        <f t="shared" si="68"/>
        <v>0</v>
      </c>
      <c r="IP68" s="7">
        <f t="shared" si="69"/>
        <v>20023614</v>
      </c>
      <c r="IQ68" s="7">
        <f t="shared" si="70"/>
        <v>0</v>
      </c>
      <c r="IR68" s="7">
        <f t="shared" si="71"/>
        <v>0</v>
      </c>
      <c r="IS68" s="7">
        <f t="shared" si="72"/>
        <v>0</v>
      </c>
      <c r="IT68" s="7">
        <f t="shared" si="73"/>
        <v>15159147</v>
      </c>
      <c r="IU68" s="7">
        <f t="shared" si="74"/>
        <v>0</v>
      </c>
      <c r="IV68" s="7">
        <f t="shared" si="75"/>
        <v>1547297</v>
      </c>
      <c r="IW68" s="7">
        <f t="shared" si="76"/>
        <v>-1547297</v>
      </c>
      <c r="IX68" s="7">
        <f t="shared" si="77"/>
        <v>1547297</v>
      </c>
      <c r="IY68" s="7">
        <f t="shared" si="78"/>
        <v>0</v>
      </c>
      <c r="IZ68" s="7">
        <f t="shared" si="79"/>
        <v>1694982</v>
      </c>
      <c r="JA68" s="7">
        <f t="shared" si="80"/>
        <v>0</v>
      </c>
      <c r="JB68" s="7">
        <f t="shared" si="81"/>
        <v>5542824</v>
      </c>
      <c r="JC68" s="7">
        <f t="shared" si="82"/>
        <v>0</v>
      </c>
      <c r="JD68" s="7">
        <f t="shared" si="83"/>
        <v>2447753</v>
      </c>
      <c r="JE68" s="7">
        <f t="shared" si="84"/>
        <v>0</v>
      </c>
      <c r="JF68" s="7">
        <f t="shared" si="85"/>
        <v>4180602</v>
      </c>
      <c r="JG68" s="7">
        <f t="shared" si="86"/>
        <v>0</v>
      </c>
      <c r="JH68" s="7">
        <f t="shared" si="87"/>
        <v>2036538</v>
      </c>
      <c r="JI68" s="7">
        <f t="shared" si="88"/>
        <v>0</v>
      </c>
      <c r="JJ68" s="7">
        <f t="shared" si="89"/>
        <v>6501</v>
      </c>
      <c r="JK68" s="7">
        <f t="shared" si="90"/>
        <v>0</v>
      </c>
      <c r="JL68" s="7">
        <f t="shared" si="91"/>
        <v>18754712</v>
      </c>
      <c r="JM68" s="7">
        <f t="shared" si="92"/>
        <v>0</v>
      </c>
      <c r="JN68" s="7">
        <f t="shared" si="93"/>
        <v>336399</v>
      </c>
      <c r="JO68" s="7">
        <f t="shared" si="94"/>
        <v>0</v>
      </c>
      <c r="JP68" s="7">
        <f t="shared" si="95"/>
        <v>0</v>
      </c>
      <c r="JQ68" s="7">
        <f t="shared" si="96"/>
        <v>0</v>
      </c>
      <c r="JR68" s="7">
        <f t="shared" si="97"/>
        <v>2814994</v>
      </c>
      <c r="JS68" s="7">
        <f t="shared" si="98"/>
        <v>0</v>
      </c>
      <c r="JT68" s="7">
        <f t="shared" si="99"/>
        <v>64096</v>
      </c>
      <c r="JU68" s="7">
        <f t="shared" si="100"/>
        <v>0</v>
      </c>
      <c r="JV68" s="7">
        <f t="shared" si="55"/>
        <v>18517156</v>
      </c>
      <c r="JW68" s="7">
        <f t="shared" si="56"/>
        <v>0</v>
      </c>
      <c r="JX68" s="7">
        <f t="shared" si="101"/>
        <v>110737200</v>
      </c>
      <c r="JY68" s="7">
        <f t="shared" si="102"/>
        <v>0</v>
      </c>
      <c r="JZ68" s="7">
        <f t="shared" si="103"/>
        <v>0</v>
      </c>
      <c r="KA68" s="7">
        <f t="shared" si="104"/>
        <v>0</v>
      </c>
      <c r="KB68" s="7">
        <f t="shared" si="105"/>
        <v>110737200</v>
      </c>
      <c r="KC68" s="7">
        <f t="shared" si="106"/>
        <v>0</v>
      </c>
      <c r="KE68" s="7" t="e">
        <f t="shared" si="107"/>
        <v>#REF!</v>
      </c>
      <c r="KG68" s="5" t="e">
        <f t="shared" si="108"/>
        <v>#REF!</v>
      </c>
      <c r="KR68" s="19"/>
    </row>
    <row r="69" spans="1:304" x14ac:dyDescent="0.15">
      <c r="A69" s="119" t="s">
        <v>279</v>
      </c>
      <c r="B69" s="17" t="s">
        <v>343</v>
      </c>
      <c r="C69" s="41">
        <v>243780</v>
      </c>
      <c r="D69" s="38">
        <v>2013</v>
      </c>
      <c r="E69" s="38">
        <v>1</v>
      </c>
      <c r="F69" s="38">
        <v>3</v>
      </c>
      <c r="G69" s="39">
        <v>16773</v>
      </c>
      <c r="H69" s="39">
        <v>12244</v>
      </c>
      <c r="I69" s="40">
        <v>1589776813</v>
      </c>
      <c r="J69" s="40"/>
      <c r="K69" s="40">
        <v>8977342</v>
      </c>
      <c r="L69" s="40"/>
      <c r="M69" s="40">
        <v>78829341</v>
      </c>
      <c r="N69" s="40"/>
      <c r="O69" s="40">
        <v>124175000</v>
      </c>
      <c r="P69" s="40"/>
      <c r="Q69" s="40">
        <v>782336971</v>
      </c>
      <c r="R69" s="40"/>
      <c r="S69" s="40">
        <v>1401738769</v>
      </c>
      <c r="T69" s="40"/>
      <c r="U69" s="40">
        <v>21078</v>
      </c>
      <c r="V69" s="40"/>
      <c r="W69" s="40">
        <v>39880</v>
      </c>
      <c r="X69" s="40"/>
      <c r="Y69" s="40">
        <v>23468</v>
      </c>
      <c r="Z69" s="40"/>
      <c r="AA69" s="40">
        <v>42480</v>
      </c>
      <c r="AB69" s="40"/>
      <c r="AC69" s="56">
        <v>10</v>
      </c>
      <c r="AD69" s="56">
        <v>10</v>
      </c>
      <c r="AE69" s="56">
        <v>0</v>
      </c>
      <c r="AF69" s="57">
        <v>6128449</v>
      </c>
      <c r="AG69" s="57">
        <v>3949994</v>
      </c>
      <c r="AH69" s="57">
        <v>799889</v>
      </c>
      <c r="AI69" s="57">
        <v>341603</v>
      </c>
      <c r="AJ69" s="57">
        <v>697951</v>
      </c>
      <c r="AK69" s="58">
        <v>7</v>
      </c>
      <c r="AL69" s="57">
        <v>593258</v>
      </c>
      <c r="AM69" s="58">
        <v>8</v>
      </c>
      <c r="AN69" s="57">
        <v>231553</v>
      </c>
      <c r="AO69" s="58">
        <v>7</v>
      </c>
      <c r="AP69" s="57">
        <v>196820</v>
      </c>
      <c r="AQ69" s="58">
        <v>8</v>
      </c>
      <c r="AR69" s="57">
        <v>159588</v>
      </c>
      <c r="AS69" s="58">
        <v>25</v>
      </c>
      <c r="AT69" s="57">
        <v>130331</v>
      </c>
      <c r="AU69" s="58">
        <v>30</v>
      </c>
      <c r="AV69" s="57">
        <v>85463</v>
      </c>
      <c r="AW69" s="58">
        <v>16</v>
      </c>
      <c r="AX69" s="57">
        <v>69720</v>
      </c>
      <c r="AY69" s="58">
        <v>19</v>
      </c>
      <c r="AZ69" s="79">
        <v>8927527</v>
      </c>
      <c r="BA69" s="79">
        <v>1600000</v>
      </c>
      <c r="BB69" s="79">
        <v>5169526</v>
      </c>
      <c r="BC69" s="79">
        <v>685702</v>
      </c>
      <c r="BD69" s="79">
        <v>19390</v>
      </c>
      <c r="BE69" s="79">
        <v>0</v>
      </c>
      <c r="BF69" s="79">
        <v>0</v>
      </c>
      <c r="BG69" s="79">
        <v>0</v>
      </c>
      <c r="BH69" s="79">
        <v>27700</v>
      </c>
      <c r="BI69" s="79">
        <v>207134</v>
      </c>
      <c r="BJ69" s="79">
        <v>234834</v>
      </c>
      <c r="BK69" s="79">
        <v>274149</v>
      </c>
      <c r="BL69" s="79">
        <v>111925</v>
      </c>
      <c r="BM69" s="79">
        <v>87487</v>
      </c>
      <c r="BN69" s="79">
        <v>94559</v>
      </c>
      <c r="BO69" s="79">
        <v>1327532</v>
      </c>
      <c r="BP69" s="79">
        <v>1895652</v>
      </c>
      <c r="BQ69" s="79">
        <v>0</v>
      </c>
      <c r="BR69" s="79">
        <v>752</v>
      </c>
      <c r="BS69" s="79">
        <v>0</v>
      </c>
      <c r="BT69" s="79">
        <v>1194</v>
      </c>
      <c r="BU69" s="79">
        <v>2106418</v>
      </c>
      <c r="BV69" s="79">
        <v>2108364</v>
      </c>
      <c r="BW69" s="79">
        <v>20277978</v>
      </c>
      <c r="BX69" s="79">
        <v>9987014</v>
      </c>
      <c r="BY69" s="79">
        <v>865771</v>
      </c>
      <c r="BZ69" s="79">
        <v>4470577</v>
      </c>
      <c r="CA69" s="79">
        <v>36778052</v>
      </c>
      <c r="CB69" s="79">
        <v>72379392</v>
      </c>
      <c r="CC69" s="79">
        <v>3776627</v>
      </c>
      <c r="CD69" s="79">
        <v>445484</v>
      </c>
      <c r="CE69" s="79">
        <v>582246</v>
      </c>
      <c r="CF69" s="79">
        <v>5274086</v>
      </c>
      <c r="CG69" s="79">
        <v>149926</v>
      </c>
      <c r="CH69" s="79">
        <v>10228369</v>
      </c>
      <c r="CI69" s="79">
        <v>1450000</v>
      </c>
      <c r="CJ69" s="79">
        <v>506053</v>
      </c>
      <c r="CK69" s="79">
        <v>41553</v>
      </c>
      <c r="CL69" s="79">
        <v>41108</v>
      </c>
      <c r="CM69" s="79">
        <v>85000</v>
      </c>
      <c r="CN69" s="79">
        <v>2123714</v>
      </c>
      <c r="CO69" s="79">
        <v>4070887</v>
      </c>
      <c r="CP69" s="79">
        <v>3096826</v>
      </c>
      <c r="CQ69" s="79">
        <v>1054498</v>
      </c>
      <c r="CR69" s="79">
        <v>3333045</v>
      </c>
      <c r="CS69" s="79">
        <v>0</v>
      </c>
      <c r="CT69" s="79">
        <v>11555256</v>
      </c>
      <c r="CU69" s="79">
        <v>62662</v>
      </c>
      <c r="CV69" s="79">
        <v>17284</v>
      </c>
      <c r="CW69" s="79">
        <v>14326</v>
      </c>
      <c r="CX69" s="79">
        <v>12237</v>
      </c>
      <c r="CY69" s="79">
        <v>0</v>
      </c>
      <c r="CZ69" s="79">
        <v>106509</v>
      </c>
      <c r="DA69" s="79">
        <v>737486</v>
      </c>
      <c r="DB69" s="79">
        <v>159534</v>
      </c>
      <c r="DC69" s="79">
        <v>205383</v>
      </c>
      <c r="DD69" s="79">
        <v>420089</v>
      </c>
      <c r="DE69" s="79">
        <v>12290815</v>
      </c>
      <c r="DF69" s="79">
        <v>13813307</v>
      </c>
      <c r="DG69" s="79">
        <v>0</v>
      </c>
      <c r="DH69" s="79">
        <v>0</v>
      </c>
      <c r="DI69" s="79">
        <v>0</v>
      </c>
      <c r="DJ69" s="79">
        <v>0</v>
      </c>
      <c r="DK69" s="79">
        <v>40243</v>
      </c>
      <c r="DL69" s="79">
        <v>40243</v>
      </c>
      <c r="DM69" s="79">
        <v>1133701</v>
      </c>
      <c r="DN69" s="79">
        <v>0</v>
      </c>
      <c r="DO69" s="79">
        <v>4005</v>
      </c>
      <c r="DP69" s="79">
        <v>1600</v>
      </c>
      <c r="DQ69" s="79">
        <v>0</v>
      </c>
      <c r="DR69" s="79">
        <v>1139306</v>
      </c>
      <c r="DS69" s="79">
        <v>480168</v>
      </c>
      <c r="DT69" s="79">
        <v>171220</v>
      </c>
      <c r="DU69" s="79">
        <v>116919</v>
      </c>
      <c r="DV69" s="79">
        <v>373185</v>
      </c>
      <c r="DW69" s="79">
        <v>0</v>
      </c>
      <c r="DX69" s="79">
        <v>1141492</v>
      </c>
      <c r="DY69" s="79">
        <v>2358825</v>
      </c>
      <c r="DZ69" s="79">
        <v>835212</v>
      </c>
      <c r="EA69" s="79">
        <v>562239</v>
      </c>
      <c r="EB69" s="79">
        <v>2168818</v>
      </c>
      <c r="EC69" s="79">
        <v>15345</v>
      </c>
      <c r="ED69" s="79">
        <v>5940439</v>
      </c>
      <c r="EE69" s="79">
        <v>338597</v>
      </c>
      <c r="EF69" s="79">
        <v>122147</v>
      </c>
      <c r="EG69" s="79">
        <v>98167</v>
      </c>
      <c r="EH69" s="79">
        <v>591403</v>
      </c>
      <c r="EI69" s="79">
        <v>162718</v>
      </c>
      <c r="EJ69" s="79">
        <v>1313032</v>
      </c>
      <c r="EK69" s="79">
        <v>1214925</v>
      </c>
      <c r="EL69" s="79">
        <v>559691</v>
      </c>
      <c r="EM69" s="79">
        <v>348050</v>
      </c>
      <c r="EN69" s="79">
        <v>290753</v>
      </c>
      <c r="EO69" s="79">
        <v>3175</v>
      </c>
      <c r="EP69" s="79">
        <v>2416594</v>
      </c>
      <c r="EQ69" s="79">
        <v>219297</v>
      </c>
      <c r="ER69" s="79">
        <v>116338</v>
      </c>
      <c r="ES69" s="79">
        <v>99009</v>
      </c>
      <c r="ET69" s="79">
        <v>42244</v>
      </c>
      <c r="EU69" s="79">
        <v>3156502</v>
      </c>
      <c r="EV69" s="79">
        <v>3633390</v>
      </c>
      <c r="EW69" s="79">
        <v>0</v>
      </c>
      <c r="EX69" s="79">
        <v>0</v>
      </c>
      <c r="EY69" s="79">
        <v>0</v>
      </c>
      <c r="EZ69" s="79">
        <v>0</v>
      </c>
      <c r="FA69" s="79">
        <v>8352</v>
      </c>
      <c r="FB69" s="79">
        <v>8352</v>
      </c>
      <c r="FC69" s="79">
        <v>82501</v>
      </c>
      <c r="FD69" s="79">
        <v>13531</v>
      </c>
      <c r="FE69" s="79">
        <v>5024</v>
      </c>
      <c r="FF69" s="79">
        <v>36288</v>
      </c>
      <c r="FG69" s="79">
        <v>14978684</v>
      </c>
      <c r="FH69" s="79">
        <v>15116028</v>
      </c>
      <c r="FI69" s="79">
        <v>0</v>
      </c>
      <c r="FJ69" s="79">
        <v>0</v>
      </c>
      <c r="FK69" s="79">
        <v>0</v>
      </c>
      <c r="FL69" s="79">
        <v>0</v>
      </c>
      <c r="FM69" s="79">
        <v>96800</v>
      </c>
      <c r="FN69" s="79">
        <v>96800</v>
      </c>
      <c r="FO69" s="79">
        <v>0</v>
      </c>
      <c r="FP69" s="79">
        <v>0</v>
      </c>
      <c r="FQ69" s="79">
        <v>0</v>
      </c>
      <c r="FR69" s="79">
        <v>0</v>
      </c>
      <c r="FS69" s="79">
        <v>0</v>
      </c>
      <c r="FT69" s="79">
        <v>0</v>
      </c>
      <c r="FU69" s="79">
        <v>35375</v>
      </c>
      <c r="FV69" s="79">
        <v>13230</v>
      </c>
      <c r="FW69" s="79">
        <v>3800</v>
      </c>
      <c r="FX69" s="79">
        <v>34219</v>
      </c>
      <c r="FY69" s="79">
        <v>1008689</v>
      </c>
      <c r="FZ69" s="79">
        <v>1095313</v>
      </c>
      <c r="GA69" s="79">
        <v>1730</v>
      </c>
      <c r="GB69" s="79">
        <v>345</v>
      </c>
      <c r="GC69" s="79">
        <v>1760</v>
      </c>
      <c r="GD69" s="79">
        <v>5555</v>
      </c>
      <c r="GE69" s="79">
        <v>101083</v>
      </c>
      <c r="GF69" s="79">
        <v>110473</v>
      </c>
      <c r="GG69" s="79">
        <v>1756814</v>
      </c>
      <c r="GH69" s="79">
        <v>282312</v>
      </c>
      <c r="GI69" s="79">
        <v>118894</v>
      </c>
      <c r="GJ69" s="79">
        <v>432006</v>
      </c>
      <c r="GK69" s="79">
        <v>2159359</v>
      </c>
      <c r="GL69" s="79">
        <v>4749385</v>
      </c>
      <c r="GM69" s="79">
        <v>17719595</v>
      </c>
      <c r="GN69" s="79">
        <v>6339207</v>
      </c>
      <c r="GO69" s="79">
        <v>3255873</v>
      </c>
      <c r="GP69" s="79">
        <v>13056636</v>
      </c>
      <c r="GQ69" s="79">
        <v>34256691</v>
      </c>
      <c r="GR69" s="79">
        <v>74628002</v>
      </c>
      <c r="GS69" s="79">
        <v>0</v>
      </c>
      <c r="GT69" s="79">
        <v>0</v>
      </c>
      <c r="GU69" s="79">
        <v>0</v>
      </c>
      <c r="GV69" s="79">
        <v>0</v>
      </c>
      <c r="GW69" s="79">
        <v>707983</v>
      </c>
      <c r="GX69" s="79">
        <v>707983</v>
      </c>
      <c r="GY69" s="79">
        <v>17719595</v>
      </c>
      <c r="GZ69" s="79">
        <v>6339207</v>
      </c>
      <c r="HA69" s="79">
        <v>3255873</v>
      </c>
      <c r="HB69" s="79">
        <v>13056636</v>
      </c>
      <c r="HC69" s="79">
        <v>34964674</v>
      </c>
      <c r="HD69" s="79">
        <v>75335985</v>
      </c>
      <c r="HF69" s="7">
        <f>SUM(AZ69:AZ69)</f>
        <v>8927527</v>
      </c>
      <c r="HG69" s="7" t="e">
        <f>#REF!-HF69</f>
        <v>#REF!</v>
      </c>
      <c r="HH69" s="7" t="e">
        <f>SUM(#REF!)</f>
        <v>#REF!</v>
      </c>
      <c r="HI69" s="7" t="e">
        <f>#REF!-HH69</f>
        <v>#REF!</v>
      </c>
      <c r="HJ69" s="7">
        <f>SUM(BA69:BA69)</f>
        <v>1600000</v>
      </c>
      <c r="HK69" s="7" t="e">
        <f>#REF!-HJ69</f>
        <v>#REF!</v>
      </c>
      <c r="HL69" s="7">
        <f>SUM(BB69:BB69)</f>
        <v>5169526</v>
      </c>
      <c r="HM69" s="7" t="e">
        <f>#REF!-HL69</f>
        <v>#REF!</v>
      </c>
      <c r="HN69" s="7" t="e">
        <f>SUM(#REF!)</f>
        <v>#REF!</v>
      </c>
      <c r="HO69" s="7" t="e">
        <f>#REF!-HN69</f>
        <v>#REF!</v>
      </c>
      <c r="HP69" s="7" t="e">
        <f>SUM(#REF!)</f>
        <v>#REF!</v>
      </c>
      <c r="HQ69" s="7" t="e">
        <f>#REF!-HP69</f>
        <v>#REF!</v>
      </c>
      <c r="HR69" s="7" t="e">
        <f>SUM(#REF!)</f>
        <v>#REF!</v>
      </c>
      <c r="HS69" s="7" t="e">
        <f>#REF!-HR69</f>
        <v>#REF!</v>
      </c>
      <c r="HT69" s="7" t="e">
        <f>SUM(#REF!)</f>
        <v>#REF!</v>
      </c>
      <c r="HU69" s="7" t="e">
        <f>#REF!-HT69</f>
        <v>#REF!</v>
      </c>
      <c r="HV69" s="7" t="e">
        <f>SUM(#REF!)</f>
        <v>#REF!</v>
      </c>
      <c r="HW69" s="7" t="e">
        <f>#REF!-HV69</f>
        <v>#REF!</v>
      </c>
      <c r="HX69" s="7" t="e">
        <f>SUM(#REF!)</f>
        <v>#REF!</v>
      </c>
      <c r="HY69" s="7" t="e">
        <f>#REF!-HX69</f>
        <v>#REF!</v>
      </c>
      <c r="HZ69" s="7">
        <f>SUM(BC69:BC69)</f>
        <v>685702</v>
      </c>
      <c r="IA69" s="7" t="e">
        <f>#REF!-HZ69</f>
        <v>#REF!</v>
      </c>
      <c r="IB69" s="7">
        <f>SUM(BD69:BD69)</f>
        <v>19390</v>
      </c>
      <c r="IC69" s="7" t="e">
        <f>#REF!-IB69</f>
        <v>#REF!</v>
      </c>
      <c r="ID69" s="7">
        <f t="shared" ref="ID69:ID93" si="109">SUM(BE69:BI69)</f>
        <v>234834</v>
      </c>
      <c r="IE69" s="7">
        <f t="shared" ref="IE69:IE93" si="110">BJ69-ID69</f>
        <v>0</v>
      </c>
      <c r="IF69" s="7">
        <f t="shared" ref="IF69:IF93" si="111">SUM(BK69:BO69)</f>
        <v>1895652</v>
      </c>
      <c r="IG69" s="7">
        <f t="shared" ref="IG69:IG93" si="112">BP69-IF69</f>
        <v>0</v>
      </c>
      <c r="IH69" s="7">
        <f t="shared" ref="IH69:IH93" si="113">SUM(BQ69:BU69)</f>
        <v>2108364</v>
      </c>
      <c r="II69" s="7">
        <f>BV69-IH69</f>
        <v>0</v>
      </c>
      <c r="IJ69" s="7">
        <f>SUM(BW69:CA69)</f>
        <v>72379392</v>
      </c>
      <c r="IK69" s="7">
        <f t="shared" ref="IK69:IK93" si="114">CB69-IJ69</f>
        <v>0</v>
      </c>
      <c r="IL69" s="7">
        <f t="shared" ref="IL69:IL93" si="115">SUM(CC69:CG69)</f>
        <v>10228369</v>
      </c>
      <c r="IM69" s="7">
        <f t="shared" ref="IM69:IM93" si="116">CH69-IL69</f>
        <v>0</v>
      </c>
      <c r="IN69" s="7">
        <f t="shared" ref="IN69:IN93" si="117">SUM(CI69:CM69)</f>
        <v>2123714</v>
      </c>
      <c r="IO69" s="7">
        <f t="shared" ref="IO69:IO93" si="118">CN69-IN69</f>
        <v>0</v>
      </c>
      <c r="IP69" s="7">
        <f t="shared" ref="IP69:IP93" si="119">SUM(CO69:CS69)</f>
        <v>11555256</v>
      </c>
      <c r="IQ69" s="7">
        <f t="shared" ref="IQ69:IQ93" si="120">CT69-IP69</f>
        <v>0</v>
      </c>
      <c r="IR69" s="7">
        <f t="shared" ref="IR69:IR93" si="121">SUM(CU69:CY69)</f>
        <v>106509</v>
      </c>
      <c r="IS69" s="7">
        <f t="shared" ref="IS69:IS93" si="122">CZ69-IR69</f>
        <v>0</v>
      </c>
      <c r="IT69" s="7">
        <f t="shared" ref="IT69:IT93" si="123">SUM(DA69:DE69)</f>
        <v>13813307</v>
      </c>
      <c r="IU69" s="7">
        <f t="shared" ref="IU69:IU93" si="124">DF69-IT69</f>
        <v>0</v>
      </c>
      <c r="IV69" s="7">
        <f>SUM(DG69:DK69)</f>
        <v>40243</v>
      </c>
      <c r="IW69" s="7">
        <f>DL69-IV69</f>
        <v>0</v>
      </c>
      <c r="IX69" s="7">
        <f t="shared" ref="IX69:IX93" si="125">SUM(DM69:DQ69)</f>
        <v>1139306</v>
      </c>
      <c r="IY69" s="7">
        <f t="shared" ref="IY69:IY93" si="126">DR69-IX69</f>
        <v>0</v>
      </c>
      <c r="IZ69" s="7">
        <f t="shared" ref="IZ69:IZ93" si="127">SUM(DS69:DW69)</f>
        <v>1141492</v>
      </c>
      <c r="JA69" s="7">
        <f t="shared" ref="JA69:JA93" si="128">DX69-IZ69</f>
        <v>0</v>
      </c>
      <c r="JB69" s="7">
        <f>SUM(DY69:EC69)</f>
        <v>5940439</v>
      </c>
      <c r="JC69" s="7">
        <f>ED69-JB69</f>
        <v>0</v>
      </c>
      <c r="JD69" s="7">
        <f t="shared" ref="JD69:JD93" si="129">SUM(EE69:EI69)</f>
        <v>1313032</v>
      </c>
      <c r="JE69" s="7">
        <f t="shared" ref="JE69:JE93" si="130">EJ69-JD69</f>
        <v>0</v>
      </c>
      <c r="JF69" s="7">
        <f t="shared" ref="JF69:JF93" si="131">SUM(EK69:EO69)</f>
        <v>2416594</v>
      </c>
      <c r="JG69" s="7">
        <f t="shared" ref="JG69:JG93" si="132">EP69-JF69</f>
        <v>0</v>
      </c>
      <c r="JH69" s="7">
        <f t="shared" ref="JH69:JH93" si="133">SUM(EQ69:EU69)</f>
        <v>3633390</v>
      </c>
      <c r="JI69" s="7">
        <f t="shared" ref="JI69:JI93" si="134">EV69-JH69</f>
        <v>0</v>
      </c>
      <c r="JJ69" s="7">
        <f t="shared" ref="JJ69:JJ93" si="135">SUM(EW69:FA69)</f>
        <v>8352</v>
      </c>
      <c r="JK69" s="7">
        <f t="shared" ref="JK69:JK93" si="136">FB69-JJ69</f>
        <v>0</v>
      </c>
      <c r="JL69" s="7">
        <f t="shared" ref="JL69:JL93" si="137">SUM(FC69:FG69)</f>
        <v>15116028</v>
      </c>
      <c r="JM69" s="7">
        <f t="shared" ref="JM69:JM93" si="138">FH69-JL69</f>
        <v>0</v>
      </c>
      <c r="JN69" s="7">
        <f t="shared" ref="JN69:JN93" si="139">SUM(FI69:FM69)</f>
        <v>96800</v>
      </c>
      <c r="JO69" s="7">
        <f t="shared" ref="JO69:JO93" si="140">FN69-JN69</f>
        <v>0</v>
      </c>
      <c r="JP69" s="7">
        <f t="shared" ref="JP69:JP93" si="141">SUM(FO69:FS69)</f>
        <v>0</v>
      </c>
      <c r="JQ69" s="7">
        <f t="shared" ref="JQ69:JQ93" si="142">FT69-JP69</f>
        <v>0</v>
      </c>
      <c r="JR69" s="7">
        <f t="shared" ref="JR69:JR93" si="143">SUM(FU69:FY69)</f>
        <v>1095313</v>
      </c>
      <c r="JS69" s="7">
        <f t="shared" ref="JS69:JS93" si="144">FZ69-JR69</f>
        <v>0</v>
      </c>
      <c r="JT69" s="7">
        <f t="shared" ref="JT69:JT93" si="145">SUM(GA69:GE69)</f>
        <v>110473</v>
      </c>
      <c r="JU69" s="7">
        <f t="shared" ref="JU69:JU93" si="146">GF69-JT69</f>
        <v>0</v>
      </c>
      <c r="JV69" s="7">
        <f t="shared" ref="JV69:JV93" si="147">SUM(GG69:GK69)</f>
        <v>4749385</v>
      </c>
      <c r="JW69" s="7">
        <f t="shared" ref="JW69:JW93" si="148">GL69-JV69</f>
        <v>0</v>
      </c>
      <c r="JX69" s="7">
        <f t="shared" ref="JX69:JX93" si="149">SUM(GM69:GQ69)</f>
        <v>74628002</v>
      </c>
      <c r="JY69" s="7">
        <f t="shared" ref="JY69:JY93" si="150">GR69-JX69</f>
        <v>0</v>
      </c>
      <c r="JZ69" s="7">
        <f t="shared" ref="JZ69:JZ93" si="151">SUM(GS69:GW69)</f>
        <v>707983</v>
      </c>
      <c r="KA69" s="7">
        <f t="shared" ref="KA69:KA93" si="152">GX69-JZ69</f>
        <v>0</v>
      </c>
      <c r="KB69" s="7">
        <f t="shared" ref="KB69:KB93" si="153">SUM(GY69:HC69)</f>
        <v>75335985</v>
      </c>
      <c r="KC69" s="7">
        <f t="shared" ref="KC69:KC93" si="154">HD69-KB69</f>
        <v>0</v>
      </c>
      <c r="KE69" s="7" t="e">
        <f t="shared" si="107"/>
        <v>#REF!</v>
      </c>
      <c r="KG69" s="5" t="e">
        <f t="shared" si="108"/>
        <v>#REF!</v>
      </c>
      <c r="KR69" s="19"/>
    </row>
    <row r="70" spans="1:304" x14ac:dyDescent="0.15">
      <c r="A70" s="121" t="s">
        <v>280</v>
      </c>
      <c r="B70" s="17" t="s">
        <v>342</v>
      </c>
      <c r="C70" s="38">
        <v>147703</v>
      </c>
      <c r="D70" s="38">
        <v>2013</v>
      </c>
      <c r="E70" s="38">
        <v>1</v>
      </c>
      <c r="F70" s="38">
        <v>3</v>
      </c>
      <c r="G70" s="39">
        <v>15375</v>
      </c>
      <c r="H70" s="39">
        <v>14553</v>
      </c>
      <c r="I70" s="40">
        <v>1985392000</v>
      </c>
      <c r="J70" s="40"/>
      <c r="K70" s="40">
        <v>6040405</v>
      </c>
      <c r="L70" s="40"/>
      <c r="M70" s="40">
        <v>94153878</v>
      </c>
      <c r="N70" s="40"/>
      <c r="O70" s="40">
        <v>92985000</v>
      </c>
      <c r="P70" s="40"/>
      <c r="Q70" s="40">
        <v>1120651939</v>
      </c>
      <c r="R70" s="40"/>
      <c r="S70" s="40">
        <v>1706005000</v>
      </c>
      <c r="T70" s="40"/>
      <c r="U70" s="40">
        <v>26238</v>
      </c>
      <c r="V70" s="40"/>
      <c r="W70" s="40">
        <v>39532</v>
      </c>
      <c r="X70" s="40"/>
      <c r="Y70" s="40">
        <v>29050</v>
      </c>
      <c r="Z70" s="40"/>
      <c r="AA70" s="40">
        <v>42090</v>
      </c>
      <c r="AB70" s="40"/>
      <c r="AC70" s="56">
        <v>10</v>
      </c>
      <c r="AD70" s="56">
        <v>14</v>
      </c>
      <c r="AE70" s="56">
        <v>0</v>
      </c>
      <c r="AF70" s="57">
        <v>5543376</v>
      </c>
      <c r="AG70" s="57">
        <v>4858909</v>
      </c>
      <c r="AH70" s="57">
        <v>591107</v>
      </c>
      <c r="AI70" s="57">
        <v>267585</v>
      </c>
      <c r="AJ70" s="57"/>
      <c r="AK70" s="58"/>
      <c r="AL70" s="57"/>
      <c r="AM70" s="58"/>
      <c r="AN70" s="57"/>
      <c r="AO70" s="58"/>
      <c r="AP70" s="57"/>
      <c r="AQ70" s="58"/>
      <c r="AR70" s="57"/>
      <c r="AS70" s="58"/>
      <c r="AT70" s="57"/>
      <c r="AU70" s="58"/>
      <c r="AV70" s="57"/>
      <c r="AW70" s="58"/>
      <c r="AX70" s="57"/>
      <c r="AY70" s="58"/>
      <c r="AZ70" s="79">
        <v>6901892</v>
      </c>
      <c r="BA70" s="79">
        <v>950000</v>
      </c>
      <c r="BB70" s="79">
        <v>1960869</v>
      </c>
      <c r="BC70" s="79">
        <v>1545371</v>
      </c>
      <c r="BD70" s="79">
        <v>1584664</v>
      </c>
      <c r="BE70" s="79">
        <v>0</v>
      </c>
      <c r="BF70" s="79">
        <v>0</v>
      </c>
      <c r="BG70" s="79">
        <v>0</v>
      </c>
      <c r="BH70" s="79">
        <v>0</v>
      </c>
      <c r="BI70" s="79">
        <v>1945</v>
      </c>
      <c r="BJ70" s="79">
        <v>1945</v>
      </c>
      <c r="BK70" s="79">
        <v>329574</v>
      </c>
      <c r="BL70" s="79">
        <v>88542</v>
      </c>
      <c r="BM70" s="79">
        <v>42964</v>
      </c>
      <c r="BN70" s="79">
        <v>161266</v>
      </c>
      <c r="BO70" s="79">
        <v>278554</v>
      </c>
      <c r="BP70" s="79">
        <v>900900</v>
      </c>
      <c r="BQ70" s="79">
        <v>574145</v>
      </c>
      <c r="BR70" s="79">
        <v>3750</v>
      </c>
      <c r="BS70" s="79">
        <v>0</v>
      </c>
      <c r="BT70" s="79">
        <v>21800</v>
      </c>
      <c r="BU70" s="79">
        <v>34085</v>
      </c>
      <c r="BV70" s="79">
        <v>633780</v>
      </c>
      <c r="BW70" s="79">
        <v>19753420</v>
      </c>
      <c r="BX70" s="79">
        <v>4663692</v>
      </c>
      <c r="BY70" s="79">
        <v>4036830</v>
      </c>
      <c r="BZ70" s="79">
        <v>12731617</v>
      </c>
      <c r="CA70" s="79">
        <v>37803916</v>
      </c>
      <c r="CB70" s="79">
        <v>78989475</v>
      </c>
      <c r="CC70" s="79">
        <v>3401085</v>
      </c>
      <c r="CD70" s="79">
        <v>585121</v>
      </c>
      <c r="CE70" s="79">
        <v>540505</v>
      </c>
      <c r="CF70" s="79">
        <v>5875574</v>
      </c>
      <c r="CG70" s="79">
        <v>0</v>
      </c>
      <c r="CH70" s="79">
        <v>10402285</v>
      </c>
      <c r="CI70" s="79">
        <v>1754500</v>
      </c>
      <c r="CJ70" s="79">
        <v>370000</v>
      </c>
      <c r="CK70" s="79">
        <v>62500</v>
      </c>
      <c r="CL70" s="79">
        <v>5943</v>
      </c>
      <c r="CM70" s="79">
        <v>0</v>
      </c>
      <c r="CN70" s="79">
        <v>2192943</v>
      </c>
      <c r="CO70" s="79">
        <v>4090272</v>
      </c>
      <c r="CP70" s="79">
        <v>1500766</v>
      </c>
      <c r="CQ70" s="79">
        <v>1773142</v>
      </c>
      <c r="CR70" s="79">
        <v>3027151</v>
      </c>
      <c r="CS70" s="79">
        <v>0</v>
      </c>
      <c r="CT70" s="79">
        <v>10391331</v>
      </c>
      <c r="CU70" s="79">
        <v>239500</v>
      </c>
      <c r="CV70" s="79">
        <v>7000</v>
      </c>
      <c r="CW70" s="79">
        <v>135700</v>
      </c>
      <c r="CX70" s="79">
        <v>449018</v>
      </c>
      <c r="CY70" s="79">
        <v>0</v>
      </c>
      <c r="CZ70" s="79">
        <v>831218</v>
      </c>
      <c r="DA70" s="79">
        <v>1781988</v>
      </c>
      <c r="DB70" s="79">
        <v>293926</v>
      </c>
      <c r="DC70" s="79">
        <v>360527</v>
      </c>
      <c r="DD70" s="79">
        <v>381716</v>
      </c>
      <c r="DE70" s="79">
        <v>6610086</v>
      </c>
      <c r="DF70" s="79">
        <v>9428243</v>
      </c>
      <c r="DG70" s="79">
        <v>35750</v>
      </c>
      <c r="DH70" s="79">
        <v>4500</v>
      </c>
      <c r="DI70" s="79">
        <v>8200</v>
      </c>
      <c r="DJ70" s="79">
        <v>136550</v>
      </c>
      <c r="DK70" s="79">
        <v>102719</v>
      </c>
      <c r="DL70" s="79">
        <v>287719</v>
      </c>
      <c r="DM70" s="79">
        <v>0</v>
      </c>
      <c r="DN70" s="79">
        <v>563325</v>
      </c>
      <c r="DO70" s="79">
        <v>0</v>
      </c>
      <c r="DP70" s="79">
        <v>0</v>
      </c>
      <c r="DQ70" s="79">
        <v>1703391</v>
      </c>
      <c r="DR70" s="79">
        <v>2266716</v>
      </c>
      <c r="DS70" s="79">
        <v>423285</v>
      </c>
      <c r="DT70" s="79">
        <v>118611</v>
      </c>
      <c r="DU70" s="79">
        <v>123612</v>
      </c>
      <c r="DV70" s="79">
        <v>193184</v>
      </c>
      <c r="DW70" s="79">
        <v>0</v>
      </c>
      <c r="DX70" s="79">
        <v>858692</v>
      </c>
      <c r="DY70" s="79">
        <v>2540614</v>
      </c>
      <c r="DZ70" s="79">
        <v>449439</v>
      </c>
      <c r="EA70" s="79">
        <v>469580</v>
      </c>
      <c r="EB70" s="79">
        <v>1732341</v>
      </c>
      <c r="EC70" s="79">
        <v>0</v>
      </c>
      <c r="ED70" s="79">
        <v>5191974</v>
      </c>
      <c r="EE70" s="79">
        <v>1017409</v>
      </c>
      <c r="EF70" s="79">
        <v>103892</v>
      </c>
      <c r="EG70" s="79">
        <v>43142</v>
      </c>
      <c r="EH70" s="79">
        <v>391350</v>
      </c>
      <c r="EI70" s="79">
        <v>0</v>
      </c>
      <c r="EJ70" s="79">
        <v>1555793</v>
      </c>
      <c r="EK70" s="79">
        <v>2570193</v>
      </c>
      <c r="EL70" s="79">
        <v>461261</v>
      </c>
      <c r="EM70" s="79">
        <v>356493</v>
      </c>
      <c r="EN70" s="79">
        <v>128467</v>
      </c>
      <c r="EO70" s="79">
        <v>0</v>
      </c>
      <c r="EP70" s="79">
        <v>3516414</v>
      </c>
      <c r="EQ70" s="79">
        <v>146243</v>
      </c>
      <c r="ER70" s="79">
        <v>1644</v>
      </c>
      <c r="ES70" s="79">
        <v>6181</v>
      </c>
      <c r="ET70" s="79">
        <v>42359</v>
      </c>
      <c r="EU70" s="79">
        <v>8195806</v>
      </c>
      <c r="EV70" s="79">
        <v>8392233</v>
      </c>
      <c r="EW70" s="79">
        <v>0</v>
      </c>
      <c r="EX70" s="79">
        <v>0</v>
      </c>
      <c r="EY70" s="79">
        <v>0</v>
      </c>
      <c r="EZ70" s="79">
        <v>0</v>
      </c>
      <c r="FA70" s="79">
        <v>0</v>
      </c>
      <c r="FB70" s="79">
        <v>0</v>
      </c>
      <c r="FC70" s="79">
        <v>208683</v>
      </c>
      <c r="FD70" s="79">
        <v>0</v>
      </c>
      <c r="FE70" s="79">
        <v>35360</v>
      </c>
      <c r="FF70" s="79">
        <v>40000</v>
      </c>
      <c r="FG70" s="79">
        <v>9526745</v>
      </c>
      <c r="FH70" s="79">
        <v>9810788</v>
      </c>
      <c r="FI70" s="79">
        <v>0</v>
      </c>
      <c r="FJ70" s="79">
        <v>0</v>
      </c>
      <c r="FK70" s="79">
        <v>0</v>
      </c>
      <c r="FL70" s="79">
        <v>0</v>
      </c>
      <c r="FM70" s="79">
        <v>558083</v>
      </c>
      <c r="FN70" s="79">
        <v>558083</v>
      </c>
      <c r="FO70" s="79">
        <v>0</v>
      </c>
      <c r="FP70" s="79">
        <v>0</v>
      </c>
      <c r="FQ70" s="79">
        <v>0</v>
      </c>
      <c r="FR70" s="79">
        <v>0</v>
      </c>
      <c r="FS70" s="79">
        <v>0</v>
      </c>
      <c r="FT70" s="79">
        <v>0</v>
      </c>
      <c r="FU70" s="79">
        <v>0</v>
      </c>
      <c r="FV70" s="79">
        <v>0</v>
      </c>
      <c r="FW70" s="79">
        <v>0</v>
      </c>
      <c r="FX70" s="79">
        <v>0</v>
      </c>
      <c r="FY70" s="79">
        <v>2088704</v>
      </c>
      <c r="FZ70" s="79">
        <v>2088704</v>
      </c>
      <c r="GA70" s="79">
        <v>2931</v>
      </c>
      <c r="GB70" s="79">
        <v>810</v>
      </c>
      <c r="GC70" s="79">
        <v>885</v>
      </c>
      <c r="GD70" s="79">
        <v>10766</v>
      </c>
      <c r="GE70" s="79">
        <v>5014757</v>
      </c>
      <c r="GF70" s="79">
        <v>5030149</v>
      </c>
      <c r="GG70" s="79">
        <v>1540967</v>
      </c>
      <c r="GH70" s="79">
        <v>203397</v>
      </c>
      <c r="GI70" s="79">
        <v>121003</v>
      </c>
      <c r="GJ70" s="79">
        <v>317198</v>
      </c>
      <c r="GK70" s="79">
        <v>4003625</v>
      </c>
      <c r="GL70" s="79">
        <v>6186190</v>
      </c>
      <c r="GM70" s="79">
        <v>19753420</v>
      </c>
      <c r="GN70" s="79">
        <v>4663692</v>
      </c>
      <c r="GO70" s="79">
        <v>4036830</v>
      </c>
      <c r="GP70" s="79">
        <v>12731617</v>
      </c>
      <c r="GQ70" s="79">
        <v>37803916</v>
      </c>
      <c r="GR70" s="79">
        <v>78989475</v>
      </c>
      <c r="GS70" s="79">
        <v>0</v>
      </c>
      <c r="GT70" s="79">
        <v>0</v>
      </c>
      <c r="GU70" s="79">
        <v>0</v>
      </c>
      <c r="GV70" s="79">
        <v>0</v>
      </c>
      <c r="GW70" s="79">
        <v>0</v>
      </c>
      <c r="GX70" s="79">
        <v>0</v>
      </c>
      <c r="GY70" s="79">
        <v>19753420</v>
      </c>
      <c r="GZ70" s="79">
        <v>4663692</v>
      </c>
      <c r="HA70" s="79">
        <v>4036830</v>
      </c>
      <c r="HB70" s="79">
        <v>12731617</v>
      </c>
      <c r="HC70" s="79">
        <v>37803916</v>
      </c>
      <c r="HD70" s="79">
        <v>78989475</v>
      </c>
      <c r="HF70" s="7">
        <f>SUM(AZ70:AZ70)</f>
        <v>6901892</v>
      </c>
      <c r="HG70" s="7" t="e">
        <f>#REF!-HF70</f>
        <v>#REF!</v>
      </c>
      <c r="HH70" s="7" t="e">
        <f>SUM(#REF!)</f>
        <v>#REF!</v>
      </c>
      <c r="HI70" s="7" t="e">
        <f>#REF!-HH70</f>
        <v>#REF!</v>
      </c>
      <c r="HJ70" s="7">
        <f>SUM(BA70:BA70)</f>
        <v>950000</v>
      </c>
      <c r="HK70" s="7" t="e">
        <f>#REF!-HJ70</f>
        <v>#REF!</v>
      </c>
      <c r="HL70" s="7">
        <f>SUM(BB70:BB70)</f>
        <v>1960869</v>
      </c>
      <c r="HM70" s="7" t="e">
        <f>#REF!-HL70</f>
        <v>#REF!</v>
      </c>
      <c r="HN70" s="7" t="e">
        <f>SUM(#REF!)</f>
        <v>#REF!</v>
      </c>
      <c r="HO70" s="7" t="e">
        <f>#REF!-HN70</f>
        <v>#REF!</v>
      </c>
      <c r="HP70" s="7" t="e">
        <f>SUM(#REF!)</f>
        <v>#REF!</v>
      </c>
      <c r="HQ70" s="7" t="e">
        <f>#REF!-HP70</f>
        <v>#REF!</v>
      </c>
      <c r="HR70" s="7" t="e">
        <f>SUM(#REF!)</f>
        <v>#REF!</v>
      </c>
      <c r="HS70" s="7" t="e">
        <f>#REF!-HR70</f>
        <v>#REF!</v>
      </c>
      <c r="HT70" s="7" t="e">
        <f>SUM(#REF!)</f>
        <v>#REF!</v>
      </c>
      <c r="HU70" s="7" t="e">
        <f>#REF!-HT70</f>
        <v>#REF!</v>
      </c>
      <c r="HV70" s="7" t="e">
        <f>SUM(#REF!)</f>
        <v>#REF!</v>
      </c>
      <c r="HW70" s="7" t="e">
        <f>#REF!-HV70</f>
        <v>#REF!</v>
      </c>
      <c r="HX70" s="7" t="e">
        <f>SUM(#REF!)</f>
        <v>#REF!</v>
      </c>
      <c r="HY70" s="7" t="e">
        <f>#REF!-HX70</f>
        <v>#REF!</v>
      </c>
      <c r="HZ70" s="7">
        <f>SUM(BC70:BC70)</f>
        <v>1545371</v>
      </c>
      <c r="IA70" s="7" t="e">
        <f>#REF!-HZ70</f>
        <v>#REF!</v>
      </c>
      <c r="IB70" s="7">
        <f>SUM(BD70:BD70)</f>
        <v>1584664</v>
      </c>
      <c r="IC70" s="7" t="e">
        <f>#REF!-IB70</f>
        <v>#REF!</v>
      </c>
      <c r="ID70" s="7">
        <f t="shared" si="109"/>
        <v>1945</v>
      </c>
      <c r="IE70" s="7">
        <f t="shared" si="110"/>
        <v>0</v>
      </c>
      <c r="IF70" s="7">
        <f t="shared" si="111"/>
        <v>900900</v>
      </c>
      <c r="IG70" s="7">
        <f t="shared" si="112"/>
        <v>0</v>
      </c>
      <c r="IH70" s="7">
        <f t="shared" si="113"/>
        <v>633780</v>
      </c>
      <c r="II70" s="7">
        <f t="shared" ref="II70:II93" si="155">BV70-IH70</f>
        <v>0</v>
      </c>
      <c r="IJ70" s="7">
        <f t="shared" ref="IJ70:IJ93" si="156">SUM(BW70:CA70)</f>
        <v>78989475</v>
      </c>
      <c r="IK70" s="7">
        <f t="shared" si="114"/>
        <v>0</v>
      </c>
      <c r="IL70" s="7">
        <f t="shared" si="115"/>
        <v>10402285</v>
      </c>
      <c r="IM70" s="7">
        <f t="shared" si="116"/>
        <v>0</v>
      </c>
      <c r="IN70" s="7">
        <f t="shared" si="117"/>
        <v>2192943</v>
      </c>
      <c r="IO70" s="7">
        <f t="shared" si="118"/>
        <v>0</v>
      </c>
      <c r="IP70" s="7">
        <f t="shared" si="119"/>
        <v>10391331</v>
      </c>
      <c r="IQ70" s="7">
        <f t="shared" si="120"/>
        <v>0</v>
      </c>
      <c r="IR70" s="7">
        <f t="shared" si="121"/>
        <v>831218</v>
      </c>
      <c r="IS70" s="7">
        <f t="shared" si="122"/>
        <v>0</v>
      </c>
      <c r="IT70" s="7">
        <f t="shared" si="123"/>
        <v>9428243</v>
      </c>
      <c r="IU70" s="7">
        <f t="shared" si="124"/>
        <v>0</v>
      </c>
      <c r="IV70" s="7">
        <f t="shared" ref="IV70:IV93" si="157">SUM(DG70:DK70)</f>
        <v>287719</v>
      </c>
      <c r="IW70" s="7">
        <f t="shared" ref="IW70:IW93" si="158">DL70-IV70</f>
        <v>0</v>
      </c>
      <c r="IX70" s="7">
        <f t="shared" si="125"/>
        <v>2266716</v>
      </c>
      <c r="IY70" s="7">
        <f t="shared" si="126"/>
        <v>0</v>
      </c>
      <c r="IZ70" s="7">
        <f t="shared" si="127"/>
        <v>858692</v>
      </c>
      <c r="JA70" s="7">
        <f t="shared" si="128"/>
        <v>0</v>
      </c>
      <c r="JB70" s="7">
        <f t="shared" ref="JB70:JB93" si="159">SUM(DY70:EC70)</f>
        <v>5191974</v>
      </c>
      <c r="JC70" s="7">
        <f t="shared" ref="JC70:JC93" si="160">ED70-JB70</f>
        <v>0</v>
      </c>
      <c r="JD70" s="7">
        <f t="shared" si="129"/>
        <v>1555793</v>
      </c>
      <c r="JE70" s="7">
        <f t="shared" si="130"/>
        <v>0</v>
      </c>
      <c r="JF70" s="7">
        <f t="shared" si="131"/>
        <v>3516414</v>
      </c>
      <c r="JG70" s="7">
        <f t="shared" si="132"/>
        <v>0</v>
      </c>
      <c r="JH70" s="7">
        <f t="shared" si="133"/>
        <v>8392233</v>
      </c>
      <c r="JI70" s="7">
        <f t="shared" si="134"/>
        <v>0</v>
      </c>
      <c r="JJ70" s="7">
        <f t="shared" si="135"/>
        <v>0</v>
      </c>
      <c r="JK70" s="7">
        <f t="shared" si="136"/>
        <v>0</v>
      </c>
      <c r="JL70" s="7">
        <f t="shared" si="137"/>
        <v>9810788</v>
      </c>
      <c r="JM70" s="7">
        <f t="shared" si="138"/>
        <v>0</v>
      </c>
      <c r="JN70" s="7">
        <f t="shared" si="139"/>
        <v>558083</v>
      </c>
      <c r="JO70" s="7">
        <f t="shared" si="140"/>
        <v>0</v>
      </c>
      <c r="JP70" s="7">
        <f t="shared" si="141"/>
        <v>0</v>
      </c>
      <c r="JQ70" s="7">
        <f t="shared" si="142"/>
        <v>0</v>
      </c>
      <c r="JR70" s="7">
        <f t="shared" si="143"/>
        <v>2088704</v>
      </c>
      <c r="JS70" s="7">
        <f t="shared" si="144"/>
        <v>0</v>
      </c>
      <c r="JT70" s="7">
        <f t="shared" si="145"/>
        <v>5030149</v>
      </c>
      <c r="JU70" s="7">
        <f t="shared" si="146"/>
        <v>0</v>
      </c>
      <c r="JV70" s="7">
        <f t="shared" si="147"/>
        <v>6186190</v>
      </c>
      <c r="JW70" s="7">
        <f t="shared" si="148"/>
        <v>0</v>
      </c>
      <c r="JX70" s="7">
        <f t="shared" si="149"/>
        <v>78989475</v>
      </c>
      <c r="JY70" s="7">
        <f t="shared" si="150"/>
        <v>0</v>
      </c>
      <c r="JZ70" s="7">
        <f t="shared" si="151"/>
        <v>0</v>
      </c>
      <c r="KA70" s="7">
        <f t="shared" si="152"/>
        <v>0</v>
      </c>
      <c r="KB70" s="7">
        <f t="shared" si="153"/>
        <v>78989475</v>
      </c>
      <c r="KC70" s="7">
        <f t="shared" si="154"/>
        <v>0</v>
      </c>
      <c r="KE70" s="7" t="e">
        <f t="shared" si="107"/>
        <v>#REF!</v>
      </c>
      <c r="KG70" s="5" t="e">
        <f t="shared" si="108"/>
        <v>#REF!</v>
      </c>
      <c r="KR70" s="19"/>
    </row>
    <row r="71" spans="1:304" x14ac:dyDescent="0.15">
      <c r="A71" s="119" t="s">
        <v>402</v>
      </c>
      <c r="B71" s="17" t="s">
        <v>342</v>
      </c>
      <c r="C71" s="38">
        <v>199193</v>
      </c>
      <c r="D71" s="38">
        <v>2013</v>
      </c>
      <c r="E71" s="38">
        <v>1</v>
      </c>
      <c r="F71" s="38">
        <v>10</v>
      </c>
      <c r="G71" s="39">
        <v>14960</v>
      </c>
      <c r="H71" s="39">
        <v>15758</v>
      </c>
      <c r="I71" s="40">
        <v>388263183</v>
      </c>
      <c r="J71" s="40"/>
      <c r="K71" s="40">
        <v>0</v>
      </c>
      <c r="L71" s="40"/>
      <c r="M71" s="40">
        <v>18333771</v>
      </c>
      <c r="N71" s="40"/>
      <c r="O71" s="40">
        <v>0</v>
      </c>
      <c r="P71" s="40"/>
      <c r="Q71" s="40">
        <v>317294063</v>
      </c>
      <c r="R71" s="40"/>
      <c r="S71" s="40">
        <v>311122634</v>
      </c>
      <c r="T71" s="40"/>
      <c r="U71" s="40">
        <v>18928</v>
      </c>
      <c r="V71" s="40"/>
      <c r="W71" s="40">
        <v>30088</v>
      </c>
      <c r="X71" s="40"/>
      <c r="Y71" s="40">
        <v>25216</v>
      </c>
      <c r="Z71" s="40"/>
      <c r="AA71" s="40">
        <v>34144</v>
      </c>
      <c r="AB71" s="40"/>
      <c r="AC71" s="56">
        <v>6</v>
      </c>
      <c r="AD71" s="56">
        <v>10</v>
      </c>
      <c r="AE71" s="56">
        <v>0</v>
      </c>
      <c r="AF71" s="57">
        <v>2977091</v>
      </c>
      <c r="AG71" s="57">
        <v>2407767</v>
      </c>
      <c r="AH71" s="57">
        <v>292627</v>
      </c>
      <c r="AI71" s="57">
        <v>111395</v>
      </c>
      <c r="AJ71" s="57">
        <v>282899.25</v>
      </c>
      <c r="AK71" s="58">
        <v>5.3</v>
      </c>
      <c r="AL71" s="57">
        <v>249894.33</v>
      </c>
      <c r="AM71" s="58">
        <v>6</v>
      </c>
      <c r="AN71" s="57">
        <v>125661.65</v>
      </c>
      <c r="AO71" s="58">
        <v>9.6999999999999993</v>
      </c>
      <c r="AP71" s="57">
        <v>121891.8</v>
      </c>
      <c r="AQ71" s="58">
        <v>10</v>
      </c>
      <c r="AR71" s="57">
        <v>130566.75</v>
      </c>
      <c r="AS71" s="58">
        <v>15.31</v>
      </c>
      <c r="AT71" s="57">
        <v>111054.28</v>
      </c>
      <c r="AU71" s="58">
        <v>18</v>
      </c>
      <c r="AV71" s="57">
        <v>77661.679999999993</v>
      </c>
      <c r="AW71" s="58">
        <v>10.57</v>
      </c>
      <c r="AX71" s="57">
        <v>48287.29</v>
      </c>
      <c r="AY71" s="58">
        <v>17</v>
      </c>
      <c r="AZ71" s="79">
        <v>789683</v>
      </c>
      <c r="BA71" s="79">
        <v>565199</v>
      </c>
      <c r="BB71" s="79">
        <v>321823</v>
      </c>
      <c r="BC71" s="79">
        <v>246799</v>
      </c>
      <c r="BD71" s="79">
        <v>0</v>
      </c>
      <c r="BE71" s="79">
        <v>31387</v>
      </c>
      <c r="BF71" s="79">
        <v>0</v>
      </c>
      <c r="BG71" s="79">
        <v>0</v>
      </c>
      <c r="BH71" s="79">
        <v>0</v>
      </c>
      <c r="BI71" s="79">
        <v>0</v>
      </c>
      <c r="BJ71" s="79">
        <v>31387</v>
      </c>
      <c r="BK71" s="79">
        <v>22844</v>
      </c>
      <c r="BL71" s="79">
        <v>0</v>
      </c>
      <c r="BM71" s="79">
        <v>2219</v>
      </c>
      <c r="BN71" s="79">
        <v>39150</v>
      </c>
      <c r="BO71" s="79">
        <v>18237</v>
      </c>
      <c r="BP71" s="79">
        <v>82450</v>
      </c>
      <c r="BQ71" s="79">
        <v>498494</v>
      </c>
      <c r="BR71" s="79">
        <v>3325</v>
      </c>
      <c r="BS71" s="79">
        <v>4180</v>
      </c>
      <c r="BT71" s="79">
        <v>155284</v>
      </c>
      <c r="BU71" s="79">
        <v>139787</v>
      </c>
      <c r="BV71" s="79">
        <v>801070</v>
      </c>
      <c r="BW71" s="79">
        <v>2476229</v>
      </c>
      <c r="BX71" s="79">
        <v>121464</v>
      </c>
      <c r="BY71" s="79">
        <v>19847</v>
      </c>
      <c r="BZ71" s="79">
        <v>477184</v>
      </c>
      <c r="CA71" s="79">
        <v>22759314</v>
      </c>
      <c r="CB71" s="79">
        <v>25854038</v>
      </c>
      <c r="CC71" s="79">
        <v>2048325</v>
      </c>
      <c r="CD71" s="79">
        <v>366226</v>
      </c>
      <c r="CE71" s="79">
        <v>313182</v>
      </c>
      <c r="CF71" s="79">
        <v>2657125</v>
      </c>
      <c r="CG71" s="79">
        <v>199665</v>
      </c>
      <c r="CH71" s="79">
        <v>5584523</v>
      </c>
      <c r="CI71" s="79">
        <v>425000</v>
      </c>
      <c r="CJ71" s="79">
        <v>10000</v>
      </c>
      <c r="CK71" s="79">
        <v>2000</v>
      </c>
      <c r="CL71" s="79">
        <v>13656</v>
      </c>
      <c r="CM71" s="79">
        <v>0</v>
      </c>
      <c r="CN71" s="79">
        <v>450656</v>
      </c>
      <c r="CO71" s="79">
        <v>2151694</v>
      </c>
      <c r="CP71" s="79">
        <v>642711</v>
      </c>
      <c r="CQ71" s="79">
        <v>538962</v>
      </c>
      <c r="CR71" s="79">
        <v>2204778</v>
      </c>
      <c r="CS71" s="79">
        <v>0</v>
      </c>
      <c r="CT71" s="79">
        <v>5538145</v>
      </c>
      <c r="CU71" s="79">
        <v>0</v>
      </c>
      <c r="CV71" s="79">
        <v>0</v>
      </c>
      <c r="CW71" s="79">
        <v>0</v>
      </c>
      <c r="CX71" s="79">
        <v>0</v>
      </c>
      <c r="CY71" s="79">
        <v>0</v>
      </c>
      <c r="CZ71" s="79">
        <v>0</v>
      </c>
      <c r="DA71" s="79">
        <v>202235</v>
      </c>
      <c r="DB71" s="79">
        <v>30378</v>
      </c>
      <c r="DC71" s="79">
        <v>3364</v>
      </c>
      <c r="DD71" s="79">
        <v>8013</v>
      </c>
      <c r="DE71" s="79">
        <v>3982825</v>
      </c>
      <c r="DF71" s="79">
        <v>4226815</v>
      </c>
      <c r="DG71" s="79">
        <v>0</v>
      </c>
      <c r="DH71" s="79">
        <v>0</v>
      </c>
      <c r="DI71" s="79">
        <v>0</v>
      </c>
      <c r="DJ71" s="79">
        <v>0</v>
      </c>
      <c r="DK71" s="79">
        <v>0</v>
      </c>
      <c r="DL71" s="79">
        <v>0</v>
      </c>
      <c r="DM71" s="79">
        <v>0</v>
      </c>
      <c r="DN71" s="79">
        <v>0</v>
      </c>
      <c r="DO71" s="79">
        <v>0</v>
      </c>
      <c r="DP71" s="79">
        <v>0</v>
      </c>
      <c r="DQ71" s="79">
        <v>0</v>
      </c>
      <c r="DR71" s="79">
        <v>0</v>
      </c>
      <c r="DS71" s="79">
        <v>203609</v>
      </c>
      <c r="DT71" s="79">
        <v>63719</v>
      </c>
      <c r="DU71" s="79">
        <v>48023</v>
      </c>
      <c r="DV71" s="79">
        <v>88671</v>
      </c>
      <c r="DW71" s="79">
        <v>11495</v>
      </c>
      <c r="DX71" s="79">
        <v>415517</v>
      </c>
      <c r="DY71" s="79">
        <v>1295659</v>
      </c>
      <c r="DZ71" s="79">
        <v>216674</v>
      </c>
      <c r="EA71" s="79">
        <v>141532</v>
      </c>
      <c r="EB71" s="79">
        <v>974746</v>
      </c>
      <c r="EC71" s="79">
        <v>10884</v>
      </c>
      <c r="ED71" s="79">
        <v>2639495</v>
      </c>
      <c r="EE71" s="79">
        <v>329654</v>
      </c>
      <c r="EF71" s="79">
        <v>26448</v>
      </c>
      <c r="EG71" s="79">
        <v>41691</v>
      </c>
      <c r="EH71" s="79">
        <v>263460</v>
      </c>
      <c r="EI71" s="79">
        <v>413076</v>
      </c>
      <c r="EJ71" s="79">
        <v>1074329</v>
      </c>
      <c r="EK71" s="79">
        <v>506721</v>
      </c>
      <c r="EL71" s="79">
        <v>104353</v>
      </c>
      <c r="EM71" s="79">
        <v>84647</v>
      </c>
      <c r="EN71" s="79">
        <v>183506</v>
      </c>
      <c r="EO71" s="79">
        <v>37242</v>
      </c>
      <c r="EP71" s="79">
        <v>916469</v>
      </c>
      <c r="EQ71" s="79">
        <v>65528</v>
      </c>
      <c r="ER71" s="79">
        <v>0</v>
      </c>
      <c r="ES71" s="79">
        <v>3636</v>
      </c>
      <c r="ET71" s="79">
        <v>63212</v>
      </c>
      <c r="EU71" s="79">
        <v>440010</v>
      </c>
      <c r="EV71" s="79">
        <v>572386</v>
      </c>
      <c r="EW71" s="79">
        <v>7655</v>
      </c>
      <c r="EX71" s="79">
        <v>0</v>
      </c>
      <c r="EY71" s="79">
        <v>69</v>
      </c>
      <c r="EZ71" s="79">
        <v>0</v>
      </c>
      <c r="FA71" s="79">
        <v>0</v>
      </c>
      <c r="FB71" s="79">
        <v>7724</v>
      </c>
      <c r="FC71" s="79">
        <v>41299</v>
      </c>
      <c r="FD71" s="79">
        <v>74209</v>
      </c>
      <c r="FE71" s="79">
        <v>71595</v>
      </c>
      <c r="FF71" s="79">
        <v>37869</v>
      </c>
      <c r="FG71" s="79">
        <v>201882</v>
      </c>
      <c r="FH71" s="79">
        <v>426854</v>
      </c>
      <c r="FI71" s="79">
        <v>0</v>
      </c>
      <c r="FJ71" s="79">
        <v>0</v>
      </c>
      <c r="FK71" s="79">
        <v>0</v>
      </c>
      <c r="FL71" s="79">
        <v>0</v>
      </c>
      <c r="FM71" s="79">
        <v>275000</v>
      </c>
      <c r="FN71" s="79">
        <v>275000</v>
      </c>
      <c r="FO71" s="79">
        <v>0</v>
      </c>
      <c r="FP71" s="79">
        <v>0</v>
      </c>
      <c r="FQ71" s="79">
        <v>0</v>
      </c>
      <c r="FR71" s="79">
        <v>0</v>
      </c>
      <c r="FS71" s="79">
        <v>657889</v>
      </c>
      <c r="FT71" s="79">
        <v>657889</v>
      </c>
      <c r="FU71" s="79">
        <v>101</v>
      </c>
      <c r="FV71" s="79">
        <v>1518</v>
      </c>
      <c r="FW71" s="79">
        <v>1057</v>
      </c>
      <c r="FX71" s="79">
        <v>24320</v>
      </c>
      <c r="FY71" s="79">
        <v>448193</v>
      </c>
      <c r="FZ71" s="79">
        <v>475189</v>
      </c>
      <c r="GA71" s="79">
        <v>0</v>
      </c>
      <c r="GB71" s="79">
        <v>0</v>
      </c>
      <c r="GC71" s="79">
        <v>640</v>
      </c>
      <c r="GD71" s="79">
        <v>3629</v>
      </c>
      <c r="GE71" s="79">
        <v>421960</v>
      </c>
      <c r="GF71" s="79">
        <v>426229</v>
      </c>
      <c r="GG71" s="79">
        <v>295180</v>
      </c>
      <c r="GH71" s="79">
        <v>32061</v>
      </c>
      <c r="GI71" s="79">
        <v>26631</v>
      </c>
      <c r="GJ71" s="79">
        <v>107115</v>
      </c>
      <c r="GK71" s="79">
        <v>292067</v>
      </c>
      <c r="GL71" s="79">
        <v>753054</v>
      </c>
      <c r="GM71" s="79">
        <v>7572660</v>
      </c>
      <c r="GN71" s="79">
        <v>1568297</v>
      </c>
      <c r="GO71" s="79">
        <v>1277029</v>
      </c>
      <c r="GP71" s="79">
        <v>6630100</v>
      </c>
      <c r="GQ71" s="79">
        <v>7392188</v>
      </c>
      <c r="GR71" s="79">
        <v>24440274</v>
      </c>
      <c r="GS71" s="79">
        <v>0</v>
      </c>
      <c r="GT71" s="79">
        <v>0</v>
      </c>
      <c r="GU71" s="79">
        <v>0</v>
      </c>
      <c r="GV71" s="79">
        <v>0</v>
      </c>
      <c r="GW71" s="79">
        <v>0</v>
      </c>
      <c r="GX71" s="79">
        <v>0</v>
      </c>
      <c r="GY71" s="79">
        <v>7572660</v>
      </c>
      <c r="GZ71" s="79">
        <v>1568297</v>
      </c>
      <c r="HA71" s="79">
        <v>1277029</v>
      </c>
      <c r="HB71" s="79">
        <v>6630100</v>
      </c>
      <c r="HC71" s="79">
        <v>7392188</v>
      </c>
      <c r="HD71" s="79">
        <v>24440274</v>
      </c>
      <c r="HF71" s="7">
        <f>SUM(AZ71:AZ71)</f>
        <v>789683</v>
      </c>
      <c r="HG71" s="7" t="e">
        <f>#REF!-HF71</f>
        <v>#REF!</v>
      </c>
      <c r="HH71" s="7" t="e">
        <f>SUM(#REF!)</f>
        <v>#REF!</v>
      </c>
      <c r="HI71" s="7" t="e">
        <f>#REF!-HH71</f>
        <v>#REF!</v>
      </c>
      <c r="HJ71" s="7">
        <f>SUM(BA71:BA71)</f>
        <v>565199</v>
      </c>
      <c r="HK71" s="7" t="e">
        <f>#REF!-HJ71</f>
        <v>#REF!</v>
      </c>
      <c r="HL71" s="7">
        <f>SUM(BB71:BB71)</f>
        <v>321823</v>
      </c>
      <c r="HM71" s="7" t="e">
        <f>#REF!-HL71</f>
        <v>#REF!</v>
      </c>
      <c r="HN71" s="7" t="e">
        <f>SUM(#REF!)</f>
        <v>#REF!</v>
      </c>
      <c r="HO71" s="7" t="e">
        <f>#REF!-HN71</f>
        <v>#REF!</v>
      </c>
      <c r="HP71" s="7" t="e">
        <f>SUM(#REF!)</f>
        <v>#REF!</v>
      </c>
      <c r="HQ71" s="7" t="e">
        <f>#REF!-HP71</f>
        <v>#REF!</v>
      </c>
      <c r="HR71" s="7" t="e">
        <f>SUM(#REF!)</f>
        <v>#REF!</v>
      </c>
      <c r="HS71" s="7" t="e">
        <f>#REF!-HR71</f>
        <v>#REF!</v>
      </c>
      <c r="HT71" s="7" t="e">
        <f>SUM(#REF!)</f>
        <v>#REF!</v>
      </c>
      <c r="HU71" s="7" t="e">
        <f>#REF!-HT71</f>
        <v>#REF!</v>
      </c>
      <c r="HV71" s="7" t="e">
        <f>SUM(#REF!)</f>
        <v>#REF!</v>
      </c>
      <c r="HW71" s="7" t="e">
        <f>#REF!-HV71</f>
        <v>#REF!</v>
      </c>
      <c r="HX71" s="7" t="e">
        <f>SUM(#REF!)</f>
        <v>#REF!</v>
      </c>
      <c r="HY71" s="7" t="e">
        <f>#REF!-HX71</f>
        <v>#REF!</v>
      </c>
      <c r="HZ71" s="7">
        <f>SUM(BC71:BC71)</f>
        <v>246799</v>
      </c>
      <c r="IA71" s="7" t="e">
        <f>#REF!-HZ71</f>
        <v>#REF!</v>
      </c>
      <c r="IB71" s="7">
        <f>SUM(BD71:BD71)</f>
        <v>0</v>
      </c>
      <c r="IC71" s="7" t="e">
        <f>#REF!-IB71</f>
        <v>#REF!</v>
      </c>
      <c r="ID71" s="7">
        <f t="shared" si="109"/>
        <v>31387</v>
      </c>
      <c r="IE71" s="7">
        <f t="shared" si="110"/>
        <v>0</v>
      </c>
      <c r="IF71" s="7">
        <f t="shared" si="111"/>
        <v>82450</v>
      </c>
      <c r="IG71" s="7">
        <f t="shared" si="112"/>
        <v>0</v>
      </c>
      <c r="IH71" s="7">
        <f t="shared" si="113"/>
        <v>801070</v>
      </c>
      <c r="II71" s="7">
        <f t="shared" si="155"/>
        <v>0</v>
      </c>
      <c r="IJ71" s="7">
        <f t="shared" si="156"/>
        <v>25854038</v>
      </c>
      <c r="IK71" s="7">
        <f t="shared" si="114"/>
        <v>0</v>
      </c>
      <c r="IL71" s="7">
        <f t="shared" si="115"/>
        <v>5584523</v>
      </c>
      <c r="IM71" s="7">
        <f t="shared" si="116"/>
        <v>0</v>
      </c>
      <c r="IN71" s="7">
        <f t="shared" si="117"/>
        <v>450656</v>
      </c>
      <c r="IO71" s="7">
        <f t="shared" si="118"/>
        <v>0</v>
      </c>
      <c r="IP71" s="7">
        <f t="shared" si="119"/>
        <v>5538145</v>
      </c>
      <c r="IQ71" s="7">
        <f t="shared" si="120"/>
        <v>0</v>
      </c>
      <c r="IR71" s="7">
        <f t="shared" si="121"/>
        <v>0</v>
      </c>
      <c r="IS71" s="7">
        <f t="shared" si="122"/>
        <v>0</v>
      </c>
      <c r="IT71" s="7">
        <f t="shared" si="123"/>
        <v>4226815</v>
      </c>
      <c r="IU71" s="7">
        <f t="shared" si="124"/>
        <v>0</v>
      </c>
      <c r="IV71" s="7">
        <f t="shared" si="157"/>
        <v>0</v>
      </c>
      <c r="IW71" s="7">
        <f t="shared" si="158"/>
        <v>0</v>
      </c>
      <c r="IX71" s="7">
        <f t="shared" si="125"/>
        <v>0</v>
      </c>
      <c r="IY71" s="7">
        <f t="shared" si="126"/>
        <v>0</v>
      </c>
      <c r="IZ71" s="7">
        <f t="shared" si="127"/>
        <v>415517</v>
      </c>
      <c r="JA71" s="7">
        <f t="shared" si="128"/>
        <v>0</v>
      </c>
      <c r="JB71" s="7">
        <f t="shared" si="159"/>
        <v>2639495</v>
      </c>
      <c r="JC71" s="7">
        <f t="shared" si="160"/>
        <v>0</v>
      </c>
      <c r="JD71" s="7">
        <f t="shared" si="129"/>
        <v>1074329</v>
      </c>
      <c r="JE71" s="7">
        <f t="shared" si="130"/>
        <v>0</v>
      </c>
      <c r="JF71" s="7">
        <f t="shared" si="131"/>
        <v>916469</v>
      </c>
      <c r="JG71" s="7">
        <f t="shared" si="132"/>
        <v>0</v>
      </c>
      <c r="JH71" s="7">
        <f t="shared" si="133"/>
        <v>572386</v>
      </c>
      <c r="JI71" s="7">
        <f t="shared" si="134"/>
        <v>0</v>
      </c>
      <c r="JJ71" s="7">
        <f t="shared" si="135"/>
        <v>7724</v>
      </c>
      <c r="JK71" s="7">
        <f t="shared" si="136"/>
        <v>0</v>
      </c>
      <c r="JL71" s="7">
        <f t="shared" si="137"/>
        <v>426854</v>
      </c>
      <c r="JM71" s="7">
        <f t="shared" si="138"/>
        <v>0</v>
      </c>
      <c r="JN71" s="7">
        <f t="shared" si="139"/>
        <v>275000</v>
      </c>
      <c r="JO71" s="7">
        <f t="shared" si="140"/>
        <v>0</v>
      </c>
      <c r="JP71" s="7">
        <f t="shared" si="141"/>
        <v>657889</v>
      </c>
      <c r="JQ71" s="7">
        <f t="shared" si="142"/>
        <v>0</v>
      </c>
      <c r="JR71" s="7">
        <f t="shared" si="143"/>
        <v>475189</v>
      </c>
      <c r="JS71" s="7">
        <f t="shared" si="144"/>
        <v>0</v>
      </c>
      <c r="JT71" s="7">
        <f t="shared" si="145"/>
        <v>426229</v>
      </c>
      <c r="JU71" s="7">
        <f t="shared" si="146"/>
        <v>0</v>
      </c>
      <c r="JV71" s="7">
        <f t="shared" si="147"/>
        <v>753054</v>
      </c>
      <c r="JW71" s="7">
        <f t="shared" si="148"/>
        <v>0</v>
      </c>
      <c r="JX71" s="7">
        <f t="shared" si="149"/>
        <v>24440274</v>
      </c>
      <c r="JY71" s="7">
        <f t="shared" si="150"/>
        <v>0</v>
      </c>
      <c r="JZ71" s="7">
        <f t="shared" si="151"/>
        <v>0</v>
      </c>
      <c r="KA71" s="7">
        <f t="shared" si="152"/>
        <v>0</v>
      </c>
      <c r="KB71" s="7">
        <f t="shared" si="153"/>
        <v>24440274</v>
      </c>
      <c r="KC71" s="7">
        <f t="shared" si="154"/>
        <v>0</v>
      </c>
      <c r="KE71" s="7" t="e">
        <f t="shared" si="107"/>
        <v>#REF!</v>
      </c>
      <c r="KG71" s="5" t="e">
        <f t="shared" si="108"/>
        <v>#REF!</v>
      </c>
    </row>
    <row r="72" spans="1:304" x14ac:dyDescent="0.15">
      <c r="A72" s="119" t="s">
        <v>281</v>
      </c>
      <c r="B72" s="17" t="s">
        <v>341</v>
      </c>
      <c r="C72" s="41">
        <v>102094</v>
      </c>
      <c r="D72" s="38">
        <v>2013</v>
      </c>
      <c r="E72" s="38">
        <v>1</v>
      </c>
      <c r="F72" s="38">
        <v>11</v>
      </c>
      <c r="G72" s="39">
        <v>3895</v>
      </c>
      <c r="H72" s="39">
        <v>4813</v>
      </c>
      <c r="I72" s="40">
        <v>602120000</v>
      </c>
      <c r="J72" s="40">
        <v>582233000</v>
      </c>
      <c r="K72" s="40">
        <v>1344000</v>
      </c>
      <c r="L72" s="40"/>
      <c r="M72" s="40">
        <v>24852000</v>
      </c>
      <c r="N72" s="40"/>
      <c r="O72" s="40">
        <v>20979000</v>
      </c>
      <c r="P72" s="40"/>
      <c r="Q72" s="40">
        <v>400800000</v>
      </c>
      <c r="R72" s="40"/>
      <c r="S72" s="40">
        <v>322112000</v>
      </c>
      <c r="T72" s="40"/>
      <c r="U72" s="40">
        <v>16434</v>
      </c>
      <c r="V72" s="40">
        <v>15288</v>
      </c>
      <c r="W72" s="40">
        <v>24684</v>
      </c>
      <c r="X72" s="40">
        <v>22668</v>
      </c>
      <c r="Y72" s="40">
        <v>21000</v>
      </c>
      <c r="Z72" s="40">
        <v>19434</v>
      </c>
      <c r="AA72" s="40">
        <v>27812</v>
      </c>
      <c r="AB72" s="40">
        <v>25430</v>
      </c>
      <c r="AC72" s="59">
        <v>8</v>
      </c>
      <c r="AD72" s="59">
        <v>9</v>
      </c>
      <c r="AE72" s="59">
        <v>0</v>
      </c>
      <c r="AF72" s="57">
        <v>2925885</v>
      </c>
      <c r="AG72" s="57">
        <v>1900957</v>
      </c>
      <c r="AH72" s="57">
        <v>415867</v>
      </c>
      <c r="AI72" s="57">
        <v>147569</v>
      </c>
      <c r="AJ72" s="57">
        <v>214097</v>
      </c>
      <c r="AK72" s="58">
        <v>5.5</v>
      </c>
      <c r="AL72" s="57">
        <v>196255</v>
      </c>
      <c r="AM72" s="58">
        <v>6</v>
      </c>
      <c r="AN72" s="57">
        <v>115388</v>
      </c>
      <c r="AO72" s="58">
        <v>6.5</v>
      </c>
      <c r="AP72" s="57">
        <v>107146</v>
      </c>
      <c r="AQ72" s="58">
        <v>7</v>
      </c>
      <c r="AR72" s="57">
        <v>109827</v>
      </c>
      <c r="AS72" s="58">
        <v>15.75</v>
      </c>
      <c r="AT72" s="57">
        <v>96099</v>
      </c>
      <c r="AU72" s="58">
        <v>18</v>
      </c>
      <c r="AV72" s="57">
        <v>53092</v>
      </c>
      <c r="AW72" s="58">
        <v>9.75</v>
      </c>
      <c r="AX72" s="57">
        <v>43137</v>
      </c>
      <c r="AY72" s="58">
        <v>12</v>
      </c>
      <c r="AZ72" s="79">
        <v>626189</v>
      </c>
      <c r="BA72" s="79">
        <v>1315000</v>
      </c>
      <c r="BB72" s="85">
        <v>5000</v>
      </c>
      <c r="BC72" s="79">
        <v>108122</v>
      </c>
      <c r="BD72" s="85">
        <v>0</v>
      </c>
      <c r="BE72" s="85">
        <v>3640</v>
      </c>
      <c r="BF72" s="85">
        <v>0</v>
      </c>
      <c r="BG72" s="85">
        <v>0</v>
      </c>
      <c r="BH72" s="85">
        <v>0</v>
      </c>
      <c r="BI72" s="85">
        <v>0</v>
      </c>
      <c r="BJ72" s="85">
        <v>3640</v>
      </c>
      <c r="BK72" s="85">
        <v>0</v>
      </c>
      <c r="BL72" s="85">
        <v>0</v>
      </c>
      <c r="BM72" s="85">
        <v>0</v>
      </c>
      <c r="BN72" s="85">
        <v>0</v>
      </c>
      <c r="BO72" s="85">
        <v>21102</v>
      </c>
      <c r="BP72" s="85">
        <v>21102</v>
      </c>
      <c r="BQ72" s="85">
        <v>115</v>
      </c>
      <c r="BR72" s="85">
        <v>6660</v>
      </c>
      <c r="BS72" s="85">
        <v>0</v>
      </c>
      <c r="BT72" s="85">
        <v>146069</v>
      </c>
      <c r="BU72" s="85">
        <v>344009</v>
      </c>
      <c r="BV72" s="85">
        <v>496853</v>
      </c>
      <c r="BW72" s="85">
        <v>8491068</v>
      </c>
      <c r="BX72" s="85">
        <v>1615732</v>
      </c>
      <c r="BY72" s="85">
        <v>1192455</v>
      </c>
      <c r="BZ72" s="85">
        <v>5663132</v>
      </c>
      <c r="CA72" s="85">
        <v>4153175</v>
      </c>
      <c r="CB72" s="85">
        <v>21115562</v>
      </c>
      <c r="CC72" s="85">
        <v>1884394</v>
      </c>
      <c r="CD72" s="85">
        <v>312565</v>
      </c>
      <c r="CE72" s="85">
        <v>355282</v>
      </c>
      <c r="CF72" s="85">
        <v>2274711</v>
      </c>
      <c r="CG72" s="85">
        <v>267333</v>
      </c>
      <c r="CH72" s="85">
        <v>5094285</v>
      </c>
      <c r="CI72" s="85">
        <v>435000</v>
      </c>
      <c r="CJ72" s="85">
        <v>49700</v>
      </c>
      <c r="CK72" s="85">
        <v>2500</v>
      </c>
      <c r="CL72" s="85">
        <v>8231</v>
      </c>
      <c r="CM72" s="85">
        <v>0</v>
      </c>
      <c r="CN72" s="85">
        <v>495431</v>
      </c>
      <c r="CO72" s="85">
        <v>1569708</v>
      </c>
      <c r="CP72" s="85">
        <v>674686</v>
      </c>
      <c r="CQ72" s="85">
        <v>511960</v>
      </c>
      <c r="CR72" s="85">
        <v>1416442</v>
      </c>
      <c r="CS72" s="85">
        <v>0</v>
      </c>
      <c r="CT72" s="85">
        <v>4172796</v>
      </c>
      <c r="CU72" s="85">
        <v>0</v>
      </c>
      <c r="CV72" s="79">
        <v>0</v>
      </c>
      <c r="CW72" s="79">
        <v>0</v>
      </c>
      <c r="CX72" s="79">
        <v>0</v>
      </c>
      <c r="CY72" s="79">
        <v>0</v>
      </c>
      <c r="CZ72" s="79">
        <v>0</v>
      </c>
      <c r="DA72" s="79">
        <v>497563</v>
      </c>
      <c r="DB72" s="85">
        <v>46969</v>
      </c>
      <c r="DC72" s="85">
        <v>66561</v>
      </c>
      <c r="DD72" s="85">
        <v>104888</v>
      </c>
      <c r="DE72" s="85">
        <v>2492876</v>
      </c>
      <c r="DF72" s="85">
        <v>3208857</v>
      </c>
      <c r="DG72" s="85">
        <v>0</v>
      </c>
      <c r="DH72" s="79">
        <v>0</v>
      </c>
      <c r="DI72" s="79">
        <v>0</v>
      </c>
      <c r="DJ72" s="79">
        <v>0</v>
      </c>
      <c r="DK72" s="79">
        <v>0</v>
      </c>
      <c r="DL72" s="79">
        <v>0</v>
      </c>
      <c r="DM72" s="79">
        <v>0</v>
      </c>
      <c r="DN72" s="79">
        <v>0</v>
      </c>
      <c r="DO72" s="79">
        <v>0</v>
      </c>
      <c r="DP72" s="79">
        <v>0</v>
      </c>
      <c r="DQ72" s="79">
        <v>0</v>
      </c>
      <c r="DR72" s="79">
        <v>0</v>
      </c>
      <c r="DS72" s="79">
        <v>269066</v>
      </c>
      <c r="DT72" s="79">
        <v>78814</v>
      </c>
      <c r="DU72" s="79">
        <v>63828</v>
      </c>
      <c r="DV72" s="79">
        <v>151708</v>
      </c>
      <c r="DW72" s="79">
        <v>8758</v>
      </c>
      <c r="DX72" s="79">
        <v>572174</v>
      </c>
      <c r="DY72" s="79">
        <v>761926</v>
      </c>
      <c r="DZ72" s="79">
        <v>115956</v>
      </c>
      <c r="EA72" s="79">
        <v>140569</v>
      </c>
      <c r="EB72" s="79">
        <v>621123</v>
      </c>
      <c r="EC72" s="79">
        <v>0</v>
      </c>
      <c r="ED72" s="79">
        <v>1639574</v>
      </c>
      <c r="EE72" s="79">
        <v>704346</v>
      </c>
      <c r="EF72" s="79">
        <v>53349</v>
      </c>
      <c r="EG72" s="79">
        <v>33909</v>
      </c>
      <c r="EH72" s="79">
        <v>399755</v>
      </c>
      <c r="EI72" s="79">
        <v>210377</v>
      </c>
      <c r="EJ72" s="79">
        <v>1401736</v>
      </c>
      <c r="EK72" s="79">
        <v>69788</v>
      </c>
      <c r="EL72" s="79">
        <v>73791</v>
      </c>
      <c r="EM72" s="79">
        <v>50907</v>
      </c>
      <c r="EN72" s="79">
        <v>113123</v>
      </c>
      <c r="EO72" s="79">
        <v>35</v>
      </c>
      <c r="EP72" s="79">
        <v>307644</v>
      </c>
      <c r="EQ72" s="79">
        <v>8873</v>
      </c>
      <c r="ER72" s="79">
        <v>8058</v>
      </c>
      <c r="ES72" s="79">
        <v>1076</v>
      </c>
      <c r="ET72" s="79">
        <v>25377</v>
      </c>
      <c r="EU72" s="79">
        <v>15622</v>
      </c>
      <c r="EV72" s="79">
        <v>59006</v>
      </c>
      <c r="EW72" s="79">
        <v>5550</v>
      </c>
      <c r="EX72" s="79">
        <v>0</v>
      </c>
      <c r="EY72" s="79">
        <v>0</v>
      </c>
      <c r="EZ72" s="79">
        <v>0</v>
      </c>
      <c r="FA72" s="79">
        <v>0</v>
      </c>
      <c r="FB72" s="79">
        <v>5550</v>
      </c>
      <c r="FC72" s="79">
        <v>250209</v>
      </c>
      <c r="FD72" s="79">
        <v>8466</v>
      </c>
      <c r="FE72" s="79">
        <v>20365</v>
      </c>
      <c r="FF72" s="79">
        <v>208009</v>
      </c>
      <c r="FG72" s="79">
        <v>279891</v>
      </c>
      <c r="FH72" s="79">
        <v>766940</v>
      </c>
      <c r="FI72" s="79">
        <v>0</v>
      </c>
      <c r="FJ72" s="79">
        <v>0</v>
      </c>
      <c r="FK72" s="79">
        <v>0</v>
      </c>
      <c r="FL72" s="79">
        <v>0</v>
      </c>
      <c r="FM72" s="79">
        <v>256012</v>
      </c>
      <c r="FN72" s="79">
        <v>256012</v>
      </c>
      <c r="FO72" s="79">
        <v>0</v>
      </c>
      <c r="FP72" s="79">
        <v>0</v>
      </c>
      <c r="FQ72" s="79">
        <v>0</v>
      </c>
      <c r="FR72" s="79">
        <v>0</v>
      </c>
      <c r="FS72" s="79">
        <v>0</v>
      </c>
      <c r="FT72" s="79">
        <v>0</v>
      </c>
      <c r="FU72" s="79">
        <v>245177</v>
      </c>
      <c r="FV72" s="79">
        <v>0</v>
      </c>
      <c r="FW72" s="79">
        <v>0</v>
      </c>
      <c r="FX72" s="79">
        <v>0</v>
      </c>
      <c r="FY72" s="79">
        <v>121325</v>
      </c>
      <c r="FZ72" s="79">
        <v>366502</v>
      </c>
      <c r="GA72" s="79">
        <v>2670</v>
      </c>
      <c r="GB72" s="79">
        <v>125</v>
      </c>
      <c r="GC72" s="79">
        <v>0</v>
      </c>
      <c r="GD72" s="79">
        <v>17838</v>
      </c>
      <c r="GE72" s="79">
        <v>115306</v>
      </c>
      <c r="GF72" s="79">
        <v>135939</v>
      </c>
      <c r="GG72" s="79">
        <v>6325</v>
      </c>
      <c r="GH72" s="79">
        <v>122806</v>
      </c>
      <c r="GI72" s="79">
        <v>21527</v>
      </c>
      <c r="GJ72" s="79">
        <v>180375</v>
      </c>
      <c r="GK72" s="79">
        <v>1022025</v>
      </c>
      <c r="GL72" s="79">
        <v>1353058</v>
      </c>
      <c r="GM72" s="79">
        <v>6700615</v>
      </c>
      <c r="GN72" s="79">
        <v>1545469</v>
      </c>
      <c r="GO72" s="79">
        <v>1268485</v>
      </c>
      <c r="GP72" s="79">
        <v>5523939</v>
      </c>
      <c r="GQ72" s="79">
        <v>4791560</v>
      </c>
      <c r="GR72" s="79">
        <v>19830068</v>
      </c>
      <c r="GS72" s="79">
        <v>0</v>
      </c>
      <c r="GT72" s="79">
        <v>0</v>
      </c>
      <c r="GU72" s="79">
        <v>0</v>
      </c>
      <c r="GV72" s="79">
        <v>0</v>
      </c>
      <c r="GW72" s="79">
        <v>0</v>
      </c>
      <c r="GX72" s="79">
        <v>0</v>
      </c>
      <c r="GY72" s="79">
        <v>6700615</v>
      </c>
      <c r="GZ72" s="79">
        <v>1545469</v>
      </c>
      <c r="HA72" s="79">
        <v>1268485</v>
      </c>
      <c r="HB72" s="79">
        <v>5523939</v>
      </c>
      <c r="HC72" s="79">
        <v>4791560</v>
      </c>
      <c r="HD72" s="79">
        <v>19830068</v>
      </c>
      <c r="HF72" s="7">
        <f>SUM(AZ72:AZ72)</f>
        <v>626189</v>
      </c>
      <c r="HG72" s="7" t="e">
        <f>#REF!-HF72</f>
        <v>#REF!</v>
      </c>
      <c r="HH72" s="7" t="e">
        <f>SUM(#REF!)</f>
        <v>#REF!</v>
      </c>
      <c r="HI72" s="7" t="e">
        <f>#REF!-HH72</f>
        <v>#REF!</v>
      </c>
      <c r="HJ72" s="7">
        <f>SUM(BA72:BA72)</f>
        <v>1315000</v>
      </c>
      <c r="HK72" s="7" t="e">
        <f>#REF!-HJ72</f>
        <v>#REF!</v>
      </c>
      <c r="HL72" s="7">
        <f>SUM(BB72:BB72)</f>
        <v>5000</v>
      </c>
      <c r="HM72" s="7" t="e">
        <f>#REF!-HL72</f>
        <v>#REF!</v>
      </c>
      <c r="HN72" s="7" t="e">
        <f>SUM(#REF!)</f>
        <v>#REF!</v>
      </c>
      <c r="HO72" s="7" t="e">
        <f>#REF!-HN72</f>
        <v>#REF!</v>
      </c>
      <c r="HP72" s="7" t="e">
        <f>SUM(#REF!)</f>
        <v>#REF!</v>
      </c>
      <c r="HQ72" s="7" t="e">
        <f>#REF!-HP72</f>
        <v>#REF!</v>
      </c>
      <c r="HR72" s="7" t="e">
        <f>SUM(#REF!)</f>
        <v>#REF!</v>
      </c>
      <c r="HS72" s="7" t="e">
        <f>#REF!-HR72</f>
        <v>#REF!</v>
      </c>
      <c r="HT72" s="7" t="e">
        <f>SUM(#REF!)</f>
        <v>#REF!</v>
      </c>
      <c r="HU72" s="7" t="e">
        <f>#REF!-HT72</f>
        <v>#REF!</v>
      </c>
      <c r="HV72" s="7" t="e">
        <f>SUM(#REF!)</f>
        <v>#REF!</v>
      </c>
      <c r="HW72" s="7" t="e">
        <f>#REF!-HV72</f>
        <v>#REF!</v>
      </c>
      <c r="HX72" s="7" t="e">
        <f>SUM(#REF!)</f>
        <v>#REF!</v>
      </c>
      <c r="HY72" s="7" t="e">
        <f>#REF!-HX72</f>
        <v>#REF!</v>
      </c>
      <c r="HZ72" s="7">
        <f>SUM(BC72:BC72)</f>
        <v>108122</v>
      </c>
      <c r="IA72" s="7" t="e">
        <f>#REF!-HZ72</f>
        <v>#REF!</v>
      </c>
      <c r="IB72" s="7">
        <f>SUM(BD72:BD72)</f>
        <v>0</v>
      </c>
      <c r="IC72" s="7" t="e">
        <f>#REF!-IB72</f>
        <v>#REF!</v>
      </c>
      <c r="ID72" s="7">
        <f t="shared" si="109"/>
        <v>3640</v>
      </c>
      <c r="IE72" s="7">
        <f t="shared" si="110"/>
        <v>0</v>
      </c>
      <c r="IF72" s="7">
        <f t="shared" si="111"/>
        <v>21102</v>
      </c>
      <c r="IG72" s="7">
        <f t="shared" si="112"/>
        <v>0</v>
      </c>
      <c r="IH72" s="7">
        <f t="shared" si="113"/>
        <v>496853</v>
      </c>
      <c r="II72" s="7">
        <f t="shared" si="155"/>
        <v>0</v>
      </c>
      <c r="IJ72" s="7">
        <f t="shared" si="156"/>
        <v>21115562</v>
      </c>
      <c r="IK72" s="7">
        <f t="shared" si="114"/>
        <v>0</v>
      </c>
      <c r="IL72" s="7">
        <f t="shared" si="115"/>
        <v>5094285</v>
      </c>
      <c r="IM72" s="7">
        <f t="shared" si="116"/>
        <v>0</v>
      </c>
      <c r="IN72" s="7">
        <f t="shared" si="117"/>
        <v>495431</v>
      </c>
      <c r="IO72" s="7">
        <f t="shared" si="118"/>
        <v>0</v>
      </c>
      <c r="IP72" s="7">
        <f t="shared" si="119"/>
        <v>4172796</v>
      </c>
      <c r="IQ72" s="7">
        <f t="shared" si="120"/>
        <v>0</v>
      </c>
      <c r="IR72" s="7">
        <f t="shared" si="121"/>
        <v>0</v>
      </c>
      <c r="IS72" s="7">
        <f t="shared" si="122"/>
        <v>0</v>
      </c>
      <c r="IT72" s="7">
        <f t="shared" si="123"/>
        <v>3208857</v>
      </c>
      <c r="IU72" s="7">
        <f t="shared" si="124"/>
        <v>0</v>
      </c>
      <c r="IV72" s="7">
        <f t="shared" si="157"/>
        <v>0</v>
      </c>
      <c r="IW72" s="7">
        <f t="shared" si="158"/>
        <v>0</v>
      </c>
      <c r="IX72" s="7">
        <f t="shared" si="125"/>
        <v>0</v>
      </c>
      <c r="IY72" s="7">
        <f t="shared" si="126"/>
        <v>0</v>
      </c>
      <c r="IZ72" s="7">
        <f t="shared" si="127"/>
        <v>572174</v>
      </c>
      <c r="JA72" s="7">
        <f t="shared" si="128"/>
        <v>0</v>
      </c>
      <c r="JB72" s="7">
        <f t="shared" si="159"/>
        <v>1639574</v>
      </c>
      <c r="JC72" s="7">
        <f t="shared" si="160"/>
        <v>0</v>
      </c>
      <c r="JD72" s="7">
        <f t="shared" si="129"/>
        <v>1401736</v>
      </c>
      <c r="JE72" s="7">
        <f t="shared" si="130"/>
        <v>0</v>
      </c>
      <c r="JF72" s="7">
        <f t="shared" si="131"/>
        <v>307644</v>
      </c>
      <c r="JG72" s="7">
        <f t="shared" si="132"/>
        <v>0</v>
      </c>
      <c r="JH72" s="7">
        <f t="shared" si="133"/>
        <v>59006</v>
      </c>
      <c r="JI72" s="7">
        <f t="shared" si="134"/>
        <v>0</v>
      </c>
      <c r="JJ72" s="7">
        <f t="shared" si="135"/>
        <v>5550</v>
      </c>
      <c r="JK72" s="7">
        <f t="shared" si="136"/>
        <v>0</v>
      </c>
      <c r="JL72" s="7">
        <f t="shared" si="137"/>
        <v>766940</v>
      </c>
      <c r="JM72" s="7">
        <f t="shared" si="138"/>
        <v>0</v>
      </c>
      <c r="JN72" s="7">
        <f t="shared" si="139"/>
        <v>256012</v>
      </c>
      <c r="JO72" s="7">
        <f t="shared" si="140"/>
        <v>0</v>
      </c>
      <c r="JP72" s="7">
        <f t="shared" si="141"/>
        <v>0</v>
      </c>
      <c r="JQ72" s="7">
        <f t="shared" si="142"/>
        <v>0</v>
      </c>
      <c r="JR72" s="7">
        <f>SUM(FU72:FY72)</f>
        <v>366502</v>
      </c>
      <c r="JS72" s="7">
        <f>FZ72-JR72</f>
        <v>0</v>
      </c>
      <c r="JT72" s="7">
        <f t="shared" si="145"/>
        <v>135939</v>
      </c>
      <c r="JU72" s="7">
        <f t="shared" si="146"/>
        <v>0</v>
      </c>
      <c r="JV72" s="7">
        <f t="shared" si="147"/>
        <v>1353058</v>
      </c>
      <c r="JW72" s="7">
        <f t="shared" si="148"/>
        <v>0</v>
      </c>
      <c r="JX72" s="7">
        <f t="shared" si="149"/>
        <v>19830068</v>
      </c>
      <c r="JY72" s="7">
        <f t="shared" si="150"/>
        <v>0</v>
      </c>
      <c r="JZ72" s="7">
        <f t="shared" si="151"/>
        <v>0</v>
      </c>
      <c r="KA72" s="7">
        <f t="shared" si="152"/>
        <v>0</v>
      </c>
      <c r="KB72" s="7">
        <f t="shared" si="153"/>
        <v>19830068</v>
      </c>
      <c r="KC72" s="7">
        <f t="shared" si="154"/>
        <v>0</v>
      </c>
      <c r="KE72" s="7" t="e">
        <f t="shared" si="107"/>
        <v>#REF!</v>
      </c>
      <c r="KG72" s="5" t="e">
        <f t="shared" si="108"/>
        <v>#REF!</v>
      </c>
    </row>
    <row r="73" spans="1:304" x14ac:dyDescent="0.15">
      <c r="A73" s="119" t="s">
        <v>284</v>
      </c>
      <c r="B73" s="17" t="s">
        <v>341</v>
      </c>
      <c r="C73" s="41">
        <v>137351</v>
      </c>
      <c r="D73" s="38">
        <v>2013</v>
      </c>
      <c r="E73" s="38">
        <v>1</v>
      </c>
      <c r="F73" s="38">
        <v>6</v>
      </c>
      <c r="G73" s="39">
        <v>10208</v>
      </c>
      <c r="H73" s="39">
        <v>13325</v>
      </c>
      <c r="I73" s="40">
        <v>1091536716</v>
      </c>
      <c r="J73" s="40"/>
      <c r="K73" s="40">
        <v>26192311</v>
      </c>
      <c r="L73" s="40"/>
      <c r="M73" s="40">
        <v>352795721</v>
      </c>
      <c r="N73" s="40"/>
      <c r="O73" s="40">
        <v>306843871</v>
      </c>
      <c r="P73" s="40"/>
      <c r="Q73" s="40">
        <v>4618288831</v>
      </c>
      <c r="R73" s="40"/>
      <c r="S73" s="40">
        <v>855366878</v>
      </c>
      <c r="T73" s="40"/>
      <c r="U73" s="40">
        <v>16290</v>
      </c>
      <c r="V73" s="40"/>
      <c r="W73" s="40">
        <v>26220</v>
      </c>
      <c r="X73" s="40"/>
      <c r="Y73" s="40">
        <v>20390</v>
      </c>
      <c r="Z73" s="40"/>
      <c r="AA73" s="40">
        <v>30320</v>
      </c>
      <c r="AB73" s="40"/>
      <c r="AC73" s="59">
        <v>9</v>
      </c>
      <c r="AD73" s="59">
        <v>10</v>
      </c>
      <c r="AE73" s="59">
        <v>0</v>
      </c>
      <c r="AF73" s="57">
        <v>3099540</v>
      </c>
      <c r="AG73" s="57">
        <v>2079419</v>
      </c>
      <c r="AH73" s="57">
        <v>479932</v>
      </c>
      <c r="AI73" s="57">
        <v>289036</v>
      </c>
      <c r="AJ73" s="57">
        <v>573975</v>
      </c>
      <c r="AK73" s="58">
        <v>6.5</v>
      </c>
      <c r="AL73" s="57">
        <v>532977</v>
      </c>
      <c r="AM73" s="58">
        <v>7</v>
      </c>
      <c r="AN73" s="57">
        <v>126815</v>
      </c>
      <c r="AO73" s="58">
        <v>7.5</v>
      </c>
      <c r="AP73" s="57">
        <v>118889</v>
      </c>
      <c r="AQ73" s="58">
        <v>8</v>
      </c>
      <c r="AR73" s="57">
        <v>149162.88</v>
      </c>
      <c r="AS73" s="58">
        <v>19.61</v>
      </c>
      <c r="AT73" s="57">
        <v>146254.21</v>
      </c>
      <c r="AU73" s="58">
        <v>20</v>
      </c>
      <c r="AV73" s="57">
        <v>58490.239999999998</v>
      </c>
      <c r="AW73" s="58">
        <v>13.01</v>
      </c>
      <c r="AX73" s="57">
        <v>54354.141000000003</v>
      </c>
      <c r="AY73" s="58">
        <v>14.1</v>
      </c>
      <c r="AZ73" s="79">
        <v>5435288</v>
      </c>
      <c r="BA73" s="101">
        <v>1175000</v>
      </c>
      <c r="BB73" s="101">
        <v>1818013</v>
      </c>
      <c r="BC73" s="79">
        <v>321656</v>
      </c>
      <c r="BD73" s="79">
        <v>2272415</v>
      </c>
      <c r="BE73" s="79">
        <v>0</v>
      </c>
      <c r="BF73" s="79">
        <v>0</v>
      </c>
      <c r="BG73" s="101">
        <v>0</v>
      </c>
      <c r="BH73" s="101">
        <v>0</v>
      </c>
      <c r="BI73" s="101">
        <v>0</v>
      </c>
      <c r="BJ73" s="101">
        <v>0</v>
      </c>
      <c r="BK73" s="101">
        <v>187964</v>
      </c>
      <c r="BL73" s="79">
        <v>15806</v>
      </c>
      <c r="BM73" s="101">
        <v>0</v>
      </c>
      <c r="BN73" s="101">
        <v>25143</v>
      </c>
      <c r="BO73" s="101">
        <v>11574</v>
      </c>
      <c r="BP73" s="101">
        <v>240487</v>
      </c>
      <c r="BQ73" s="101">
        <v>5538</v>
      </c>
      <c r="BR73" s="101">
        <v>0</v>
      </c>
      <c r="BS73" s="101">
        <v>0</v>
      </c>
      <c r="BT73" s="101">
        <v>72117</v>
      </c>
      <c r="BU73" s="85">
        <v>70828</v>
      </c>
      <c r="BV73" s="101">
        <v>148483</v>
      </c>
      <c r="BW73" s="101">
        <v>16274803</v>
      </c>
      <c r="BX73" s="101">
        <v>4349469</v>
      </c>
      <c r="BY73" s="101">
        <v>625268</v>
      </c>
      <c r="BZ73" s="101">
        <v>1033844</v>
      </c>
      <c r="CA73" s="101">
        <v>24932875</v>
      </c>
      <c r="CB73" s="101">
        <v>47216259</v>
      </c>
      <c r="CC73" s="101">
        <v>1726152</v>
      </c>
      <c r="CD73" s="101">
        <v>341022</v>
      </c>
      <c r="CE73" s="101">
        <v>408595</v>
      </c>
      <c r="CF73" s="101">
        <v>2703190</v>
      </c>
      <c r="CG73" s="101">
        <v>176639</v>
      </c>
      <c r="CH73" s="101">
        <v>5355598</v>
      </c>
      <c r="CI73" s="101">
        <v>1335000</v>
      </c>
      <c r="CJ73" s="101">
        <v>328000</v>
      </c>
      <c r="CK73" s="101">
        <v>100780</v>
      </c>
      <c r="CL73" s="101">
        <v>48417</v>
      </c>
      <c r="CM73" s="101">
        <v>0</v>
      </c>
      <c r="CN73" s="101">
        <v>1812197</v>
      </c>
      <c r="CO73" s="101">
        <v>4042963</v>
      </c>
      <c r="CP73" s="101">
        <v>1638101</v>
      </c>
      <c r="CQ73" s="101">
        <v>577266</v>
      </c>
      <c r="CR73" s="101">
        <v>2109670</v>
      </c>
      <c r="CS73" s="101">
        <v>0</v>
      </c>
      <c r="CT73" s="101">
        <v>8368000</v>
      </c>
      <c r="CU73" s="101">
        <v>16200</v>
      </c>
      <c r="CV73" s="79">
        <v>15000</v>
      </c>
      <c r="CW73" s="101">
        <v>4200</v>
      </c>
      <c r="CX73" s="101">
        <v>28950</v>
      </c>
      <c r="CY73" s="101">
        <v>0</v>
      </c>
      <c r="CZ73" s="101">
        <v>64350</v>
      </c>
      <c r="DA73" s="101">
        <v>565065</v>
      </c>
      <c r="DB73" s="79">
        <v>197001</v>
      </c>
      <c r="DC73" s="85">
        <v>120154</v>
      </c>
      <c r="DD73" s="85">
        <v>28365</v>
      </c>
      <c r="DE73" s="85">
        <v>6508428</v>
      </c>
      <c r="DF73" s="85">
        <v>7419013</v>
      </c>
      <c r="DG73" s="85">
        <v>16200</v>
      </c>
      <c r="DH73" s="79">
        <v>0</v>
      </c>
      <c r="DI73" s="85">
        <v>0</v>
      </c>
      <c r="DJ73" s="85">
        <v>0</v>
      </c>
      <c r="DK73" s="85">
        <v>15000</v>
      </c>
      <c r="DL73" s="85">
        <v>31200</v>
      </c>
      <c r="DM73" s="85">
        <v>1037813</v>
      </c>
      <c r="DN73" s="79">
        <v>63817</v>
      </c>
      <c r="DO73" s="85">
        <v>0</v>
      </c>
      <c r="DP73" s="85">
        <v>0</v>
      </c>
      <c r="DQ73" s="85">
        <v>0</v>
      </c>
      <c r="DR73" s="85">
        <v>1101630</v>
      </c>
      <c r="DS73" s="85">
        <v>227615</v>
      </c>
      <c r="DT73" s="79">
        <v>142258</v>
      </c>
      <c r="DU73" s="101">
        <v>145454</v>
      </c>
      <c r="DV73" s="101">
        <v>253641</v>
      </c>
      <c r="DW73" s="101">
        <v>45000</v>
      </c>
      <c r="DX73" s="101">
        <v>813968</v>
      </c>
      <c r="DY73" s="101">
        <v>1823158</v>
      </c>
      <c r="DZ73" s="79">
        <v>572779</v>
      </c>
      <c r="EA73" s="101">
        <v>426366</v>
      </c>
      <c r="EB73" s="101">
        <v>1820302</v>
      </c>
      <c r="EC73" s="101">
        <v>0</v>
      </c>
      <c r="ED73" s="101">
        <v>4642605</v>
      </c>
      <c r="EE73" s="101">
        <v>568525</v>
      </c>
      <c r="EF73" s="79">
        <v>142713</v>
      </c>
      <c r="EG73" s="101">
        <v>86504</v>
      </c>
      <c r="EH73" s="101">
        <v>488198</v>
      </c>
      <c r="EI73" s="101">
        <v>27967</v>
      </c>
      <c r="EJ73" s="101">
        <v>1313907</v>
      </c>
      <c r="EK73" s="101">
        <v>741183</v>
      </c>
      <c r="EL73" s="79">
        <v>488465</v>
      </c>
      <c r="EM73" s="85">
        <v>235913</v>
      </c>
      <c r="EN73" s="85">
        <v>269313</v>
      </c>
      <c r="EO73" s="85">
        <v>101509</v>
      </c>
      <c r="EP73" s="85">
        <v>1836383</v>
      </c>
      <c r="EQ73" s="85">
        <v>0</v>
      </c>
      <c r="ER73" s="79">
        <v>0</v>
      </c>
      <c r="ES73" s="101">
        <v>0</v>
      </c>
      <c r="ET73" s="101">
        <v>0</v>
      </c>
      <c r="EU73" s="101">
        <v>1289450</v>
      </c>
      <c r="EV73" s="101">
        <v>1289450</v>
      </c>
      <c r="EW73" s="101">
        <v>0</v>
      </c>
      <c r="EX73" s="79">
        <v>0</v>
      </c>
      <c r="EY73" s="79">
        <v>0</v>
      </c>
      <c r="EZ73" s="79">
        <v>0</v>
      </c>
      <c r="FA73" s="79">
        <v>0</v>
      </c>
      <c r="FB73" s="79">
        <v>0</v>
      </c>
      <c r="FC73" s="79">
        <v>877372</v>
      </c>
      <c r="FD73" s="79">
        <v>108000</v>
      </c>
      <c r="FE73" s="101">
        <v>96000</v>
      </c>
      <c r="FF73" s="101">
        <v>63925</v>
      </c>
      <c r="FG73" s="101">
        <v>5148613</v>
      </c>
      <c r="FH73" s="101">
        <v>6293910</v>
      </c>
      <c r="FI73" s="101">
        <v>0</v>
      </c>
      <c r="FJ73" s="79">
        <v>0</v>
      </c>
      <c r="FK73" s="85">
        <v>0</v>
      </c>
      <c r="FL73" s="85">
        <v>0</v>
      </c>
      <c r="FM73" s="85">
        <v>268400</v>
      </c>
      <c r="FN73" s="85">
        <v>268400</v>
      </c>
      <c r="FO73" s="85">
        <v>0</v>
      </c>
      <c r="FP73" s="79">
        <v>0</v>
      </c>
      <c r="FQ73" s="79">
        <v>0</v>
      </c>
      <c r="FR73" s="79">
        <v>0</v>
      </c>
      <c r="FS73" s="79">
        <v>0</v>
      </c>
      <c r="FT73" s="79">
        <v>0</v>
      </c>
      <c r="FU73" s="79">
        <v>0</v>
      </c>
      <c r="FV73" s="79">
        <v>0</v>
      </c>
      <c r="FW73" s="79">
        <v>0</v>
      </c>
      <c r="FX73" s="79">
        <v>0</v>
      </c>
      <c r="FY73" s="79">
        <v>1031041</v>
      </c>
      <c r="FZ73" s="79">
        <v>1031041</v>
      </c>
      <c r="GA73" s="79">
        <v>4163</v>
      </c>
      <c r="GB73" s="79">
        <v>4823</v>
      </c>
      <c r="GC73" s="79">
        <v>1414</v>
      </c>
      <c r="GD73" s="79">
        <v>17923</v>
      </c>
      <c r="GE73" s="79">
        <v>25950</v>
      </c>
      <c r="GF73" s="79">
        <v>54273</v>
      </c>
      <c r="GG73" s="79">
        <v>319275</v>
      </c>
      <c r="GH73" s="79">
        <v>372072</v>
      </c>
      <c r="GI73" s="79">
        <v>107477</v>
      </c>
      <c r="GJ73" s="79">
        <v>307935</v>
      </c>
      <c r="GK73" s="79">
        <v>1814851</v>
      </c>
      <c r="GL73" s="79">
        <v>2921610</v>
      </c>
      <c r="GM73" s="79">
        <v>13300684</v>
      </c>
      <c r="GN73" s="79">
        <v>4414051</v>
      </c>
      <c r="GO73" s="79">
        <v>2310123</v>
      </c>
      <c r="GP73" s="79">
        <v>8139829</v>
      </c>
      <c r="GQ73" s="79">
        <v>16452848</v>
      </c>
      <c r="GR73" s="79">
        <v>44617535</v>
      </c>
      <c r="GS73" s="79">
        <v>0</v>
      </c>
      <c r="GT73" s="79">
        <v>0</v>
      </c>
      <c r="GU73" s="79">
        <v>0</v>
      </c>
      <c r="GV73" s="79">
        <v>0</v>
      </c>
      <c r="GW73" s="79">
        <v>0</v>
      </c>
      <c r="GX73" s="79">
        <v>0</v>
      </c>
      <c r="GY73" s="79">
        <v>13300684</v>
      </c>
      <c r="GZ73" s="79">
        <v>4414051</v>
      </c>
      <c r="HA73" s="79">
        <v>2310123</v>
      </c>
      <c r="HB73" s="79">
        <v>8139829</v>
      </c>
      <c r="HC73" s="79">
        <v>16452848</v>
      </c>
      <c r="HD73" s="79">
        <v>44617535</v>
      </c>
      <c r="HF73" s="7">
        <f>SUM(AZ73:AZ73)</f>
        <v>5435288</v>
      </c>
      <c r="HG73" s="7" t="e">
        <f>#REF!-HF73</f>
        <v>#REF!</v>
      </c>
      <c r="HH73" s="7" t="e">
        <f>SUM(#REF!)</f>
        <v>#REF!</v>
      </c>
      <c r="HI73" s="7" t="e">
        <f>#REF!-HH73</f>
        <v>#REF!</v>
      </c>
      <c r="HJ73" s="7">
        <f>SUM(BA73:BA73)</f>
        <v>1175000</v>
      </c>
      <c r="HK73" s="7" t="e">
        <f>#REF!-HJ73</f>
        <v>#REF!</v>
      </c>
      <c r="HL73" s="7">
        <f>SUM(BB73:BB73)</f>
        <v>1818013</v>
      </c>
      <c r="HM73" s="7" t="e">
        <f>#REF!-HL73</f>
        <v>#REF!</v>
      </c>
      <c r="HN73" s="7" t="e">
        <f>SUM(#REF!)</f>
        <v>#REF!</v>
      </c>
      <c r="HO73" s="7" t="e">
        <f>#REF!-HN73</f>
        <v>#REF!</v>
      </c>
      <c r="HP73" s="7" t="e">
        <f>SUM(#REF!)</f>
        <v>#REF!</v>
      </c>
      <c r="HQ73" s="7" t="e">
        <f>#REF!-HP73</f>
        <v>#REF!</v>
      </c>
      <c r="HR73" s="7" t="e">
        <f>SUM(#REF!)</f>
        <v>#REF!</v>
      </c>
      <c r="HS73" s="7" t="e">
        <f>#REF!-HR73</f>
        <v>#REF!</v>
      </c>
      <c r="HT73" s="7" t="e">
        <f>SUM(#REF!)</f>
        <v>#REF!</v>
      </c>
      <c r="HU73" s="7" t="e">
        <f>#REF!-HT73</f>
        <v>#REF!</v>
      </c>
      <c r="HV73" s="7" t="e">
        <f>SUM(#REF!)</f>
        <v>#REF!</v>
      </c>
      <c r="HW73" s="7" t="e">
        <f>#REF!-HV73</f>
        <v>#REF!</v>
      </c>
      <c r="HX73" s="7" t="e">
        <f>SUM(#REF!)</f>
        <v>#REF!</v>
      </c>
      <c r="HY73" s="7" t="e">
        <f>#REF!-HX73</f>
        <v>#REF!</v>
      </c>
      <c r="HZ73" s="7">
        <f>SUM(BC73:BC73)</f>
        <v>321656</v>
      </c>
      <c r="IA73" s="7" t="e">
        <f>#REF!-HZ73</f>
        <v>#REF!</v>
      </c>
      <c r="IB73" s="7">
        <f>SUM(BD73:BD73)</f>
        <v>2272415</v>
      </c>
      <c r="IC73" s="7" t="e">
        <f>#REF!-IB73</f>
        <v>#REF!</v>
      </c>
      <c r="ID73" s="7">
        <f t="shared" si="109"/>
        <v>0</v>
      </c>
      <c r="IE73" s="7">
        <f t="shared" si="110"/>
        <v>0</v>
      </c>
      <c r="IF73" s="7">
        <f t="shared" si="111"/>
        <v>240487</v>
      </c>
      <c r="IG73" s="7">
        <f t="shared" si="112"/>
        <v>0</v>
      </c>
      <c r="IH73" s="7">
        <f t="shared" si="113"/>
        <v>148483</v>
      </c>
      <c r="II73" s="7">
        <f t="shared" si="155"/>
        <v>0</v>
      </c>
      <c r="IJ73" s="7">
        <f t="shared" si="156"/>
        <v>47216259</v>
      </c>
      <c r="IK73" s="7">
        <f t="shared" si="114"/>
        <v>0</v>
      </c>
      <c r="IL73" s="7">
        <f t="shared" si="115"/>
        <v>5355598</v>
      </c>
      <c r="IM73" s="7">
        <f t="shared" si="116"/>
        <v>0</v>
      </c>
      <c r="IN73" s="7">
        <f t="shared" si="117"/>
        <v>1812197</v>
      </c>
      <c r="IO73" s="7">
        <f t="shared" si="118"/>
        <v>0</v>
      </c>
      <c r="IP73" s="7">
        <f t="shared" si="119"/>
        <v>8368000</v>
      </c>
      <c r="IQ73" s="7">
        <f t="shared" si="120"/>
        <v>0</v>
      </c>
      <c r="IR73" s="7">
        <f t="shared" si="121"/>
        <v>64350</v>
      </c>
      <c r="IS73" s="7">
        <f t="shared" si="122"/>
        <v>0</v>
      </c>
      <c r="IT73" s="7">
        <f t="shared" si="123"/>
        <v>7419013</v>
      </c>
      <c r="IU73" s="7">
        <f t="shared" si="124"/>
        <v>0</v>
      </c>
      <c r="IV73" s="7">
        <f t="shared" si="157"/>
        <v>31200</v>
      </c>
      <c r="IW73" s="7">
        <f t="shared" si="158"/>
        <v>0</v>
      </c>
      <c r="IX73" s="7">
        <f t="shared" si="125"/>
        <v>1101630</v>
      </c>
      <c r="IY73" s="7">
        <f t="shared" si="126"/>
        <v>0</v>
      </c>
      <c r="IZ73" s="7">
        <f t="shared" si="127"/>
        <v>813968</v>
      </c>
      <c r="JA73" s="7">
        <f t="shared" si="128"/>
        <v>0</v>
      </c>
      <c r="JB73" s="7">
        <f t="shared" si="159"/>
        <v>4642605</v>
      </c>
      <c r="JC73" s="7">
        <f t="shared" si="160"/>
        <v>0</v>
      </c>
      <c r="JD73" s="7">
        <f t="shared" si="129"/>
        <v>1313907</v>
      </c>
      <c r="JE73" s="7">
        <f t="shared" si="130"/>
        <v>0</v>
      </c>
      <c r="JF73" s="7">
        <f t="shared" si="131"/>
        <v>1836383</v>
      </c>
      <c r="JG73" s="7">
        <f t="shared" si="132"/>
        <v>0</v>
      </c>
      <c r="JH73" s="7">
        <f t="shared" si="133"/>
        <v>1289450</v>
      </c>
      <c r="JI73" s="7">
        <f t="shared" si="134"/>
        <v>0</v>
      </c>
      <c r="JJ73" s="7">
        <f t="shared" si="135"/>
        <v>0</v>
      </c>
      <c r="JK73" s="7">
        <f t="shared" si="136"/>
        <v>0</v>
      </c>
      <c r="JL73" s="7">
        <f t="shared" si="137"/>
        <v>6293910</v>
      </c>
      <c r="JM73" s="7">
        <f t="shared" si="138"/>
        <v>0</v>
      </c>
      <c r="JN73" s="7">
        <f t="shared" si="139"/>
        <v>268400</v>
      </c>
      <c r="JO73" s="7">
        <f t="shared" si="140"/>
        <v>0</v>
      </c>
      <c r="JP73" s="7">
        <f t="shared" si="141"/>
        <v>0</v>
      </c>
      <c r="JQ73" s="7">
        <f t="shared" si="142"/>
        <v>0</v>
      </c>
      <c r="JR73" s="7">
        <f t="shared" si="143"/>
        <v>1031041</v>
      </c>
      <c r="JS73" s="7">
        <f t="shared" si="144"/>
        <v>0</v>
      </c>
      <c r="JT73" s="7">
        <f t="shared" si="145"/>
        <v>54273</v>
      </c>
      <c r="JU73" s="7">
        <f t="shared" si="146"/>
        <v>0</v>
      </c>
      <c r="JV73" s="7">
        <f t="shared" si="147"/>
        <v>2921610</v>
      </c>
      <c r="JW73" s="7">
        <f t="shared" si="148"/>
        <v>0</v>
      </c>
      <c r="JX73" s="7">
        <f t="shared" si="149"/>
        <v>44617535</v>
      </c>
      <c r="JY73" s="7">
        <f t="shared" si="150"/>
        <v>0</v>
      </c>
      <c r="JZ73" s="7">
        <f t="shared" si="151"/>
        <v>0</v>
      </c>
      <c r="KA73" s="7">
        <f t="shared" si="152"/>
        <v>0</v>
      </c>
      <c r="KB73" s="7">
        <f t="shared" si="153"/>
        <v>44617535</v>
      </c>
      <c r="KC73" s="7">
        <f t="shared" si="154"/>
        <v>0</v>
      </c>
      <c r="KE73" s="7" t="e">
        <f t="shared" si="107"/>
        <v>#REF!</v>
      </c>
      <c r="KG73" s="5" t="e">
        <f t="shared" si="108"/>
        <v>#REF!</v>
      </c>
    </row>
    <row r="74" spans="1:304" x14ac:dyDescent="0.15">
      <c r="A74" s="119" t="s">
        <v>283</v>
      </c>
      <c r="B74" s="17" t="s">
        <v>341</v>
      </c>
      <c r="C74" s="41">
        <v>176372</v>
      </c>
      <c r="D74" s="38">
        <v>2013</v>
      </c>
      <c r="E74" s="38">
        <v>1</v>
      </c>
      <c r="F74" s="38">
        <v>8</v>
      </c>
      <c r="G74" s="39">
        <v>4243</v>
      </c>
      <c r="H74" s="39">
        <v>7132</v>
      </c>
      <c r="I74" s="40">
        <v>305717107</v>
      </c>
      <c r="J74" s="40"/>
      <c r="K74" s="40">
        <v>2099774</v>
      </c>
      <c r="L74" s="40"/>
      <c r="M74" s="40">
        <v>11127144</v>
      </c>
      <c r="N74" s="40"/>
      <c r="O74" s="40">
        <v>27763130</v>
      </c>
      <c r="P74" s="40"/>
      <c r="Q74" s="40">
        <v>188982442</v>
      </c>
      <c r="R74" s="40"/>
      <c r="S74" s="40">
        <v>195167841</v>
      </c>
      <c r="T74" s="40"/>
      <c r="U74" s="40">
        <v>14570</v>
      </c>
      <c r="V74" s="40"/>
      <c r="W74" s="40">
        <v>22850</v>
      </c>
      <c r="X74" s="40"/>
      <c r="Y74" s="40">
        <v>19016</v>
      </c>
      <c r="Z74" s="40"/>
      <c r="AA74" s="40">
        <v>27296</v>
      </c>
      <c r="AB74" s="40"/>
      <c r="AC74" s="59">
        <v>7</v>
      </c>
      <c r="AD74" s="59">
        <v>9</v>
      </c>
      <c r="AE74" s="59">
        <v>0</v>
      </c>
      <c r="AF74" s="57">
        <v>2856040</v>
      </c>
      <c r="AG74" s="57">
        <v>1697921</v>
      </c>
      <c r="AH74" s="57">
        <v>283874</v>
      </c>
      <c r="AI74" s="57">
        <v>137787</v>
      </c>
      <c r="AJ74" s="57">
        <v>306333.64</v>
      </c>
      <c r="AK74" s="58">
        <v>5.5</v>
      </c>
      <c r="AL74" s="57">
        <v>280805.83</v>
      </c>
      <c r="AM74" s="58">
        <v>5.5</v>
      </c>
      <c r="AN74" s="57">
        <v>82312.149999999994</v>
      </c>
      <c r="AO74" s="58">
        <v>6.5</v>
      </c>
      <c r="AP74" s="57">
        <v>76432.710000000006</v>
      </c>
      <c r="AQ74" s="58">
        <v>7</v>
      </c>
      <c r="AR74" s="57">
        <v>127712.73</v>
      </c>
      <c r="AS74" s="58">
        <v>16.5</v>
      </c>
      <c r="AT74" s="57">
        <v>117070</v>
      </c>
      <c r="AU74" s="58">
        <v>18</v>
      </c>
      <c r="AV74" s="57">
        <v>54823.47</v>
      </c>
      <c r="AW74" s="58">
        <v>7.5</v>
      </c>
      <c r="AX74" s="57">
        <v>45686.22</v>
      </c>
      <c r="AY74" s="58">
        <v>9</v>
      </c>
      <c r="AZ74" s="79">
        <v>2138093</v>
      </c>
      <c r="BA74" s="86">
        <v>470465</v>
      </c>
      <c r="BB74" s="85">
        <v>1059784</v>
      </c>
      <c r="BC74" s="85">
        <v>188493</v>
      </c>
      <c r="BD74" s="85">
        <v>0</v>
      </c>
      <c r="BE74" s="85">
        <v>10409</v>
      </c>
      <c r="BF74" s="79">
        <v>8751</v>
      </c>
      <c r="BG74" s="79">
        <v>31909</v>
      </c>
      <c r="BH74" s="79">
        <v>137638</v>
      </c>
      <c r="BI74" s="79">
        <v>19277</v>
      </c>
      <c r="BJ74" s="79">
        <v>207984</v>
      </c>
      <c r="BK74" s="79">
        <v>0</v>
      </c>
      <c r="BL74" s="85">
        <v>0</v>
      </c>
      <c r="BM74" s="85">
        <v>0</v>
      </c>
      <c r="BN74" s="85">
        <v>0</v>
      </c>
      <c r="BO74" s="85">
        <v>63920</v>
      </c>
      <c r="BP74" s="85">
        <v>63920</v>
      </c>
      <c r="BQ74" s="85">
        <v>0</v>
      </c>
      <c r="BR74" s="85">
        <v>0</v>
      </c>
      <c r="BS74" s="85">
        <v>0</v>
      </c>
      <c r="BT74" s="85">
        <v>0</v>
      </c>
      <c r="BU74" s="85">
        <v>196566</v>
      </c>
      <c r="BV74" s="85">
        <v>196566</v>
      </c>
      <c r="BW74" s="85">
        <v>4900613</v>
      </c>
      <c r="BX74" s="85">
        <v>1237416</v>
      </c>
      <c r="BY74" s="85">
        <v>61008</v>
      </c>
      <c r="BZ74" s="85">
        <v>589471</v>
      </c>
      <c r="CA74" s="85">
        <v>15987908</v>
      </c>
      <c r="CB74" s="85">
        <v>22776416</v>
      </c>
      <c r="CC74" s="85">
        <v>1904027</v>
      </c>
      <c r="CD74" s="85">
        <v>338603</v>
      </c>
      <c r="CE74" s="85">
        <v>318974</v>
      </c>
      <c r="CF74" s="85">
        <v>1992357</v>
      </c>
      <c r="CG74" s="85">
        <v>353325</v>
      </c>
      <c r="CH74" s="85">
        <v>4907286</v>
      </c>
      <c r="CI74" s="85">
        <v>730006</v>
      </c>
      <c r="CJ74" s="85">
        <v>95500</v>
      </c>
      <c r="CK74" s="85">
        <v>19643</v>
      </c>
      <c r="CL74" s="85">
        <v>40693</v>
      </c>
      <c r="CM74" s="85">
        <v>0</v>
      </c>
      <c r="CN74" s="85">
        <v>885842</v>
      </c>
      <c r="CO74" s="85">
        <v>2321220</v>
      </c>
      <c r="CP74" s="85">
        <v>798532</v>
      </c>
      <c r="CQ74" s="85">
        <v>330175</v>
      </c>
      <c r="CR74" s="85">
        <v>1288373</v>
      </c>
      <c r="CS74" s="85">
        <v>0</v>
      </c>
      <c r="CT74" s="85">
        <v>4738300</v>
      </c>
      <c r="CU74" s="85">
        <v>0</v>
      </c>
      <c r="CV74" s="79">
        <v>0</v>
      </c>
      <c r="CW74" s="79">
        <v>0</v>
      </c>
      <c r="CX74" s="79">
        <v>0</v>
      </c>
      <c r="CY74" s="79">
        <v>0</v>
      </c>
      <c r="CZ74" s="79">
        <v>0</v>
      </c>
      <c r="DA74" s="79">
        <v>247083</v>
      </c>
      <c r="DB74" s="85">
        <v>105555</v>
      </c>
      <c r="DC74" s="85">
        <v>78347</v>
      </c>
      <c r="DD74" s="85">
        <v>30239</v>
      </c>
      <c r="DE74" s="85">
        <v>2357059</v>
      </c>
      <c r="DF74" s="85">
        <v>2818283</v>
      </c>
      <c r="DG74" s="85">
        <v>0</v>
      </c>
      <c r="DH74" s="79">
        <v>0</v>
      </c>
      <c r="DI74" s="79">
        <v>0</v>
      </c>
      <c r="DJ74" s="79">
        <v>0</v>
      </c>
      <c r="DK74" s="79">
        <v>0</v>
      </c>
      <c r="DL74" s="79">
        <v>0</v>
      </c>
      <c r="DM74" s="79">
        <v>695993</v>
      </c>
      <c r="DN74" s="85">
        <v>0</v>
      </c>
      <c r="DO74" s="85">
        <v>0</v>
      </c>
      <c r="DP74" s="85">
        <v>0</v>
      </c>
      <c r="DQ74" s="85">
        <v>0</v>
      </c>
      <c r="DR74" s="85">
        <v>695993</v>
      </c>
      <c r="DS74" s="85">
        <v>164436</v>
      </c>
      <c r="DT74" s="85">
        <v>78051</v>
      </c>
      <c r="DU74" s="85">
        <v>66999</v>
      </c>
      <c r="DV74" s="85">
        <v>112175</v>
      </c>
      <c r="DW74" s="85">
        <v>0</v>
      </c>
      <c r="DX74" s="85">
        <v>421661</v>
      </c>
      <c r="DY74" s="85">
        <v>807656</v>
      </c>
      <c r="DZ74" s="85">
        <v>349215</v>
      </c>
      <c r="EA74" s="85">
        <v>167754</v>
      </c>
      <c r="EB74" s="85">
        <v>661994</v>
      </c>
      <c r="EC74" s="85">
        <v>0</v>
      </c>
      <c r="ED74" s="85">
        <v>1986619</v>
      </c>
      <c r="EE74" s="85">
        <v>250428</v>
      </c>
      <c r="EF74" s="85">
        <v>39349</v>
      </c>
      <c r="EG74" s="85">
        <v>23538</v>
      </c>
      <c r="EH74" s="85">
        <v>181752</v>
      </c>
      <c r="EI74" s="85">
        <v>0</v>
      </c>
      <c r="EJ74" s="85">
        <v>495067</v>
      </c>
      <c r="EK74" s="85">
        <v>418903</v>
      </c>
      <c r="EL74" s="85">
        <v>155641</v>
      </c>
      <c r="EM74" s="85">
        <v>84972</v>
      </c>
      <c r="EN74" s="85">
        <v>136784</v>
      </c>
      <c r="EO74" s="85">
        <v>0</v>
      </c>
      <c r="EP74" s="85">
        <v>796300</v>
      </c>
      <c r="EQ74" s="85">
        <v>0</v>
      </c>
      <c r="ER74" s="85">
        <v>0</v>
      </c>
      <c r="ES74" s="85">
        <v>0</v>
      </c>
      <c r="ET74" s="85">
        <v>0</v>
      </c>
      <c r="EU74" s="85">
        <v>205472</v>
      </c>
      <c r="EV74" s="85">
        <v>205472</v>
      </c>
      <c r="EW74" s="85">
        <v>4283</v>
      </c>
      <c r="EX74" s="79">
        <v>1698</v>
      </c>
      <c r="EY74" s="79">
        <v>11960</v>
      </c>
      <c r="EZ74" s="79">
        <v>55999</v>
      </c>
      <c r="FA74" s="79">
        <v>1893</v>
      </c>
      <c r="FB74" s="79">
        <v>75833</v>
      </c>
      <c r="FC74" s="79">
        <v>1602</v>
      </c>
      <c r="FD74" s="85">
        <v>537</v>
      </c>
      <c r="FE74" s="85">
        <v>279</v>
      </c>
      <c r="FF74" s="85">
        <v>2831</v>
      </c>
      <c r="FG74" s="86">
        <v>2283955</v>
      </c>
      <c r="FH74" s="85">
        <v>2289204</v>
      </c>
      <c r="FI74" s="85">
        <v>45086</v>
      </c>
      <c r="FJ74" s="85">
        <v>0</v>
      </c>
      <c r="FK74" s="85">
        <v>0</v>
      </c>
      <c r="FL74" s="85">
        <v>0</v>
      </c>
      <c r="FM74" s="85">
        <v>0</v>
      </c>
      <c r="FN74" s="85">
        <v>45086</v>
      </c>
      <c r="FO74" s="85">
        <v>0</v>
      </c>
      <c r="FP74" s="79">
        <v>0</v>
      </c>
      <c r="FQ74" s="79">
        <v>0</v>
      </c>
      <c r="FR74" s="79">
        <v>0</v>
      </c>
      <c r="FS74" s="79">
        <v>450000</v>
      </c>
      <c r="FT74" s="79">
        <v>450000</v>
      </c>
      <c r="FU74" s="79">
        <v>0</v>
      </c>
      <c r="FV74" s="85">
        <v>0</v>
      </c>
      <c r="FW74" s="85">
        <v>0</v>
      </c>
      <c r="FX74" s="85">
        <v>0</v>
      </c>
      <c r="FY74" s="85">
        <v>259033</v>
      </c>
      <c r="FZ74" s="85">
        <v>259033</v>
      </c>
      <c r="GA74" s="85">
        <v>1940</v>
      </c>
      <c r="GB74" s="85">
        <v>860</v>
      </c>
      <c r="GC74" s="85">
        <v>480</v>
      </c>
      <c r="GD74" s="85">
        <v>4584</v>
      </c>
      <c r="GE74" s="85">
        <v>335298</v>
      </c>
      <c r="GF74" s="85">
        <v>343162</v>
      </c>
      <c r="GG74" s="85">
        <v>234494</v>
      </c>
      <c r="GH74" s="85">
        <v>50766</v>
      </c>
      <c r="GI74" s="85">
        <v>37433</v>
      </c>
      <c r="GJ74" s="85">
        <v>75229</v>
      </c>
      <c r="GK74" s="85">
        <v>587993</v>
      </c>
      <c r="GL74" s="85">
        <v>985915</v>
      </c>
      <c r="GM74" s="85">
        <v>7827157</v>
      </c>
      <c r="GN74" s="85">
        <v>2014307</v>
      </c>
      <c r="GO74" s="85">
        <v>1140554</v>
      </c>
      <c r="GP74" s="85">
        <v>4583010</v>
      </c>
      <c r="GQ74" s="85">
        <v>6834028</v>
      </c>
      <c r="GR74" s="85">
        <v>22399056</v>
      </c>
      <c r="GS74" s="85">
        <v>0</v>
      </c>
      <c r="GT74" s="85">
        <v>0</v>
      </c>
      <c r="GU74" s="85">
        <v>0</v>
      </c>
      <c r="GV74" s="85">
        <v>0</v>
      </c>
      <c r="GW74" s="85">
        <v>0</v>
      </c>
      <c r="GX74" s="85">
        <v>0</v>
      </c>
      <c r="GY74" s="85">
        <v>7827157</v>
      </c>
      <c r="GZ74" s="85">
        <v>2014307</v>
      </c>
      <c r="HA74" s="85">
        <v>1140554</v>
      </c>
      <c r="HB74" s="85">
        <v>4583010</v>
      </c>
      <c r="HC74" s="85">
        <v>6834028</v>
      </c>
      <c r="HD74" s="85">
        <v>22399056</v>
      </c>
      <c r="HF74" s="7">
        <f>SUM(AZ74:AZ74)</f>
        <v>2138093</v>
      </c>
      <c r="HG74" s="7" t="e">
        <f>#REF!-HF74</f>
        <v>#REF!</v>
      </c>
      <c r="HH74" s="7" t="e">
        <f>SUM(#REF!)</f>
        <v>#REF!</v>
      </c>
      <c r="HI74" s="7" t="e">
        <f>#REF!-HH74</f>
        <v>#REF!</v>
      </c>
      <c r="HJ74" s="7">
        <f>SUM(BA74:BA74)</f>
        <v>470465</v>
      </c>
      <c r="HK74" s="7" t="e">
        <f>#REF!-HJ74</f>
        <v>#REF!</v>
      </c>
      <c r="HL74" s="7">
        <f>SUM(BB74:BB74)</f>
        <v>1059784</v>
      </c>
      <c r="HM74" s="7" t="e">
        <f>#REF!-HL74</f>
        <v>#REF!</v>
      </c>
      <c r="HN74" s="7" t="e">
        <f>SUM(#REF!)</f>
        <v>#REF!</v>
      </c>
      <c r="HO74" s="7" t="e">
        <f>#REF!-HN74</f>
        <v>#REF!</v>
      </c>
      <c r="HP74" s="7" t="e">
        <f>SUM(#REF!)</f>
        <v>#REF!</v>
      </c>
      <c r="HQ74" s="7" t="e">
        <f>#REF!-HP74</f>
        <v>#REF!</v>
      </c>
      <c r="HR74" s="7" t="e">
        <f>SUM(#REF!)</f>
        <v>#REF!</v>
      </c>
      <c r="HS74" s="7" t="e">
        <f>#REF!-HR74</f>
        <v>#REF!</v>
      </c>
      <c r="HT74" s="7" t="e">
        <f>SUM(#REF!)</f>
        <v>#REF!</v>
      </c>
      <c r="HU74" s="7" t="e">
        <f>#REF!-HT74</f>
        <v>#REF!</v>
      </c>
      <c r="HV74" s="7" t="e">
        <f>SUM(#REF!)</f>
        <v>#REF!</v>
      </c>
      <c r="HW74" s="7" t="e">
        <f>#REF!-HV74</f>
        <v>#REF!</v>
      </c>
      <c r="HX74" s="7" t="e">
        <f>SUM(#REF!)</f>
        <v>#REF!</v>
      </c>
      <c r="HY74" s="7" t="e">
        <f>#REF!-HX74</f>
        <v>#REF!</v>
      </c>
      <c r="HZ74" s="7">
        <f>SUM(BC74:BC74)</f>
        <v>188493</v>
      </c>
      <c r="IA74" s="7" t="e">
        <f>#REF!-HZ74</f>
        <v>#REF!</v>
      </c>
      <c r="IB74" s="7">
        <f>SUM(BD74:BD74)</f>
        <v>0</v>
      </c>
      <c r="IC74" s="7" t="e">
        <f>#REF!-IB74</f>
        <v>#REF!</v>
      </c>
      <c r="ID74" s="7">
        <f t="shared" si="109"/>
        <v>207984</v>
      </c>
      <c r="IE74" s="7">
        <f t="shared" si="110"/>
        <v>0</v>
      </c>
      <c r="IF74" s="7">
        <f t="shared" si="111"/>
        <v>63920</v>
      </c>
      <c r="IG74" s="7">
        <f t="shared" si="112"/>
        <v>0</v>
      </c>
      <c r="IH74" s="7">
        <f t="shared" si="113"/>
        <v>196566</v>
      </c>
      <c r="II74" s="7">
        <f t="shared" si="155"/>
        <v>0</v>
      </c>
      <c r="IJ74" s="7">
        <f t="shared" si="156"/>
        <v>22776416</v>
      </c>
      <c r="IK74" s="7">
        <f t="shared" si="114"/>
        <v>0</v>
      </c>
      <c r="IL74" s="7">
        <f t="shared" si="115"/>
        <v>4907286</v>
      </c>
      <c r="IM74" s="7">
        <f t="shared" si="116"/>
        <v>0</v>
      </c>
      <c r="IN74" s="7">
        <f t="shared" si="117"/>
        <v>885842</v>
      </c>
      <c r="IO74" s="7">
        <f t="shared" si="118"/>
        <v>0</v>
      </c>
      <c r="IP74" s="7">
        <f t="shared" si="119"/>
        <v>4738300</v>
      </c>
      <c r="IQ74" s="7">
        <f t="shared" si="120"/>
        <v>0</v>
      </c>
      <c r="IR74" s="7">
        <f t="shared" si="121"/>
        <v>0</v>
      </c>
      <c r="IS74" s="7">
        <f t="shared" si="122"/>
        <v>0</v>
      </c>
      <c r="IT74" s="7">
        <f t="shared" si="123"/>
        <v>2818283</v>
      </c>
      <c r="IU74" s="7">
        <f t="shared" si="124"/>
        <v>0</v>
      </c>
      <c r="IV74" s="7">
        <f t="shared" si="157"/>
        <v>0</v>
      </c>
      <c r="IW74" s="7">
        <f t="shared" si="158"/>
        <v>0</v>
      </c>
      <c r="IX74" s="7">
        <f t="shared" si="125"/>
        <v>695993</v>
      </c>
      <c r="IY74" s="7">
        <f t="shared" si="126"/>
        <v>0</v>
      </c>
      <c r="IZ74" s="7">
        <f t="shared" si="127"/>
        <v>421661</v>
      </c>
      <c r="JA74" s="7">
        <f t="shared" si="128"/>
        <v>0</v>
      </c>
      <c r="JB74" s="7">
        <f t="shared" si="159"/>
        <v>1986619</v>
      </c>
      <c r="JC74" s="7">
        <f t="shared" si="160"/>
        <v>0</v>
      </c>
      <c r="JD74" s="7">
        <f t="shared" si="129"/>
        <v>495067</v>
      </c>
      <c r="JE74" s="7">
        <f t="shared" si="130"/>
        <v>0</v>
      </c>
      <c r="JF74" s="7">
        <f t="shared" si="131"/>
        <v>796300</v>
      </c>
      <c r="JG74" s="7">
        <f t="shared" si="132"/>
        <v>0</v>
      </c>
      <c r="JH74" s="7">
        <f t="shared" si="133"/>
        <v>205472</v>
      </c>
      <c r="JI74" s="7">
        <f t="shared" si="134"/>
        <v>0</v>
      </c>
      <c r="JJ74" s="7">
        <f t="shared" si="135"/>
        <v>75833</v>
      </c>
      <c r="JK74" s="7">
        <f t="shared" si="136"/>
        <v>0</v>
      </c>
      <c r="JL74" s="7">
        <f t="shared" si="137"/>
        <v>2289204</v>
      </c>
      <c r="JM74" s="7">
        <f t="shared" si="138"/>
        <v>0</v>
      </c>
      <c r="JN74" s="7">
        <f t="shared" si="139"/>
        <v>45086</v>
      </c>
      <c r="JO74" s="7">
        <f t="shared" si="140"/>
        <v>0</v>
      </c>
      <c r="JP74" s="7">
        <f t="shared" si="141"/>
        <v>450000</v>
      </c>
      <c r="JQ74" s="7">
        <f t="shared" si="142"/>
        <v>0</v>
      </c>
      <c r="JR74" s="7">
        <f t="shared" si="143"/>
        <v>259033</v>
      </c>
      <c r="JS74" s="7">
        <f t="shared" si="144"/>
        <v>0</v>
      </c>
      <c r="JT74" s="7">
        <f t="shared" si="145"/>
        <v>343162</v>
      </c>
      <c r="JU74" s="7">
        <f t="shared" si="146"/>
        <v>0</v>
      </c>
      <c r="JV74" s="7">
        <f t="shared" si="147"/>
        <v>985915</v>
      </c>
      <c r="JW74" s="7">
        <f t="shared" si="148"/>
        <v>0</v>
      </c>
      <c r="JX74" s="7">
        <f t="shared" si="149"/>
        <v>22399056</v>
      </c>
      <c r="JY74" s="7">
        <f t="shared" si="150"/>
        <v>0</v>
      </c>
      <c r="JZ74" s="7">
        <f t="shared" si="151"/>
        <v>0</v>
      </c>
      <c r="KA74" s="7">
        <f t="shared" si="152"/>
        <v>0</v>
      </c>
      <c r="KB74" s="7">
        <f t="shared" si="153"/>
        <v>22399056</v>
      </c>
      <c r="KC74" s="7">
        <f t="shared" si="154"/>
        <v>0</v>
      </c>
      <c r="KE74" s="7" t="e">
        <f t="shared" si="107"/>
        <v>#REF!</v>
      </c>
      <c r="KG74" s="5" t="e">
        <f t="shared" si="108"/>
        <v>#REF!</v>
      </c>
    </row>
    <row r="75" spans="1:304" x14ac:dyDescent="0.15">
      <c r="A75" s="13" t="s">
        <v>285</v>
      </c>
      <c r="B75" s="17" t="s">
        <v>341</v>
      </c>
      <c r="C75" s="41">
        <v>228778</v>
      </c>
      <c r="D75" s="38">
        <v>2013</v>
      </c>
      <c r="E75" s="38">
        <v>1</v>
      </c>
      <c r="F75" s="38">
        <v>2</v>
      </c>
      <c r="G75" s="39">
        <v>17637</v>
      </c>
      <c r="H75" s="39">
        <v>19087</v>
      </c>
      <c r="I75" s="40">
        <v>2415142673</v>
      </c>
      <c r="J75" s="40"/>
      <c r="K75" s="40">
        <v>18176024</v>
      </c>
      <c r="L75" s="40"/>
      <c r="M75" s="40">
        <v>96483850</v>
      </c>
      <c r="N75" s="40"/>
      <c r="O75" s="40">
        <v>242597000</v>
      </c>
      <c r="P75" s="40"/>
      <c r="Q75" s="40">
        <v>1125346000</v>
      </c>
      <c r="R75" s="40"/>
      <c r="S75" s="40">
        <v>625747165</v>
      </c>
      <c r="T75" s="40"/>
      <c r="U75" s="40">
        <v>21574</v>
      </c>
      <c r="V75" s="40"/>
      <c r="W75" s="40">
        <v>45022</v>
      </c>
      <c r="X75" s="40"/>
      <c r="Y75" s="40">
        <v>25326</v>
      </c>
      <c r="Z75" s="40"/>
      <c r="AA75" s="40">
        <v>48774</v>
      </c>
      <c r="AB75" s="40"/>
      <c r="AC75" s="59">
        <v>9</v>
      </c>
      <c r="AD75" s="59">
        <v>11</v>
      </c>
      <c r="AE75" s="59">
        <v>0</v>
      </c>
      <c r="AF75" s="57">
        <v>5786134</v>
      </c>
      <c r="AG75" s="57">
        <v>4042064</v>
      </c>
      <c r="AH75" s="57">
        <v>980342</v>
      </c>
      <c r="AI75" s="57">
        <v>424836</v>
      </c>
      <c r="AJ75" s="57">
        <f>12854603/AK75</f>
        <v>1836371.857142857</v>
      </c>
      <c r="AK75" s="58">
        <v>7</v>
      </c>
      <c r="AL75" s="57">
        <f>12854603/AM75</f>
        <v>1836371.857142857</v>
      </c>
      <c r="AM75" s="58">
        <v>7</v>
      </c>
      <c r="AN75" s="57">
        <f>2786526/AO75</f>
        <v>309614</v>
      </c>
      <c r="AO75" s="58">
        <v>9</v>
      </c>
      <c r="AP75" s="57">
        <f>2786526/AQ75</f>
        <v>309614</v>
      </c>
      <c r="AQ75" s="58">
        <v>9</v>
      </c>
      <c r="AR75" s="57">
        <f>6808527/AS75</f>
        <v>302601.2</v>
      </c>
      <c r="AS75" s="58">
        <v>22.5</v>
      </c>
      <c r="AT75" s="57">
        <f>6808527/AU75</f>
        <v>296022.91304347827</v>
      </c>
      <c r="AU75" s="58">
        <v>23</v>
      </c>
      <c r="AV75" s="57">
        <f>1965409/AW75</f>
        <v>112309.08571428571</v>
      </c>
      <c r="AW75" s="58">
        <v>17.5</v>
      </c>
      <c r="AX75" s="57">
        <f>1965409/AY75</f>
        <v>109189.38888888889</v>
      </c>
      <c r="AY75" s="58">
        <v>18</v>
      </c>
      <c r="AZ75" s="79">
        <v>34416141</v>
      </c>
      <c r="BA75" s="102">
        <v>400000</v>
      </c>
      <c r="BB75" s="102">
        <v>30273294</v>
      </c>
      <c r="BC75" s="79">
        <v>1520342</v>
      </c>
      <c r="BD75" s="102">
        <v>25934289</v>
      </c>
      <c r="BE75" s="102">
        <v>325875</v>
      </c>
      <c r="BF75" s="102">
        <v>276095</v>
      </c>
      <c r="BG75" s="79">
        <v>153715</v>
      </c>
      <c r="BH75" s="79">
        <v>3052933</v>
      </c>
      <c r="BI75" s="79">
        <v>349275</v>
      </c>
      <c r="BJ75" s="79">
        <v>4157893</v>
      </c>
      <c r="BK75" s="79">
        <v>652874</v>
      </c>
      <c r="BL75" s="102">
        <v>148634</v>
      </c>
      <c r="BM75" s="102">
        <v>50901</v>
      </c>
      <c r="BN75" s="102">
        <v>482807</v>
      </c>
      <c r="BO75" s="102">
        <v>32400</v>
      </c>
      <c r="BP75" s="102">
        <v>1367616</v>
      </c>
      <c r="BQ75" s="102">
        <v>580224</v>
      </c>
      <c r="BR75" s="102">
        <v>0</v>
      </c>
      <c r="BS75" s="102">
        <v>0</v>
      </c>
      <c r="BT75" s="102">
        <v>179846</v>
      </c>
      <c r="BU75" s="102">
        <v>1826438</v>
      </c>
      <c r="BV75" s="102">
        <v>2586508</v>
      </c>
      <c r="BW75" s="102">
        <v>109399699</v>
      </c>
      <c r="BX75" s="79">
        <v>16897689</v>
      </c>
      <c r="BY75" s="102">
        <v>1618619</v>
      </c>
      <c r="BZ75" s="102">
        <v>10453743</v>
      </c>
      <c r="CA75" s="102">
        <v>27321736</v>
      </c>
      <c r="CB75" s="102">
        <v>165691486</v>
      </c>
      <c r="CC75" s="102">
        <v>3800773</v>
      </c>
      <c r="CD75" s="79">
        <v>563267</v>
      </c>
      <c r="CE75" s="85">
        <v>667552</v>
      </c>
      <c r="CF75" s="85">
        <v>4796606</v>
      </c>
      <c r="CG75" s="85">
        <v>128147</v>
      </c>
      <c r="CH75" s="85">
        <v>9956345</v>
      </c>
      <c r="CI75" s="85">
        <v>1900000</v>
      </c>
      <c r="CJ75" s="79">
        <v>617500</v>
      </c>
      <c r="CK75" s="102">
        <v>124644</v>
      </c>
      <c r="CL75" s="102">
        <v>96133</v>
      </c>
      <c r="CM75" s="102">
        <v>0</v>
      </c>
      <c r="CN75" s="102">
        <v>2738277</v>
      </c>
      <c r="CO75" s="102">
        <v>11262720</v>
      </c>
      <c r="CP75" s="79">
        <v>5068325</v>
      </c>
      <c r="CQ75" s="102">
        <v>1131256</v>
      </c>
      <c r="CR75" s="102">
        <v>6952764</v>
      </c>
      <c r="CS75" s="102">
        <v>0</v>
      </c>
      <c r="CT75" s="102">
        <v>24415065</v>
      </c>
      <c r="CU75" s="102">
        <v>0</v>
      </c>
      <c r="CV75" s="79">
        <v>0</v>
      </c>
      <c r="CW75" s="85">
        <v>0</v>
      </c>
      <c r="CX75" s="85">
        <v>0</v>
      </c>
      <c r="CY75" s="85">
        <v>0</v>
      </c>
      <c r="CZ75" s="85">
        <v>0</v>
      </c>
      <c r="DA75" s="85">
        <v>1226799</v>
      </c>
      <c r="DB75" s="79">
        <v>752524</v>
      </c>
      <c r="DC75" s="102">
        <v>549777</v>
      </c>
      <c r="DD75" s="102">
        <v>1576353</v>
      </c>
      <c r="DE75" s="102">
        <v>26718278</v>
      </c>
      <c r="DF75" s="102">
        <v>30823731</v>
      </c>
      <c r="DG75" s="103">
        <v>0</v>
      </c>
      <c r="DH75" s="79">
        <v>0</v>
      </c>
      <c r="DI75" s="79">
        <v>0</v>
      </c>
      <c r="DJ75" s="79">
        <v>0</v>
      </c>
      <c r="DK75" s="79">
        <v>0</v>
      </c>
      <c r="DL75" s="79">
        <v>0</v>
      </c>
      <c r="DM75" s="79">
        <v>0</v>
      </c>
      <c r="DN75" s="79">
        <v>0</v>
      </c>
      <c r="DO75" s="79">
        <v>0</v>
      </c>
      <c r="DP75" s="79">
        <v>0</v>
      </c>
      <c r="DQ75" s="79">
        <v>0</v>
      </c>
      <c r="DR75" s="79">
        <v>0</v>
      </c>
      <c r="DS75" s="79">
        <v>548970</v>
      </c>
      <c r="DT75" s="102">
        <v>151251</v>
      </c>
      <c r="DU75" s="102">
        <v>88282</v>
      </c>
      <c r="DV75" s="102">
        <v>616675</v>
      </c>
      <c r="DW75" s="103">
        <v>0</v>
      </c>
      <c r="DX75" s="102">
        <v>1405178</v>
      </c>
      <c r="DY75" s="102">
        <v>1407687</v>
      </c>
      <c r="DZ75" s="79">
        <v>1567568</v>
      </c>
      <c r="EA75" s="79">
        <v>930864</v>
      </c>
      <c r="EB75" s="79">
        <v>3370558</v>
      </c>
      <c r="EC75" s="79">
        <v>0</v>
      </c>
      <c r="ED75" s="79">
        <v>7276677</v>
      </c>
      <c r="EE75" s="79">
        <v>477753</v>
      </c>
      <c r="EF75" s="102">
        <v>52419</v>
      </c>
      <c r="EG75" s="102">
        <v>28534</v>
      </c>
      <c r="EH75" s="102">
        <v>426829</v>
      </c>
      <c r="EI75" s="102">
        <v>413408</v>
      </c>
      <c r="EJ75" s="102">
        <v>1398943</v>
      </c>
      <c r="EK75" s="102">
        <v>3960090</v>
      </c>
      <c r="EL75" s="102">
        <v>1165418</v>
      </c>
      <c r="EM75" s="104">
        <v>643323</v>
      </c>
      <c r="EN75" s="102">
        <v>2130719</v>
      </c>
      <c r="EO75" s="102">
        <v>17586470</v>
      </c>
      <c r="EP75" s="102">
        <v>25486020</v>
      </c>
      <c r="EQ75" s="102">
        <v>0</v>
      </c>
      <c r="ER75" s="102">
        <v>0</v>
      </c>
      <c r="ES75" s="102">
        <v>0</v>
      </c>
      <c r="ET75" s="102">
        <v>9480</v>
      </c>
      <c r="EU75" s="102">
        <v>4789175</v>
      </c>
      <c r="EV75" s="102">
        <v>4798655</v>
      </c>
      <c r="EW75" s="102">
        <v>246746</v>
      </c>
      <c r="EX75" s="79">
        <v>172951</v>
      </c>
      <c r="EY75" s="79">
        <v>109384</v>
      </c>
      <c r="EZ75" s="79">
        <v>1074064</v>
      </c>
      <c r="FA75" s="79">
        <v>379754</v>
      </c>
      <c r="FB75" s="79">
        <v>1982899</v>
      </c>
      <c r="FC75" s="79">
        <v>122469</v>
      </c>
      <c r="FD75" s="104">
        <v>11526</v>
      </c>
      <c r="FE75" s="102">
        <v>14971</v>
      </c>
      <c r="FF75" s="102">
        <v>208037</v>
      </c>
      <c r="FG75" s="102">
        <v>24768233</v>
      </c>
      <c r="FH75" s="102">
        <v>25125236</v>
      </c>
      <c r="FI75" s="102">
        <v>1005600</v>
      </c>
      <c r="FJ75" s="102">
        <v>35925</v>
      </c>
      <c r="FK75" s="102">
        <v>35925</v>
      </c>
      <c r="FL75" s="102">
        <v>99810</v>
      </c>
      <c r="FM75" s="102">
        <v>97851</v>
      </c>
      <c r="FN75" s="85">
        <v>1275111</v>
      </c>
      <c r="FO75" s="102">
        <v>0</v>
      </c>
      <c r="FP75" s="102">
        <v>0</v>
      </c>
      <c r="FQ75" s="102">
        <v>0</v>
      </c>
      <c r="FR75" s="102">
        <v>0</v>
      </c>
      <c r="FS75" s="102">
        <v>0</v>
      </c>
      <c r="FT75" s="102">
        <v>0</v>
      </c>
      <c r="FU75" s="102">
        <v>185836</v>
      </c>
      <c r="FV75" s="85">
        <v>28350</v>
      </c>
      <c r="FW75" s="85">
        <v>51208</v>
      </c>
      <c r="FX75" s="85">
        <v>348051</v>
      </c>
      <c r="FY75" s="85">
        <v>1251901</v>
      </c>
      <c r="FZ75" s="85">
        <v>1865346</v>
      </c>
      <c r="GA75" s="85">
        <v>3878</v>
      </c>
      <c r="GB75" s="102">
        <v>2520</v>
      </c>
      <c r="GC75" s="102">
        <v>3522</v>
      </c>
      <c r="GD75" s="102">
        <v>30639</v>
      </c>
      <c r="GE75" s="102">
        <v>408563</v>
      </c>
      <c r="GF75" s="102">
        <v>449122</v>
      </c>
      <c r="GG75" s="103">
        <v>955809</v>
      </c>
      <c r="GH75" s="102">
        <v>107735</v>
      </c>
      <c r="GI75" s="102">
        <v>121540</v>
      </c>
      <c r="GJ75" s="102">
        <v>630374</v>
      </c>
      <c r="GK75" s="102">
        <v>5995522</v>
      </c>
      <c r="GL75" s="102">
        <v>7810980</v>
      </c>
      <c r="GM75" s="103">
        <v>27105130</v>
      </c>
      <c r="GN75" s="102">
        <v>10297279</v>
      </c>
      <c r="GO75" s="102">
        <v>4500782</v>
      </c>
      <c r="GP75" s="102">
        <v>22367092</v>
      </c>
      <c r="GQ75" s="102">
        <v>82537302</v>
      </c>
      <c r="GR75" s="102">
        <v>146807585</v>
      </c>
      <c r="GS75" s="102">
        <v>0</v>
      </c>
      <c r="GT75" s="79">
        <v>0</v>
      </c>
      <c r="GU75" s="79">
        <v>0</v>
      </c>
      <c r="GV75" s="79">
        <v>0</v>
      </c>
      <c r="GW75" s="79">
        <v>9201066</v>
      </c>
      <c r="GX75" s="79">
        <v>9201066</v>
      </c>
      <c r="GY75" s="79">
        <v>27105130</v>
      </c>
      <c r="GZ75" s="102">
        <v>10297279</v>
      </c>
      <c r="HA75" s="102">
        <v>4500782</v>
      </c>
      <c r="HB75" s="102">
        <v>22367092</v>
      </c>
      <c r="HC75" s="102">
        <v>91738368</v>
      </c>
      <c r="HD75" s="102">
        <v>156008651</v>
      </c>
      <c r="HF75" s="7">
        <f>SUM(AZ75:AZ75)</f>
        <v>34416141</v>
      </c>
      <c r="HG75" s="7" t="e">
        <f>#REF!-HF75</f>
        <v>#REF!</v>
      </c>
      <c r="HH75" s="7" t="e">
        <f>SUM(#REF!)</f>
        <v>#REF!</v>
      </c>
      <c r="HI75" s="7" t="e">
        <f>#REF!-HH75</f>
        <v>#REF!</v>
      </c>
      <c r="HJ75" s="7">
        <f>SUM(BA75:BA75)</f>
        <v>400000</v>
      </c>
      <c r="HK75" s="7" t="e">
        <f>#REF!-HJ75</f>
        <v>#REF!</v>
      </c>
      <c r="HL75" s="7">
        <f>SUM(BB75:BB75)</f>
        <v>30273294</v>
      </c>
      <c r="HM75" s="7" t="e">
        <f>#REF!-HL75</f>
        <v>#REF!</v>
      </c>
      <c r="HN75" s="7" t="e">
        <f>SUM(#REF!)</f>
        <v>#REF!</v>
      </c>
      <c r="HO75" s="7" t="e">
        <f>#REF!-HN75</f>
        <v>#REF!</v>
      </c>
      <c r="HP75" s="7" t="e">
        <f>SUM(#REF!)</f>
        <v>#REF!</v>
      </c>
      <c r="HQ75" s="7" t="e">
        <f>#REF!-HP75</f>
        <v>#REF!</v>
      </c>
      <c r="HR75" s="7" t="e">
        <f>SUM(#REF!)</f>
        <v>#REF!</v>
      </c>
      <c r="HS75" s="7" t="e">
        <f>#REF!-HR75</f>
        <v>#REF!</v>
      </c>
      <c r="HT75" s="7" t="e">
        <f>SUM(#REF!)</f>
        <v>#REF!</v>
      </c>
      <c r="HU75" s="7" t="e">
        <f>#REF!-HT75</f>
        <v>#REF!</v>
      </c>
      <c r="HV75" s="7" t="e">
        <f>SUM(#REF!)</f>
        <v>#REF!</v>
      </c>
      <c r="HW75" s="7" t="e">
        <f>#REF!-HV75</f>
        <v>#REF!</v>
      </c>
      <c r="HX75" s="7" t="e">
        <f>SUM(#REF!)</f>
        <v>#REF!</v>
      </c>
      <c r="HY75" s="7" t="e">
        <f>#REF!-HX75</f>
        <v>#REF!</v>
      </c>
      <c r="HZ75" s="7">
        <f>SUM(BC75:BC75)</f>
        <v>1520342</v>
      </c>
      <c r="IA75" s="7" t="e">
        <f>#REF!-HZ75</f>
        <v>#REF!</v>
      </c>
      <c r="IB75" s="7">
        <f>SUM(BD75:BD75)</f>
        <v>25934289</v>
      </c>
      <c r="IC75" s="7" t="e">
        <f>#REF!-IB75</f>
        <v>#REF!</v>
      </c>
      <c r="ID75" s="7">
        <f t="shared" si="109"/>
        <v>4157893</v>
      </c>
      <c r="IE75" s="7">
        <f t="shared" si="110"/>
        <v>0</v>
      </c>
      <c r="IF75" s="7">
        <f t="shared" si="111"/>
        <v>1367616</v>
      </c>
      <c r="IG75" s="7">
        <f t="shared" si="112"/>
        <v>0</v>
      </c>
      <c r="IH75" s="7">
        <f t="shared" si="113"/>
        <v>2586508</v>
      </c>
      <c r="II75" s="7">
        <f t="shared" si="155"/>
        <v>0</v>
      </c>
      <c r="IJ75" s="7">
        <f t="shared" si="156"/>
        <v>165691486</v>
      </c>
      <c r="IK75" s="7">
        <f t="shared" si="114"/>
        <v>0</v>
      </c>
      <c r="IL75" s="7">
        <f t="shared" si="115"/>
        <v>9956345</v>
      </c>
      <c r="IM75" s="7">
        <f t="shared" si="116"/>
        <v>0</v>
      </c>
      <c r="IN75" s="7">
        <f t="shared" si="117"/>
        <v>2738277</v>
      </c>
      <c r="IO75" s="7">
        <f t="shared" si="118"/>
        <v>0</v>
      </c>
      <c r="IP75" s="7">
        <f t="shared" si="119"/>
        <v>24415065</v>
      </c>
      <c r="IQ75" s="7">
        <f t="shared" si="120"/>
        <v>0</v>
      </c>
      <c r="IR75" s="7">
        <f t="shared" si="121"/>
        <v>0</v>
      </c>
      <c r="IS75" s="7">
        <f t="shared" si="122"/>
        <v>0</v>
      </c>
      <c r="IT75" s="7">
        <f t="shared" si="123"/>
        <v>30823731</v>
      </c>
      <c r="IU75" s="7">
        <f t="shared" si="124"/>
        <v>0</v>
      </c>
      <c r="IV75" s="7">
        <f t="shared" si="157"/>
        <v>0</v>
      </c>
      <c r="IW75" s="7">
        <f t="shared" si="158"/>
        <v>0</v>
      </c>
      <c r="IX75" s="7">
        <f t="shared" si="125"/>
        <v>0</v>
      </c>
      <c r="IY75" s="7">
        <f t="shared" si="126"/>
        <v>0</v>
      </c>
      <c r="IZ75" s="7">
        <f t="shared" si="127"/>
        <v>1405178</v>
      </c>
      <c r="JA75" s="7">
        <f t="shared" si="128"/>
        <v>0</v>
      </c>
      <c r="JB75" s="7">
        <f t="shared" si="159"/>
        <v>7276677</v>
      </c>
      <c r="JC75" s="7">
        <f t="shared" si="160"/>
        <v>0</v>
      </c>
      <c r="JD75" s="7">
        <f t="shared" si="129"/>
        <v>1398943</v>
      </c>
      <c r="JE75" s="7">
        <f t="shared" si="130"/>
        <v>0</v>
      </c>
      <c r="JF75" s="7">
        <f t="shared" si="131"/>
        <v>25486020</v>
      </c>
      <c r="JG75" s="7">
        <f t="shared" si="132"/>
        <v>0</v>
      </c>
      <c r="JH75" s="7">
        <f t="shared" si="133"/>
        <v>4798655</v>
      </c>
      <c r="JI75" s="7">
        <f t="shared" si="134"/>
        <v>0</v>
      </c>
      <c r="JJ75" s="7">
        <f t="shared" si="135"/>
        <v>1982899</v>
      </c>
      <c r="JK75" s="7">
        <f t="shared" si="136"/>
        <v>0</v>
      </c>
      <c r="JL75" s="7">
        <f t="shared" si="137"/>
        <v>25125236</v>
      </c>
      <c r="JM75" s="7">
        <f t="shared" si="138"/>
        <v>0</v>
      </c>
      <c r="JN75" s="7">
        <f t="shared" si="139"/>
        <v>1275111</v>
      </c>
      <c r="JO75" s="7">
        <f t="shared" si="140"/>
        <v>0</v>
      </c>
      <c r="JP75" s="7">
        <f t="shared" si="141"/>
        <v>0</v>
      </c>
      <c r="JQ75" s="7">
        <f t="shared" si="142"/>
        <v>0</v>
      </c>
      <c r="JR75" s="7">
        <f t="shared" si="143"/>
        <v>1865346</v>
      </c>
      <c r="JS75" s="7">
        <f t="shared" si="144"/>
        <v>0</v>
      </c>
      <c r="JT75" s="7">
        <f t="shared" si="145"/>
        <v>449122</v>
      </c>
      <c r="JU75" s="7">
        <f t="shared" si="146"/>
        <v>0</v>
      </c>
      <c r="JV75" s="7">
        <f t="shared" si="147"/>
        <v>7810980</v>
      </c>
      <c r="JW75" s="7">
        <f t="shared" si="148"/>
        <v>0</v>
      </c>
      <c r="JX75" s="7">
        <f t="shared" si="149"/>
        <v>146807585</v>
      </c>
      <c r="JY75" s="7">
        <f t="shared" si="150"/>
        <v>0</v>
      </c>
      <c r="JZ75" s="7">
        <f t="shared" si="151"/>
        <v>9201066</v>
      </c>
      <c r="KA75" s="7">
        <f t="shared" si="152"/>
        <v>0</v>
      </c>
      <c r="KB75" s="7">
        <f t="shared" si="153"/>
        <v>156008651</v>
      </c>
      <c r="KC75" s="7">
        <f t="shared" si="154"/>
        <v>0</v>
      </c>
      <c r="KE75" s="7" t="e">
        <f t="shared" si="107"/>
        <v>#REF!</v>
      </c>
      <c r="KG75" s="5" t="e">
        <f t="shared" si="108"/>
        <v>#REF!</v>
      </c>
    </row>
    <row r="76" spans="1:304" x14ac:dyDescent="0.15">
      <c r="A76" s="13" t="s">
        <v>286</v>
      </c>
      <c r="B76" s="17" t="s">
        <v>342</v>
      </c>
      <c r="C76" s="38">
        <v>199120</v>
      </c>
      <c r="D76" s="38">
        <v>2013</v>
      </c>
      <c r="E76" s="38">
        <v>1</v>
      </c>
      <c r="F76" s="38">
        <v>5</v>
      </c>
      <c r="G76" s="39">
        <v>18736</v>
      </c>
      <c r="H76" s="39">
        <v>17367</v>
      </c>
      <c r="I76" s="40">
        <v>1367957134</v>
      </c>
      <c r="J76" s="40"/>
      <c r="K76" s="40">
        <v>5473123</v>
      </c>
      <c r="L76" s="40"/>
      <c r="M76" s="40">
        <v>52826006</v>
      </c>
      <c r="N76" s="40"/>
      <c r="O76" s="40">
        <v>41556950</v>
      </c>
      <c r="P76" s="40"/>
      <c r="Q76" s="40">
        <v>606958912</v>
      </c>
      <c r="R76" s="40"/>
      <c r="S76" s="40">
        <v>962564231</v>
      </c>
      <c r="T76" s="40"/>
      <c r="U76" s="40">
        <v>18706</v>
      </c>
      <c r="V76" s="40"/>
      <c r="W76" s="40">
        <v>35236</v>
      </c>
      <c r="X76" s="40"/>
      <c r="Y76" s="40">
        <v>20886</v>
      </c>
      <c r="Z76" s="40"/>
      <c r="AA76" s="40">
        <v>37916</v>
      </c>
      <c r="AB76" s="40"/>
      <c r="AC76" s="56">
        <v>9</v>
      </c>
      <c r="AD76" s="56">
        <v>11</v>
      </c>
      <c r="AE76" s="56">
        <v>0</v>
      </c>
      <c r="AF76" s="57">
        <v>4000537</v>
      </c>
      <c r="AG76" s="57">
        <v>3499677</v>
      </c>
      <c r="AH76" s="57">
        <v>918226</v>
      </c>
      <c r="AI76" s="57">
        <v>377089</v>
      </c>
      <c r="AJ76" s="57">
        <v>856938.46</v>
      </c>
      <c r="AK76" s="58">
        <v>6.5</v>
      </c>
      <c r="AL76" s="57">
        <v>795728.57</v>
      </c>
      <c r="AM76" s="58">
        <v>7</v>
      </c>
      <c r="AN76" s="57">
        <v>323168</v>
      </c>
      <c r="AO76" s="58">
        <v>8.5</v>
      </c>
      <c r="AP76" s="57">
        <v>305214.21999999997</v>
      </c>
      <c r="AQ76" s="58">
        <v>9</v>
      </c>
      <c r="AR76" s="57">
        <v>264462.59999999998</v>
      </c>
      <c r="AS76" s="58">
        <v>20</v>
      </c>
      <c r="AT76" s="57">
        <v>229967.48</v>
      </c>
      <c r="AU76" s="58">
        <v>23</v>
      </c>
      <c r="AV76" s="57">
        <v>128946.82</v>
      </c>
      <c r="AW76" s="58">
        <v>17</v>
      </c>
      <c r="AX76" s="57">
        <v>109604.8</v>
      </c>
      <c r="AY76" s="58">
        <v>20</v>
      </c>
      <c r="AZ76" s="79">
        <v>30122030</v>
      </c>
      <c r="BA76" s="79">
        <v>425000</v>
      </c>
      <c r="BB76" s="79">
        <v>5278616</v>
      </c>
      <c r="BC76" s="79">
        <v>2116329</v>
      </c>
      <c r="BD76" s="79">
        <v>500000</v>
      </c>
      <c r="BE76" s="79">
        <v>420717</v>
      </c>
      <c r="BF76" s="79">
        <v>373516</v>
      </c>
      <c r="BG76" s="79">
        <v>342168</v>
      </c>
      <c r="BH76" s="79">
        <v>4158477</v>
      </c>
      <c r="BI76" s="79">
        <v>32162</v>
      </c>
      <c r="BJ76" s="79">
        <v>5327040</v>
      </c>
      <c r="BK76" s="79">
        <v>0</v>
      </c>
      <c r="BL76" s="79">
        <v>0</v>
      </c>
      <c r="BM76" s="79">
        <v>0</v>
      </c>
      <c r="BN76" s="79">
        <v>0</v>
      </c>
      <c r="BO76" s="79">
        <v>262472</v>
      </c>
      <c r="BP76" s="79">
        <v>262472</v>
      </c>
      <c r="BQ76" s="79">
        <v>428767</v>
      </c>
      <c r="BR76" s="79">
        <v>1351</v>
      </c>
      <c r="BS76" s="79">
        <v>996</v>
      </c>
      <c r="BT76" s="79">
        <v>209323</v>
      </c>
      <c r="BU76" s="79">
        <v>533453</v>
      </c>
      <c r="BV76" s="79">
        <v>1173890</v>
      </c>
      <c r="BW76" s="79">
        <v>53800925</v>
      </c>
      <c r="BX76" s="79">
        <v>9104818</v>
      </c>
      <c r="BY76" s="79">
        <v>1415202</v>
      </c>
      <c r="BZ76" s="79">
        <v>8896144</v>
      </c>
      <c r="CA76" s="79">
        <v>20740817</v>
      </c>
      <c r="CB76" s="79">
        <v>93957906</v>
      </c>
      <c r="CC76" s="79">
        <v>2270994</v>
      </c>
      <c r="CD76" s="79">
        <v>378631</v>
      </c>
      <c r="CE76" s="79">
        <v>377791</v>
      </c>
      <c r="CF76" s="79">
        <v>4472798</v>
      </c>
      <c r="CG76" s="79">
        <v>0</v>
      </c>
      <c r="CH76" s="79">
        <v>7500214</v>
      </c>
      <c r="CI76" s="79">
        <v>1201682</v>
      </c>
      <c r="CJ76" s="79">
        <v>634959</v>
      </c>
      <c r="CK76" s="79">
        <v>158596</v>
      </c>
      <c r="CL76" s="79">
        <v>74930</v>
      </c>
      <c r="CM76" s="79">
        <v>0</v>
      </c>
      <c r="CN76" s="79">
        <v>2070167</v>
      </c>
      <c r="CO76" s="79">
        <v>6235114</v>
      </c>
      <c r="CP76" s="79">
        <v>2033579</v>
      </c>
      <c r="CQ76" s="79">
        <v>1550340</v>
      </c>
      <c r="CR76" s="79">
        <v>5979343</v>
      </c>
      <c r="CS76" s="79">
        <v>0</v>
      </c>
      <c r="CT76" s="79">
        <v>15798376</v>
      </c>
      <c r="CU76" s="79">
        <v>0</v>
      </c>
      <c r="CV76" s="79">
        <v>0</v>
      </c>
      <c r="CW76" s="79">
        <v>0</v>
      </c>
      <c r="CX76" s="79">
        <v>0</v>
      </c>
      <c r="CY76" s="79">
        <v>0</v>
      </c>
      <c r="CZ76" s="79">
        <v>0</v>
      </c>
      <c r="DA76" s="79">
        <v>1972106</v>
      </c>
      <c r="DB76" s="79">
        <v>511931</v>
      </c>
      <c r="DC76" s="79">
        <v>407470</v>
      </c>
      <c r="DD76" s="79">
        <v>1733494</v>
      </c>
      <c r="DE76" s="79">
        <v>11211783</v>
      </c>
      <c r="DF76" s="79">
        <v>15836784</v>
      </c>
      <c r="DG76" s="79">
        <v>0</v>
      </c>
      <c r="DH76" s="79">
        <v>0</v>
      </c>
      <c r="DI76" s="79">
        <v>0</v>
      </c>
      <c r="DJ76" s="79">
        <v>0</v>
      </c>
      <c r="DK76" s="79">
        <v>0</v>
      </c>
      <c r="DL76" s="79">
        <v>0</v>
      </c>
      <c r="DM76" s="79">
        <v>0</v>
      </c>
      <c r="DN76" s="79">
        <v>0</v>
      </c>
      <c r="DO76" s="79">
        <v>0</v>
      </c>
      <c r="DP76" s="79">
        <v>0</v>
      </c>
      <c r="DQ76" s="79">
        <v>984061</v>
      </c>
      <c r="DR76" s="79">
        <v>984061</v>
      </c>
      <c r="DS76" s="79">
        <v>401167</v>
      </c>
      <c r="DT76" s="79">
        <v>370072</v>
      </c>
      <c r="DU76" s="79">
        <v>110983</v>
      </c>
      <c r="DV76" s="79">
        <v>413093</v>
      </c>
      <c r="DW76" s="79">
        <v>0</v>
      </c>
      <c r="DX76" s="79">
        <v>1295315</v>
      </c>
      <c r="DY76" s="79">
        <v>1430126</v>
      </c>
      <c r="DZ76" s="79">
        <v>820635</v>
      </c>
      <c r="EA76" s="79">
        <v>776172</v>
      </c>
      <c r="EB76" s="79">
        <v>4154343</v>
      </c>
      <c r="EC76" s="79">
        <v>0</v>
      </c>
      <c r="ED76" s="79">
        <v>7181276</v>
      </c>
      <c r="EE76" s="79">
        <v>1042214</v>
      </c>
      <c r="EF76" s="79">
        <v>92199</v>
      </c>
      <c r="EG76" s="79">
        <v>57330</v>
      </c>
      <c r="EH76" s="79">
        <v>913965</v>
      </c>
      <c r="EI76" s="79">
        <v>312366</v>
      </c>
      <c r="EJ76" s="79">
        <v>2418074</v>
      </c>
      <c r="EK76" s="79">
        <v>911821</v>
      </c>
      <c r="EL76" s="79">
        <v>305378</v>
      </c>
      <c r="EM76" s="79">
        <v>178706</v>
      </c>
      <c r="EN76" s="79">
        <v>546141</v>
      </c>
      <c r="EO76" s="79">
        <v>7337</v>
      </c>
      <c r="EP76" s="79">
        <v>1949383</v>
      </c>
      <c r="EQ76" s="79">
        <v>30388</v>
      </c>
      <c r="ER76" s="79">
        <v>12382</v>
      </c>
      <c r="ES76" s="79">
        <v>4439</v>
      </c>
      <c r="ET76" s="79">
        <v>9710</v>
      </c>
      <c r="EU76" s="79">
        <v>12925</v>
      </c>
      <c r="EV76" s="79">
        <v>69844</v>
      </c>
      <c r="EW76" s="79">
        <v>241655</v>
      </c>
      <c r="EX76" s="79">
        <v>248710</v>
      </c>
      <c r="EY76" s="79">
        <v>172577</v>
      </c>
      <c r="EZ76" s="79">
        <v>2346913</v>
      </c>
      <c r="FA76" s="79">
        <v>24768</v>
      </c>
      <c r="FB76" s="79">
        <v>3034623</v>
      </c>
      <c r="FC76" s="79">
        <v>34673</v>
      </c>
      <c r="FD76" s="79">
        <v>443607</v>
      </c>
      <c r="FE76" s="79">
        <v>316559</v>
      </c>
      <c r="FF76" s="79">
        <v>1108409</v>
      </c>
      <c r="FG76" s="79">
        <v>11171666</v>
      </c>
      <c r="FH76" s="79">
        <v>13074914</v>
      </c>
      <c r="FI76" s="79">
        <v>50000</v>
      </c>
      <c r="FJ76" s="79">
        <v>0</v>
      </c>
      <c r="FK76" s="79">
        <v>0</v>
      </c>
      <c r="FL76" s="79">
        <v>0</v>
      </c>
      <c r="FM76" s="79">
        <v>93691</v>
      </c>
      <c r="FN76" s="79">
        <v>143691</v>
      </c>
      <c r="FO76" s="79">
        <v>0</v>
      </c>
      <c r="FP76" s="79">
        <v>0</v>
      </c>
      <c r="FQ76" s="79">
        <v>0</v>
      </c>
      <c r="FR76" s="79">
        <v>0</v>
      </c>
      <c r="FS76" s="79">
        <v>0</v>
      </c>
      <c r="FT76" s="79">
        <v>0</v>
      </c>
      <c r="FU76" s="79">
        <v>101170</v>
      </c>
      <c r="FV76" s="79">
        <v>27472</v>
      </c>
      <c r="FW76" s="79">
        <v>9257</v>
      </c>
      <c r="FX76" s="79">
        <v>143844</v>
      </c>
      <c r="FY76" s="79">
        <v>271014</v>
      </c>
      <c r="FZ76" s="79">
        <v>552757</v>
      </c>
      <c r="GA76" s="79">
        <v>18760</v>
      </c>
      <c r="GB76" s="79">
        <v>3520</v>
      </c>
      <c r="GC76" s="79">
        <v>1323</v>
      </c>
      <c r="GD76" s="79">
        <v>38728</v>
      </c>
      <c r="GE76" s="79">
        <v>55345</v>
      </c>
      <c r="GF76" s="79">
        <v>117676</v>
      </c>
      <c r="GG76" s="79">
        <v>2124734</v>
      </c>
      <c r="GH76" s="79">
        <v>490718</v>
      </c>
      <c r="GI76" s="79">
        <v>531400</v>
      </c>
      <c r="GJ76" s="79">
        <v>1689404</v>
      </c>
      <c r="GK76" s="79">
        <v>8251177</v>
      </c>
      <c r="GL76" s="79">
        <v>13087433</v>
      </c>
      <c r="GM76" s="79">
        <v>18066604</v>
      </c>
      <c r="GN76" s="79">
        <v>6373793</v>
      </c>
      <c r="GO76" s="79">
        <v>4652943</v>
      </c>
      <c r="GP76" s="79">
        <v>23625115</v>
      </c>
      <c r="GQ76" s="79">
        <v>32396133</v>
      </c>
      <c r="GR76" s="79">
        <v>85114588</v>
      </c>
      <c r="GS76" s="79">
        <v>0</v>
      </c>
      <c r="GT76" s="79">
        <v>0</v>
      </c>
      <c r="GU76" s="79">
        <v>0</v>
      </c>
      <c r="GV76" s="79">
        <v>0</v>
      </c>
      <c r="GW76" s="79">
        <v>0</v>
      </c>
      <c r="GX76" s="79">
        <v>0</v>
      </c>
      <c r="GY76" s="79">
        <v>18066604</v>
      </c>
      <c r="GZ76" s="79">
        <v>6373793</v>
      </c>
      <c r="HA76" s="79">
        <v>4652943</v>
      </c>
      <c r="HB76" s="79">
        <v>23625115</v>
      </c>
      <c r="HC76" s="79">
        <v>32396133</v>
      </c>
      <c r="HD76" s="79">
        <v>85114588</v>
      </c>
      <c r="HF76" s="7">
        <f>SUM(AZ76:AZ76)</f>
        <v>30122030</v>
      </c>
      <c r="HG76" s="7" t="e">
        <f>#REF!-HF76</f>
        <v>#REF!</v>
      </c>
      <c r="HH76" s="7" t="e">
        <f>SUM(#REF!)</f>
        <v>#REF!</v>
      </c>
      <c r="HI76" s="7" t="e">
        <f>#REF!-HH76</f>
        <v>#REF!</v>
      </c>
      <c r="HJ76" s="7">
        <f>SUM(BA76:BA76)</f>
        <v>425000</v>
      </c>
      <c r="HK76" s="7" t="e">
        <f>#REF!-HJ76</f>
        <v>#REF!</v>
      </c>
      <c r="HL76" s="7">
        <f>SUM(BB76:BB76)</f>
        <v>5278616</v>
      </c>
      <c r="HM76" s="7" t="e">
        <f>#REF!-HL76</f>
        <v>#REF!</v>
      </c>
      <c r="HN76" s="7" t="e">
        <f>SUM(#REF!)</f>
        <v>#REF!</v>
      </c>
      <c r="HO76" s="7" t="e">
        <f>#REF!-HN76</f>
        <v>#REF!</v>
      </c>
      <c r="HP76" s="7" t="e">
        <f>SUM(#REF!)</f>
        <v>#REF!</v>
      </c>
      <c r="HQ76" s="7" t="e">
        <f>#REF!-HP76</f>
        <v>#REF!</v>
      </c>
      <c r="HR76" s="7" t="e">
        <f>SUM(#REF!)</f>
        <v>#REF!</v>
      </c>
      <c r="HS76" s="7" t="e">
        <f>#REF!-HR76</f>
        <v>#REF!</v>
      </c>
      <c r="HT76" s="7" t="e">
        <f>SUM(#REF!)</f>
        <v>#REF!</v>
      </c>
      <c r="HU76" s="7" t="e">
        <f>#REF!-HT76</f>
        <v>#REF!</v>
      </c>
      <c r="HV76" s="7" t="e">
        <f>SUM(#REF!)</f>
        <v>#REF!</v>
      </c>
      <c r="HW76" s="7" t="e">
        <f>#REF!-HV76</f>
        <v>#REF!</v>
      </c>
      <c r="HX76" s="7" t="e">
        <f>SUM(#REF!)</f>
        <v>#REF!</v>
      </c>
      <c r="HY76" s="7" t="e">
        <f>#REF!-HX76</f>
        <v>#REF!</v>
      </c>
      <c r="HZ76" s="7">
        <f>SUM(BC76:BC76)</f>
        <v>2116329</v>
      </c>
      <c r="IA76" s="7" t="e">
        <f>#REF!-HZ76</f>
        <v>#REF!</v>
      </c>
      <c r="IB76" s="7">
        <f>SUM(BD76:BD76)</f>
        <v>500000</v>
      </c>
      <c r="IC76" s="7" t="e">
        <f>#REF!-IB76</f>
        <v>#REF!</v>
      </c>
      <c r="ID76" s="7">
        <f t="shared" si="109"/>
        <v>5327040</v>
      </c>
      <c r="IE76" s="7">
        <f t="shared" si="110"/>
        <v>0</v>
      </c>
      <c r="IF76" s="7">
        <f t="shared" si="111"/>
        <v>262472</v>
      </c>
      <c r="IG76" s="7">
        <f t="shared" si="112"/>
        <v>0</v>
      </c>
      <c r="IH76" s="7">
        <f t="shared" si="113"/>
        <v>1173890</v>
      </c>
      <c r="II76" s="7">
        <f t="shared" si="155"/>
        <v>0</v>
      </c>
      <c r="IJ76" s="7">
        <f t="shared" si="156"/>
        <v>93957906</v>
      </c>
      <c r="IK76" s="7">
        <f t="shared" si="114"/>
        <v>0</v>
      </c>
      <c r="IL76" s="7">
        <f t="shared" si="115"/>
        <v>7500214</v>
      </c>
      <c r="IM76" s="7">
        <f t="shared" si="116"/>
        <v>0</v>
      </c>
      <c r="IN76" s="7">
        <f t="shared" si="117"/>
        <v>2070167</v>
      </c>
      <c r="IO76" s="7">
        <f t="shared" si="118"/>
        <v>0</v>
      </c>
      <c r="IP76" s="7">
        <f t="shared" si="119"/>
        <v>15798376</v>
      </c>
      <c r="IQ76" s="7">
        <f t="shared" si="120"/>
        <v>0</v>
      </c>
      <c r="IR76" s="7">
        <f t="shared" si="121"/>
        <v>0</v>
      </c>
      <c r="IS76" s="7">
        <f t="shared" si="122"/>
        <v>0</v>
      </c>
      <c r="IT76" s="7">
        <f t="shared" si="123"/>
        <v>15836784</v>
      </c>
      <c r="IU76" s="7">
        <f t="shared" si="124"/>
        <v>0</v>
      </c>
      <c r="IV76" s="7">
        <f t="shared" si="157"/>
        <v>0</v>
      </c>
      <c r="IW76" s="7">
        <f t="shared" si="158"/>
        <v>0</v>
      </c>
      <c r="IX76" s="7">
        <f t="shared" si="125"/>
        <v>984061</v>
      </c>
      <c r="IY76" s="7">
        <f t="shared" si="126"/>
        <v>0</v>
      </c>
      <c r="IZ76" s="7">
        <f t="shared" si="127"/>
        <v>1295315</v>
      </c>
      <c r="JA76" s="7">
        <f t="shared" si="128"/>
        <v>0</v>
      </c>
      <c r="JB76" s="7">
        <f t="shared" si="159"/>
        <v>7181276</v>
      </c>
      <c r="JC76" s="7">
        <f t="shared" si="160"/>
        <v>0</v>
      </c>
      <c r="JD76" s="7">
        <f t="shared" si="129"/>
        <v>2418074</v>
      </c>
      <c r="JE76" s="7">
        <f t="shared" si="130"/>
        <v>0</v>
      </c>
      <c r="JF76" s="7">
        <f t="shared" si="131"/>
        <v>1949383</v>
      </c>
      <c r="JG76" s="7">
        <f t="shared" si="132"/>
        <v>0</v>
      </c>
      <c r="JH76" s="7">
        <f t="shared" si="133"/>
        <v>69844</v>
      </c>
      <c r="JI76" s="7">
        <f t="shared" si="134"/>
        <v>0</v>
      </c>
      <c r="JJ76" s="7">
        <f t="shared" si="135"/>
        <v>3034623</v>
      </c>
      <c r="JK76" s="7">
        <f t="shared" si="136"/>
        <v>0</v>
      </c>
      <c r="JL76" s="7">
        <f t="shared" si="137"/>
        <v>13074914</v>
      </c>
      <c r="JM76" s="7">
        <f t="shared" si="138"/>
        <v>0</v>
      </c>
      <c r="JN76" s="7">
        <f t="shared" si="139"/>
        <v>143691</v>
      </c>
      <c r="JO76" s="7">
        <f t="shared" si="140"/>
        <v>0</v>
      </c>
      <c r="JP76" s="7">
        <f t="shared" si="141"/>
        <v>0</v>
      </c>
      <c r="JQ76" s="7">
        <f t="shared" si="142"/>
        <v>0</v>
      </c>
      <c r="JR76" s="7">
        <f t="shared" si="143"/>
        <v>552757</v>
      </c>
      <c r="JS76" s="7">
        <f t="shared" si="144"/>
        <v>0</v>
      </c>
      <c r="JT76" s="7">
        <f t="shared" si="145"/>
        <v>117676</v>
      </c>
      <c r="JU76" s="7">
        <f t="shared" si="146"/>
        <v>0</v>
      </c>
      <c r="JV76" s="7">
        <f t="shared" si="147"/>
        <v>13087433</v>
      </c>
      <c r="JW76" s="7">
        <f t="shared" si="148"/>
        <v>0</v>
      </c>
      <c r="JX76" s="7">
        <f t="shared" si="149"/>
        <v>85114588</v>
      </c>
      <c r="JY76" s="7">
        <f t="shared" si="150"/>
        <v>0</v>
      </c>
      <c r="JZ76" s="7">
        <f t="shared" si="151"/>
        <v>0</v>
      </c>
      <c r="KA76" s="7">
        <f t="shared" si="152"/>
        <v>0</v>
      </c>
      <c r="KB76" s="7">
        <f t="shared" si="153"/>
        <v>85114588</v>
      </c>
      <c r="KC76" s="7">
        <f t="shared" si="154"/>
        <v>0</v>
      </c>
      <c r="KE76" s="7" t="e">
        <f t="shared" si="107"/>
        <v>#REF!</v>
      </c>
      <c r="KG76" s="5" t="e">
        <f t="shared" si="108"/>
        <v>#REF!</v>
      </c>
    </row>
    <row r="77" spans="1:304" x14ac:dyDescent="0.15">
      <c r="A77" s="119" t="s">
        <v>287</v>
      </c>
      <c r="B77" s="17" t="s">
        <v>401</v>
      </c>
      <c r="C77" s="38">
        <v>228459</v>
      </c>
      <c r="D77" s="38">
        <v>2013</v>
      </c>
      <c r="E77" s="38"/>
      <c r="F77" s="38">
        <v>11</v>
      </c>
      <c r="G77" s="39">
        <v>10642</v>
      </c>
      <c r="H77" s="39">
        <v>13581</v>
      </c>
      <c r="I77" s="40">
        <v>468960363</v>
      </c>
      <c r="J77" s="40">
        <v>461084951</v>
      </c>
      <c r="K77" s="40">
        <v>4602300</v>
      </c>
      <c r="L77" s="40"/>
      <c r="M77" s="40">
        <v>28122869</v>
      </c>
      <c r="N77" s="40"/>
      <c r="O77" s="40">
        <v>81768939</v>
      </c>
      <c r="P77" s="40"/>
      <c r="Q77" s="40">
        <v>493016638</v>
      </c>
      <c r="R77" s="40"/>
      <c r="S77" s="40">
        <v>402262127</v>
      </c>
      <c r="T77" s="40">
        <v>397232665</v>
      </c>
      <c r="U77" s="40">
        <v>17252</v>
      </c>
      <c r="V77" s="40">
        <v>15940</v>
      </c>
      <c r="W77" s="40">
        <v>27782</v>
      </c>
      <c r="X77" s="40">
        <v>25240</v>
      </c>
      <c r="Y77" s="40">
        <v>21130</v>
      </c>
      <c r="Z77" s="40">
        <v>20250</v>
      </c>
      <c r="AA77" s="40">
        <v>31660</v>
      </c>
      <c r="AB77" s="40">
        <v>29640</v>
      </c>
      <c r="AC77" s="59">
        <v>7</v>
      </c>
      <c r="AD77" s="59">
        <v>9</v>
      </c>
      <c r="AE77" s="59">
        <v>0</v>
      </c>
      <c r="AF77" s="57">
        <v>2939209</v>
      </c>
      <c r="AG77" s="57">
        <v>1766211</v>
      </c>
      <c r="AH77" s="57">
        <v>267932</v>
      </c>
      <c r="AI77" s="57">
        <v>93358</v>
      </c>
      <c r="AJ77" s="57">
        <f>(901006+49500)/AK77</f>
        <v>211223.55555555556</v>
      </c>
      <c r="AK77" s="58">
        <v>4.5</v>
      </c>
      <c r="AL77" s="57">
        <f>(901006+49500)/AM77</f>
        <v>190101.2</v>
      </c>
      <c r="AM77" s="58">
        <v>5</v>
      </c>
      <c r="AN77" s="57">
        <f>(612681+41500)/AO77</f>
        <v>100643.23076923077</v>
      </c>
      <c r="AO77" s="58">
        <v>6.5</v>
      </c>
      <c r="AP77" s="57">
        <f>(612681+41500)/AQ77</f>
        <v>93454.428571428565</v>
      </c>
      <c r="AQ77" s="58">
        <v>7</v>
      </c>
      <c r="AR77" s="57">
        <f>(1497245+84000)/AS77</f>
        <v>97307.38461538461</v>
      </c>
      <c r="AS77" s="58">
        <v>16.25</v>
      </c>
      <c r="AT77" s="57">
        <f>(1497245+84000)/AU77</f>
        <v>83223.421052631573</v>
      </c>
      <c r="AU77" s="58">
        <v>19</v>
      </c>
      <c r="AV77" s="57">
        <f>(603153+34950)/AW77</f>
        <v>56720.26666666667</v>
      </c>
      <c r="AW77" s="58">
        <v>11.25</v>
      </c>
      <c r="AX77" s="57">
        <f>(603153+34950)/AY77</f>
        <v>45578.785714285717</v>
      </c>
      <c r="AY77" s="58">
        <v>14</v>
      </c>
      <c r="AZ77" s="105">
        <v>1513982</v>
      </c>
      <c r="BA77" s="105">
        <v>575000</v>
      </c>
      <c r="BB77" s="105">
        <v>97869</v>
      </c>
      <c r="BC77" s="105">
        <v>34515</v>
      </c>
      <c r="BD77" s="105">
        <v>0</v>
      </c>
      <c r="BE77" s="105">
        <v>0</v>
      </c>
      <c r="BF77" s="105">
        <v>0</v>
      </c>
      <c r="BG77" s="105">
        <v>0</v>
      </c>
      <c r="BH77" s="105">
        <v>0</v>
      </c>
      <c r="BI77" s="105">
        <v>202993</v>
      </c>
      <c r="BJ77" s="105">
        <v>202993</v>
      </c>
      <c r="BK77" s="105">
        <v>3800</v>
      </c>
      <c r="BL77" s="105">
        <v>4000</v>
      </c>
      <c r="BM77" s="105">
        <v>0</v>
      </c>
      <c r="BN77" s="105">
        <v>2696</v>
      </c>
      <c r="BO77" s="105">
        <v>41100</v>
      </c>
      <c r="BP77" s="105">
        <v>51596</v>
      </c>
      <c r="BQ77" s="105">
        <v>319</v>
      </c>
      <c r="BR77" s="105">
        <v>430</v>
      </c>
      <c r="BS77" s="105">
        <v>687</v>
      </c>
      <c r="BT77" s="105">
        <v>181629</v>
      </c>
      <c r="BU77" s="105">
        <v>461986</v>
      </c>
      <c r="BV77" s="105">
        <v>645051</v>
      </c>
      <c r="BW77" s="105">
        <v>2488180</v>
      </c>
      <c r="BX77" s="105">
        <v>398816</v>
      </c>
      <c r="BY77" s="105">
        <v>96548</v>
      </c>
      <c r="BZ77" s="105">
        <v>955224</v>
      </c>
      <c r="CA77" s="105">
        <v>25826009</v>
      </c>
      <c r="CB77" s="105">
        <v>29764777</v>
      </c>
      <c r="CC77" s="105">
        <v>1973347</v>
      </c>
      <c r="CD77" s="105">
        <v>374993</v>
      </c>
      <c r="CE77" s="105">
        <v>333388</v>
      </c>
      <c r="CF77" s="105">
        <v>2023692</v>
      </c>
      <c r="CG77" s="105">
        <v>35093</v>
      </c>
      <c r="CH77" s="105">
        <v>4740513</v>
      </c>
      <c r="CI77" s="105">
        <v>425000</v>
      </c>
      <c r="CJ77" s="105">
        <v>5000</v>
      </c>
      <c r="CK77" s="105">
        <v>2000</v>
      </c>
      <c r="CL77" s="105">
        <v>23353</v>
      </c>
      <c r="CM77" s="105">
        <v>0</v>
      </c>
      <c r="CN77" s="105">
        <v>455353</v>
      </c>
      <c r="CO77" s="105">
        <v>1381745</v>
      </c>
      <c r="CP77" s="105">
        <v>529782</v>
      </c>
      <c r="CQ77" s="105">
        <v>367897</v>
      </c>
      <c r="CR77" s="105">
        <v>1334661</v>
      </c>
      <c r="CS77" s="105">
        <v>0</v>
      </c>
      <c r="CT77" s="105">
        <v>3614085</v>
      </c>
      <c r="CU77" s="105">
        <v>56000</v>
      </c>
      <c r="CV77" s="105">
        <v>12500</v>
      </c>
      <c r="CW77" s="105">
        <v>4950</v>
      </c>
      <c r="CX77" s="105">
        <v>136500</v>
      </c>
      <c r="CY77" s="105">
        <v>0</v>
      </c>
      <c r="CZ77" s="105">
        <v>209950</v>
      </c>
      <c r="DA77" s="105">
        <v>456944</v>
      </c>
      <c r="DB77" s="105">
        <v>149863</v>
      </c>
      <c r="DC77" s="105">
        <v>115306</v>
      </c>
      <c r="DD77" s="105">
        <v>163214</v>
      </c>
      <c r="DE77" s="105">
        <v>2664566</v>
      </c>
      <c r="DF77" s="105">
        <v>3549893</v>
      </c>
      <c r="DG77" s="105">
        <v>5150</v>
      </c>
      <c r="DH77" s="105">
        <v>1250</v>
      </c>
      <c r="DI77" s="105">
        <v>2000</v>
      </c>
      <c r="DJ77" s="105">
        <v>300</v>
      </c>
      <c r="DK77" s="105">
        <v>10000</v>
      </c>
      <c r="DL77" s="105">
        <v>18700</v>
      </c>
      <c r="DM77" s="105">
        <v>10861</v>
      </c>
      <c r="DN77" s="105">
        <v>34987</v>
      </c>
      <c r="DO77" s="105">
        <v>0</v>
      </c>
      <c r="DP77" s="105">
        <v>802</v>
      </c>
      <c r="DQ77" s="105">
        <v>33877</v>
      </c>
      <c r="DR77" s="105">
        <v>80527</v>
      </c>
      <c r="DS77" s="105">
        <v>168598</v>
      </c>
      <c r="DT77" s="105">
        <v>53586</v>
      </c>
      <c r="DU77" s="105">
        <v>40208</v>
      </c>
      <c r="DV77" s="105">
        <v>98898</v>
      </c>
      <c r="DW77" s="105">
        <v>0</v>
      </c>
      <c r="DX77" s="105">
        <v>361290</v>
      </c>
      <c r="DY77" s="105">
        <v>543102</v>
      </c>
      <c r="DZ77" s="105">
        <v>275189</v>
      </c>
      <c r="EA77" s="105">
        <v>183640</v>
      </c>
      <c r="EB77" s="105">
        <v>910542</v>
      </c>
      <c r="EC77" s="105">
        <v>0</v>
      </c>
      <c r="ED77" s="105">
        <v>1912473</v>
      </c>
      <c r="EE77" s="105">
        <v>123238</v>
      </c>
      <c r="EF77" s="105">
        <v>28033</v>
      </c>
      <c r="EG77" s="105">
        <v>27979</v>
      </c>
      <c r="EH77" s="105">
        <v>178285</v>
      </c>
      <c r="EI77" s="105">
        <v>0</v>
      </c>
      <c r="EJ77" s="105">
        <v>357535</v>
      </c>
      <c r="EK77" s="105">
        <v>503963</v>
      </c>
      <c r="EL77" s="105">
        <v>126343</v>
      </c>
      <c r="EM77" s="105">
        <v>95559</v>
      </c>
      <c r="EN77" s="105">
        <v>166989</v>
      </c>
      <c r="EO77" s="105">
        <v>0</v>
      </c>
      <c r="EP77" s="105">
        <v>892854</v>
      </c>
      <c r="EQ77" s="105">
        <v>10839</v>
      </c>
      <c r="ER77" s="105">
        <v>1785</v>
      </c>
      <c r="ES77" s="105">
        <v>795</v>
      </c>
      <c r="ET77" s="105">
        <v>116192</v>
      </c>
      <c r="EU77" s="105">
        <v>448228</v>
      </c>
      <c r="EV77" s="105">
        <v>577839</v>
      </c>
      <c r="EW77" s="105">
        <v>0</v>
      </c>
      <c r="EX77" s="105">
        <v>0</v>
      </c>
      <c r="EY77" s="105">
        <v>0</v>
      </c>
      <c r="EZ77" s="105">
        <v>0</v>
      </c>
      <c r="FA77" s="105">
        <v>0</v>
      </c>
      <c r="FB77" s="105">
        <v>0</v>
      </c>
      <c r="FC77" s="105">
        <v>0</v>
      </c>
      <c r="FD77" s="105">
        <v>0</v>
      </c>
      <c r="FE77" s="105">
        <v>0</v>
      </c>
      <c r="FF77" s="105">
        <v>0</v>
      </c>
      <c r="FG77" s="105">
        <v>8681267</v>
      </c>
      <c r="FH77" s="105">
        <v>8681267</v>
      </c>
      <c r="FI77" s="105">
        <v>0</v>
      </c>
      <c r="FJ77" s="105">
        <v>0</v>
      </c>
      <c r="FK77" s="105">
        <v>0</v>
      </c>
      <c r="FL77" s="105">
        <v>0</v>
      </c>
      <c r="FM77" s="105">
        <v>110590</v>
      </c>
      <c r="FN77" s="105">
        <v>110590</v>
      </c>
      <c r="FO77" s="105">
        <v>0</v>
      </c>
      <c r="FP77" s="105">
        <v>0</v>
      </c>
      <c r="FQ77" s="105">
        <v>0</v>
      </c>
      <c r="FR77" s="105">
        <v>0</v>
      </c>
      <c r="FS77" s="105">
        <v>0</v>
      </c>
      <c r="FT77" s="105">
        <v>0</v>
      </c>
      <c r="FU77" s="105">
        <v>92722</v>
      </c>
      <c r="FV77" s="105">
        <v>10257</v>
      </c>
      <c r="FW77" s="105">
        <v>6226</v>
      </c>
      <c r="FX77" s="105">
        <v>74658</v>
      </c>
      <c r="FY77" s="105">
        <v>121010</v>
      </c>
      <c r="FZ77" s="105">
        <v>304873</v>
      </c>
      <c r="GA77" s="105">
        <v>2155</v>
      </c>
      <c r="GB77" s="105">
        <v>1425</v>
      </c>
      <c r="GC77" s="105">
        <v>995</v>
      </c>
      <c r="GD77" s="105">
        <v>2646</v>
      </c>
      <c r="GE77" s="105">
        <v>413563</v>
      </c>
      <c r="GF77" s="105">
        <v>420784</v>
      </c>
      <c r="GG77" s="105">
        <v>334704</v>
      </c>
      <c r="GH77" s="105">
        <v>90501</v>
      </c>
      <c r="GI77" s="105">
        <v>48672</v>
      </c>
      <c r="GJ77" s="105">
        <v>174688</v>
      </c>
      <c r="GK77" s="105">
        <v>753872</v>
      </c>
      <c r="GL77" s="105">
        <v>1402437</v>
      </c>
      <c r="GM77" s="105">
        <v>6088368</v>
      </c>
      <c r="GN77" s="105">
        <v>1695494</v>
      </c>
      <c r="GO77" s="105">
        <v>1229615</v>
      </c>
      <c r="GP77" s="105">
        <v>5405420</v>
      </c>
      <c r="GQ77" s="105">
        <v>13272066</v>
      </c>
      <c r="GR77" s="105">
        <v>27690963</v>
      </c>
      <c r="GS77" s="105">
        <v>0</v>
      </c>
      <c r="GT77" s="105">
        <v>0</v>
      </c>
      <c r="GU77" s="105">
        <v>0</v>
      </c>
      <c r="GV77" s="105">
        <v>0</v>
      </c>
      <c r="GW77" s="105">
        <v>0</v>
      </c>
      <c r="GX77" s="105">
        <v>0</v>
      </c>
      <c r="GY77" s="105">
        <v>6088368</v>
      </c>
      <c r="GZ77" s="105">
        <v>1695494</v>
      </c>
      <c r="HA77" s="105">
        <v>1229615</v>
      </c>
      <c r="HB77" s="105">
        <v>5405420</v>
      </c>
      <c r="HC77" s="105">
        <v>13272066</v>
      </c>
      <c r="HD77" s="105">
        <v>27690963</v>
      </c>
      <c r="HF77" s="7">
        <f>SUM(AZ77:AZ77)</f>
        <v>1513982</v>
      </c>
      <c r="HG77" s="7" t="e">
        <f>#REF!-HF77</f>
        <v>#REF!</v>
      </c>
      <c r="HH77" s="7" t="e">
        <f>SUM(#REF!)</f>
        <v>#REF!</v>
      </c>
      <c r="HI77" s="7" t="e">
        <f>#REF!-HH77</f>
        <v>#REF!</v>
      </c>
      <c r="HJ77" s="7">
        <f>SUM(BA77:BA77)</f>
        <v>575000</v>
      </c>
      <c r="HK77" s="7" t="e">
        <f>#REF!-HJ77</f>
        <v>#REF!</v>
      </c>
      <c r="HL77" s="7">
        <f>SUM(BB77:BB77)</f>
        <v>97869</v>
      </c>
      <c r="HM77" s="7" t="e">
        <f>#REF!-HL77</f>
        <v>#REF!</v>
      </c>
      <c r="HN77" s="7" t="e">
        <f>SUM(#REF!)</f>
        <v>#REF!</v>
      </c>
      <c r="HO77" s="7" t="e">
        <f>#REF!-HN77</f>
        <v>#REF!</v>
      </c>
      <c r="HP77" s="7" t="e">
        <f>SUM(#REF!)</f>
        <v>#REF!</v>
      </c>
      <c r="HQ77" s="7" t="e">
        <f>#REF!-HP77</f>
        <v>#REF!</v>
      </c>
      <c r="HR77" s="7" t="e">
        <f>SUM(#REF!)</f>
        <v>#REF!</v>
      </c>
      <c r="HS77" s="7" t="e">
        <f>#REF!-HR77</f>
        <v>#REF!</v>
      </c>
      <c r="HT77" s="7" t="e">
        <f>SUM(#REF!)</f>
        <v>#REF!</v>
      </c>
      <c r="HU77" s="7" t="e">
        <f>#REF!-HT77</f>
        <v>#REF!</v>
      </c>
      <c r="HV77" s="7" t="e">
        <f>SUM(#REF!)</f>
        <v>#REF!</v>
      </c>
      <c r="HW77" s="7" t="e">
        <f>#REF!-HV77</f>
        <v>#REF!</v>
      </c>
      <c r="HX77" s="7" t="e">
        <f>SUM(#REF!)</f>
        <v>#REF!</v>
      </c>
      <c r="HY77" s="7" t="e">
        <f>#REF!-HX77</f>
        <v>#REF!</v>
      </c>
      <c r="HZ77" s="7">
        <f>SUM(BC77:BC77)</f>
        <v>34515</v>
      </c>
      <c r="IA77" s="7" t="e">
        <f>#REF!-HZ77</f>
        <v>#REF!</v>
      </c>
      <c r="IB77" s="7">
        <f>SUM(BD77:BD77)</f>
        <v>0</v>
      </c>
      <c r="IC77" s="7" t="e">
        <f>#REF!-IB77</f>
        <v>#REF!</v>
      </c>
      <c r="ID77" s="7">
        <f t="shared" si="109"/>
        <v>202993</v>
      </c>
      <c r="IE77" s="7">
        <f t="shared" si="110"/>
        <v>0</v>
      </c>
      <c r="IF77" s="7">
        <f t="shared" si="111"/>
        <v>51596</v>
      </c>
      <c r="IG77" s="7">
        <f t="shared" si="112"/>
        <v>0</v>
      </c>
      <c r="IH77" s="7">
        <f t="shared" si="113"/>
        <v>645051</v>
      </c>
      <c r="II77" s="7">
        <f t="shared" si="155"/>
        <v>0</v>
      </c>
      <c r="IJ77" s="7">
        <f t="shared" si="156"/>
        <v>29764777</v>
      </c>
      <c r="IK77" s="7">
        <f t="shared" si="114"/>
        <v>0</v>
      </c>
      <c r="IL77" s="7">
        <f t="shared" si="115"/>
        <v>4740513</v>
      </c>
      <c r="IM77" s="7">
        <f t="shared" si="116"/>
        <v>0</v>
      </c>
      <c r="IN77" s="7">
        <f t="shared" si="117"/>
        <v>455353</v>
      </c>
      <c r="IO77" s="7">
        <f t="shared" si="118"/>
        <v>0</v>
      </c>
      <c r="IP77" s="7">
        <f t="shared" si="119"/>
        <v>3614085</v>
      </c>
      <c r="IQ77" s="7">
        <f t="shared" si="120"/>
        <v>0</v>
      </c>
      <c r="IR77" s="7">
        <f t="shared" si="121"/>
        <v>209950</v>
      </c>
      <c r="IS77" s="7">
        <f t="shared" si="122"/>
        <v>0</v>
      </c>
      <c r="IT77" s="7">
        <f t="shared" si="123"/>
        <v>3549893</v>
      </c>
      <c r="IU77" s="7">
        <f t="shared" si="124"/>
        <v>0</v>
      </c>
      <c r="IV77" s="7">
        <f t="shared" si="157"/>
        <v>18700</v>
      </c>
      <c r="IW77" s="7">
        <f t="shared" si="158"/>
        <v>0</v>
      </c>
      <c r="IX77" s="7">
        <f t="shared" si="125"/>
        <v>80527</v>
      </c>
      <c r="IY77" s="7">
        <f t="shared" si="126"/>
        <v>0</v>
      </c>
      <c r="IZ77" s="7">
        <f t="shared" si="127"/>
        <v>361290</v>
      </c>
      <c r="JA77" s="7">
        <f t="shared" si="128"/>
        <v>0</v>
      </c>
      <c r="JB77" s="7">
        <f t="shared" si="159"/>
        <v>1912473</v>
      </c>
      <c r="JC77" s="7">
        <f t="shared" si="160"/>
        <v>0</v>
      </c>
      <c r="JD77" s="7">
        <f t="shared" si="129"/>
        <v>357535</v>
      </c>
      <c r="JE77" s="7">
        <f t="shared" si="130"/>
        <v>0</v>
      </c>
      <c r="JF77" s="7">
        <f t="shared" si="131"/>
        <v>892854</v>
      </c>
      <c r="JG77" s="7">
        <f t="shared" si="132"/>
        <v>0</v>
      </c>
      <c r="JH77" s="7">
        <f t="shared" si="133"/>
        <v>577839</v>
      </c>
      <c r="JI77" s="7">
        <f t="shared" si="134"/>
        <v>0</v>
      </c>
      <c r="JJ77" s="7">
        <f t="shared" si="135"/>
        <v>0</v>
      </c>
      <c r="JK77" s="7">
        <f t="shared" si="136"/>
        <v>0</v>
      </c>
      <c r="JL77" s="7">
        <f t="shared" si="137"/>
        <v>8681267</v>
      </c>
      <c r="JM77" s="7">
        <f t="shared" si="138"/>
        <v>0</v>
      </c>
      <c r="JN77" s="7">
        <f t="shared" si="139"/>
        <v>110590</v>
      </c>
      <c r="JO77" s="7">
        <f t="shared" si="140"/>
        <v>0</v>
      </c>
      <c r="JP77" s="7">
        <f t="shared" si="141"/>
        <v>0</v>
      </c>
      <c r="JQ77" s="7">
        <f t="shared" si="142"/>
        <v>0</v>
      </c>
      <c r="JR77" s="7">
        <f t="shared" si="143"/>
        <v>304873</v>
      </c>
      <c r="JS77" s="7">
        <f t="shared" si="144"/>
        <v>0</v>
      </c>
      <c r="JT77" s="7">
        <f t="shared" si="145"/>
        <v>420784</v>
      </c>
      <c r="JU77" s="7">
        <f t="shared" si="146"/>
        <v>0</v>
      </c>
      <c r="JV77" s="7">
        <f t="shared" si="147"/>
        <v>1402437</v>
      </c>
      <c r="JW77" s="7">
        <f t="shared" si="148"/>
        <v>0</v>
      </c>
      <c r="JX77" s="7">
        <f t="shared" si="149"/>
        <v>27690963</v>
      </c>
      <c r="JY77" s="7">
        <f t="shared" si="150"/>
        <v>0</v>
      </c>
      <c r="JZ77" s="7">
        <f t="shared" si="151"/>
        <v>0</v>
      </c>
      <c r="KA77" s="7">
        <f t="shared" si="152"/>
        <v>0</v>
      </c>
      <c r="KB77" s="7">
        <f t="shared" si="153"/>
        <v>27690963</v>
      </c>
      <c r="KC77" s="7">
        <f t="shared" si="154"/>
        <v>0</v>
      </c>
      <c r="KE77" s="7" t="e">
        <f t="shared" si="107"/>
        <v>#REF!</v>
      </c>
      <c r="KG77" s="5" t="e">
        <f t="shared" si="108"/>
        <v>#REF!</v>
      </c>
    </row>
    <row r="78" spans="1:304" x14ac:dyDescent="0.15">
      <c r="A78" s="13" t="s">
        <v>288</v>
      </c>
      <c r="B78" s="17" t="s">
        <v>342</v>
      </c>
      <c r="C78" s="38">
        <v>187985</v>
      </c>
      <c r="D78" s="38">
        <v>2013</v>
      </c>
      <c r="E78" s="38">
        <v>1</v>
      </c>
      <c r="F78" s="38">
        <v>2</v>
      </c>
      <c r="G78" s="39">
        <v>12866</v>
      </c>
      <c r="H78" s="39">
        <v>10696</v>
      </c>
      <c r="I78" s="40">
        <v>652204710</v>
      </c>
      <c r="J78" s="40"/>
      <c r="K78" s="40">
        <v>12657469</v>
      </c>
      <c r="L78" s="40"/>
      <c r="M78" s="40">
        <v>24611913</v>
      </c>
      <c r="N78" s="40"/>
      <c r="O78" s="40">
        <v>115218622</v>
      </c>
      <c r="P78" s="40"/>
      <c r="Q78" s="40">
        <v>372384580</v>
      </c>
      <c r="R78" s="40"/>
      <c r="S78" s="40">
        <v>440208052</v>
      </c>
      <c r="T78" s="40"/>
      <c r="U78" s="40">
        <v>29610</v>
      </c>
      <c r="V78" s="40"/>
      <c r="W78" s="40">
        <v>30140</v>
      </c>
      <c r="X78" s="40"/>
      <c r="Y78" s="40">
        <v>23326</v>
      </c>
      <c r="Z78" s="40"/>
      <c r="AA78" s="40">
        <v>33856</v>
      </c>
      <c r="AB78" s="40"/>
      <c r="AC78" s="56">
        <v>8</v>
      </c>
      <c r="AD78" s="56">
        <v>9</v>
      </c>
      <c r="AE78" s="56">
        <v>0</v>
      </c>
      <c r="AF78" s="57">
        <v>3357956</v>
      </c>
      <c r="AG78" s="57">
        <v>2135306</v>
      </c>
      <c r="AH78" s="57">
        <v>1069423</v>
      </c>
      <c r="AI78" s="57">
        <v>524790</v>
      </c>
      <c r="AJ78" s="57">
        <v>704296.18</v>
      </c>
      <c r="AK78" s="58">
        <v>5.5</v>
      </c>
      <c r="AL78" s="57">
        <v>645604.82999999996</v>
      </c>
      <c r="AM78" s="58">
        <v>6</v>
      </c>
      <c r="AN78" s="57">
        <v>248259.23</v>
      </c>
      <c r="AO78" s="58">
        <v>6.5</v>
      </c>
      <c r="AP78" s="57">
        <v>230526.43</v>
      </c>
      <c r="AQ78" s="58">
        <v>7</v>
      </c>
      <c r="AR78" s="57">
        <v>204581.08</v>
      </c>
      <c r="AS78" s="58">
        <v>18.5</v>
      </c>
      <c r="AT78" s="57">
        <v>180226.19</v>
      </c>
      <c r="AU78" s="58">
        <v>21</v>
      </c>
      <c r="AV78" s="57">
        <v>96330.22</v>
      </c>
      <c r="AW78" s="58">
        <v>13.5</v>
      </c>
      <c r="AX78" s="57">
        <v>81278.63</v>
      </c>
      <c r="AY78" s="58">
        <v>16</v>
      </c>
      <c r="AZ78" s="79">
        <v>9334687</v>
      </c>
      <c r="BA78" s="79">
        <v>200000</v>
      </c>
      <c r="BB78" s="79">
        <v>11300199</v>
      </c>
      <c r="BC78" s="79">
        <v>778622</v>
      </c>
      <c r="BD78" s="79">
        <v>60250</v>
      </c>
      <c r="BE78" s="79">
        <v>0</v>
      </c>
      <c r="BF78" s="79">
        <v>0</v>
      </c>
      <c r="BG78" s="79">
        <v>0</v>
      </c>
      <c r="BH78" s="79">
        <v>0</v>
      </c>
      <c r="BI78" s="79">
        <v>0</v>
      </c>
      <c r="BJ78" s="79">
        <v>0</v>
      </c>
      <c r="BK78" s="79">
        <v>123008</v>
      </c>
      <c r="BL78" s="79">
        <v>37708</v>
      </c>
      <c r="BM78" s="79">
        <v>33720</v>
      </c>
      <c r="BN78" s="79">
        <v>167346</v>
      </c>
      <c r="BO78" s="79">
        <v>114982</v>
      </c>
      <c r="BP78" s="79">
        <v>476764</v>
      </c>
      <c r="BQ78" s="79">
        <v>1905770</v>
      </c>
      <c r="BR78" s="79">
        <v>0</v>
      </c>
      <c r="BS78" s="79">
        <v>300019</v>
      </c>
      <c r="BT78" s="79">
        <v>19986</v>
      </c>
      <c r="BU78" s="79">
        <v>597548</v>
      </c>
      <c r="BV78" s="79">
        <v>2823323</v>
      </c>
      <c r="BW78" s="79">
        <v>39241208</v>
      </c>
      <c r="BX78" s="79">
        <v>8288493</v>
      </c>
      <c r="BY78" s="79">
        <v>2722844</v>
      </c>
      <c r="BZ78" s="79">
        <v>5252040</v>
      </c>
      <c r="CA78" s="79">
        <v>17413405</v>
      </c>
      <c r="CB78" s="79">
        <v>72917990</v>
      </c>
      <c r="CC78" s="79">
        <v>2174707</v>
      </c>
      <c r="CD78" s="79">
        <v>333538</v>
      </c>
      <c r="CE78" s="79">
        <v>369269</v>
      </c>
      <c r="CF78" s="79">
        <v>2615748</v>
      </c>
      <c r="CG78" s="79">
        <v>23886</v>
      </c>
      <c r="CH78" s="79">
        <v>5517148</v>
      </c>
      <c r="CI78" s="79">
        <v>510000</v>
      </c>
      <c r="CJ78" s="79">
        <v>683397</v>
      </c>
      <c r="CK78" s="79">
        <v>146358</v>
      </c>
      <c r="CL78" s="79">
        <v>127099</v>
      </c>
      <c r="CM78" s="79">
        <v>0</v>
      </c>
      <c r="CN78" s="79">
        <v>1466854</v>
      </c>
      <c r="CO78" s="79">
        <v>4780505</v>
      </c>
      <c r="CP78" s="79">
        <v>1439407</v>
      </c>
      <c r="CQ78" s="79">
        <v>1101419</v>
      </c>
      <c r="CR78" s="79">
        <v>3251191</v>
      </c>
      <c r="CS78" s="79">
        <v>0</v>
      </c>
      <c r="CT78" s="79">
        <v>10572522</v>
      </c>
      <c r="CU78" s="79">
        <v>0</v>
      </c>
      <c r="CV78" s="79">
        <v>0</v>
      </c>
      <c r="CW78" s="79">
        <v>0</v>
      </c>
      <c r="CX78" s="79">
        <v>0</v>
      </c>
      <c r="CY78" s="79">
        <v>0</v>
      </c>
      <c r="CZ78" s="79">
        <v>0</v>
      </c>
      <c r="DA78" s="79">
        <v>1900253</v>
      </c>
      <c r="DB78" s="79">
        <v>1050580</v>
      </c>
      <c r="DC78" s="79">
        <v>247576</v>
      </c>
      <c r="DD78" s="79">
        <v>431509</v>
      </c>
      <c r="DE78" s="79">
        <v>9462216</v>
      </c>
      <c r="DF78" s="79">
        <v>13092134</v>
      </c>
      <c r="DG78" s="79">
        <v>0</v>
      </c>
      <c r="DH78" s="79">
        <v>0</v>
      </c>
      <c r="DI78" s="79">
        <v>0</v>
      </c>
      <c r="DJ78" s="79">
        <v>0</v>
      </c>
      <c r="DK78" s="79">
        <v>0</v>
      </c>
      <c r="DL78" s="79">
        <v>0</v>
      </c>
      <c r="DM78" s="79">
        <v>0</v>
      </c>
      <c r="DN78" s="79">
        <v>0</v>
      </c>
      <c r="DO78" s="79">
        <v>0</v>
      </c>
      <c r="DP78" s="79">
        <v>0</v>
      </c>
      <c r="DQ78" s="79">
        <v>0</v>
      </c>
      <c r="DR78" s="79">
        <v>0</v>
      </c>
      <c r="DS78" s="79">
        <v>622897</v>
      </c>
      <c r="DT78" s="79">
        <v>198778</v>
      </c>
      <c r="DU78" s="79">
        <v>171740</v>
      </c>
      <c r="DV78" s="79">
        <v>600798</v>
      </c>
      <c r="DW78" s="79">
        <v>0</v>
      </c>
      <c r="DX78" s="79">
        <v>1594213</v>
      </c>
      <c r="DY78" s="79">
        <v>1335203</v>
      </c>
      <c r="DZ78" s="79">
        <v>583799</v>
      </c>
      <c r="EA78" s="79">
        <v>587590</v>
      </c>
      <c r="EB78" s="79">
        <v>1844914</v>
      </c>
      <c r="EC78" s="79">
        <v>0</v>
      </c>
      <c r="ED78" s="79">
        <v>4351506</v>
      </c>
      <c r="EE78" s="79">
        <v>806341</v>
      </c>
      <c r="EF78" s="79">
        <v>112991</v>
      </c>
      <c r="EG78" s="79">
        <v>85787</v>
      </c>
      <c r="EH78" s="79">
        <v>527718</v>
      </c>
      <c r="EI78" s="79">
        <v>78333</v>
      </c>
      <c r="EJ78" s="79">
        <v>1611170</v>
      </c>
      <c r="EK78" s="79">
        <v>1508968</v>
      </c>
      <c r="EL78" s="79">
        <v>360316</v>
      </c>
      <c r="EM78" s="79">
        <v>377881</v>
      </c>
      <c r="EN78" s="79">
        <v>394867</v>
      </c>
      <c r="EO78" s="79">
        <v>110348</v>
      </c>
      <c r="EP78" s="79">
        <v>2752380</v>
      </c>
      <c r="EQ78" s="79">
        <v>84032</v>
      </c>
      <c r="ER78" s="79">
        <v>38015</v>
      </c>
      <c r="ES78" s="79">
        <v>18666</v>
      </c>
      <c r="ET78" s="79">
        <v>34849</v>
      </c>
      <c r="EU78" s="79">
        <v>2140988</v>
      </c>
      <c r="EV78" s="79">
        <v>2316550</v>
      </c>
      <c r="EW78" s="79">
        <v>0</v>
      </c>
      <c r="EX78" s="79">
        <v>0</v>
      </c>
      <c r="EY78" s="79">
        <v>0</v>
      </c>
      <c r="EZ78" s="79">
        <v>0</v>
      </c>
      <c r="FA78" s="79">
        <v>0</v>
      </c>
      <c r="FB78" s="79">
        <v>0</v>
      </c>
      <c r="FC78" s="79">
        <v>7034181</v>
      </c>
      <c r="FD78" s="79">
        <v>1539523</v>
      </c>
      <c r="FE78" s="79">
        <v>1482513</v>
      </c>
      <c r="FF78" s="79">
        <v>4879750</v>
      </c>
      <c r="FG78" s="79">
        <v>4190519</v>
      </c>
      <c r="FH78" s="79">
        <v>19126486</v>
      </c>
      <c r="FI78" s="79">
        <v>122333</v>
      </c>
      <c r="FJ78" s="79">
        <v>0</v>
      </c>
      <c r="FK78" s="79">
        <v>0</v>
      </c>
      <c r="FL78" s="79">
        <v>0</v>
      </c>
      <c r="FM78" s="79">
        <v>71003</v>
      </c>
      <c r="FN78" s="79">
        <v>193336</v>
      </c>
      <c r="FO78" s="79">
        <v>0</v>
      </c>
      <c r="FP78" s="79">
        <v>0</v>
      </c>
      <c r="FQ78" s="79">
        <v>0</v>
      </c>
      <c r="FR78" s="79">
        <v>0</v>
      </c>
      <c r="FS78" s="79">
        <v>0</v>
      </c>
      <c r="FT78" s="79">
        <v>0</v>
      </c>
      <c r="FU78" s="79">
        <v>56412</v>
      </c>
      <c r="FV78" s="79">
        <v>4302</v>
      </c>
      <c r="FW78" s="79">
        <v>5459</v>
      </c>
      <c r="FX78" s="79">
        <v>94093</v>
      </c>
      <c r="FY78" s="79">
        <v>827115</v>
      </c>
      <c r="FZ78" s="79">
        <v>987381</v>
      </c>
      <c r="GA78" s="79">
        <v>10853</v>
      </c>
      <c r="GB78" s="79">
        <v>4540</v>
      </c>
      <c r="GC78" s="79">
        <v>1648</v>
      </c>
      <c r="GD78" s="79">
        <v>12123</v>
      </c>
      <c r="GE78" s="79">
        <v>29868</v>
      </c>
      <c r="GF78" s="79">
        <v>59032</v>
      </c>
      <c r="GG78" s="79">
        <v>590697</v>
      </c>
      <c r="GH78" s="79">
        <v>269537</v>
      </c>
      <c r="GI78" s="79">
        <v>123657</v>
      </c>
      <c r="GJ78" s="79">
        <v>185443</v>
      </c>
      <c r="GK78" s="79">
        <v>1486400</v>
      </c>
      <c r="GL78" s="79">
        <v>2655734</v>
      </c>
      <c r="GM78" s="79">
        <v>21537382</v>
      </c>
      <c r="GN78" s="79">
        <v>6618723</v>
      </c>
      <c r="GO78" s="79">
        <v>4719563</v>
      </c>
      <c r="GP78" s="79">
        <v>15000102</v>
      </c>
      <c r="GQ78" s="79">
        <v>18420676</v>
      </c>
      <c r="GR78" s="79">
        <v>66296446</v>
      </c>
      <c r="GS78" s="79">
        <v>0</v>
      </c>
      <c r="GT78" s="79">
        <v>0</v>
      </c>
      <c r="GU78" s="79">
        <v>0</v>
      </c>
      <c r="GV78" s="79">
        <v>0</v>
      </c>
      <c r="GW78" s="79">
        <v>0</v>
      </c>
      <c r="GX78" s="79">
        <v>0</v>
      </c>
      <c r="GY78" s="79">
        <v>21537382</v>
      </c>
      <c r="GZ78" s="79">
        <v>6618723</v>
      </c>
      <c r="HA78" s="79">
        <v>4719563</v>
      </c>
      <c r="HB78" s="79">
        <v>15000102</v>
      </c>
      <c r="HC78" s="79">
        <v>18420676</v>
      </c>
      <c r="HD78" s="79">
        <v>66296446</v>
      </c>
      <c r="HF78" s="7">
        <f>SUM(AZ78:AZ78)</f>
        <v>9334687</v>
      </c>
      <c r="HG78" s="7" t="e">
        <f>#REF!-HF78</f>
        <v>#REF!</v>
      </c>
      <c r="HH78" s="7" t="e">
        <f>SUM(#REF!)</f>
        <v>#REF!</v>
      </c>
      <c r="HI78" s="7" t="e">
        <f>#REF!-HH78</f>
        <v>#REF!</v>
      </c>
      <c r="HJ78" s="7">
        <f>SUM(BA78:BA78)</f>
        <v>200000</v>
      </c>
      <c r="HK78" s="7" t="e">
        <f>#REF!-HJ78</f>
        <v>#REF!</v>
      </c>
      <c r="HL78" s="7">
        <f>SUM(BB78:BB78)</f>
        <v>11300199</v>
      </c>
      <c r="HM78" s="7" t="e">
        <f>#REF!-HL78</f>
        <v>#REF!</v>
      </c>
      <c r="HN78" s="7" t="e">
        <f>SUM(#REF!)</f>
        <v>#REF!</v>
      </c>
      <c r="HO78" s="7" t="e">
        <f>#REF!-HN78</f>
        <v>#REF!</v>
      </c>
      <c r="HP78" s="7" t="e">
        <f>SUM(#REF!)</f>
        <v>#REF!</v>
      </c>
      <c r="HQ78" s="7" t="e">
        <f>#REF!-HP78</f>
        <v>#REF!</v>
      </c>
      <c r="HR78" s="7" t="e">
        <f>SUM(#REF!)</f>
        <v>#REF!</v>
      </c>
      <c r="HS78" s="7" t="e">
        <f>#REF!-HR78</f>
        <v>#REF!</v>
      </c>
      <c r="HT78" s="7" t="e">
        <f>SUM(#REF!)</f>
        <v>#REF!</v>
      </c>
      <c r="HU78" s="7" t="e">
        <f>#REF!-HT78</f>
        <v>#REF!</v>
      </c>
      <c r="HV78" s="7" t="e">
        <f>SUM(#REF!)</f>
        <v>#REF!</v>
      </c>
      <c r="HW78" s="7" t="e">
        <f>#REF!-HV78</f>
        <v>#REF!</v>
      </c>
      <c r="HX78" s="7" t="e">
        <f>SUM(#REF!)</f>
        <v>#REF!</v>
      </c>
      <c r="HY78" s="7" t="e">
        <f>#REF!-HX78</f>
        <v>#REF!</v>
      </c>
      <c r="HZ78" s="7">
        <f>SUM(BC78:BC78)</f>
        <v>778622</v>
      </c>
      <c r="IA78" s="7" t="e">
        <f>#REF!-HZ78</f>
        <v>#REF!</v>
      </c>
      <c r="IB78" s="7">
        <f>SUM(BD78:BD78)</f>
        <v>60250</v>
      </c>
      <c r="IC78" s="7" t="e">
        <f>#REF!-IB78</f>
        <v>#REF!</v>
      </c>
      <c r="ID78" s="7">
        <f t="shared" si="109"/>
        <v>0</v>
      </c>
      <c r="IE78" s="7">
        <f t="shared" si="110"/>
        <v>0</v>
      </c>
      <c r="IF78" s="7">
        <f t="shared" si="111"/>
        <v>476764</v>
      </c>
      <c r="IG78" s="7">
        <f t="shared" si="112"/>
        <v>0</v>
      </c>
      <c r="IH78" s="7">
        <f t="shared" si="113"/>
        <v>2823323</v>
      </c>
      <c r="II78" s="7">
        <f t="shared" si="155"/>
        <v>0</v>
      </c>
      <c r="IJ78" s="7">
        <f t="shared" si="156"/>
        <v>72917990</v>
      </c>
      <c r="IK78" s="7">
        <f t="shared" si="114"/>
        <v>0</v>
      </c>
      <c r="IL78" s="7">
        <f t="shared" si="115"/>
        <v>5517148</v>
      </c>
      <c r="IM78" s="7">
        <f t="shared" si="116"/>
        <v>0</v>
      </c>
      <c r="IN78" s="7">
        <f t="shared" si="117"/>
        <v>1466854</v>
      </c>
      <c r="IO78" s="7">
        <f t="shared" si="118"/>
        <v>0</v>
      </c>
      <c r="IP78" s="7">
        <f t="shared" si="119"/>
        <v>10572522</v>
      </c>
      <c r="IQ78" s="7">
        <f t="shared" si="120"/>
        <v>0</v>
      </c>
      <c r="IR78" s="7">
        <f t="shared" si="121"/>
        <v>0</v>
      </c>
      <c r="IS78" s="7">
        <f t="shared" si="122"/>
        <v>0</v>
      </c>
      <c r="IT78" s="7">
        <f t="shared" si="123"/>
        <v>13092134</v>
      </c>
      <c r="IU78" s="7">
        <f t="shared" si="124"/>
        <v>0</v>
      </c>
      <c r="IV78" s="7">
        <f t="shared" si="157"/>
        <v>0</v>
      </c>
      <c r="IW78" s="7">
        <f t="shared" si="158"/>
        <v>0</v>
      </c>
      <c r="IX78" s="7">
        <f t="shared" si="125"/>
        <v>0</v>
      </c>
      <c r="IY78" s="7">
        <f t="shared" si="126"/>
        <v>0</v>
      </c>
      <c r="IZ78" s="7">
        <f t="shared" si="127"/>
        <v>1594213</v>
      </c>
      <c r="JA78" s="7">
        <f t="shared" si="128"/>
        <v>0</v>
      </c>
      <c r="JB78" s="7">
        <f t="shared" si="159"/>
        <v>4351506</v>
      </c>
      <c r="JC78" s="7">
        <f t="shared" si="160"/>
        <v>0</v>
      </c>
      <c r="JD78" s="7">
        <f t="shared" si="129"/>
        <v>1611170</v>
      </c>
      <c r="JE78" s="7">
        <f t="shared" si="130"/>
        <v>0</v>
      </c>
      <c r="JF78" s="7">
        <f t="shared" si="131"/>
        <v>2752380</v>
      </c>
      <c r="JG78" s="7">
        <f t="shared" si="132"/>
        <v>0</v>
      </c>
      <c r="JH78" s="7">
        <f t="shared" si="133"/>
        <v>2316550</v>
      </c>
      <c r="JI78" s="7">
        <f t="shared" si="134"/>
        <v>0</v>
      </c>
      <c r="JJ78" s="7">
        <f t="shared" si="135"/>
        <v>0</v>
      </c>
      <c r="JK78" s="7">
        <f t="shared" si="136"/>
        <v>0</v>
      </c>
      <c r="JL78" s="7">
        <f t="shared" si="137"/>
        <v>19126486</v>
      </c>
      <c r="JM78" s="7">
        <f t="shared" si="138"/>
        <v>0</v>
      </c>
      <c r="JN78" s="7">
        <f t="shared" si="139"/>
        <v>193336</v>
      </c>
      <c r="JO78" s="7">
        <f t="shared" si="140"/>
        <v>0</v>
      </c>
      <c r="JP78" s="7">
        <f t="shared" si="141"/>
        <v>0</v>
      </c>
      <c r="JQ78" s="7">
        <f t="shared" si="142"/>
        <v>0</v>
      </c>
      <c r="JR78" s="7">
        <f t="shared" si="143"/>
        <v>987381</v>
      </c>
      <c r="JS78" s="7">
        <f t="shared" si="144"/>
        <v>0</v>
      </c>
      <c r="JT78" s="7">
        <f t="shared" si="145"/>
        <v>59032</v>
      </c>
      <c r="JU78" s="7">
        <f t="shared" si="146"/>
        <v>0</v>
      </c>
      <c r="JV78" s="7">
        <f t="shared" si="147"/>
        <v>2655734</v>
      </c>
      <c r="JW78" s="7">
        <f t="shared" si="148"/>
        <v>0</v>
      </c>
      <c r="JX78" s="7">
        <f t="shared" si="149"/>
        <v>66296446</v>
      </c>
      <c r="JY78" s="7">
        <f t="shared" si="150"/>
        <v>0</v>
      </c>
      <c r="JZ78" s="7">
        <f t="shared" si="151"/>
        <v>0</v>
      </c>
      <c r="KA78" s="7">
        <f t="shared" si="152"/>
        <v>0</v>
      </c>
      <c r="KB78" s="7">
        <f t="shared" si="153"/>
        <v>66296446</v>
      </c>
      <c r="KC78" s="7">
        <f t="shared" si="154"/>
        <v>0</v>
      </c>
      <c r="KE78" s="7" t="e">
        <f t="shared" si="107"/>
        <v>#REF!</v>
      </c>
      <c r="KG78" s="5" t="e">
        <f t="shared" si="108"/>
        <v>#REF!</v>
      </c>
    </row>
    <row r="79" spans="1:304" x14ac:dyDescent="0.15">
      <c r="A79" s="119" t="s">
        <v>289</v>
      </c>
      <c r="B79" s="17" t="s">
        <v>340</v>
      </c>
      <c r="C79" s="41">
        <v>206084</v>
      </c>
      <c r="D79" s="38">
        <v>2013</v>
      </c>
      <c r="E79" s="38">
        <v>1</v>
      </c>
      <c r="F79" s="38">
        <v>9</v>
      </c>
      <c r="G79" s="39">
        <v>7185</v>
      </c>
      <c r="H79" s="39">
        <v>7014</v>
      </c>
      <c r="I79" s="40">
        <v>838337000</v>
      </c>
      <c r="J79" s="40"/>
      <c r="K79" s="40">
        <v>1803738</v>
      </c>
      <c r="L79" s="40"/>
      <c r="M79" s="40">
        <v>38996000</v>
      </c>
      <c r="N79" s="40"/>
      <c r="O79" s="40">
        <v>46091711</v>
      </c>
      <c r="P79" s="40"/>
      <c r="Q79" s="40">
        <v>360225000</v>
      </c>
      <c r="R79" s="40"/>
      <c r="S79" s="40">
        <v>370606000</v>
      </c>
      <c r="T79" s="40"/>
      <c r="U79" s="40">
        <v>20904</v>
      </c>
      <c r="V79" s="40"/>
      <c r="W79" s="40">
        <v>30024</v>
      </c>
      <c r="X79" s="40"/>
      <c r="Y79" s="40">
        <v>24487</v>
      </c>
      <c r="Z79" s="40"/>
      <c r="AA79" s="40">
        <v>33607</v>
      </c>
      <c r="AB79" s="40"/>
      <c r="AC79" s="56">
        <v>6</v>
      </c>
      <c r="AD79" s="56">
        <v>10</v>
      </c>
      <c r="AE79" s="56">
        <v>0</v>
      </c>
      <c r="AF79" s="57">
        <v>3482329</v>
      </c>
      <c r="AG79" s="57">
        <v>2750738</v>
      </c>
      <c r="AH79" s="57">
        <v>254099</v>
      </c>
      <c r="AI79" s="57">
        <v>148540</v>
      </c>
      <c r="AJ79" s="57">
        <v>186313.09</v>
      </c>
      <c r="AK79" s="58">
        <v>5.5</v>
      </c>
      <c r="AL79" s="57">
        <v>170787</v>
      </c>
      <c r="AM79" s="58">
        <v>6</v>
      </c>
      <c r="AN79" s="57">
        <v>89473.38</v>
      </c>
      <c r="AO79" s="58">
        <v>8</v>
      </c>
      <c r="AP79" s="57">
        <v>89473.38</v>
      </c>
      <c r="AQ79" s="58">
        <v>8</v>
      </c>
      <c r="AR79" s="57">
        <v>92527.29</v>
      </c>
      <c r="AS79" s="58">
        <v>15.5</v>
      </c>
      <c r="AT79" s="57">
        <v>84363.12</v>
      </c>
      <c r="AU79" s="58">
        <v>17</v>
      </c>
      <c r="AV79" s="57">
        <v>39881.85</v>
      </c>
      <c r="AW79" s="58">
        <v>13.5</v>
      </c>
      <c r="AX79" s="57">
        <v>33650.31</v>
      </c>
      <c r="AY79" s="58">
        <v>16</v>
      </c>
      <c r="AZ79" s="79">
        <v>1197038</v>
      </c>
      <c r="BA79" s="79">
        <v>1625000</v>
      </c>
      <c r="BB79" s="79">
        <v>146527</v>
      </c>
      <c r="BC79" s="79">
        <v>9248</v>
      </c>
      <c r="BD79" s="79">
        <v>2705</v>
      </c>
      <c r="BE79" s="79">
        <v>49925</v>
      </c>
      <c r="BF79" s="79">
        <v>57898</v>
      </c>
      <c r="BG79" s="79">
        <v>38492</v>
      </c>
      <c r="BH79" s="79">
        <v>94224</v>
      </c>
      <c r="BI79" s="79">
        <v>0</v>
      </c>
      <c r="BJ79" s="79">
        <v>240539</v>
      </c>
      <c r="BK79" s="79">
        <v>0</v>
      </c>
      <c r="BL79" s="79">
        <v>0</v>
      </c>
      <c r="BM79" s="79">
        <v>0</v>
      </c>
      <c r="BN79" s="79">
        <v>0</v>
      </c>
      <c r="BO79" s="79">
        <v>0</v>
      </c>
      <c r="BP79" s="79">
        <v>0</v>
      </c>
      <c r="BQ79" s="79">
        <v>146527</v>
      </c>
      <c r="BR79" s="79">
        <v>16096</v>
      </c>
      <c r="BS79" s="79">
        <v>109493</v>
      </c>
      <c r="BT79" s="79">
        <v>0</v>
      </c>
      <c r="BU79" s="79">
        <v>752566</v>
      </c>
      <c r="BV79" s="79">
        <v>1024682</v>
      </c>
      <c r="BW79" s="79">
        <v>3538455</v>
      </c>
      <c r="BX79" s="79">
        <v>719955</v>
      </c>
      <c r="BY79" s="79">
        <v>461997</v>
      </c>
      <c r="BZ79" s="79">
        <v>195494</v>
      </c>
      <c r="CA79" s="79">
        <v>18138317</v>
      </c>
      <c r="CB79" s="79">
        <v>23054218</v>
      </c>
      <c r="CC79" s="79">
        <v>2414622</v>
      </c>
      <c r="CD79" s="79">
        <v>377396</v>
      </c>
      <c r="CE79" s="79">
        <v>481305</v>
      </c>
      <c r="CF79" s="79">
        <v>2959744</v>
      </c>
      <c r="CG79" s="79">
        <v>0</v>
      </c>
      <c r="CH79" s="79">
        <v>6233067</v>
      </c>
      <c r="CI79" s="79">
        <v>625000</v>
      </c>
      <c r="CJ79" s="79">
        <v>82089</v>
      </c>
      <c r="CK79" s="79">
        <v>93527</v>
      </c>
      <c r="CL79" s="79">
        <v>2750</v>
      </c>
      <c r="CM79" s="79">
        <v>0</v>
      </c>
      <c r="CN79" s="79">
        <v>803366</v>
      </c>
      <c r="CO79" s="79">
        <v>1383994</v>
      </c>
      <c r="CP79" s="79">
        <v>770583</v>
      </c>
      <c r="CQ79" s="79">
        <v>535265</v>
      </c>
      <c r="CR79" s="79">
        <v>1023245</v>
      </c>
      <c r="CS79" s="79">
        <v>0</v>
      </c>
      <c r="CT79" s="79">
        <v>3713087</v>
      </c>
      <c r="CU79" s="79">
        <v>0</v>
      </c>
      <c r="CV79" s="79">
        <v>0</v>
      </c>
      <c r="CW79" s="79">
        <v>0</v>
      </c>
      <c r="CX79" s="79">
        <v>0</v>
      </c>
      <c r="CY79" s="79">
        <v>0</v>
      </c>
      <c r="CZ79" s="79">
        <v>0</v>
      </c>
      <c r="DA79" s="79">
        <v>258335</v>
      </c>
      <c r="DB79" s="79">
        <v>39237</v>
      </c>
      <c r="DC79" s="79">
        <v>68234</v>
      </c>
      <c r="DD79" s="79">
        <v>0</v>
      </c>
      <c r="DE79" s="79">
        <v>3223896</v>
      </c>
      <c r="DF79" s="79">
        <v>3589702</v>
      </c>
      <c r="DG79" s="79">
        <v>0</v>
      </c>
      <c r="DH79" s="79">
        <v>0</v>
      </c>
      <c r="DI79" s="79">
        <v>0</v>
      </c>
      <c r="DJ79" s="79">
        <v>0</v>
      </c>
      <c r="DK79" s="79">
        <v>0</v>
      </c>
      <c r="DL79" s="79">
        <v>0</v>
      </c>
      <c r="DM79" s="79">
        <v>0</v>
      </c>
      <c r="DN79" s="79">
        <v>0</v>
      </c>
      <c r="DO79" s="79">
        <v>0</v>
      </c>
      <c r="DP79" s="79">
        <v>0</v>
      </c>
      <c r="DQ79" s="79">
        <v>0</v>
      </c>
      <c r="DR79" s="79">
        <v>0</v>
      </c>
      <c r="DS79" s="79">
        <v>171153</v>
      </c>
      <c r="DT79" s="79">
        <v>67601</v>
      </c>
      <c r="DU79" s="79">
        <v>97933</v>
      </c>
      <c r="DV79" s="79">
        <v>65952</v>
      </c>
      <c r="DW79" s="79">
        <v>0</v>
      </c>
      <c r="DX79" s="79">
        <v>402639</v>
      </c>
      <c r="DY79" s="79">
        <v>1173403</v>
      </c>
      <c r="DZ79" s="79">
        <v>124995</v>
      </c>
      <c r="EA79" s="79">
        <v>150584</v>
      </c>
      <c r="EB79" s="79">
        <v>627290</v>
      </c>
      <c r="EC79" s="79">
        <v>182761</v>
      </c>
      <c r="ED79" s="79">
        <v>2259033</v>
      </c>
      <c r="EE79" s="79">
        <v>351532</v>
      </c>
      <c r="EF79" s="79">
        <v>62902</v>
      </c>
      <c r="EG79" s="79">
        <v>74270</v>
      </c>
      <c r="EH79" s="79">
        <v>268076</v>
      </c>
      <c r="EI79" s="79">
        <v>343682</v>
      </c>
      <c r="EJ79" s="79">
        <v>1100462</v>
      </c>
      <c r="EK79" s="79">
        <v>407924</v>
      </c>
      <c r="EL79" s="79">
        <v>192356</v>
      </c>
      <c r="EM79" s="79">
        <v>99171</v>
      </c>
      <c r="EN79" s="79">
        <v>134344</v>
      </c>
      <c r="EO79" s="79">
        <v>0</v>
      </c>
      <c r="EP79" s="79">
        <v>833795</v>
      </c>
      <c r="EQ79" s="79">
        <v>0</v>
      </c>
      <c r="ER79" s="79">
        <v>0</v>
      </c>
      <c r="ES79" s="79">
        <v>0</v>
      </c>
      <c r="ET79" s="79">
        <v>0</v>
      </c>
      <c r="EU79" s="79">
        <v>958127</v>
      </c>
      <c r="EV79" s="79">
        <v>958127</v>
      </c>
      <c r="EW79" s="79">
        <v>49925</v>
      </c>
      <c r="EX79" s="79">
        <v>57898</v>
      </c>
      <c r="EY79" s="79">
        <v>0</v>
      </c>
      <c r="EZ79" s="79">
        <v>94224</v>
      </c>
      <c r="FA79" s="79">
        <v>17854</v>
      </c>
      <c r="FB79" s="79">
        <v>219901</v>
      </c>
      <c r="FC79" s="79">
        <v>0</v>
      </c>
      <c r="FD79" s="79">
        <v>0</v>
      </c>
      <c r="FE79" s="79">
        <v>0</v>
      </c>
      <c r="FF79" s="79">
        <v>0</v>
      </c>
      <c r="FG79" s="79">
        <v>948796</v>
      </c>
      <c r="FH79" s="79">
        <v>948796</v>
      </c>
      <c r="FI79" s="79">
        <v>0</v>
      </c>
      <c r="FJ79" s="79">
        <v>0</v>
      </c>
      <c r="FK79" s="79">
        <v>0</v>
      </c>
      <c r="FL79" s="79">
        <v>0</v>
      </c>
      <c r="FM79" s="79">
        <v>66107</v>
      </c>
      <c r="FN79" s="79">
        <v>66107</v>
      </c>
      <c r="FO79" s="79">
        <v>0</v>
      </c>
      <c r="FP79" s="79">
        <v>0</v>
      </c>
      <c r="FQ79" s="79">
        <v>0</v>
      </c>
      <c r="FR79" s="79">
        <v>0</v>
      </c>
      <c r="FS79" s="79">
        <v>0</v>
      </c>
      <c r="FT79" s="79">
        <v>0</v>
      </c>
      <c r="FU79" s="79">
        <v>0</v>
      </c>
      <c r="FV79" s="79">
        <v>0</v>
      </c>
      <c r="FW79" s="79">
        <v>3495</v>
      </c>
      <c r="FX79" s="79">
        <v>0</v>
      </c>
      <c r="FY79" s="79">
        <v>260202</v>
      </c>
      <c r="FZ79" s="79">
        <v>263697</v>
      </c>
      <c r="GA79" s="79">
        <v>153494</v>
      </c>
      <c r="GB79" s="79">
        <v>4460</v>
      </c>
      <c r="GC79" s="79">
        <v>3530</v>
      </c>
      <c r="GD79" s="79">
        <v>0</v>
      </c>
      <c r="GE79" s="79">
        <v>15070</v>
      </c>
      <c r="GF79" s="79">
        <v>176554</v>
      </c>
      <c r="GG79" s="79">
        <v>468931</v>
      </c>
      <c r="GH79" s="79">
        <v>35768</v>
      </c>
      <c r="GI79" s="79">
        <v>37641</v>
      </c>
      <c r="GJ79" s="79">
        <v>0</v>
      </c>
      <c r="GK79" s="79">
        <v>1543468</v>
      </c>
      <c r="GL79" s="79">
        <v>2085808</v>
      </c>
      <c r="GM79" s="79">
        <v>7458313</v>
      </c>
      <c r="GN79" s="79">
        <v>1815285</v>
      </c>
      <c r="GO79" s="79">
        <v>1644955</v>
      </c>
      <c r="GP79" s="79">
        <v>5175625</v>
      </c>
      <c r="GQ79" s="79">
        <v>7559963</v>
      </c>
      <c r="GR79" s="79">
        <v>23654141</v>
      </c>
      <c r="GS79" s="79">
        <v>0</v>
      </c>
      <c r="GT79" s="79">
        <v>0</v>
      </c>
      <c r="GU79" s="79">
        <v>0</v>
      </c>
      <c r="GV79" s="79">
        <v>0</v>
      </c>
      <c r="GW79" s="79">
        <v>0</v>
      </c>
      <c r="GX79" s="79">
        <v>0</v>
      </c>
      <c r="GY79" s="79">
        <v>7458313</v>
      </c>
      <c r="GZ79" s="79">
        <v>1815285</v>
      </c>
      <c r="HA79" s="79">
        <v>1644955</v>
      </c>
      <c r="HB79" s="79">
        <v>5175625</v>
      </c>
      <c r="HC79" s="79">
        <v>7559963</v>
      </c>
      <c r="HD79" s="79">
        <v>23654141</v>
      </c>
      <c r="HF79" s="7">
        <f>SUM(AZ79:AZ79)</f>
        <v>1197038</v>
      </c>
      <c r="HG79" s="7" t="e">
        <f>#REF!-HF79</f>
        <v>#REF!</v>
      </c>
      <c r="HH79" s="7" t="e">
        <f>SUM(#REF!)</f>
        <v>#REF!</v>
      </c>
      <c r="HI79" s="7" t="e">
        <f>#REF!-HH79</f>
        <v>#REF!</v>
      </c>
      <c r="HJ79" s="7">
        <f>SUM(BA79:BA79)</f>
        <v>1625000</v>
      </c>
      <c r="HK79" s="7" t="e">
        <f>#REF!-HJ79</f>
        <v>#REF!</v>
      </c>
      <c r="HL79" s="7">
        <f>SUM(BB79:BB79)</f>
        <v>146527</v>
      </c>
      <c r="HM79" s="7" t="e">
        <f>#REF!-HL79</f>
        <v>#REF!</v>
      </c>
      <c r="HN79" s="7" t="e">
        <f>SUM(#REF!)</f>
        <v>#REF!</v>
      </c>
      <c r="HO79" s="7" t="e">
        <f>#REF!-HN79</f>
        <v>#REF!</v>
      </c>
      <c r="HP79" s="7" t="e">
        <f>SUM(#REF!)</f>
        <v>#REF!</v>
      </c>
      <c r="HQ79" s="7" t="e">
        <f>#REF!-HP79</f>
        <v>#REF!</v>
      </c>
      <c r="HR79" s="7" t="e">
        <f>SUM(#REF!)</f>
        <v>#REF!</v>
      </c>
      <c r="HS79" s="7" t="e">
        <f>#REF!-HR79</f>
        <v>#REF!</v>
      </c>
      <c r="HT79" s="7" t="e">
        <f>SUM(#REF!)</f>
        <v>#REF!</v>
      </c>
      <c r="HU79" s="7" t="e">
        <f>#REF!-HT79</f>
        <v>#REF!</v>
      </c>
      <c r="HV79" s="7" t="e">
        <f>SUM(#REF!)</f>
        <v>#REF!</v>
      </c>
      <c r="HW79" s="7" t="e">
        <f>#REF!-HV79</f>
        <v>#REF!</v>
      </c>
      <c r="HX79" s="7" t="e">
        <f>SUM(#REF!)</f>
        <v>#REF!</v>
      </c>
      <c r="HY79" s="7" t="e">
        <f>#REF!-HX79</f>
        <v>#REF!</v>
      </c>
      <c r="HZ79" s="7">
        <f>SUM(BC79:BC79)</f>
        <v>9248</v>
      </c>
      <c r="IA79" s="7" t="e">
        <f>#REF!-HZ79</f>
        <v>#REF!</v>
      </c>
      <c r="IB79" s="7">
        <f>SUM(BD79:BD79)</f>
        <v>2705</v>
      </c>
      <c r="IC79" s="7" t="e">
        <f>#REF!-IB79</f>
        <v>#REF!</v>
      </c>
      <c r="ID79" s="7">
        <f t="shared" si="109"/>
        <v>240539</v>
      </c>
      <c r="IE79" s="7">
        <f t="shared" si="110"/>
        <v>0</v>
      </c>
      <c r="IF79" s="7">
        <f t="shared" si="111"/>
        <v>0</v>
      </c>
      <c r="IG79" s="7">
        <f t="shared" si="112"/>
        <v>0</v>
      </c>
      <c r="IH79" s="7">
        <f t="shared" si="113"/>
        <v>1024682</v>
      </c>
      <c r="II79" s="7">
        <f t="shared" si="155"/>
        <v>0</v>
      </c>
      <c r="IJ79" s="7">
        <f t="shared" si="156"/>
        <v>23054218</v>
      </c>
      <c r="IK79" s="7">
        <f t="shared" si="114"/>
        <v>0</v>
      </c>
      <c r="IL79" s="7">
        <f t="shared" si="115"/>
        <v>6233067</v>
      </c>
      <c r="IM79" s="7">
        <f t="shared" si="116"/>
        <v>0</v>
      </c>
      <c r="IN79" s="7">
        <f t="shared" si="117"/>
        <v>803366</v>
      </c>
      <c r="IO79" s="7">
        <f t="shared" si="118"/>
        <v>0</v>
      </c>
      <c r="IP79" s="7">
        <f t="shared" si="119"/>
        <v>3713087</v>
      </c>
      <c r="IQ79" s="7">
        <f t="shared" si="120"/>
        <v>0</v>
      </c>
      <c r="IR79" s="7">
        <f t="shared" si="121"/>
        <v>0</v>
      </c>
      <c r="IS79" s="7">
        <f t="shared" si="122"/>
        <v>0</v>
      </c>
      <c r="IT79" s="7">
        <f t="shared" si="123"/>
        <v>3589702</v>
      </c>
      <c r="IU79" s="7">
        <f t="shared" si="124"/>
        <v>0</v>
      </c>
      <c r="IV79" s="7">
        <f t="shared" si="157"/>
        <v>0</v>
      </c>
      <c r="IW79" s="7">
        <f t="shared" si="158"/>
        <v>0</v>
      </c>
      <c r="IX79" s="7">
        <f t="shared" si="125"/>
        <v>0</v>
      </c>
      <c r="IY79" s="7">
        <f t="shared" si="126"/>
        <v>0</v>
      </c>
      <c r="IZ79" s="7">
        <f t="shared" si="127"/>
        <v>402639</v>
      </c>
      <c r="JA79" s="7">
        <f t="shared" si="128"/>
        <v>0</v>
      </c>
      <c r="JB79" s="7">
        <f t="shared" si="159"/>
        <v>2259033</v>
      </c>
      <c r="JC79" s="7">
        <f t="shared" si="160"/>
        <v>0</v>
      </c>
      <c r="JD79" s="7">
        <f t="shared" si="129"/>
        <v>1100462</v>
      </c>
      <c r="JE79" s="7">
        <f t="shared" si="130"/>
        <v>0</v>
      </c>
      <c r="JF79" s="7">
        <f t="shared" si="131"/>
        <v>833795</v>
      </c>
      <c r="JG79" s="7">
        <f t="shared" si="132"/>
        <v>0</v>
      </c>
      <c r="JH79" s="7">
        <f t="shared" si="133"/>
        <v>958127</v>
      </c>
      <c r="JI79" s="7">
        <f t="shared" si="134"/>
        <v>0</v>
      </c>
      <c r="JJ79" s="7">
        <f t="shared" si="135"/>
        <v>219901</v>
      </c>
      <c r="JK79" s="7">
        <f t="shared" si="136"/>
        <v>0</v>
      </c>
      <c r="JL79" s="7">
        <f t="shared" si="137"/>
        <v>948796</v>
      </c>
      <c r="JM79" s="7">
        <f t="shared" si="138"/>
        <v>0</v>
      </c>
      <c r="JN79" s="7">
        <f t="shared" si="139"/>
        <v>66107</v>
      </c>
      <c r="JO79" s="7">
        <f t="shared" si="140"/>
        <v>0</v>
      </c>
      <c r="JP79" s="7">
        <f t="shared" si="141"/>
        <v>0</v>
      </c>
      <c r="JQ79" s="7">
        <f t="shared" si="142"/>
        <v>0</v>
      </c>
      <c r="JR79" s="7">
        <f t="shared" si="143"/>
        <v>263697</v>
      </c>
      <c r="JS79" s="7">
        <f t="shared" si="144"/>
        <v>0</v>
      </c>
      <c r="JT79" s="7">
        <f t="shared" si="145"/>
        <v>176554</v>
      </c>
      <c r="JU79" s="7">
        <f t="shared" si="146"/>
        <v>0</v>
      </c>
      <c r="JV79" s="7">
        <f t="shared" si="147"/>
        <v>2085808</v>
      </c>
      <c r="JW79" s="7">
        <f t="shared" si="148"/>
        <v>0</v>
      </c>
      <c r="JX79" s="7">
        <f t="shared" si="149"/>
        <v>23654141</v>
      </c>
      <c r="JY79" s="7">
        <f t="shared" si="150"/>
        <v>0</v>
      </c>
      <c r="JZ79" s="7">
        <f t="shared" si="151"/>
        <v>0</v>
      </c>
      <c r="KA79" s="7">
        <f t="shared" si="152"/>
        <v>0</v>
      </c>
      <c r="KB79" s="7">
        <f t="shared" si="153"/>
        <v>23654141</v>
      </c>
      <c r="KC79" s="7">
        <f t="shared" si="154"/>
        <v>0</v>
      </c>
      <c r="KE79" s="7" t="e">
        <f t="shared" si="107"/>
        <v>#REF!</v>
      </c>
      <c r="KG79" s="5" t="e">
        <f t="shared" si="108"/>
        <v>#REF!</v>
      </c>
    </row>
    <row r="80" spans="1:304" x14ac:dyDescent="0.15">
      <c r="A80" s="119" t="s">
        <v>290</v>
      </c>
      <c r="B80" s="17" t="s">
        <v>342</v>
      </c>
      <c r="C80" s="38">
        <v>182290</v>
      </c>
      <c r="D80" s="38">
        <v>2013</v>
      </c>
      <c r="E80" s="38">
        <v>1</v>
      </c>
      <c r="F80" s="38">
        <v>11</v>
      </c>
      <c r="G80" s="39">
        <v>6699</v>
      </c>
      <c r="H80" s="39">
        <v>11213</v>
      </c>
      <c r="I80" s="40">
        <v>242192755</v>
      </c>
      <c r="J80" s="40"/>
      <c r="K80" s="40">
        <v>2588692</v>
      </c>
      <c r="L80" s="40"/>
      <c r="M80" s="40">
        <v>9894361</v>
      </c>
      <c r="N80" s="40"/>
      <c r="O80" s="40">
        <v>61217294</v>
      </c>
      <c r="P80" s="40"/>
      <c r="Q80" s="40">
        <v>107540000</v>
      </c>
      <c r="R80" s="40"/>
      <c r="S80" s="40">
        <v>238961462</v>
      </c>
      <c r="T80" s="40"/>
      <c r="U80" s="40">
        <v>16443</v>
      </c>
      <c r="V80" s="40"/>
      <c r="W80" s="40">
        <v>23415</v>
      </c>
      <c r="X80" s="40"/>
      <c r="Y80" s="40">
        <v>20732</v>
      </c>
      <c r="Z80" s="40"/>
      <c r="AA80" s="40">
        <v>28202</v>
      </c>
      <c r="AB80" s="40"/>
      <c r="AC80" s="56">
        <v>8</v>
      </c>
      <c r="AD80" s="56">
        <v>10</v>
      </c>
      <c r="AE80" s="56">
        <v>1</v>
      </c>
      <c r="AF80" s="57">
        <v>2721813</v>
      </c>
      <c r="AG80" s="57">
        <v>1765968</v>
      </c>
      <c r="AH80" s="57">
        <v>197707</v>
      </c>
      <c r="AI80" s="57">
        <v>111355</v>
      </c>
      <c r="AJ80" s="57">
        <v>212598.98</v>
      </c>
      <c r="AK80" s="58">
        <v>4.9000000000000004</v>
      </c>
      <c r="AL80" s="57">
        <v>148819.29</v>
      </c>
      <c r="AM80" s="58">
        <v>7</v>
      </c>
      <c r="AN80" s="57">
        <v>72361.97</v>
      </c>
      <c r="AO80" s="58">
        <v>6.1</v>
      </c>
      <c r="AP80" s="57">
        <v>55176</v>
      </c>
      <c r="AQ80" s="58">
        <v>8</v>
      </c>
      <c r="AR80" s="57">
        <v>110673.43</v>
      </c>
      <c r="AS80" s="58">
        <v>16.899999999999999</v>
      </c>
      <c r="AT80" s="57">
        <v>85017.32</v>
      </c>
      <c r="AU80" s="58">
        <v>22</v>
      </c>
      <c r="AV80" s="57">
        <v>54369.89</v>
      </c>
      <c r="AW80" s="58">
        <v>9.1</v>
      </c>
      <c r="AX80" s="57">
        <v>35340.43</v>
      </c>
      <c r="AY80" s="58">
        <v>14</v>
      </c>
      <c r="AZ80" s="79">
        <v>700991</v>
      </c>
      <c r="BA80" s="79">
        <v>1400000</v>
      </c>
      <c r="BB80" s="79">
        <v>668156</v>
      </c>
      <c r="BC80" s="79">
        <v>4670</v>
      </c>
      <c r="BD80" s="79">
        <v>0</v>
      </c>
      <c r="BE80" s="79">
        <v>50345</v>
      </c>
      <c r="BF80" s="79">
        <v>0</v>
      </c>
      <c r="BG80" s="79">
        <v>18233</v>
      </c>
      <c r="BH80" s="79">
        <v>120612</v>
      </c>
      <c r="BI80" s="79">
        <v>0</v>
      </c>
      <c r="BJ80" s="79">
        <v>189190</v>
      </c>
      <c r="BK80" s="79">
        <v>0</v>
      </c>
      <c r="BL80" s="79">
        <v>0</v>
      </c>
      <c r="BM80" s="79">
        <v>0</v>
      </c>
      <c r="BN80" s="79">
        <v>0</v>
      </c>
      <c r="BO80" s="79">
        <v>0</v>
      </c>
      <c r="BP80" s="79">
        <v>0</v>
      </c>
      <c r="BQ80" s="79">
        <v>0</v>
      </c>
      <c r="BR80" s="79">
        <v>0</v>
      </c>
      <c r="BS80" s="79">
        <v>0</v>
      </c>
      <c r="BT80" s="79">
        <v>0</v>
      </c>
      <c r="BU80" s="79">
        <v>0</v>
      </c>
      <c r="BV80" s="79">
        <v>0</v>
      </c>
      <c r="BW80" s="79">
        <v>5469818</v>
      </c>
      <c r="BX80" s="79">
        <v>3804942</v>
      </c>
      <c r="BY80" s="79">
        <v>882409</v>
      </c>
      <c r="BZ80" s="79">
        <v>5807825</v>
      </c>
      <c r="CA80" s="79">
        <v>6303635</v>
      </c>
      <c r="CB80" s="79">
        <v>22268629</v>
      </c>
      <c r="CC80" s="79">
        <v>1724180</v>
      </c>
      <c r="CD80" s="79">
        <v>292984</v>
      </c>
      <c r="CE80" s="79">
        <v>332966</v>
      </c>
      <c r="CF80" s="79">
        <v>2189287</v>
      </c>
      <c r="CG80" s="79">
        <v>229912</v>
      </c>
      <c r="CH80" s="79">
        <v>4769329</v>
      </c>
      <c r="CI80" s="79">
        <v>675000</v>
      </c>
      <c r="CJ80" s="79">
        <v>0</v>
      </c>
      <c r="CK80" s="79">
        <v>0</v>
      </c>
      <c r="CL80" s="79">
        <v>0</v>
      </c>
      <c r="CM80" s="79">
        <v>22132</v>
      </c>
      <c r="CN80" s="79">
        <v>697132</v>
      </c>
      <c r="CO80" s="79">
        <v>1630355</v>
      </c>
      <c r="CP80" s="79">
        <v>842757</v>
      </c>
      <c r="CQ80" s="79">
        <v>326981</v>
      </c>
      <c r="CR80" s="79">
        <v>1048197</v>
      </c>
      <c r="CS80" s="79">
        <v>0</v>
      </c>
      <c r="CT80" s="79">
        <v>3848290</v>
      </c>
      <c r="CU80" s="79">
        <v>0</v>
      </c>
      <c r="CV80" s="79">
        <v>0</v>
      </c>
      <c r="CW80" s="79">
        <v>0</v>
      </c>
      <c r="CX80" s="79">
        <v>0</v>
      </c>
      <c r="CY80" s="79">
        <v>0</v>
      </c>
      <c r="CZ80" s="79">
        <v>0</v>
      </c>
      <c r="DA80" s="79">
        <v>33480</v>
      </c>
      <c r="DB80" s="79">
        <v>10124</v>
      </c>
      <c r="DC80" s="79">
        <v>10125</v>
      </c>
      <c r="DD80" s="79">
        <v>66026</v>
      </c>
      <c r="DE80" s="79">
        <v>1519883</v>
      </c>
      <c r="DF80" s="79">
        <v>1639638</v>
      </c>
      <c r="DG80" s="79">
        <v>0</v>
      </c>
      <c r="DH80" s="79">
        <v>0</v>
      </c>
      <c r="DI80" s="79">
        <v>0</v>
      </c>
      <c r="DJ80" s="79">
        <v>0</v>
      </c>
      <c r="DK80" s="79">
        <v>0</v>
      </c>
      <c r="DL80" s="79">
        <v>0</v>
      </c>
      <c r="DM80" s="79">
        <v>0</v>
      </c>
      <c r="DN80" s="79">
        <v>0</v>
      </c>
      <c r="DO80" s="79">
        <v>0</v>
      </c>
      <c r="DP80" s="79">
        <v>0</v>
      </c>
      <c r="DQ80" s="79">
        <v>0</v>
      </c>
      <c r="DR80" s="79">
        <v>0</v>
      </c>
      <c r="DS80" s="79">
        <v>121191</v>
      </c>
      <c r="DT80" s="79">
        <v>42618</v>
      </c>
      <c r="DU80" s="79">
        <v>38546</v>
      </c>
      <c r="DV80" s="79">
        <v>106770</v>
      </c>
      <c r="DW80" s="79">
        <v>0</v>
      </c>
      <c r="DX80" s="79">
        <v>309125</v>
      </c>
      <c r="DY80" s="79">
        <v>380264</v>
      </c>
      <c r="DZ80" s="79">
        <v>145155</v>
      </c>
      <c r="EA80" s="79">
        <v>115043</v>
      </c>
      <c r="EB80" s="79">
        <v>548464</v>
      </c>
      <c r="EC80" s="79">
        <v>58564</v>
      </c>
      <c r="ED80" s="79">
        <v>1247490</v>
      </c>
      <c r="EE80" s="79">
        <v>252296</v>
      </c>
      <c r="EF80" s="79">
        <v>38035</v>
      </c>
      <c r="EG80" s="79">
        <v>24648</v>
      </c>
      <c r="EH80" s="79">
        <v>350166</v>
      </c>
      <c r="EI80" s="79">
        <v>59703</v>
      </c>
      <c r="EJ80" s="79">
        <v>724848</v>
      </c>
      <c r="EK80" s="79">
        <v>53390</v>
      </c>
      <c r="EL80" s="79">
        <v>0</v>
      </c>
      <c r="EM80" s="79">
        <v>0</v>
      </c>
      <c r="EN80" s="79">
        <v>0</v>
      </c>
      <c r="EO80" s="79">
        <v>336103</v>
      </c>
      <c r="EP80" s="79">
        <v>389493</v>
      </c>
      <c r="EQ80" s="79">
        <v>0</v>
      </c>
      <c r="ER80" s="79">
        <v>0</v>
      </c>
      <c r="ES80" s="79">
        <v>0</v>
      </c>
      <c r="ET80" s="79">
        <v>0</v>
      </c>
      <c r="EU80" s="79">
        <v>174433</v>
      </c>
      <c r="EV80" s="79">
        <v>174433</v>
      </c>
      <c r="EW80" s="79">
        <v>52409</v>
      </c>
      <c r="EX80" s="79">
        <v>2755</v>
      </c>
      <c r="EY80" s="79">
        <v>18115</v>
      </c>
      <c r="EZ80" s="79">
        <v>128714</v>
      </c>
      <c r="FA80" s="79">
        <v>0</v>
      </c>
      <c r="FB80" s="79">
        <v>201993</v>
      </c>
      <c r="FC80" s="79">
        <v>400000</v>
      </c>
      <c r="FD80" s="79">
        <v>0</v>
      </c>
      <c r="FE80" s="79">
        <v>0</v>
      </c>
      <c r="FF80" s="79">
        <v>603440</v>
      </c>
      <c r="FG80" s="79">
        <v>362743</v>
      </c>
      <c r="FH80" s="79">
        <v>1366183</v>
      </c>
      <c r="FI80" s="79">
        <v>0</v>
      </c>
      <c r="FJ80" s="79">
        <v>0</v>
      </c>
      <c r="FK80" s="79">
        <v>0</v>
      </c>
      <c r="FL80" s="79">
        <v>0</v>
      </c>
      <c r="FM80" s="79">
        <v>3884</v>
      </c>
      <c r="FN80" s="79">
        <v>3884</v>
      </c>
      <c r="FO80" s="79">
        <v>12160</v>
      </c>
      <c r="FP80" s="79">
        <v>2398149</v>
      </c>
      <c r="FQ80" s="79">
        <v>0</v>
      </c>
      <c r="FR80" s="79">
        <v>668617</v>
      </c>
      <c r="FS80" s="79">
        <v>2341490</v>
      </c>
      <c r="FT80" s="79">
        <v>5420416</v>
      </c>
      <c r="FU80" s="79">
        <v>0</v>
      </c>
      <c r="FV80" s="79">
        <v>0</v>
      </c>
      <c r="FW80" s="79">
        <v>0</v>
      </c>
      <c r="FX80" s="79">
        <v>0</v>
      </c>
      <c r="FY80" s="79">
        <v>239214</v>
      </c>
      <c r="FZ80" s="79">
        <v>239214</v>
      </c>
      <c r="GA80" s="79">
        <v>0</v>
      </c>
      <c r="GB80" s="79">
        <v>125</v>
      </c>
      <c r="GC80" s="79">
        <v>640</v>
      </c>
      <c r="GD80" s="79">
        <v>2960</v>
      </c>
      <c r="GE80" s="79">
        <v>102241</v>
      </c>
      <c r="GF80" s="79">
        <v>105966</v>
      </c>
      <c r="GG80" s="79">
        <v>135093</v>
      </c>
      <c r="GH80" s="79">
        <v>32365</v>
      </c>
      <c r="GI80" s="79">
        <v>15985</v>
      </c>
      <c r="GJ80" s="79">
        <v>98144</v>
      </c>
      <c r="GK80" s="79">
        <v>849608</v>
      </c>
      <c r="GL80" s="79">
        <v>1131195</v>
      </c>
      <c r="GM80" s="79">
        <v>5469818</v>
      </c>
      <c r="GN80" s="79">
        <v>3805067</v>
      </c>
      <c r="GO80" s="79">
        <v>883049</v>
      </c>
      <c r="GP80" s="79">
        <v>5810785</v>
      </c>
      <c r="GQ80" s="79">
        <v>6299910</v>
      </c>
      <c r="GR80" s="79">
        <v>22268629</v>
      </c>
      <c r="GS80" s="79">
        <v>0</v>
      </c>
      <c r="GT80" s="79">
        <v>0</v>
      </c>
      <c r="GU80" s="79">
        <v>0</v>
      </c>
      <c r="GV80" s="79">
        <v>0</v>
      </c>
      <c r="GW80" s="79">
        <v>0</v>
      </c>
      <c r="GX80" s="79">
        <v>0</v>
      </c>
      <c r="GY80" s="79">
        <v>5469818</v>
      </c>
      <c r="GZ80" s="79">
        <v>3805067</v>
      </c>
      <c r="HA80" s="79">
        <v>883049</v>
      </c>
      <c r="HB80" s="79">
        <v>5810785</v>
      </c>
      <c r="HC80" s="79">
        <v>6299910</v>
      </c>
      <c r="HD80" s="79">
        <v>22268629</v>
      </c>
      <c r="HF80" s="7">
        <f>SUM(AZ80:AZ80)</f>
        <v>700991</v>
      </c>
      <c r="HG80" s="7" t="e">
        <f>#REF!-HF80</f>
        <v>#REF!</v>
      </c>
      <c r="HH80" s="7" t="e">
        <f>SUM(#REF!)</f>
        <v>#REF!</v>
      </c>
      <c r="HI80" s="7" t="e">
        <f>#REF!-HH80</f>
        <v>#REF!</v>
      </c>
      <c r="HJ80" s="7">
        <f>SUM(BA80:BA80)</f>
        <v>1400000</v>
      </c>
      <c r="HK80" s="7" t="e">
        <f>#REF!-HJ80</f>
        <v>#REF!</v>
      </c>
      <c r="HL80" s="7">
        <f>SUM(BB80:BB80)</f>
        <v>668156</v>
      </c>
      <c r="HM80" s="7" t="e">
        <f>#REF!-HL80</f>
        <v>#REF!</v>
      </c>
      <c r="HN80" s="7" t="e">
        <f>SUM(#REF!)</f>
        <v>#REF!</v>
      </c>
      <c r="HO80" s="7" t="e">
        <f>#REF!-HN80</f>
        <v>#REF!</v>
      </c>
      <c r="HP80" s="7" t="e">
        <f>SUM(#REF!)</f>
        <v>#REF!</v>
      </c>
      <c r="HQ80" s="7" t="e">
        <f>#REF!-HP80</f>
        <v>#REF!</v>
      </c>
      <c r="HR80" s="7" t="e">
        <f>SUM(#REF!)</f>
        <v>#REF!</v>
      </c>
      <c r="HS80" s="7" t="e">
        <f>#REF!-HR80</f>
        <v>#REF!</v>
      </c>
      <c r="HT80" s="7" t="e">
        <f>SUM(#REF!)</f>
        <v>#REF!</v>
      </c>
      <c r="HU80" s="7" t="e">
        <f>#REF!-HT80</f>
        <v>#REF!</v>
      </c>
      <c r="HV80" s="7" t="e">
        <f>SUM(#REF!)</f>
        <v>#REF!</v>
      </c>
      <c r="HW80" s="7" t="e">
        <f>#REF!-HV80</f>
        <v>#REF!</v>
      </c>
      <c r="HX80" s="7" t="e">
        <f>SUM(#REF!)</f>
        <v>#REF!</v>
      </c>
      <c r="HY80" s="7" t="e">
        <f>#REF!-HX80</f>
        <v>#REF!</v>
      </c>
      <c r="HZ80" s="7">
        <f>SUM(BC80:BC80)</f>
        <v>4670</v>
      </c>
      <c r="IA80" s="7" t="e">
        <f>#REF!-HZ80</f>
        <v>#REF!</v>
      </c>
      <c r="IB80" s="7">
        <f>SUM(BD80:BD80)</f>
        <v>0</v>
      </c>
      <c r="IC80" s="7" t="e">
        <f>#REF!-IB80</f>
        <v>#REF!</v>
      </c>
      <c r="ID80" s="7">
        <f t="shared" si="109"/>
        <v>189190</v>
      </c>
      <c r="IE80" s="7">
        <f t="shared" si="110"/>
        <v>0</v>
      </c>
      <c r="IF80" s="7">
        <f t="shared" si="111"/>
        <v>0</v>
      </c>
      <c r="IG80" s="7">
        <f t="shared" si="112"/>
        <v>0</v>
      </c>
      <c r="IH80" s="7">
        <f t="shared" si="113"/>
        <v>0</v>
      </c>
      <c r="II80" s="7">
        <f t="shared" si="155"/>
        <v>0</v>
      </c>
      <c r="IJ80" s="7">
        <f t="shared" si="156"/>
        <v>22268629</v>
      </c>
      <c r="IK80" s="7">
        <f t="shared" si="114"/>
        <v>0</v>
      </c>
      <c r="IL80" s="7">
        <f t="shared" si="115"/>
        <v>4769329</v>
      </c>
      <c r="IM80" s="7">
        <f t="shared" si="116"/>
        <v>0</v>
      </c>
      <c r="IN80" s="7">
        <f t="shared" si="117"/>
        <v>697132</v>
      </c>
      <c r="IO80" s="7">
        <f t="shared" si="118"/>
        <v>0</v>
      </c>
      <c r="IP80" s="7">
        <f t="shared" si="119"/>
        <v>3848290</v>
      </c>
      <c r="IQ80" s="7">
        <f t="shared" si="120"/>
        <v>0</v>
      </c>
      <c r="IR80" s="7">
        <f t="shared" si="121"/>
        <v>0</v>
      </c>
      <c r="IS80" s="7">
        <f t="shared" si="122"/>
        <v>0</v>
      </c>
      <c r="IT80" s="7">
        <f t="shared" si="123"/>
        <v>1639638</v>
      </c>
      <c r="IU80" s="7">
        <f t="shared" si="124"/>
        <v>0</v>
      </c>
      <c r="IV80" s="7">
        <f t="shared" si="157"/>
        <v>0</v>
      </c>
      <c r="IW80" s="7">
        <f t="shared" si="158"/>
        <v>0</v>
      </c>
      <c r="IX80" s="7">
        <f t="shared" si="125"/>
        <v>0</v>
      </c>
      <c r="IY80" s="7">
        <f t="shared" si="126"/>
        <v>0</v>
      </c>
      <c r="IZ80" s="7">
        <f t="shared" si="127"/>
        <v>309125</v>
      </c>
      <c r="JA80" s="7">
        <f t="shared" si="128"/>
        <v>0</v>
      </c>
      <c r="JB80" s="7">
        <f t="shared" si="159"/>
        <v>1247490</v>
      </c>
      <c r="JC80" s="7">
        <f t="shared" si="160"/>
        <v>0</v>
      </c>
      <c r="JD80" s="7">
        <f t="shared" si="129"/>
        <v>724848</v>
      </c>
      <c r="JE80" s="7">
        <f t="shared" si="130"/>
        <v>0</v>
      </c>
      <c r="JF80" s="7">
        <f t="shared" si="131"/>
        <v>389493</v>
      </c>
      <c r="JG80" s="7">
        <f t="shared" si="132"/>
        <v>0</v>
      </c>
      <c r="JH80" s="7">
        <f t="shared" si="133"/>
        <v>174433</v>
      </c>
      <c r="JI80" s="7">
        <f t="shared" si="134"/>
        <v>0</v>
      </c>
      <c r="JJ80" s="7">
        <f t="shared" si="135"/>
        <v>201993</v>
      </c>
      <c r="JK80" s="7">
        <f t="shared" si="136"/>
        <v>0</v>
      </c>
      <c r="JL80" s="7">
        <f t="shared" si="137"/>
        <v>1366183</v>
      </c>
      <c r="JM80" s="7">
        <f t="shared" si="138"/>
        <v>0</v>
      </c>
      <c r="JN80" s="7">
        <f t="shared" si="139"/>
        <v>3884</v>
      </c>
      <c r="JO80" s="7">
        <f t="shared" si="140"/>
        <v>0</v>
      </c>
      <c r="JP80" s="7">
        <f t="shared" si="141"/>
        <v>5420416</v>
      </c>
      <c r="JQ80" s="7">
        <f t="shared" si="142"/>
        <v>0</v>
      </c>
      <c r="JR80" s="7">
        <f t="shared" si="143"/>
        <v>239214</v>
      </c>
      <c r="JS80" s="7">
        <f t="shared" si="144"/>
        <v>0</v>
      </c>
      <c r="JT80" s="7">
        <f t="shared" si="145"/>
        <v>105966</v>
      </c>
      <c r="JU80" s="7">
        <f t="shared" si="146"/>
        <v>0</v>
      </c>
      <c r="JV80" s="7">
        <f t="shared" si="147"/>
        <v>1131195</v>
      </c>
      <c r="JW80" s="7">
        <f t="shared" si="148"/>
        <v>0</v>
      </c>
      <c r="JX80" s="7">
        <f t="shared" si="149"/>
        <v>22268629</v>
      </c>
      <c r="JY80" s="7">
        <f t="shared" si="150"/>
        <v>0</v>
      </c>
      <c r="JZ80" s="7">
        <f t="shared" si="151"/>
        <v>0</v>
      </c>
      <c r="KA80" s="7">
        <f t="shared" si="152"/>
        <v>0</v>
      </c>
      <c r="KB80" s="7">
        <f t="shared" si="153"/>
        <v>22268629</v>
      </c>
      <c r="KC80" s="7">
        <f t="shared" si="154"/>
        <v>0</v>
      </c>
      <c r="KE80" s="7" t="e">
        <f t="shared" si="107"/>
        <v>#REF!</v>
      </c>
      <c r="KG80" s="5" t="e">
        <f t="shared" si="108"/>
        <v>#REF!</v>
      </c>
    </row>
    <row r="81" spans="1:293" x14ac:dyDescent="0.15">
      <c r="A81" s="121" t="s">
        <v>291</v>
      </c>
      <c r="B81" s="17" t="s">
        <v>342</v>
      </c>
      <c r="C81" s="41">
        <v>110662</v>
      </c>
      <c r="D81" s="38">
        <v>2013</v>
      </c>
      <c r="E81" s="38">
        <v>1</v>
      </c>
      <c r="F81" s="38">
        <v>4</v>
      </c>
      <c r="G81" s="39">
        <v>12305</v>
      </c>
      <c r="H81" s="39">
        <v>15053</v>
      </c>
      <c r="I81" s="40">
        <v>5361458000</v>
      </c>
      <c r="J81" s="40"/>
      <c r="K81" s="40">
        <v>2244729</v>
      </c>
      <c r="L81" s="40"/>
      <c r="M81" s="40">
        <v>381202000</v>
      </c>
      <c r="N81" s="40"/>
      <c r="O81" s="40">
        <v>111575977</v>
      </c>
      <c r="P81" s="40"/>
      <c r="Q81" s="40">
        <v>3310456000</v>
      </c>
      <c r="R81" s="40"/>
      <c r="S81" s="40">
        <v>3125807000</v>
      </c>
      <c r="T81" s="40"/>
      <c r="U81" s="40">
        <v>26477</v>
      </c>
      <c r="V81" s="40"/>
      <c r="W81" s="40">
        <v>49355</v>
      </c>
      <c r="X81" s="40"/>
      <c r="Y81" s="40">
        <v>30506</v>
      </c>
      <c r="Z81" s="40"/>
      <c r="AA81" s="40">
        <v>53384</v>
      </c>
      <c r="AB81" s="40"/>
      <c r="AC81" s="59">
        <v>11</v>
      </c>
      <c r="AD81" s="59">
        <v>14</v>
      </c>
      <c r="AE81" s="59">
        <v>0</v>
      </c>
      <c r="AF81" s="57">
        <v>5910323</v>
      </c>
      <c r="AG81" s="57">
        <v>5560955</v>
      </c>
      <c r="AH81" s="57">
        <v>813984</v>
      </c>
      <c r="AI81" s="57">
        <v>297534</v>
      </c>
      <c r="AJ81" s="57"/>
      <c r="AK81" s="58"/>
      <c r="AL81" s="57"/>
      <c r="AM81" s="58"/>
      <c r="AN81" s="57"/>
      <c r="AO81" s="58"/>
      <c r="AP81" s="57"/>
      <c r="AQ81" s="58"/>
      <c r="AR81" s="57"/>
      <c r="AS81" s="58"/>
      <c r="AT81" s="57"/>
      <c r="AU81" s="58"/>
      <c r="AV81" s="57"/>
      <c r="AW81" s="58"/>
      <c r="AX81" s="57"/>
      <c r="AY81" s="58"/>
      <c r="AZ81" s="79">
        <v>16884930</v>
      </c>
      <c r="BA81" s="85">
        <v>276360</v>
      </c>
      <c r="BB81" s="85">
        <v>604343</v>
      </c>
      <c r="BC81" s="79">
        <v>847233</v>
      </c>
      <c r="BD81" s="85">
        <v>0</v>
      </c>
      <c r="BE81" s="85">
        <v>73208</v>
      </c>
      <c r="BF81" s="85">
        <v>338244</v>
      </c>
      <c r="BG81" s="85">
        <v>71584</v>
      </c>
      <c r="BH81" s="85">
        <v>1810403</v>
      </c>
      <c r="BI81" s="85">
        <v>48396</v>
      </c>
      <c r="BJ81" s="85">
        <v>2341835</v>
      </c>
      <c r="BK81" s="85">
        <v>640206</v>
      </c>
      <c r="BL81" s="85">
        <v>208376</v>
      </c>
      <c r="BM81" s="85">
        <v>64326</v>
      </c>
      <c r="BN81" s="85">
        <v>474067</v>
      </c>
      <c r="BO81" s="85">
        <v>104763</v>
      </c>
      <c r="BP81" s="85">
        <v>1491738</v>
      </c>
      <c r="BQ81" s="85">
        <v>43300</v>
      </c>
      <c r="BR81" s="85">
        <v>16500</v>
      </c>
      <c r="BS81" s="85">
        <v>4110</v>
      </c>
      <c r="BT81" s="85">
        <v>209083</v>
      </c>
      <c r="BU81" s="85">
        <v>3714731</v>
      </c>
      <c r="BV81" s="85">
        <v>3987724</v>
      </c>
      <c r="BW81" s="85">
        <v>35656833</v>
      </c>
      <c r="BX81" s="85">
        <v>12369639</v>
      </c>
      <c r="BY81" s="85">
        <v>1358802</v>
      </c>
      <c r="BZ81" s="85">
        <v>6599078</v>
      </c>
      <c r="CA81" s="85">
        <v>27942368</v>
      </c>
      <c r="CB81" s="85">
        <v>83926720</v>
      </c>
      <c r="CC81" s="85">
        <v>3341027</v>
      </c>
      <c r="CD81" s="85">
        <v>490142</v>
      </c>
      <c r="CE81" s="85">
        <v>534899</v>
      </c>
      <c r="CF81" s="85">
        <v>7105210</v>
      </c>
      <c r="CG81" s="85">
        <v>120968</v>
      </c>
      <c r="CH81" s="85">
        <v>11592246</v>
      </c>
      <c r="CI81" s="85">
        <v>800000</v>
      </c>
      <c r="CJ81" s="85">
        <v>634000</v>
      </c>
      <c r="CK81" s="85">
        <v>6500</v>
      </c>
      <c r="CL81" s="85">
        <v>20750</v>
      </c>
      <c r="CM81" s="85">
        <v>0</v>
      </c>
      <c r="CN81" s="85">
        <v>1461250</v>
      </c>
      <c r="CO81" s="85">
        <v>5327195</v>
      </c>
      <c r="CP81" s="85">
        <v>4101939</v>
      </c>
      <c r="CQ81" s="85">
        <v>935323</v>
      </c>
      <c r="CR81" s="85">
        <v>5414744</v>
      </c>
      <c r="CS81" s="85">
        <v>0</v>
      </c>
      <c r="CT81" s="85">
        <v>15779201</v>
      </c>
      <c r="CU81" s="85">
        <v>0</v>
      </c>
      <c r="CV81" s="85">
        <v>0</v>
      </c>
      <c r="CW81" s="85">
        <v>0</v>
      </c>
      <c r="CX81" s="85">
        <v>0</v>
      </c>
      <c r="CY81" s="85">
        <v>0</v>
      </c>
      <c r="CZ81" s="85">
        <v>0</v>
      </c>
      <c r="DA81" s="85">
        <v>715472</v>
      </c>
      <c r="DB81" s="85">
        <v>350722</v>
      </c>
      <c r="DC81" s="85">
        <v>198482</v>
      </c>
      <c r="DD81" s="85">
        <v>223823</v>
      </c>
      <c r="DE81" s="85">
        <v>13912331</v>
      </c>
      <c r="DF81" s="85">
        <v>15400830</v>
      </c>
      <c r="DG81" s="85">
        <v>0</v>
      </c>
      <c r="DH81" s="79">
        <v>0</v>
      </c>
      <c r="DI81" s="79">
        <v>0</v>
      </c>
      <c r="DJ81" s="79">
        <v>0</v>
      </c>
      <c r="DK81" s="79">
        <v>0</v>
      </c>
      <c r="DL81" s="79">
        <v>0</v>
      </c>
      <c r="DM81" s="79">
        <v>0</v>
      </c>
      <c r="DN81" s="85">
        <v>4062021</v>
      </c>
      <c r="DO81" s="85">
        <v>0</v>
      </c>
      <c r="DP81" s="85">
        <v>0</v>
      </c>
      <c r="DQ81" s="85">
        <v>0</v>
      </c>
      <c r="DR81" s="85">
        <v>4062021</v>
      </c>
      <c r="DS81" s="85">
        <v>505420</v>
      </c>
      <c r="DT81" s="85">
        <v>200641</v>
      </c>
      <c r="DU81" s="85">
        <v>127496</v>
      </c>
      <c r="DV81" s="85">
        <v>277961</v>
      </c>
      <c r="DW81" s="85">
        <v>62359</v>
      </c>
      <c r="DX81" s="85">
        <v>1173877</v>
      </c>
      <c r="DY81" s="85">
        <v>2183872</v>
      </c>
      <c r="DZ81" s="85">
        <v>378089</v>
      </c>
      <c r="EA81" s="85">
        <v>257235</v>
      </c>
      <c r="EB81" s="85">
        <v>2666019</v>
      </c>
      <c r="EC81" s="85">
        <v>0</v>
      </c>
      <c r="ED81" s="85">
        <v>5485215</v>
      </c>
      <c r="EE81" s="85">
        <v>311377</v>
      </c>
      <c r="EF81" s="85">
        <v>109587</v>
      </c>
      <c r="EG81" s="85">
        <v>74002</v>
      </c>
      <c r="EH81" s="85">
        <v>1141784</v>
      </c>
      <c r="EI81" s="85">
        <v>414909</v>
      </c>
      <c r="EJ81" s="85">
        <v>2051659</v>
      </c>
      <c r="EK81" s="85">
        <v>3321244</v>
      </c>
      <c r="EL81" s="85">
        <v>1433853</v>
      </c>
      <c r="EM81" s="85">
        <v>465119</v>
      </c>
      <c r="EN81" s="85">
        <v>1687627</v>
      </c>
      <c r="EO81" s="85">
        <v>0</v>
      </c>
      <c r="EP81" s="85">
        <v>6907843</v>
      </c>
      <c r="EQ81" s="85">
        <v>238506</v>
      </c>
      <c r="ER81" s="85">
        <v>133381</v>
      </c>
      <c r="ES81" s="85">
        <v>0</v>
      </c>
      <c r="ET81" s="85">
        <v>0</v>
      </c>
      <c r="EU81" s="85">
        <v>1582168</v>
      </c>
      <c r="EV81" s="85">
        <v>1954055</v>
      </c>
      <c r="EW81" s="85">
        <v>74313</v>
      </c>
      <c r="EX81" s="85">
        <v>305329</v>
      </c>
      <c r="EY81" s="85">
        <v>62530</v>
      </c>
      <c r="EZ81" s="85">
        <v>1412155</v>
      </c>
      <c r="FA81" s="85">
        <v>49708</v>
      </c>
      <c r="FB81" s="85">
        <v>1904035</v>
      </c>
      <c r="FC81" s="85">
        <v>1509427</v>
      </c>
      <c r="FD81" s="85">
        <v>1032</v>
      </c>
      <c r="FE81" s="85">
        <v>1004</v>
      </c>
      <c r="FF81" s="85">
        <v>96573</v>
      </c>
      <c r="FG81" s="85">
        <v>6930472</v>
      </c>
      <c r="FH81" s="85">
        <v>8538508</v>
      </c>
      <c r="FI81" s="85">
        <v>0</v>
      </c>
      <c r="FJ81" s="85">
        <v>0</v>
      </c>
      <c r="FK81" s="85">
        <v>0</v>
      </c>
      <c r="FL81" s="85">
        <v>0</v>
      </c>
      <c r="FM81" s="85">
        <v>0</v>
      </c>
      <c r="FN81" s="85">
        <v>0</v>
      </c>
      <c r="FO81" s="85">
        <v>0</v>
      </c>
      <c r="FP81" s="85">
        <v>0</v>
      </c>
      <c r="FQ81" s="85">
        <v>0</v>
      </c>
      <c r="FR81" s="85">
        <v>0</v>
      </c>
      <c r="FS81" s="85">
        <v>0</v>
      </c>
      <c r="FT81" s="85">
        <v>0</v>
      </c>
      <c r="FU81" s="85">
        <v>0</v>
      </c>
      <c r="FV81" s="85">
        <v>0</v>
      </c>
      <c r="FW81" s="85">
        <v>0</v>
      </c>
      <c r="FX81" s="85">
        <v>0</v>
      </c>
      <c r="FY81" s="85">
        <v>447058</v>
      </c>
      <c r="FZ81" s="85">
        <v>447058</v>
      </c>
      <c r="GA81" s="85">
        <v>15885</v>
      </c>
      <c r="GB81" s="85">
        <v>8612</v>
      </c>
      <c r="GC81" s="85">
        <v>14513</v>
      </c>
      <c r="GD81" s="85">
        <v>33036</v>
      </c>
      <c r="GE81" s="85">
        <v>20254</v>
      </c>
      <c r="GF81" s="85">
        <v>92300</v>
      </c>
      <c r="GG81" s="85">
        <v>1805637</v>
      </c>
      <c r="GH81" s="85">
        <v>507672</v>
      </c>
      <c r="GI81" s="85">
        <v>148455</v>
      </c>
      <c r="GJ81" s="85">
        <v>1469657</v>
      </c>
      <c r="GK81" s="85">
        <v>3118201</v>
      </c>
      <c r="GL81" s="85">
        <v>7049622</v>
      </c>
      <c r="GM81" s="85">
        <v>20149375</v>
      </c>
      <c r="GN81" s="85">
        <v>12717020</v>
      </c>
      <c r="GO81" s="85">
        <v>2825558</v>
      </c>
      <c r="GP81" s="85">
        <v>21549339</v>
      </c>
      <c r="GQ81" s="85">
        <v>26685428</v>
      </c>
      <c r="GR81" s="85">
        <v>83926720</v>
      </c>
      <c r="GS81" s="85">
        <v>0</v>
      </c>
      <c r="GT81" s="79">
        <v>0</v>
      </c>
      <c r="GU81" s="79">
        <v>0</v>
      </c>
      <c r="GV81" s="79">
        <v>0</v>
      </c>
      <c r="GW81" s="79">
        <v>0</v>
      </c>
      <c r="GX81" s="79">
        <v>0</v>
      </c>
      <c r="GY81" s="79">
        <v>20149375</v>
      </c>
      <c r="GZ81" s="85">
        <v>12717020</v>
      </c>
      <c r="HA81" s="85">
        <v>2825558</v>
      </c>
      <c r="HB81" s="85">
        <v>21549339</v>
      </c>
      <c r="HC81" s="85">
        <v>26685428</v>
      </c>
      <c r="HD81" s="85">
        <v>83926720</v>
      </c>
      <c r="HF81" s="7">
        <f>SUM(AZ81:AZ81)</f>
        <v>16884930</v>
      </c>
      <c r="HG81" s="7" t="e">
        <f>#REF!-HF81</f>
        <v>#REF!</v>
      </c>
      <c r="HH81" s="7" t="e">
        <f>SUM(#REF!)</f>
        <v>#REF!</v>
      </c>
      <c r="HI81" s="7" t="e">
        <f>#REF!-HH81</f>
        <v>#REF!</v>
      </c>
      <c r="HJ81" s="7">
        <f>SUM(BA81:BA81)</f>
        <v>276360</v>
      </c>
      <c r="HK81" s="7" t="e">
        <f>#REF!-HJ81</f>
        <v>#REF!</v>
      </c>
      <c r="HL81" s="7">
        <f>SUM(BB81:BB81)</f>
        <v>604343</v>
      </c>
      <c r="HM81" s="7" t="e">
        <f>#REF!-HL81</f>
        <v>#REF!</v>
      </c>
      <c r="HN81" s="7" t="e">
        <f>SUM(#REF!)</f>
        <v>#REF!</v>
      </c>
      <c r="HO81" s="7" t="e">
        <f>#REF!-HN81</f>
        <v>#REF!</v>
      </c>
      <c r="HP81" s="7" t="e">
        <f>SUM(#REF!)</f>
        <v>#REF!</v>
      </c>
      <c r="HQ81" s="7" t="e">
        <f>#REF!-HP81</f>
        <v>#REF!</v>
      </c>
      <c r="HR81" s="7" t="e">
        <f>SUM(#REF!)</f>
        <v>#REF!</v>
      </c>
      <c r="HS81" s="7" t="e">
        <f>#REF!-HR81</f>
        <v>#REF!</v>
      </c>
      <c r="HT81" s="7" t="e">
        <f>SUM(#REF!)</f>
        <v>#REF!</v>
      </c>
      <c r="HU81" s="7" t="e">
        <f>#REF!-HT81</f>
        <v>#REF!</v>
      </c>
      <c r="HV81" s="7" t="e">
        <f>SUM(#REF!)</f>
        <v>#REF!</v>
      </c>
      <c r="HW81" s="7" t="e">
        <f>#REF!-HV81</f>
        <v>#REF!</v>
      </c>
      <c r="HX81" s="7" t="e">
        <f>SUM(#REF!)</f>
        <v>#REF!</v>
      </c>
      <c r="HY81" s="7" t="e">
        <f>#REF!-HX81</f>
        <v>#REF!</v>
      </c>
      <c r="HZ81" s="7">
        <f>SUM(BC81:BC81)</f>
        <v>847233</v>
      </c>
      <c r="IA81" s="7" t="e">
        <f>#REF!-HZ81</f>
        <v>#REF!</v>
      </c>
      <c r="IB81" s="7">
        <f>SUM(BD81:BD81)</f>
        <v>0</v>
      </c>
      <c r="IC81" s="7" t="e">
        <f>#REF!-IB81</f>
        <v>#REF!</v>
      </c>
      <c r="ID81" s="7">
        <f t="shared" si="109"/>
        <v>2341835</v>
      </c>
      <c r="IE81" s="7">
        <f t="shared" si="110"/>
        <v>0</v>
      </c>
      <c r="IF81" s="7">
        <f t="shared" si="111"/>
        <v>1491738</v>
      </c>
      <c r="IG81" s="7">
        <f t="shared" si="112"/>
        <v>0</v>
      </c>
      <c r="IH81" s="7">
        <f t="shared" si="113"/>
        <v>3987724</v>
      </c>
      <c r="II81" s="7">
        <f t="shared" si="155"/>
        <v>0</v>
      </c>
      <c r="IJ81" s="7">
        <f t="shared" si="156"/>
        <v>83926720</v>
      </c>
      <c r="IK81" s="7">
        <f t="shared" si="114"/>
        <v>0</v>
      </c>
      <c r="IL81" s="7">
        <f t="shared" si="115"/>
        <v>11592246</v>
      </c>
      <c r="IM81" s="7">
        <f t="shared" si="116"/>
        <v>0</v>
      </c>
      <c r="IN81" s="7">
        <f t="shared" si="117"/>
        <v>1461250</v>
      </c>
      <c r="IO81" s="7">
        <f t="shared" si="118"/>
        <v>0</v>
      </c>
      <c r="IP81" s="7">
        <f t="shared" si="119"/>
        <v>15779201</v>
      </c>
      <c r="IQ81" s="7">
        <f t="shared" si="120"/>
        <v>0</v>
      </c>
      <c r="IR81" s="7">
        <f t="shared" si="121"/>
        <v>0</v>
      </c>
      <c r="IS81" s="7">
        <f t="shared" si="122"/>
        <v>0</v>
      </c>
      <c r="IT81" s="7">
        <f t="shared" si="123"/>
        <v>15400830</v>
      </c>
      <c r="IU81" s="7">
        <f t="shared" si="124"/>
        <v>0</v>
      </c>
      <c r="IV81" s="7">
        <f t="shared" si="157"/>
        <v>0</v>
      </c>
      <c r="IW81" s="7">
        <f t="shared" si="158"/>
        <v>0</v>
      </c>
      <c r="IX81" s="7">
        <f t="shared" si="125"/>
        <v>4062021</v>
      </c>
      <c r="IY81" s="7">
        <f t="shared" si="126"/>
        <v>0</v>
      </c>
      <c r="IZ81" s="7">
        <f t="shared" si="127"/>
        <v>1173877</v>
      </c>
      <c r="JA81" s="7">
        <f t="shared" si="128"/>
        <v>0</v>
      </c>
      <c r="JB81" s="7">
        <f t="shared" si="159"/>
        <v>5485215</v>
      </c>
      <c r="JC81" s="7">
        <f t="shared" si="160"/>
        <v>0</v>
      </c>
      <c r="JD81" s="7">
        <f t="shared" si="129"/>
        <v>2051659</v>
      </c>
      <c r="JE81" s="7">
        <f t="shared" si="130"/>
        <v>0</v>
      </c>
      <c r="JF81" s="7">
        <f t="shared" si="131"/>
        <v>6907843</v>
      </c>
      <c r="JG81" s="7">
        <f t="shared" si="132"/>
        <v>0</v>
      </c>
      <c r="JH81" s="7">
        <f t="shared" si="133"/>
        <v>1954055</v>
      </c>
      <c r="JI81" s="7">
        <f t="shared" si="134"/>
        <v>0</v>
      </c>
      <c r="JJ81" s="7">
        <f t="shared" si="135"/>
        <v>1904035</v>
      </c>
      <c r="JK81" s="7">
        <f t="shared" si="136"/>
        <v>0</v>
      </c>
      <c r="JL81" s="7">
        <f t="shared" si="137"/>
        <v>8538508</v>
      </c>
      <c r="JM81" s="7">
        <f t="shared" si="138"/>
        <v>0</v>
      </c>
      <c r="JN81" s="7">
        <f t="shared" si="139"/>
        <v>0</v>
      </c>
      <c r="JO81" s="7">
        <f t="shared" si="140"/>
        <v>0</v>
      </c>
      <c r="JP81" s="7">
        <f t="shared" si="141"/>
        <v>0</v>
      </c>
      <c r="JQ81" s="7">
        <f t="shared" si="142"/>
        <v>0</v>
      </c>
      <c r="JR81" s="7">
        <f t="shared" si="143"/>
        <v>447058</v>
      </c>
      <c r="JS81" s="7">
        <f t="shared" si="144"/>
        <v>0</v>
      </c>
      <c r="JT81" s="7">
        <f t="shared" si="145"/>
        <v>92300</v>
      </c>
      <c r="JU81" s="7">
        <f t="shared" si="146"/>
        <v>0</v>
      </c>
      <c r="JV81" s="7">
        <f t="shared" si="147"/>
        <v>7049622</v>
      </c>
      <c r="JW81" s="7">
        <f t="shared" si="148"/>
        <v>0</v>
      </c>
      <c r="JX81" s="7">
        <f t="shared" si="149"/>
        <v>83926720</v>
      </c>
      <c r="JY81" s="7">
        <f t="shared" si="150"/>
        <v>0</v>
      </c>
      <c r="JZ81" s="7">
        <f t="shared" si="151"/>
        <v>0</v>
      </c>
      <c r="KA81" s="7">
        <f t="shared" si="152"/>
        <v>0</v>
      </c>
      <c r="KB81" s="7">
        <f>SUM(GY81:HC81)</f>
        <v>83926720</v>
      </c>
      <c r="KC81" s="7">
        <f>HD81-KB81</f>
        <v>0</v>
      </c>
      <c r="KE81" s="7" t="e">
        <f t="shared" si="107"/>
        <v>#REF!</v>
      </c>
      <c r="KG81" s="5" t="e">
        <f t="shared" si="108"/>
        <v>#REF!</v>
      </c>
    </row>
    <row r="82" spans="1:293" x14ac:dyDescent="0.15">
      <c r="A82" s="119" t="s">
        <v>292</v>
      </c>
      <c r="B82" s="17" t="s">
        <v>341</v>
      </c>
      <c r="C82" s="41">
        <v>182281</v>
      </c>
      <c r="D82" s="38">
        <v>2013</v>
      </c>
      <c r="E82" s="38">
        <v>1</v>
      </c>
      <c r="F82" s="38">
        <v>10</v>
      </c>
      <c r="G82" s="39">
        <v>7065</v>
      </c>
      <c r="H82" s="39">
        <v>8759</v>
      </c>
      <c r="I82" s="40">
        <v>481541000</v>
      </c>
      <c r="J82" s="40"/>
      <c r="K82" s="40">
        <v>2022393</v>
      </c>
      <c r="L82" s="40"/>
      <c r="M82" s="40">
        <v>11747000</v>
      </c>
      <c r="N82" s="40"/>
      <c r="O82" s="40">
        <v>20733909</v>
      </c>
      <c r="P82" s="40"/>
      <c r="Q82" s="40">
        <v>209094000</v>
      </c>
      <c r="R82" s="40"/>
      <c r="S82" s="40">
        <v>338620000</v>
      </c>
      <c r="T82" s="40"/>
      <c r="U82" s="40">
        <v>17910</v>
      </c>
      <c r="V82" s="40"/>
      <c r="W82" s="40">
        <v>31820</v>
      </c>
      <c r="X82" s="40"/>
      <c r="Y82" s="40">
        <v>23150</v>
      </c>
      <c r="Z82" s="40"/>
      <c r="AA82" s="40">
        <v>38338</v>
      </c>
      <c r="AB82" s="40"/>
      <c r="AC82" s="59">
        <v>7</v>
      </c>
      <c r="AD82" s="59">
        <v>10</v>
      </c>
      <c r="AE82" s="59">
        <v>0</v>
      </c>
      <c r="AF82" s="57">
        <v>4014637</v>
      </c>
      <c r="AG82" s="57">
        <v>3014062</v>
      </c>
      <c r="AH82" s="57">
        <v>568278</v>
      </c>
      <c r="AI82" s="57">
        <v>224070</v>
      </c>
      <c r="AJ82" s="57">
        <v>256621.08</v>
      </c>
      <c r="AK82" s="58">
        <v>6.5</v>
      </c>
      <c r="AL82" s="57">
        <v>238291</v>
      </c>
      <c r="AM82" s="58">
        <v>7</v>
      </c>
      <c r="AN82" s="57">
        <v>129841.33</v>
      </c>
      <c r="AO82" s="58">
        <v>7.5</v>
      </c>
      <c r="AP82" s="57">
        <v>121726.25</v>
      </c>
      <c r="AQ82" s="58">
        <v>8</v>
      </c>
      <c r="AR82" s="57">
        <v>122052.26</v>
      </c>
      <c r="AS82" s="58">
        <v>19</v>
      </c>
      <c r="AT82" s="57">
        <v>110428.24</v>
      </c>
      <c r="AU82" s="58">
        <v>21</v>
      </c>
      <c r="AV82" s="57">
        <v>59384.56</v>
      </c>
      <c r="AW82" s="58">
        <v>12.5</v>
      </c>
      <c r="AX82" s="57">
        <v>53021.93</v>
      </c>
      <c r="AY82" s="58">
        <v>14</v>
      </c>
      <c r="AZ82" s="79">
        <v>1663260</v>
      </c>
      <c r="BA82" s="79">
        <v>150000</v>
      </c>
      <c r="BB82" s="79">
        <v>119500</v>
      </c>
      <c r="BC82" s="79">
        <v>709364</v>
      </c>
      <c r="BD82" s="79">
        <v>927306</v>
      </c>
      <c r="BE82" s="79">
        <v>0</v>
      </c>
      <c r="BF82" s="79">
        <v>0</v>
      </c>
      <c r="BG82" s="79">
        <v>0</v>
      </c>
      <c r="BH82" s="79">
        <v>0</v>
      </c>
      <c r="BI82" s="79">
        <v>0</v>
      </c>
      <c r="BJ82" s="88">
        <v>0</v>
      </c>
      <c r="BK82" s="79">
        <v>11886</v>
      </c>
      <c r="BL82" s="79">
        <v>32139</v>
      </c>
      <c r="BM82" s="79">
        <v>35699</v>
      </c>
      <c r="BN82" s="79">
        <v>56772</v>
      </c>
      <c r="BO82" s="79">
        <v>246783</v>
      </c>
      <c r="BP82" s="79">
        <v>383279</v>
      </c>
      <c r="BQ82" s="79">
        <v>0</v>
      </c>
      <c r="BR82" s="79">
        <v>0</v>
      </c>
      <c r="BS82" s="79">
        <v>1565</v>
      </c>
      <c r="BT82" s="79">
        <v>90696</v>
      </c>
      <c r="BU82" s="79">
        <v>940143</v>
      </c>
      <c r="BV82" s="79">
        <v>1032404</v>
      </c>
      <c r="BW82" s="79">
        <v>4249474</v>
      </c>
      <c r="BX82" s="79">
        <v>10095037</v>
      </c>
      <c r="BY82" s="79">
        <v>114666</v>
      </c>
      <c r="BZ82" s="79">
        <v>1012780</v>
      </c>
      <c r="CA82" s="79">
        <v>49041087</v>
      </c>
      <c r="CB82" s="79">
        <v>64513044</v>
      </c>
      <c r="CC82" s="79">
        <v>2388877</v>
      </c>
      <c r="CD82" s="79">
        <v>397345</v>
      </c>
      <c r="CE82" s="79">
        <v>394684</v>
      </c>
      <c r="CF82" s="79">
        <v>3847793</v>
      </c>
      <c r="CG82" s="79">
        <v>103773</v>
      </c>
      <c r="CH82" s="79">
        <v>7132472</v>
      </c>
      <c r="CI82" s="79">
        <v>765000</v>
      </c>
      <c r="CJ82" s="79">
        <v>278232</v>
      </c>
      <c r="CK82" s="79">
        <v>17464</v>
      </c>
      <c r="CL82" s="79">
        <v>40317</v>
      </c>
      <c r="CM82" s="79">
        <v>0</v>
      </c>
      <c r="CN82" s="79">
        <v>1101013</v>
      </c>
      <c r="CO82" s="79">
        <v>1627233</v>
      </c>
      <c r="CP82" s="79">
        <v>1418830</v>
      </c>
      <c r="CQ82" s="79">
        <v>596596</v>
      </c>
      <c r="CR82" s="79">
        <v>2060488</v>
      </c>
      <c r="CS82" s="79">
        <v>0</v>
      </c>
      <c r="CT82" s="79">
        <v>5703147</v>
      </c>
      <c r="CU82" s="79">
        <v>0</v>
      </c>
      <c r="CV82" s="79">
        <v>0</v>
      </c>
      <c r="CW82" s="79">
        <v>0</v>
      </c>
      <c r="CX82" s="79">
        <v>0</v>
      </c>
      <c r="CY82" s="79">
        <v>0</v>
      </c>
      <c r="CZ82" s="79">
        <v>0</v>
      </c>
      <c r="DA82" s="79">
        <v>245307</v>
      </c>
      <c r="DB82" s="79">
        <v>165706</v>
      </c>
      <c r="DC82" s="79">
        <v>113862</v>
      </c>
      <c r="DD82" s="79">
        <v>94397</v>
      </c>
      <c r="DE82" s="79">
        <v>16157219</v>
      </c>
      <c r="DF82" s="79">
        <v>16776491</v>
      </c>
      <c r="DG82" s="79">
        <v>0</v>
      </c>
      <c r="DH82" s="79">
        <v>0</v>
      </c>
      <c r="DI82" s="79">
        <v>0</v>
      </c>
      <c r="DJ82" s="79">
        <v>0</v>
      </c>
      <c r="DK82" s="79">
        <v>0</v>
      </c>
      <c r="DL82" s="79">
        <v>0</v>
      </c>
      <c r="DM82" s="79">
        <v>0</v>
      </c>
      <c r="DN82" s="79">
        <v>0</v>
      </c>
      <c r="DO82" s="79">
        <v>0</v>
      </c>
      <c r="DP82" s="79">
        <v>0</v>
      </c>
      <c r="DQ82" s="79">
        <v>0</v>
      </c>
      <c r="DR82" s="79">
        <v>0</v>
      </c>
      <c r="DS82" s="79">
        <v>284774</v>
      </c>
      <c r="DT82" s="79">
        <v>172964</v>
      </c>
      <c r="DU82" s="79">
        <v>90139</v>
      </c>
      <c r="DV82" s="79">
        <v>244471</v>
      </c>
      <c r="DW82" s="79">
        <v>0</v>
      </c>
      <c r="DX82" s="79">
        <v>792348</v>
      </c>
      <c r="DY82" s="79">
        <v>410171</v>
      </c>
      <c r="DZ82" s="79">
        <v>328352</v>
      </c>
      <c r="EA82" s="79">
        <v>157051</v>
      </c>
      <c r="EB82" s="79">
        <v>1052246</v>
      </c>
      <c r="EC82" s="79">
        <v>0</v>
      </c>
      <c r="ED82" s="79">
        <v>1947820</v>
      </c>
      <c r="EE82" s="79">
        <v>371750</v>
      </c>
      <c r="EF82" s="79">
        <v>46766</v>
      </c>
      <c r="EG82" s="79">
        <v>44291</v>
      </c>
      <c r="EH82" s="79">
        <v>418216</v>
      </c>
      <c r="EI82" s="79">
        <v>164120</v>
      </c>
      <c r="EJ82" s="79">
        <v>1045143</v>
      </c>
      <c r="EK82" s="79">
        <v>317608</v>
      </c>
      <c r="EL82" s="79">
        <v>504911</v>
      </c>
      <c r="EM82" s="79">
        <v>122481</v>
      </c>
      <c r="EN82" s="79">
        <v>298748</v>
      </c>
      <c r="EO82" s="79">
        <v>314962</v>
      </c>
      <c r="EP82" s="79">
        <v>1558710</v>
      </c>
      <c r="EQ82" s="79">
        <v>0</v>
      </c>
      <c r="ER82" s="79">
        <v>0</v>
      </c>
      <c r="ES82" s="79">
        <v>0</v>
      </c>
      <c r="ET82" s="79">
        <v>0</v>
      </c>
      <c r="EU82" s="79">
        <v>1191037</v>
      </c>
      <c r="EV82" s="79">
        <v>1191037</v>
      </c>
      <c r="EW82" s="79">
        <v>0</v>
      </c>
      <c r="EX82" s="79">
        <v>0</v>
      </c>
      <c r="EY82" s="79">
        <v>0</v>
      </c>
      <c r="EZ82" s="79">
        <v>0</v>
      </c>
      <c r="FA82" s="79">
        <v>0</v>
      </c>
      <c r="FB82" s="79">
        <v>0</v>
      </c>
      <c r="FC82" s="79">
        <v>33468</v>
      </c>
      <c r="FD82" s="79">
        <v>2472</v>
      </c>
      <c r="FE82" s="79">
        <v>3244</v>
      </c>
      <c r="FF82" s="79">
        <v>54027</v>
      </c>
      <c r="FG82" s="79">
        <v>15079515</v>
      </c>
      <c r="FH82" s="79">
        <v>15172726</v>
      </c>
      <c r="FI82" s="79">
        <v>0</v>
      </c>
      <c r="FJ82" s="79">
        <v>0</v>
      </c>
      <c r="FK82" s="79">
        <v>0</v>
      </c>
      <c r="FL82" s="79">
        <v>0</v>
      </c>
      <c r="FM82" s="79">
        <v>163211</v>
      </c>
      <c r="FN82" s="79">
        <v>163211</v>
      </c>
      <c r="FO82" s="79">
        <v>0</v>
      </c>
      <c r="FP82" s="79">
        <v>0</v>
      </c>
      <c r="FQ82" s="79">
        <v>0</v>
      </c>
      <c r="FR82" s="79">
        <v>0</v>
      </c>
      <c r="FS82" s="79">
        <v>5346082</v>
      </c>
      <c r="FT82" s="79">
        <v>5346082</v>
      </c>
      <c r="FU82" s="79">
        <v>23251</v>
      </c>
      <c r="FV82" s="79">
        <v>0</v>
      </c>
      <c r="FW82" s="79">
        <v>0</v>
      </c>
      <c r="FX82" s="79">
        <v>0</v>
      </c>
      <c r="FY82" s="79">
        <v>594072</v>
      </c>
      <c r="FZ82" s="79">
        <v>617323</v>
      </c>
      <c r="GA82" s="79">
        <v>0</v>
      </c>
      <c r="GB82" s="79">
        <v>990</v>
      </c>
      <c r="GC82" s="79">
        <v>1520</v>
      </c>
      <c r="GD82" s="79">
        <v>12819</v>
      </c>
      <c r="GE82" s="79">
        <v>385845</v>
      </c>
      <c r="GF82" s="79">
        <v>401174</v>
      </c>
      <c r="GG82" s="79">
        <v>1015522</v>
      </c>
      <c r="GH82" s="79">
        <v>1550058</v>
      </c>
      <c r="GI82" s="79">
        <v>55129</v>
      </c>
      <c r="GJ82" s="79">
        <v>166431</v>
      </c>
      <c r="GK82" s="79">
        <v>1936187</v>
      </c>
      <c r="GL82" s="79">
        <v>4723327</v>
      </c>
      <c r="GM82" s="79">
        <v>7482961</v>
      </c>
      <c r="GN82" s="79">
        <v>4866626</v>
      </c>
      <c r="GO82" s="79">
        <v>1596461</v>
      </c>
      <c r="GP82" s="79">
        <v>8289953</v>
      </c>
      <c r="GQ82" s="79">
        <v>41436023</v>
      </c>
      <c r="GR82" s="79">
        <v>63672024</v>
      </c>
      <c r="GS82" s="79">
        <v>0</v>
      </c>
      <c r="GT82" s="79">
        <v>0</v>
      </c>
      <c r="GU82" s="79">
        <v>0</v>
      </c>
      <c r="GV82" s="79">
        <v>0</v>
      </c>
      <c r="GW82" s="79">
        <v>0</v>
      </c>
      <c r="GX82" s="79">
        <v>0</v>
      </c>
      <c r="GY82" s="79">
        <v>7482961</v>
      </c>
      <c r="GZ82" s="79">
        <v>4866626</v>
      </c>
      <c r="HA82" s="79">
        <v>1596461</v>
      </c>
      <c r="HB82" s="79">
        <v>8289953</v>
      </c>
      <c r="HC82" s="79">
        <v>41436023</v>
      </c>
      <c r="HD82" s="79">
        <v>63672024</v>
      </c>
      <c r="HF82" s="7">
        <f>SUM(AZ82:AZ82)</f>
        <v>1663260</v>
      </c>
      <c r="HG82" s="7" t="e">
        <f>#REF!-HF82</f>
        <v>#REF!</v>
      </c>
      <c r="HH82" s="7" t="e">
        <f>SUM(#REF!)</f>
        <v>#REF!</v>
      </c>
      <c r="HI82" s="7" t="e">
        <f>#REF!-HH82</f>
        <v>#REF!</v>
      </c>
      <c r="HJ82" s="7">
        <f>SUM(BA82:BA82)</f>
        <v>150000</v>
      </c>
      <c r="HK82" s="7" t="e">
        <f>#REF!-HJ82</f>
        <v>#REF!</v>
      </c>
      <c r="HL82" s="7">
        <f>SUM(BB82:BB82)</f>
        <v>119500</v>
      </c>
      <c r="HM82" s="7" t="e">
        <f>#REF!-HL82</f>
        <v>#REF!</v>
      </c>
      <c r="HN82" s="7" t="e">
        <f>SUM(#REF!)</f>
        <v>#REF!</v>
      </c>
      <c r="HO82" s="7" t="e">
        <f>#REF!-HN82</f>
        <v>#REF!</v>
      </c>
      <c r="HP82" s="7" t="e">
        <f>SUM(#REF!)</f>
        <v>#REF!</v>
      </c>
      <c r="HQ82" s="7" t="e">
        <f>#REF!-HP82</f>
        <v>#REF!</v>
      </c>
      <c r="HR82" s="7" t="e">
        <f>SUM(#REF!)</f>
        <v>#REF!</v>
      </c>
      <c r="HS82" s="7" t="e">
        <f>#REF!-HR82</f>
        <v>#REF!</v>
      </c>
      <c r="HT82" s="7" t="e">
        <f>SUM(#REF!)</f>
        <v>#REF!</v>
      </c>
      <c r="HU82" s="7" t="e">
        <f>#REF!-HT82</f>
        <v>#REF!</v>
      </c>
      <c r="HV82" s="7" t="e">
        <f>SUM(#REF!)</f>
        <v>#REF!</v>
      </c>
      <c r="HW82" s="7" t="e">
        <f>#REF!-HV82</f>
        <v>#REF!</v>
      </c>
      <c r="HX82" s="7" t="e">
        <f>SUM(#REF!)</f>
        <v>#REF!</v>
      </c>
      <c r="HY82" s="7" t="e">
        <f>#REF!-HX82</f>
        <v>#REF!</v>
      </c>
      <c r="HZ82" s="7">
        <f>SUM(BC82:BC82)</f>
        <v>709364</v>
      </c>
      <c r="IA82" s="7" t="e">
        <f>#REF!-HZ82</f>
        <v>#REF!</v>
      </c>
      <c r="IB82" s="7">
        <f>SUM(BD82:BD82)</f>
        <v>927306</v>
      </c>
      <c r="IC82" s="7" t="e">
        <f>#REF!-IB82</f>
        <v>#REF!</v>
      </c>
      <c r="ID82" s="7">
        <f t="shared" si="109"/>
        <v>0</v>
      </c>
      <c r="IE82" s="7">
        <f t="shared" si="110"/>
        <v>0</v>
      </c>
      <c r="IF82" s="7">
        <f t="shared" si="111"/>
        <v>383279</v>
      </c>
      <c r="IG82" s="7">
        <f t="shared" si="112"/>
        <v>0</v>
      </c>
      <c r="IH82" s="7">
        <f t="shared" si="113"/>
        <v>1032404</v>
      </c>
      <c r="II82" s="7">
        <f t="shared" si="155"/>
        <v>0</v>
      </c>
      <c r="IJ82" s="7">
        <f t="shared" si="156"/>
        <v>64513044</v>
      </c>
      <c r="IK82" s="7">
        <f t="shared" si="114"/>
        <v>0</v>
      </c>
      <c r="IL82" s="7">
        <f t="shared" si="115"/>
        <v>7132472</v>
      </c>
      <c r="IM82" s="7">
        <f t="shared" si="116"/>
        <v>0</v>
      </c>
      <c r="IN82" s="7">
        <f t="shared" si="117"/>
        <v>1101013</v>
      </c>
      <c r="IO82" s="7">
        <f t="shared" si="118"/>
        <v>0</v>
      </c>
      <c r="IP82" s="7">
        <f t="shared" si="119"/>
        <v>5703147</v>
      </c>
      <c r="IQ82" s="7">
        <f t="shared" si="120"/>
        <v>0</v>
      </c>
      <c r="IR82" s="7">
        <f t="shared" si="121"/>
        <v>0</v>
      </c>
      <c r="IS82" s="7">
        <f t="shared" si="122"/>
        <v>0</v>
      </c>
      <c r="IT82" s="7">
        <f t="shared" si="123"/>
        <v>16776491</v>
      </c>
      <c r="IU82" s="7">
        <f t="shared" si="124"/>
        <v>0</v>
      </c>
      <c r="IV82" s="7">
        <f t="shared" si="157"/>
        <v>0</v>
      </c>
      <c r="IW82" s="7">
        <f t="shared" si="158"/>
        <v>0</v>
      </c>
      <c r="IX82" s="7">
        <f t="shared" si="125"/>
        <v>0</v>
      </c>
      <c r="IY82" s="7">
        <f t="shared" si="126"/>
        <v>0</v>
      </c>
      <c r="IZ82" s="7">
        <f t="shared" si="127"/>
        <v>792348</v>
      </c>
      <c r="JA82" s="7">
        <f t="shared" si="128"/>
        <v>0</v>
      </c>
      <c r="JB82" s="7">
        <f t="shared" si="159"/>
        <v>1947820</v>
      </c>
      <c r="JC82" s="7">
        <f t="shared" si="160"/>
        <v>0</v>
      </c>
      <c r="JD82" s="7">
        <f t="shared" si="129"/>
        <v>1045143</v>
      </c>
      <c r="JE82" s="7">
        <f t="shared" si="130"/>
        <v>0</v>
      </c>
      <c r="JF82" s="7">
        <f t="shared" si="131"/>
        <v>1558710</v>
      </c>
      <c r="JG82" s="7">
        <f t="shared" si="132"/>
        <v>0</v>
      </c>
      <c r="JH82" s="7">
        <f t="shared" si="133"/>
        <v>1191037</v>
      </c>
      <c r="JI82" s="7">
        <f t="shared" si="134"/>
        <v>0</v>
      </c>
      <c r="JJ82" s="7">
        <f t="shared" si="135"/>
        <v>0</v>
      </c>
      <c r="JK82" s="7">
        <f t="shared" si="136"/>
        <v>0</v>
      </c>
      <c r="JL82" s="7">
        <f t="shared" si="137"/>
        <v>15172726</v>
      </c>
      <c r="JM82" s="7">
        <f t="shared" si="138"/>
        <v>0</v>
      </c>
      <c r="JN82" s="7">
        <f t="shared" si="139"/>
        <v>163211</v>
      </c>
      <c r="JO82" s="7">
        <f t="shared" si="140"/>
        <v>0</v>
      </c>
      <c r="JP82" s="7">
        <f t="shared" si="141"/>
        <v>5346082</v>
      </c>
      <c r="JQ82" s="7">
        <f t="shared" si="142"/>
        <v>0</v>
      </c>
      <c r="JR82" s="7">
        <f t="shared" si="143"/>
        <v>617323</v>
      </c>
      <c r="JS82" s="7">
        <f t="shared" si="144"/>
        <v>0</v>
      </c>
      <c r="JT82" s="7">
        <f t="shared" si="145"/>
        <v>401174</v>
      </c>
      <c r="JU82" s="7">
        <f t="shared" si="146"/>
        <v>0</v>
      </c>
      <c r="JV82" s="7">
        <f t="shared" si="147"/>
        <v>4723327</v>
      </c>
      <c r="JW82" s="7">
        <f t="shared" si="148"/>
        <v>0</v>
      </c>
      <c r="JX82" s="7">
        <f t="shared" si="149"/>
        <v>63672024</v>
      </c>
      <c r="JY82" s="7">
        <f t="shared" si="150"/>
        <v>0</v>
      </c>
      <c r="JZ82" s="7">
        <f t="shared" si="151"/>
        <v>0</v>
      </c>
      <c r="KA82" s="7">
        <f t="shared" si="152"/>
        <v>0</v>
      </c>
      <c r="KB82" s="7">
        <f t="shared" si="153"/>
        <v>63672024</v>
      </c>
      <c r="KC82" s="7">
        <f t="shared" si="154"/>
        <v>0</v>
      </c>
      <c r="KE82" s="7" t="e">
        <f t="shared" si="107"/>
        <v>#REF!</v>
      </c>
      <c r="KG82" s="5" t="e">
        <f t="shared" si="108"/>
        <v>#REF!</v>
      </c>
    </row>
    <row r="83" spans="1:293" x14ac:dyDescent="0.15">
      <c r="A83" s="119" t="s">
        <v>228</v>
      </c>
      <c r="B83" s="17" t="s">
        <v>340</v>
      </c>
      <c r="C83" s="41">
        <v>230764</v>
      </c>
      <c r="D83" s="38">
        <v>2013</v>
      </c>
      <c r="E83" s="38">
        <v>1</v>
      </c>
      <c r="F83" s="38">
        <v>4</v>
      </c>
      <c r="G83" s="39">
        <v>13806</v>
      </c>
      <c r="H83" s="39">
        <v>11034</v>
      </c>
      <c r="I83" s="40">
        <v>3201911000</v>
      </c>
      <c r="J83" s="40"/>
      <c r="K83" s="40">
        <v>1988488</v>
      </c>
      <c r="L83" s="40"/>
      <c r="M83" s="40">
        <v>47932077</v>
      </c>
      <c r="N83" s="40"/>
      <c r="O83" s="40">
        <v>25195000</v>
      </c>
      <c r="P83" s="40"/>
      <c r="Q83" s="40">
        <v>759190787</v>
      </c>
      <c r="R83" s="40"/>
      <c r="S83" s="40">
        <v>1510100000</v>
      </c>
      <c r="T83" s="40"/>
      <c r="U83" s="40">
        <v>16672</v>
      </c>
      <c r="V83" s="40"/>
      <c r="W83" s="40">
        <v>31418</v>
      </c>
      <c r="X83" s="40"/>
      <c r="Y83" s="40">
        <v>22966</v>
      </c>
      <c r="Z83" s="40"/>
      <c r="AA83" s="40">
        <v>37578</v>
      </c>
      <c r="AB83" s="40"/>
      <c r="AC83" s="56">
        <v>7</v>
      </c>
      <c r="AD83" s="56">
        <v>11</v>
      </c>
      <c r="AE83" s="56">
        <v>0</v>
      </c>
      <c r="AF83" s="57">
        <v>4094881</v>
      </c>
      <c r="AG83" s="57">
        <v>3424776</v>
      </c>
      <c r="AH83" s="57">
        <v>824765</v>
      </c>
      <c r="AI83" s="57">
        <v>359285</v>
      </c>
      <c r="AJ83" s="57">
        <v>588390.82999999996</v>
      </c>
      <c r="AK83" s="58">
        <v>6</v>
      </c>
      <c r="AL83" s="57">
        <v>504335</v>
      </c>
      <c r="AM83" s="58">
        <v>7</v>
      </c>
      <c r="AN83" s="57">
        <v>155845</v>
      </c>
      <c r="AO83" s="58">
        <v>8</v>
      </c>
      <c r="AP83" s="57">
        <v>138528.89000000001</v>
      </c>
      <c r="AQ83" s="58">
        <v>9</v>
      </c>
      <c r="AR83" s="57">
        <v>196378.58</v>
      </c>
      <c r="AS83" s="58">
        <v>18.25</v>
      </c>
      <c r="AT83" s="57">
        <v>162904.95000000001</v>
      </c>
      <c r="AU83" s="58">
        <v>22</v>
      </c>
      <c r="AV83" s="57">
        <v>86989.06</v>
      </c>
      <c r="AW83" s="58">
        <v>17</v>
      </c>
      <c r="AX83" s="57">
        <v>73940.7</v>
      </c>
      <c r="AY83" s="58">
        <v>20</v>
      </c>
      <c r="AZ83" s="79">
        <v>9904863</v>
      </c>
      <c r="BA83" s="79">
        <v>0</v>
      </c>
      <c r="BB83" s="79">
        <v>5996916</v>
      </c>
      <c r="BC83" s="79">
        <v>1158381</v>
      </c>
      <c r="BD83" s="79">
        <v>2852077</v>
      </c>
      <c r="BE83" s="79">
        <v>167316</v>
      </c>
      <c r="BF83" s="79">
        <v>103578</v>
      </c>
      <c r="BG83" s="79">
        <v>108779</v>
      </c>
      <c r="BH83" s="79">
        <v>280989</v>
      </c>
      <c r="BI83" s="79">
        <v>0</v>
      </c>
      <c r="BJ83" s="79">
        <v>660662</v>
      </c>
      <c r="BK83" s="79">
        <v>0</v>
      </c>
      <c r="BL83" s="79">
        <v>0</v>
      </c>
      <c r="BM83" s="79">
        <v>24</v>
      </c>
      <c r="BN83" s="79">
        <v>34</v>
      </c>
      <c r="BO83" s="79">
        <v>158306</v>
      </c>
      <c r="BP83" s="79">
        <v>158364</v>
      </c>
      <c r="BQ83" s="79">
        <v>0</v>
      </c>
      <c r="BR83" s="79">
        <v>2314</v>
      </c>
      <c r="BS83" s="79">
        <v>0</v>
      </c>
      <c r="BT83" s="79">
        <v>42267</v>
      </c>
      <c r="BU83" s="79">
        <v>563209</v>
      </c>
      <c r="BV83" s="79">
        <v>607790</v>
      </c>
      <c r="BW83" s="79">
        <v>29514826</v>
      </c>
      <c r="BX83" s="79">
        <v>5690466</v>
      </c>
      <c r="BY83" s="79">
        <v>271529</v>
      </c>
      <c r="BZ83" s="79">
        <v>2101358</v>
      </c>
      <c r="CA83" s="79">
        <v>9277104</v>
      </c>
      <c r="CB83" s="79">
        <v>46855283</v>
      </c>
      <c r="CC83" s="79">
        <v>2432331</v>
      </c>
      <c r="CD83" s="79">
        <v>463774</v>
      </c>
      <c r="CE83" s="79">
        <v>471522</v>
      </c>
      <c r="CF83" s="79">
        <v>4152030</v>
      </c>
      <c r="CG83" s="79">
        <v>514612</v>
      </c>
      <c r="CH83" s="79">
        <v>8034269</v>
      </c>
      <c r="CI83" s="79">
        <v>550000</v>
      </c>
      <c r="CJ83" s="79">
        <v>445906</v>
      </c>
      <c r="CK83" s="79">
        <v>0</v>
      </c>
      <c r="CL83" s="79">
        <v>105890</v>
      </c>
      <c r="CM83" s="79">
        <v>0</v>
      </c>
      <c r="CN83" s="79">
        <v>1101796</v>
      </c>
      <c r="CO83" s="79">
        <v>4566174</v>
      </c>
      <c r="CP83" s="79">
        <v>1680763</v>
      </c>
      <c r="CQ83" s="79">
        <v>595759</v>
      </c>
      <c r="CR83" s="79">
        <v>2997132</v>
      </c>
      <c r="CS83" s="79">
        <v>0</v>
      </c>
      <c r="CT83" s="79">
        <v>9839828</v>
      </c>
      <c r="CU83" s="79">
        <v>275000</v>
      </c>
      <c r="CV83" s="79">
        <v>0</v>
      </c>
      <c r="CW83" s="79">
        <v>0</v>
      </c>
      <c r="CX83" s="79">
        <v>0</v>
      </c>
      <c r="CY83" s="79">
        <v>0</v>
      </c>
      <c r="CZ83" s="79">
        <v>275000</v>
      </c>
      <c r="DA83" s="79">
        <v>717088</v>
      </c>
      <c r="DB83" s="79">
        <v>280539</v>
      </c>
      <c r="DC83" s="79">
        <v>109587</v>
      </c>
      <c r="DD83" s="79">
        <v>200747</v>
      </c>
      <c r="DE83" s="79">
        <v>7544599</v>
      </c>
      <c r="DF83" s="79">
        <v>8852560</v>
      </c>
      <c r="DG83" s="79">
        <v>0</v>
      </c>
      <c r="DH83" s="79">
        <v>0</v>
      </c>
      <c r="DI83" s="79">
        <v>0</v>
      </c>
      <c r="DJ83" s="79">
        <v>0</v>
      </c>
      <c r="DK83" s="79">
        <v>0</v>
      </c>
      <c r="DL83" s="79">
        <v>0</v>
      </c>
      <c r="DM83" s="79">
        <v>0</v>
      </c>
      <c r="DN83" s="79">
        <v>425666</v>
      </c>
      <c r="DO83" s="79">
        <v>0</v>
      </c>
      <c r="DP83" s="79">
        <v>0</v>
      </c>
      <c r="DQ83" s="79">
        <v>0</v>
      </c>
      <c r="DR83" s="79">
        <v>425666</v>
      </c>
      <c r="DS83" s="79">
        <v>532314</v>
      </c>
      <c r="DT83" s="79">
        <v>210144</v>
      </c>
      <c r="DU83" s="79">
        <v>109128</v>
      </c>
      <c r="DV83" s="79">
        <v>332464</v>
      </c>
      <c r="DW83" s="79">
        <v>0</v>
      </c>
      <c r="DX83" s="79">
        <v>1184050</v>
      </c>
      <c r="DY83" s="79">
        <v>1347172</v>
      </c>
      <c r="DZ83" s="79">
        <v>479698</v>
      </c>
      <c r="EA83" s="79">
        <v>602995</v>
      </c>
      <c r="EB83" s="79">
        <v>1908783</v>
      </c>
      <c r="EC83" s="79">
        <v>25863</v>
      </c>
      <c r="ED83" s="79">
        <v>4364511</v>
      </c>
      <c r="EE83" s="79">
        <v>893791</v>
      </c>
      <c r="EF83" s="79">
        <v>192647</v>
      </c>
      <c r="EG83" s="79">
        <v>15195</v>
      </c>
      <c r="EH83" s="79">
        <v>522391</v>
      </c>
      <c r="EI83" s="79">
        <v>1251426</v>
      </c>
      <c r="EJ83" s="79">
        <v>2875450</v>
      </c>
      <c r="EK83" s="79">
        <v>774547</v>
      </c>
      <c r="EL83" s="79">
        <v>400023</v>
      </c>
      <c r="EM83" s="79">
        <v>151323</v>
      </c>
      <c r="EN83" s="79">
        <v>274512</v>
      </c>
      <c r="EO83" s="79">
        <v>82633</v>
      </c>
      <c r="EP83" s="79">
        <v>1683038</v>
      </c>
      <c r="EQ83" s="79">
        <v>543553</v>
      </c>
      <c r="ER83" s="79">
        <v>265643</v>
      </c>
      <c r="ES83" s="79">
        <v>16158</v>
      </c>
      <c r="ET83" s="79">
        <v>173004</v>
      </c>
      <c r="EU83" s="79">
        <v>737545</v>
      </c>
      <c r="EV83" s="79">
        <v>1735903</v>
      </c>
      <c r="EW83" s="79">
        <v>167316</v>
      </c>
      <c r="EX83" s="79">
        <v>103578</v>
      </c>
      <c r="EY83" s="79">
        <v>108779</v>
      </c>
      <c r="EZ83" s="79">
        <v>280989</v>
      </c>
      <c r="FA83" s="79">
        <v>0</v>
      </c>
      <c r="FB83" s="79">
        <v>660662</v>
      </c>
      <c r="FC83" s="79">
        <v>1392701</v>
      </c>
      <c r="FD83" s="79">
        <v>20280</v>
      </c>
      <c r="FE83" s="79">
        <v>29663</v>
      </c>
      <c r="FF83" s="79">
        <v>168108</v>
      </c>
      <c r="FG83" s="79">
        <v>301058</v>
      </c>
      <c r="FH83" s="79">
        <v>1911810</v>
      </c>
      <c r="FI83" s="79">
        <v>0</v>
      </c>
      <c r="FJ83" s="79">
        <v>0</v>
      </c>
      <c r="FK83" s="79">
        <v>0</v>
      </c>
      <c r="FL83" s="79">
        <v>0</v>
      </c>
      <c r="FM83" s="79">
        <v>247573</v>
      </c>
      <c r="FN83" s="79">
        <v>247573</v>
      </c>
      <c r="FO83" s="79">
        <v>0</v>
      </c>
      <c r="FP83" s="79">
        <v>0</v>
      </c>
      <c r="FQ83" s="79">
        <v>0</v>
      </c>
      <c r="FR83" s="79">
        <v>0</v>
      </c>
      <c r="FS83" s="79">
        <v>0</v>
      </c>
      <c r="FT83" s="79">
        <v>0</v>
      </c>
      <c r="FU83" s="79">
        <v>397246</v>
      </c>
      <c r="FV83" s="79">
        <v>89157</v>
      </c>
      <c r="FW83" s="79">
        <v>34919</v>
      </c>
      <c r="FX83" s="79">
        <v>383588</v>
      </c>
      <c r="FY83" s="79">
        <v>0</v>
      </c>
      <c r="FZ83" s="79">
        <v>904910</v>
      </c>
      <c r="GA83" s="79">
        <v>2715</v>
      </c>
      <c r="GB83" s="79">
        <v>3380</v>
      </c>
      <c r="GC83" s="79">
        <v>1420</v>
      </c>
      <c r="GD83" s="79">
        <v>16711</v>
      </c>
      <c r="GE83" s="79">
        <v>58303</v>
      </c>
      <c r="GF83" s="79">
        <v>82529</v>
      </c>
      <c r="GG83" s="79">
        <v>1078549</v>
      </c>
      <c r="GH83" s="79">
        <v>289745</v>
      </c>
      <c r="GI83" s="79">
        <v>160212</v>
      </c>
      <c r="GJ83" s="79">
        <v>360885</v>
      </c>
      <c r="GK83" s="79">
        <v>3451206</v>
      </c>
      <c r="GL83" s="79">
        <v>5340597</v>
      </c>
      <c r="GM83" s="79">
        <v>15670497</v>
      </c>
      <c r="GN83" s="79">
        <v>5350943</v>
      </c>
      <c r="GO83" s="79">
        <v>2406660</v>
      </c>
      <c r="GP83" s="79">
        <v>11877234</v>
      </c>
      <c r="GQ83" s="79">
        <v>14214818</v>
      </c>
      <c r="GR83" s="79">
        <v>49520152</v>
      </c>
      <c r="GS83" s="79">
        <v>66087</v>
      </c>
      <c r="GT83" s="79">
        <v>0</v>
      </c>
      <c r="GU83" s="79">
        <v>0</v>
      </c>
      <c r="GV83" s="79">
        <v>-184800</v>
      </c>
      <c r="GW83" s="79">
        <v>2002442</v>
      </c>
      <c r="GX83" s="79">
        <v>1883729</v>
      </c>
      <c r="GY83" s="79">
        <v>15736584</v>
      </c>
      <c r="GZ83" s="79">
        <v>5350943</v>
      </c>
      <c r="HA83" s="79">
        <v>2406660</v>
      </c>
      <c r="HB83" s="79">
        <v>11692434</v>
      </c>
      <c r="HC83" s="79">
        <v>16217260</v>
      </c>
      <c r="HD83" s="79">
        <v>51403881</v>
      </c>
      <c r="HF83" s="7">
        <f>SUM(AZ83:AZ83)</f>
        <v>9904863</v>
      </c>
      <c r="HG83" s="7" t="e">
        <f>#REF!-HF83</f>
        <v>#REF!</v>
      </c>
      <c r="HH83" s="7" t="e">
        <f>SUM(#REF!)</f>
        <v>#REF!</v>
      </c>
      <c r="HI83" s="7" t="e">
        <f>#REF!-HH83</f>
        <v>#REF!</v>
      </c>
      <c r="HJ83" s="7">
        <f>SUM(BA83:BA83)</f>
        <v>0</v>
      </c>
      <c r="HK83" s="7" t="e">
        <f>#REF!-HJ83</f>
        <v>#REF!</v>
      </c>
      <c r="HL83" s="7">
        <f>SUM(BB83:BB83)</f>
        <v>5996916</v>
      </c>
      <c r="HM83" s="7" t="e">
        <f>#REF!-HL83</f>
        <v>#REF!</v>
      </c>
      <c r="HN83" s="7" t="e">
        <f>SUM(#REF!)</f>
        <v>#REF!</v>
      </c>
      <c r="HO83" s="7" t="e">
        <f>#REF!-HN83</f>
        <v>#REF!</v>
      </c>
      <c r="HP83" s="7" t="e">
        <f>SUM(#REF!)</f>
        <v>#REF!</v>
      </c>
      <c r="HQ83" s="7" t="e">
        <f>#REF!-HP83</f>
        <v>#REF!</v>
      </c>
      <c r="HR83" s="7" t="e">
        <f>SUM(#REF!)</f>
        <v>#REF!</v>
      </c>
      <c r="HS83" s="7" t="e">
        <f>#REF!-HR83</f>
        <v>#REF!</v>
      </c>
      <c r="HT83" s="7" t="e">
        <f>SUM(#REF!)</f>
        <v>#REF!</v>
      </c>
      <c r="HU83" s="7" t="e">
        <f>#REF!-HT83</f>
        <v>#REF!</v>
      </c>
      <c r="HV83" s="7" t="e">
        <f>SUM(#REF!)</f>
        <v>#REF!</v>
      </c>
      <c r="HW83" s="7" t="e">
        <f>#REF!-HV83</f>
        <v>#REF!</v>
      </c>
      <c r="HX83" s="7" t="e">
        <f>SUM(#REF!)</f>
        <v>#REF!</v>
      </c>
      <c r="HY83" s="7" t="e">
        <f>#REF!-HX83</f>
        <v>#REF!</v>
      </c>
      <c r="HZ83" s="7">
        <f>SUM(BC83:BC83)</f>
        <v>1158381</v>
      </c>
      <c r="IA83" s="7" t="e">
        <f>#REF!-HZ83</f>
        <v>#REF!</v>
      </c>
      <c r="IB83" s="7">
        <f>SUM(BD83:BD83)</f>
        <v>2852077</v>
      </c>
      <c r="IC83" s="7" t="e">
        <f>#REF!-IB83</f>
        <v>#REF!</v>
      </c>
      <c r="ID83" s="7">
        <f t="shared" si="109"/>
        <v>660662</v>
      </c>
      <c r="IE83" s="7">
        <f t="shared" si="110"/>
        <v>0</v>
      </c>
      <c r="IF83" s="7">
        <f t="shared" si="111"/>
        <v>158364</v>
      </c>
      <c r="IG83" s="7">
        <f t="shared" si="112"/>
        <v>0</v>
      </c>
      <c r="IH83" s="7">
        <f t="shared" si="113"/>
        <v>607790</v>
      </c>
      <c r="II83" s="7">
        <f t="shared" si="155"/>
        <v>0</v>
      </c>
      <c r="IJ83" s="7">
        <f t="shared" si="156"/>
        <v>46855283</v>
      </c>
      <c r="IK83" s="7">
        <f t="shared" si="114"/>
        <v>0</v>
      </c>
      <c r="IL83" s="7">
        <f t="shared" si="115"/>
        <v>8034269</v>
      </c>
      <c r="IM83" s="7">
        <f t="shared" si="116"/>
        <v>0</v>
      </c>
      <c r="IN83" s="7">
        <f t="shared" si="117"/>
        <v>1101796</v>
      </c>
      <c r="IO83" s="7">
        <f t="shared" si="118"/>
        <v>0</v>
      </c>
      <c r="IP83" s="7">
        <f t="shared" si="119"/>
        <v>9839828</v>
      </c>
      <c r="IQ83" s="7">
        <f t="shared" si="120"/>
        <v>0</v>
      </c>
      <c r="IR83" s="7">
        <f t="shared" si="121"/>
        <v>275000</v>
      </c>
      <c r="IS83" s="7">
        <f t="shared" si="122"/>
        <v>0</v>
      </c>
      <c r="IT83" s="7">
        <f t="shared" si="123"/>
        <v>8852560</v>
      </c>
      <c r="IU83" s="7">
        <f t="shared" si="124"/>
        <v>0</v>
      </c>
      <c r="IV83" s="7">
        <f t="shared" si="157"/>
        <v>0</v>
      </c>
      <c r="IW83" s="7">
        <f t="shared" si="158"/>
        <v>0</v>
      </c>
      <c r="IX83" s="7">
        <f t="shared" si="125"/>
        <v>425666</v>
      </c>
      <c r="IY83" s="7">
        <f t="shared" si="126"/>
        <v>0</v>
      </c>
      <c r="IZ83" s="7">
        <f t="shared" si="127"/>
        <v>1184050</v>
      </c>
      <c r="JA83" s="7">
        <f t="shared" si="128"/>
        <v>0</v>
      </c>
      <c r="JB83" s="7">
        <f t="shared" si="159"/>
        <v>4364511</v>
      </c>
      <c r="JC83" s="7">
        <f t="shared" si="160"/>
        <v>0</v>
      </c>
      <c r="JD83" s="7">
        <f t="shared" si="129"/>
        <v>2875450</v>
      </c>
      <c r="JE83" s="7">
        <f t="shared" si="130"/>
        <v>0</v>
      </c>
      <c r="JF83" s="7">
        <f t="shared" si="131"/>
        <v>1683038</v>
      </c>
      <c r="JG83" s="7">
        <f t="shared" si="132"/>
        <v>0</v>
      </c>
      <c r="JH83" s="7">
        <f t="shared" si="133"/>
        <v>1735903</v>
      </c>
      <c r="JI83" s="7">
        <f t="shared" si="134"/>
        <v>0</v>
      </c>
      <c r="JJ83" s="7">
        <f t="shared" si="135"/>
        <v>660662</v>
      </c>
      <c r="JK83" s="7">
        <f t="shared" si="136"/>
        <v>0</v>
      </c>
      <c r="JL83" s="7">
        <f t="shared" si="137"/>
        <v>1911810</v>
      </c>
      <c r="JM83" s="7">
        <f t="shared" si="138"/>
        <v>0</v>
      </c>
      <c r="JN83" s="7">
        <f t="shared" si="139"/>
        <v>247573</v>
      </c>
      <c r="JO83" s="7">
        <f t="shared" si="140"/>
        <v>0</v>
      </c>
      <c r="JP83" s="7">
        <f t="shared" si="141"/>
        <v>0</v>
      </c>
      <c r="JQ83" s="7">
        <f t="shared" si="142"/>
        <v>0</v>
      </c>
      <c r="JR83" s="7">
        <f t="shared" si="143"/>
        <v>904910</v>
      </c>
      <c r="JS83" s="7">
        <f t="shared" si="144"/>
        <v>0</v>
      </c>
      <c r="JT83" s="7">
        <f t="shared" si="145"/>
        <v>82529</v>
      </c>
      <c r="JU83" s="7">
        <f t="shared" si="146"/>
        <v>0</v>
      </c>
      <c r="JV83" s="7">
        <f t="shared" si="147"/>
        <v>5340597</v>
      </c>
      <c r="JW83" s="7">
        <f t="shared" si="148"/>
        <v>0</v>
      </c>
      <c r="JX83" s="7">
        <f t="shared" si="149"/>
        <v>49520152</v>
      </c>
      <c r="JY83" s="7">
        <f t="shared" si="150"/>
        <v>0</v>
      </c>
      <c r="JZ83" s="7">
        <f t="shared" si="151"/>
        <v>1883729</v>
      </c>
      <c r="KA83" s="7">
        <f t="shared" si="152"/>
        <v>0</v>
      </c>
      <c r="KB83" s="7">
        <f t="shared" si="153"/>
        <v>51403881</v>
      </c>
      <c r="KC83" s="7">
        <f t="shared" si="154"/>
        <v>0</v>
      </c>
      <c r="KE83" s="7" t="e">
        <f t="shared" si="107"/>
        <v>#REF!</v>
      </c>
      <c r="KG83" s="5" t="e">
        <f t="shared" si="108"/>
        <v>#REF!</v>
      </c>
    </row>
    <row r="84" spans="1:293" x14ac:dyDescent="0.15">
      <c r="A84" s="119" t="s">
        <v>229</v>
      </c>
      <c r="B84" s="17" t="s">
        <v>340</v>
      </c>
      <c r="C84" s="41">
        <v>230728</v>
      </c>
      <c r="D84" s="38">
        <v>2013</v>
      </c>
      <c r="E84" s="38">
        <v>1</v>
      </c>
      <c r="F84" s="38">
        <v>10</v>
      </c>
      <c r="G84" s="39">
        <v>7328</v>
      </c>
      <c r="H84" s="39">
        <v>8003</v>
      </c>
      <c r="I84" s="40">
        <v>575651653</v>
      </c>
      <c r="J84" s="40">
        <v>559922135</v>
      </c>
      <c r="K84" s="40">
        <v>796044</v>
      </c>
      <c r="L84" s="40"/>
      <c r="M84" s="40">
        <v>9965620</v>
      </c>
      <c r="N84" s="40"/>
      <c r="O84" s="40">
        <v>8845000</v>
      </c>
      <c r="P84" s="40"/>
      <c r="Q84" s="40">
        <v>93040476</v>
      </c>
      <c r="R84" s="40"/>
      <c r="S84" s="40">
        <v>533279748</v>
      </c>
      <c r="T84" s="40"/>
      <c r="U84" s="40">
        <v>13251</v>
      </c>
      <c r="V84" s="40">
        <v>11642</v>
      </c>
      <c r="W84" s="40">
        <v>24398</v>
      </c>
      <c r="X84" s="40">
        <v>22157</v>
      </c>
      <c r="Y84" s="40">
        <v>17430</v>
      </c>
      <c r="Z84" s="40">
        <v>16760</v>
      </c>
      <c r="AA84" s="40">
        <v>27690</v>
      </c>
      <c r="AB84" s="40">
        <v>27060</v>
      </c>
      <c r="AC84" s="56">
        <v>7</v>
      </c>
      <c r="AD84" s="56">
        <v>9</v>
      </c>
      <c r="AE84" s="56">
        <v>0</v>
      </c>
      <c r="AF84" s="57">
        <v>2391749</v>
      </c>
      <c r="AG84" s="57">
        <v>1734399</v>
      </c>
      <c r="AH84" s="57">
        <v>342994</v>
      </c>
      <c r="AI84" s="57">
        <v>188743</v>
      </c>
      <c r="AJ84" s="57">
        <v>411501</v>
      </c>
      <c r="AK84" s="58">
        <v>3.75</v>
      </c>
      <c r="AL84" s="57">
        <v>308626</v>
      </c>
      <c r="AM84" s="58">
        <v>5</v>
      </c>
      <c r="AN84" s="57">
        <v>118633</v>
      </c>
      <c r="AO84" s="58">
        <v>6</v>
      </c>
      <c r="AP84" s="57">
        <v>101685</v>
      </c>
      <c r="AQ84" s="58">
        <v>7</v>
      </c>
      <c r="AR84" s="57">
        <v>112771</v>
      </c>
      <c r="AS84" s="58">
        <v>14.75</v>
      </c>
      <c r="AT84" s="57">
        <v>92410</v>
      </c>
      <c r="AU84" s="58">
        <v>18</v>
      </c>
      <c r="AV84" s="57">
        <v>47185</v>
      </c>
      <c r="AW84" s="58">
        <v>13.25</v>
      </c>
      <c r="AX84" s="57">
        <v>36776</v>
      </c>
      <c r="AY84" s="58">
        <v>17</v>
      </c>
      <c r="AZ84" s="79">
        <v>1443280</v>
      </c>
      <c r="BA84" s="79">
        <v>1525000</v>
      </c>
      <c r="BB84" s="79">
        <v>1020045</v>
      </c>
      <c r="BC84" s="79">
        <v>0</v>
      </c>
      <c r="BD84" s="79">
        <v>0</v>
      </c>
      <c r="BE84" s="79">
        <v>0</v>
      </c>
      <c r="BF84" s="79">
        <v>0</v>
      </c>
      <c r="BG84" s="79">
        <v>0</v>
      </c>
      <c r="BH84" s="79">
        <v>0</v>
      </c>
      <c r="BI84" s="79">
        <v>0</v>
      </c>
      <c r="BJ84" s="79">
        <v>0</v>
      </c>
      <c r="BK84" s="79">
        <v>18275</v>
      </c>
      <c r="BL84" s="79">
        <v>7621</v>
      </c>
      <c r="BM84" s="79">
        <v>0</v>
      </c>
      <c r="BN84" s="79">
        <v>10973</v>
      </c>
      <c r="BO84" s="79">
        <v>99254</v>
      </c>
      <c r="BP84" s="88">
        <v>136123</v>
      </c>
      <c r="BQ84" s="79">
        <v>181777</v>
      </c>
      <c r="BR84" s="79">
        <v>234</v>
      </c>
      <c r="BS84" s="79">
        <v>20000</v>
      </c>
      <c r="BT84" s="79">
        <v>16415</v>
      </c>
      <c r="BU84" s="79">
        <v>110361</v>
      </c>
      <c r="BV84" s="79">
        <v>328787</v>
      </c>
      <c r="BW84" s="79">
        <v>5830900</v>
      </c>
      <c r="BX84" s="79">
        <v>2332165</v>
      </c>
      <c r="BY84" s="79">
        <v>709337</v>
      </c>
      <c r="BZ84" s="79">
        <v>1786303</v>
      </c>
      <c r="CA84" s="79">
        <v>13025561</v>
      </c>
      <c r="CB84" s="79">
        <v>23684266</v>
      </c>
      <c r="CC84" s="79">
        <v>1748163</v>
      </c>
      <c r="CD84" s="79">
        <v>257847</v>
      </c>
      <c r="CE84" s="79">
        <v>349674</v>
      </c>
      <c r="CF84" s="79">
        <v>1770464</v>
      </c>
      <c r="CG84" s="79">
        <v>505839</v>
      </c>
      <c r="CH84" s="79">
        <v>4631987</v>
      </c>
      <c r="CI84" s="79">
        <v>250000</v>
      </c>
      <c r="CJ84" s="79">
        <v>245000</v>
      </c>
      <c r="CK84" s="79">
        <v>0</v>
      </c>
      <c r="CL84" s="79">
        <v>7650</v>
      </c>
      <c r="CM84" s="79">
        <v>0</v>
      </c>
      <c r="CN84" s="79">
        <v>502650</v>
      </c>
      <c r="CO84" s="79">
        <v>1836441</v>
      </c>
      <c r="CP84" s="79">
        <v>1132690</v>
      </c>
      <c r="CQ84" s="79">
        <v>414844</v>
      </c>
      <c r="CR84" s="79">
        <v>1159520</v>
      </c>
      <c r="CS84" s="79">
        <v>0</v>
      </c>
      <c r="CT84" s="79">
        <v>4543495</v>
      </c>
      <c r="CU84" s="79">
        <v>266438</v>
      </c>
      <c r="CV84" s="79">
        <v>90000</v>
      </c>
      <c r="CW84" s="79">
        <v>0</v>
      </c>
      <c r="CX84" s="79">
        <v>0</v>
      </c>
      <c r="CY84" s="79">
        <v>0</v>
      </c>
      <c r="CZ84" s="79">
        <v>356438</v>
      </c>
      <c r="DA84" s="79">
        <v>25867</v>
      </c>
      <c r="DB84" s="79">
        <v>0</v>
      </c>
      <c r="DC84" s="79">
        <v>0</v>
      </c>
      <c r="DD84" s="79">
        <v>42536</v>
      </c>
      <c r="DE84" s="79">
        <v>2699835</v>
      </c>
      <c r="DF84" s="79">
        <v>2768238</v>
      </c>
      <c r="DG84" s="79">
        <v>0</v>
      </c>
      <c r="DH84" s="79">
        <v>0</v>
      </c>
      <c r="DI84" s="79">
        <v>0</v>
      </c>
      <c r="DJ84" s="79">
        <v>0</v>
      </c>
      <c r="DK84" s="79">
        <v>0</v>
      </c>
      <c r="DL84" s="79">
        <v>0</v>
      </c>
      <c r="DM84" s="79">
        <v>0</v>
      </c>
      <c r="DN84" s="79">
        <v>0</v>
      </c>
      <c r="DO84" s="79">
        <v>0</v>
      </c>
      <c r="DP84" s="79">
        <v>0</v>
      </c>
      <c r="DQ84" s="79">
        <v>0</v>
      </c>
      <c r="DR84" s="79">
        <v>0</v>
      </c>
      <c r="DS84" s="79">
        <v>206227</v>
      </c>
      <c r="DT84" s="79">
        <v>123658</v>
      </c>
      <c r="DU84" s="79">
        <v>69586</v>
      </c>
      <c r="DV84" s="79">
        <v>132266</v>
      </c>
      <c r="DW84" s="79">
        <v>0</v>
      </c>
      <c r="DX84" s="79">
        <v>531737</v>
      </c>
      <c r="DY84" s="79">
        <v>888837</v>
      </c>
      <c r="DZ84" s="79">
        <v>258677</v>
      </c>
      <c r="EA84" s="79">
        <v>230093</v>
      </c>
      <c r="EB84" s="79">
        <v>1185902</v>
      </c>
      <c r="EC84" s="79">
        <v>29511</v>
      </c>
      <c r="ED84" s="79">
        <v>2593020</v>
      </c>
      <c r="EE84" s="79">
        <v>574676</v>
      </c>
      <c r="EF84" s="79">
        <v>103955</v>
      </c>
      <c r="EG84" s="79">
        <v>44432</v>
      </c>
      <c r="EH84" s="79">
        <v>441341</v>
      </c>
      <c r="EI84" s="79">
        <v>501329</v>
      </c>
      <c r="EJ84" s="79">
        <v>1665733</v>
      </c>
      <c r="EK84" s="79">
        <v>247694</v>
      </c>
      <c r="EL84" s="79">
        <v>139800</v>
      </c>
      <c r="EM84" s="79">
        <v>64955</v>
      </c>
      <c r="EN84" s="79">
        <v>70663</v>
      </c>
      <c r="EO84" s="79">
        <v>0</v>
      </c>
      <c r="EP84" s="79">
        <v>523112</v>
      </c>
      <c r="EQ84" s="79">
        <v>1386</v>
      </c>
      <c r="ER84" s="79">
        <v>0</v>
      </c>
      <c r="ES84" s="79">
        <v>20</v>
      </c>
      <c r="ET84" s="79">
        <v>1634</v>
      </c>
      <c r="EU84" s="79">
        <v>208614</v>
      </c>
      <c r="EV84" s="79">
        <v>211654</v>
      </c>
      <c r="EW84" s="79">
        <v>0</v>
      </c>
      <c r="EX84" s="79">
        <v>0</v>
      </c>
      <c r="EY84" s="79">
        <v>0</v>
      </c>
      <c r="EZ84" s="79">
        <v>0</v>
      </c>
      <c r="FA84" s="79">
        <v>0</v>
      </c>
      <c r="FB84" s="79">
        <v>0</v>
      </c>
      <c r="FC84" s="79">
        <v>494570</v>
      </c>
      <c r="FD84" s="79">
        <v>3280</v>
      </c>
      <c r="FE84" s="79">
        <v>383</v>
      </c>
      <c r="FF84" s="79">
        <v>272509</v>
      </c>
      <c r="FG84" s="79">
        <v>780131</v>
      </c>
      <c r="FH84" s="79">
        <v>1550873</v>
      </c>
      <c r="FI84" s="79">
        <v>0</v>
      </c>
      <c r="FJ84" s="79">
        <v>0</v>
      </c>
      <c r="FK84" s="79">
        <v>0</v>
      </c>
      <c r="FL84" s="79">
        <v>0</v>
      </c>
      <c r="FM84" s="79">
        <v>25697</v>
      </c>
      <c r="FN84" s="79">
        <v>25697</v>
      </c>
      <c r="FO84" s="79">
        <v>253815</v>
      </c>
      <c r="FP84" s="79">
        <v>97053</v>
      </c>
      <c r="FQ84" s="79">
        <v>0</v>
      </c>
      <c r="FR84" s="79">
        <v>0</v>
      </c>
      <c r="FS84" s="79">
        <v>1332177</v>
      </c>
      <c r="FT84" s="79">
        <v>1683045</v>
      </c>
      <c r="FU84" s="79">
        <v>2664</v>
      </c>
      <c r="FV84" s="79">
        <v>2109</v>
      </c>
      <c r="FW84" s="79">
        <v>53</v>
      </c>
      <c r="FX84" s="79">
        <v>321</v>
      </c>
      <c r="FY84" s="79">
        <v>464093</v>
      </c>
      <c r="FZ84" s="79">
        <v>469240</v>
      </c>
      <c r="GA84" s="79">
        <v>0</v>
      </c>
      <c r="GB84" s="79">
        <v>545</v>
      </c>
      <c r="GC84" s="79">
        <v>0</v>
      </c>
      <c r="GD84" s="79">
        <v>8282</v>
      </c>
      <c r="GE84" s="79">
        <v>923143</v>
      </c>
      <c r="GF84" s="79">
        <v>931970</v>
      </c>
      <c r="GG84" s="79">
        <v>93212</v>
      </c>
      <c r="GH84" s="79">
        <v>35103</v>
      </c>
      <c r="GI84" s="79">
        <v>43259</v>
      </c>
      <c r="GJ84" s="79">
        <v>106069</v>
      </c>
      <c r="GK84" s="79">
        <v>1040516</v>
      </c>
      <c r="GL84" s="79">
        <v>1318159</v>
      </c>
      <c r="GM84" s="79">
        <v>6889990</v>
      </c>
      <c r="GN84" s="79">
        <v>2489717</v>
      </c>
      <c r="GO84" s="79">
        <v>1217299</v>
      </c>
      <c r="GP84" s="79">
        <v>5199157</v>
      </c>
      <c r="GQ84" s="79">
        <v>8510885</v>
      </c>
      <c r="GR84" s="79">
        <v>24307048</v>
      </c>
      <c r="GS84" s="79">
        <v>0</v>
      </c>
      <c r="GT84" s="79">
        <v>0</v>
      </c>
      <c r="GU84" s="79">
        <v>0</v>
      </c>
      <c r="GV84" s="79">
        <v>0</v>
      </c>
      <c r="GW84" s="79">
        <v>0</v>
      </c>
      <c r="GX84" s="79">
        <v>0</v>
      </c>
      <c r="GY84" s="79">
        <v>6889990</v>
      </c>
      <c r="GZ84" s="79">
        <v>2489717</v>
      </c>
      <c r="HA84" s="79">
        <v>1217299</v>
      </c>
      <c r="HB84" s="79">
        <v>5199157</v>
      </c>
      <c r="HC84" s="79">
        <v>8510885</v>
      </c>
      <c r="HD84" s="79">
        <v>24307048</v>
      </c>
      <c r="HF84" s="7">
        <f>SUM(AZ84:AZ84)</f>
        <v>1443280</v>
      </c>
      <c r="HG84" s="7" t="e">
        <f>#REF!-HF84</f>
        <v>#REF!</v>
      </c>
      <c r="HH84" s="7" t="e">
        <f>SUM(#REF!)</f>
        <v>#REF!</v>
      </c>
      <c r="HI84" s="7" t="e">
        <f>#REF!-HH84</f>
        <v>#REF!</v>
      </c>
      <c r="HJ84" s="7">
        <f>SUM(BA84:BA84)</f>
        <v>1525000</v>
      </c>
      <c r="HK84" s="7" t="e">
        <f>#REF!-HJ84</f>
        <v>#REF!</v>
      </c>
      <c r="HL84" s="7">
        <f>SUM(BB84:BB84)</f>
        <v>1020045</v>
      </c>
      <c r="HM84" s="7" t="e">
        <f>#REF!-HL84</f>
        <v>#REF!</v>
      </c>
      <c r="HN84" s="7" t="e">
        <f>SUM(#REF!)</f>
        <v>#REF!</v>
      </c>
      <c r="HO84" s="7" t="e">
        <f>#REF!-HN84</f>
        <v>#REF!</v>
      </c>
      <c r="HP84" s="7" t="e">
        <f>SUM(#REF!)</f>
        <v>#REF!</v>
      </c>
      <c r="HQ84" s="7" t="e">
        <f>#REF!-HP84</f>
        <v>#REF!</v>
      </c>
      <c r="HR84" s="7" t="e">
        <f>SUM(#REF!)</f>
        <v>#REF!</v>
      </c>
      <c r="HS84" s="7" t="e">
        <f>#REF!-HR84</f>
        <v>#REF!</v>
      </c>
      <c r="HT84" s="7" t="e">
        <f>SUM(#REF!)</f>
        <v>#REF!</v>
      </c>
      <c r="HU84" s="7" t="e">
        <f>#REF!-HT84</f>
        <v>#REF!</v>
      </c>
      <c r="HV84" s="7" t="e">
        <f>SUM(#REF!)</f>
        <v>#REF!</v>
      </c>
      <c r="HW84" s="7" t="e">
        <f>#REF!-HV84</f>
        <v>#REF!</v>
      </c>
      <c r="HX84" s="7" t="e">
        <f>SUM(#REF!)</f>
        <v>#REF!</v>
      </c>
      <c r="HY84" s="7" t="e">
        <f>#REF!-HX84</f>
        <v>#REF!</v>
      </c>
      <c r="HZ84" s="7">
        <f>SUM(BC84:BC84)</f>
        <v>0</v>
      </c>
      <c r="IA84" s="7" t="e">
        <f>#REF!-HZ84</f>
        <v>#REF!</v>
      </c>
      <c r="IB84" s="7">
        <f>SUM(BD84:BD84)</f>
        <v>0</v>
      </c>
      <c r="IC84" s="7" t="e">
        <f>#REF!-IB84</f>
        <v>#REF!</v>
      </c>
      <c r="ID84" s="7">
        <f t="shared" si="109"/>
        <v>0</v>
      </c>
      <c r="IE84" s="7">
        <f t="shared" si="110"/>
        <v>0</v>
      </c>
      <c r="IF84" s="7">
        <f t="shared" si="111"/>
        <v>136123</v>
      </c>
      <c r="IG84" s="7">
        <f t="shared" si="112"/>
        <v>0</v>
      </c>
      <c r="IH84" s="7">
        <f t="shared" si="113"/>
        <v>328787</v>
      </c>
      <c r="II84" s="7">
        <f t="shared" si="155"/>
        <v>0</v>
      </c>
      <c r="IJ84" s="7">
        <f t="shared" si="156"/>
        <v>23684266</v>
      </c>
      <c r="IK84" s="7">
        <f t="shared" si="114"/>
        <v>0</v>
      </c>
      <c r="IL84" s="7">
        <f t="shared" si="115"/>
        <v>4631987</v>
      </c>
      <c r="IM84" s="7">
        <f t="shared" si="116"/>
        <v>0</v>
      </c>
      <c r="IN84" s="7">
        <f t="shared" si="117"/>
        <v>502650</v>
      </c>
      <c r="IO84" s="7">
        <f t="shared" si="118"/>
        <v>0</v>
      </c>
      <c r="IP84" s="7">
        <f t="shared" si="119"/>
        <v>4543495</v>
      </c>
      <c r="IQ84" s="7">
        <f t="shared" si="120"/>
        <v>0</v>
      </c>
      <c r="IR84" s="7">
        <f t="shared" si="121"/>
        <v>356438</v>
      </c>
      <c r="IS84" s="7">
        <f t="shared" si="122"/>
        <v>0</v>
      </c>
      <c r="IT84" s="7">
        <f t="shared" si="123"/>
        <v>2768238</v>
      </c>
      <c r="IU84" s="7">
        <f t="shared" si="124"/>
        <v>0</v>
      </c>
      <c r="IV84" s="7">
        <f t="shared" si="157"/>
        <v>0</v>
      </c>
      <c r="IW84" s="7">
        <f t="shared" si="158"/>
        <v>0</v>
      </c>
      <c r="IX84" s="7">
        <f t="shared" si="125"/>
        <v>0</v>
      </c>
      <c r="IY84" s="7">
        <f t="shared" si="126"/>
        <v>0</v>
      </c>
      <c r="IZ84" s="7">
        <f t="shared" si="127"/>
        <v>531737</v>
      </c>
      <c r="JA84" s="7">
        <f t="shared" si="128"/>
        <v>0</v>
      </c>
      <c r="JB84" s="7">
        <f t="shared" si="159"/>
        <v>2593020</v>
      </c>
      <c r="JC84" s="7">
        <f t="shared" si="160"/>
        <v>0</v>
      </c>
      <c r="JD84" s="7">
        <f t="shared" si="129"/>
        <v>1665733</v>
      </c>
      <c r="JE84" s="7">
        <f t="shared" si="130"/>
        <v>0</v>
      </c>
      <c r="JF84" s="7">
        <f t="shared" si="131"/>
        <v>523112</v>
      </c>
      <c r="JG84" s="7">
        <f t="shared" si="132"/>
        <v>0</v>
      </c>
      <c r="JH84" s="7">
        <f t="shared" si="133"/>
        <v>211654</v>
      </c>
      <c r="JI84" s="7">
        <f t="shared" si="134"/>
        <v>0</v>
      </c>
      <c r="JJ84" s="7">
        <f t="shared" si="135"/>
        <v>0</v>
      </c>
      <c r="JK84" s="7">
        <f t="shared" si="136"/>
        <v>0</v>
      </c>
      <c r="JL84" s="7">
        <f t="shared" si="137"/>
        <v>1550873</v>
      </c>
      <c r="JM84" s="7">
        <f t="shared" si="138"/>
        <v>0</v>
      </c>
      <c r="JN84" s="7">
        <f t="shared" si="139"/>
        <v>25697</v>
      </c>
      <c r="JO84" s="7">
        <f t="shared" si="140"/>
        <v>0</v>
      </c>
      <c r="JP84" s="7">
        <f t="shared" si="141"/>
        <v>1683045</v>
      </c>
      <c r="JQ84" s="7">
        <f t="shared" si="142"/>
        <v>0</v>
      </c>
      <c r="JR84" s="7">
        <f t="shared" si="143"/>
        <v>469240</v>
      </c>
      <c r="JS84" s="7">
        <f t="shared" si="144"/>
        <v>0</v>
      </c>
      <c r="JT84" s="7">
        <f t="shared" si="145"/>
        <v>931970</v>
      </c>
      <c r="JU84" s="7">
        <f t="shared" si="146"/>
        <v>0</v>
      </c>
      <c r="JV84" s="7">
        <f t="shared" si="147"/>
        <v>1318159</v>
      </c>
      <c r="JW84" s="7">
        <f t="shared" si="148"/>
        <v>0</v>
      </c>
      <c r="JX84" s="7">
        <f t="shared" si="149"/>
        <v>24307048</v>
      </c>
      <c r="JY84" s="7">
        <f t="shared" si="150"/>
        <v>0</v>
      </c>
      <c r="JZ84" s="7">
        <f t="shared" si="151"/>
        <v>0</v>
      </c>
      <c r="KA84" s="7">
        <f t="shared" si="152"/>
        <v>0</v>
      </c>
      <c r="KB84" s="7">
        <f t="shared" si="153"/>
        <v>24307048</v>
      </c>
      <c r="KC84" s="7">
        <f t="shared" si="154"/>
        <v>0</v>
      </c>
      <c r="KE84" s="7" t="e">
        <f t="shared" si="107"/>
        <v>#REF!</v>
      </c>
      <c r="KG84" s="5" t="e">
        <f t="shared" si="108"/>
        <v>#REF!</v>
      </c>
    </row>
    <row r="85" spans="1:293" x14ac:dyDescent="0.15">
      <c r="A85" s="119" t="s">
        <v>230</v>
      </c>
      <c r="B85" s="17" t="s">
        <v>341</v>
      </c>
      <c r="C85" s="41">
        <v>228796</v>
      </c>
      <c r="D85" s="38">
        <v>2013</v>
      </c>
      <c r="E85" s="38">
        <v>1</v>
      </c>
      <c r="F85" s="38">
        <v>8</v>
      </c>
      <c r="G85" s="39">
        <v>5971</v>
      </c>
      <c r="H85" s="39">
        <v>6682</v>
      </c>
      <c r="I85" s="40">
        <v>380688163</v>
      </c>
      <c r="J85" s="40"/>
      <c r="K85" s="40">
        <v>1444554</v>
      </c>
      <c r="L85" s="40"/>
      <c r="M85" s="40">
        <v>18956649</v>
      </c>
      <c r="N85" s="40"/>
      <c r="O85" s="40">
        <v>15108000</v>
      </c>
      <c r="P85" s="40"/>
      <c r="Q85" s="40">
        <v>226535000</v>
      </c>
      <c r="R85" s="40"/>
      <c r="S85" s="40">
        <v>289352881</v>
      </c>
      <c r="T85" s="40"/>
      <c r="U85" s="40">
        <v>16742</v>
      </c>
      <c r="V85" s="40"/>
      <c r="W85" s="40">
        <v>27272</v>
      </c>
      <c r="X85" s="40"/>
      <c r="Y85" s="40">
        <v>20564</v>
      </c>
      <c r="Z85" s="40"/>
      <c r="AA85" s="40">
        <v>31094</v>
      </c>
      <c r="AB85" s="40"/>
      <c r="AC85" s="59">
        <v>6</v>
      </c>
      <c r="AD85" s="59">
        <v>10</v>
      </c>
      <c r="AE85" s="59">
        <v>0</v>
      </c>
      <c r="AF85" s="57">
        <v>3262507</v>
      </c>
      <c r="AG85" s="57">
        <v>2818877</v>
      </c>
      <c r="AH85" s="57">
        <v>352858</v>
      </c>
      <c r="AI85" s="57">
        <v>157048</v>
      </c>
      <c r="AJ85" s="57">
        <f>(1564070+75391)/AK85</f>
        <v>437189.6</v>
      </c>
      <c r="AK85" s="58">
        <v>3.75</v>
      </c>
      <c r="AL85" s="57">
        <f>(1564070+75391)/AM85</f>
        <v>327892.2</v>
      </c>
      <c r="AM85" s="58">
        <v>5</v>
      </c>
      <c r="AN85" s="57">
        <f>(923391+47627)/AO85</f>
        <v>110973.48571428571</v>
      </c>
      <c r="AO85" s="58">
        <v>8.75</v>
      </c>
      <c r="AP85" s="57">
        <f>(923391+47627)/AQ85</f>
        <v>97101.8</v>
      </c>
      <c r="AQ85" s="58">
        <v>10</v>
      </c>
      <c r="AR85" s="57">
        <f>(1937733+83654)/AS85</f>
        <v>147009.96363636362</v>
      </c>
      <c r="AS85" s="58">
        <v>13.75</v>
      </c>
      <c r="AT85" s="57">
        <f>(1937733+83654)/AU85</f>
        <v>126336.6875</v>
      </c>
      <c r="AU85" s="58">
        <v>16</v>
      </c>
      <c r="AV85" s="57">
        <f>(597938+1000)/AW85</f>
        <v>68450.057142857142</v>
      </c>
      <c r="AW85" s="58">
        <v>8.75</v>
      </c>
      <c r="AX85" s="57">
        <f>(597938+1000)/AY85</f>
        <v>54448.909090909088</v>
      </c>
      <c r="AY85" s="58">
        <v>11</v>
      </c>
      <c r="AZ85" s="79">
        <v>1558050</v>
      </c>
      <c r="BA85" s="79">
        <v>1700000</v>
      </c>
      <c r="BB85" s="85">
        <v>1223527</v>
      </c>
      <c r="BC85" s="85">
        <v>178964</v>
      </c>
      <c r="BD85" s="85">
        <v>897127</v>
      </c>
      <c r="BE85" s="85">
        <v>9310</v>
      </c>
      <c r="BF85" s="85">
        <v>16385</v>
      </c>
      <c r="BG85" s="85">
        <v>6253</v>
      </c>
      <c r="BH85" s="85">
        <f>25695+71438-BE85-BF85-BG85</f>
        <v>65185</v>
      </c>
      <c r="BI85" s="85">
        <v>32865</v>
      </c>
      <c r="BJ85" s="85">
        <v>129998</v>
      </c>
      <c r="BK85" s="85">
        <v>29320</v>
      </c>
      <c r="BL85" s="85">
        <v>20575</v>
      </c>
      <c r="BM85" s="85">
        <v>3150</v>
      </c>
      <c r="BN85" s="85">
        <f>57926+21301-BK85-BL85-BM85</f>
        <v>26182</v>
      </c>
      <c r="BO85" s="85">
        <v>0</v>
      </c>
      <c r="BP85" s="85">
        <v>79227</v>
      </c>
      <c r="BQ85" s="85">
        <v>161156</v>
      </c>
      <c r="BR85" s="85">
        <v>35922</v>
      </c>
      <c r="BS85" s="85">
        <v>41911</v>
      </c>
      <c r="BT85" s="85">
        <f>244730+238021-BQ85-BR85-BS85</f>
        <v>243762</v>
      </c>
      <c r="BU85" s="85">
        <v>67980</v>
      </c>
      <c r="BV85" s="85">
        <v>550731</v>
      </c>
      <c r="BW85" s="85">
        <v>13077428</v>
      </c>
      <c r="BX85" s="85">
        <v>3767071</v>
      </c>
      <c r="BY85" s="85">
        <v>1542118</v>
      </c>
      <c r="BZ85" s="85">
        <f>18911261+9149504.63-BW85-BX85-BY85</f>
        <v>9674148.6300000027</v>
      </c>
      <c r="CA85" s="85">
        <v>957083</v>
      </c>
      <c r="CB85" s="85">
        <v>29017848</v>
      </c>
      <c r="CC85" s="85">
        <v>1908958</v>
      </c>
      <c r="CD85" s="85">
        <v>412141</v>
      </c>
      <c r="CE85" s="85">
        <v>425702</v>
      </c>
      <c r="CF85" s="85">
        <f>3262507+2818877-CC85-CD85-CE85</f>
        <v>3334583</v>
      </c>
      <c r="CG85" s="85">
        <v>492598</v>
      </c>
      <c r="CH85" s="85">
        <v>6573982</v>
      </c>
      <c r="CI85" s="85">
        <v>275000</v>
      </c>
      <c r="CJ85" s="85">
        <v>295188</v>
      </c>
      <c r="CK85" s="85">
        <v>101690</v>
      </c>
      <c r="CL85" s="85">
        <f>575313+117103-CI85-CJ85-CK85</f>
        <v>20538</v>
      </c>
      <c r="CM85" s="85">
        <v>0</v>
      </c>
      <c r="CN85" s="85">
        <v>692416</v>
      </c>
      <c r="CO85" s="85">
        <f>656262+1364246</f>
        <v>2020508</v>
      </c>
      <c r="CP85" s="85">
        <f>728103+451627</f>
        <v>1179730</v>
      </c>
      <c r="CQ85" s="85">
        <f>268263+213326</f>
        <v>481589</v>
      </c>
      <c r="CR85" s="85">
        <f>1564070+1937733+923391+597938-CO85-CP85-CQ85</f>
        <v>1341305</v>
      </c>
      <c r="CS85" s="85">
        <v>0</v>
      </c>
      <c r="CT85" s="85">
        <v>5023132</v>
      </c>
      <c r="CU85" s="85">
        <f>35408+60876</f>
        <v>96284</v>
      </c>
      <c r="CV85" s="85">
        <f>22896+21778</f>
        <v>44674</v>
      </c>
      <c r="CW85" s="85">
        <f>6382+0</f>
        <v>6382</v>
      </c>
      <c r="CX85" s="85">
        <f>75391+83654+47627+1000-CU85-CV85-CW85</f>
        <v>60332</v>
      </c>
      <c r="CY85" s="85">
        <v>0</v>
      </c>
      <c r="CZ85" s="85">
        <v>207672</v>
      </c>
      <c r="DA85" s="85">
        <v>422109</v>
      </c>
      <c r="DB85" s="85">
        <v>196606</v>
      </c>
      <c r="DC85" s="85">
        <v>35736</v>
      </c>
      <c r="DD85" s="85">
        <f>577684+180897-DA85-DB85-DC85</f>
        <v>104130</v>
      </c>
      <c r="DE85" s="85">
        <v>2358927</v>
      </c>
      <c r="DF85" s="85">
        <v>3117508</v>
      </c>
      <c r="DG85" s="85">
        <v>9382</v>
      </c>
      <c r="DH85" s="85">
        <v>0</v>
      </c>
      <c r="DI85" s="85">
        <v>0</v>
      </c>
      <c r="DJ85" s="85">
        <f>9382+0-DG85-DH85-DI85</f>
        <v>0</v>
      </c>
      <c r="DK85" s="85">
        <v>34423</v>
      </c>
      <c r="DL85" s="85">
        <v>43805</v>
      </c>
      <c r="DM85" s="85">
        <v>316367</v>
      </c>
      <c r="DN85" s="85">
        <v>0</v>
      </c>
      <c r="DO85" s="85">
        <v>0</v>
      </c>
      <c r="DP85" s="85">
        <v>23356</v>
      </c>
      <c r="DQ85" s="85">
        <v>0</v>
      </c>
      <c r="DR85" s="85">
        <v>339723</v>
      </c>
      <c r="DS85" s="85">
        <v>155922</v>
      </c>
      <c r="DT85" s="85">
        <v>167456</v>
      </c>
      <c r="DU85" s="85">
        <v>71033</v>
      </c>
      <c r="DV85" s="85">
        <f>352858+157048-DS85-DT85-DU85</f>
        <v>115495</v>
      </c>
      <c r="DW85" s="85">
        <v>0</v>
      </c>
      <c r="DX85" s="85">
        <v>509906</v>
      </c>
      <c r="DY85" s="85">
        <v>1126420</v>
      </c>
      <c r="DZ85" s="85">
        <v>420879</v>
      </c>
      <c r="EA85" s="85">
        <v>252221</v>
      </c>
      <c r="EB85" s="85">
        <f>1755237+1166562-DY85-DZ85-EA85</f>
        <v>1122279</v>
      </c>
      <c r="EC85" s="85">
        <v>0</v>
      </c>
      <c r="ED85" s="85">
        <v>2921799</v>
      </c>
      <c r="EE85" s="85">
        <v>155791</v>
      </c>
      <c r="EF85" s="85">
        <v>41903</v>
      </c>
      <c r="EG85" s="85">
        <v>22621</v>
      </c>
      <c r="EH85" s="85">
        <f>231242+191964-EE85-EF85-EG85</f>
        <v>202891</v>
      </c>
      <c r="EI85" s="85">
        <v>0</v>
      </c>
      <c r="EJ85" s="85">
        <v>423206</v>
      </c>
      <c r="EK85" s="85">
        <v>689627</v>
      </c>
      <c r="EL85" s="85">
        <v>363621</v>
      </c>
      <c r="EM85" s="85">
        <v>121008</v>
      </c>
      <c r="EN85" s="85">
        <f>1083586+278880-EK85-EL85-EM85</f>
        <v>188210</v>
      </c>
      <c r="EO85" s="85">
        <v>0</v>
      </c>
      <c r="EP85" s="85">
        <v>1362466</v>
      </c>
      <c r="EQ85" s="85">
        <v>404994</v>
      </c>
      <c r="ER85" s="85">
        <v>78632</v>
      </c>
      <c r="ES85" s="85">
        <v>67431</v>
      </c>
      <c r="ET85" s="85">
        <f>560509+398324-EQ85-ER85-ES85</f>
        <v>407776</v>
      </c>
      <c r="EU85" s="85">
        <v>212583</v>
      </c>
      <c r="EV85" s="85">
        <v>1171416</v>
      </c>
      <c r="EW85" s="85">
        <v>53657</v>
      </c>
      <c r="EX85" s="85">
        <v>13305</v>
      </c>
      <c r="EY85" s="85">
        <v>4720</v>
      </c>
      <c r="EZ85" s="85">
        <f>66962+53711-EW85-EX85-EY85</f>
        <v>48991</v>
      </c>
      <c r="FA85" s="85">
        <v>14580</v>
      </c>
      <c r="FB85" s="85">
        <v>135253</v>
      </c>
      <c r="FC85" s="85">
        <v>196699</v>
      </c>
      <c r="FD85" s="85">
        <v>45795</v>
      </c>
      <c r="FE85" s="85">
        <v>49392</v>
      </c>
      <c r="FF85" s="85">
        <f>273436+260412-FC85-FD85-FE85</f>
        <v>241962</v>
      </c>
      <c r="FG85" s="85">
        <v>0</v>
      </c>
      <c r="FH85" s="85">
        <v>533848</v>
      </c>
      <c r="FI85" s="85">
        <v>38347</v>
      </c>
      <c r="FJ85" s="85">
        <v>5865</v>
      </c>
      <c r="FK85" s="85">
        <v>6767</v>
      </c>
      <c r="FL85" s="85">
        <f>51926+39971-FI85-FJ85-FK85</f>
        <v>40918</v>
      </c>
      <c r="FM85" s="85">
        <v>34511</v>
      </c>
      <c r="FN85" s="85">
        <v>126408</v>
      </c>
      <c r="FO85" s="85">
        <v>1269751</v>
      </c>
      <c r="FP85" s="85">
        <v>194197</v>
      </c>
      <c r="FQ85" s="85">
        <v>224073</v>
      </c>
      <c r="FR85" s="85">
        <f>1719392+1323527-FO85-FP85-FQ85</f>
        <v>1354898</v>
      </c>
      <c r="FS85" s="85">
        <v>0</v>
      </c>
      <c r="FT85" s="85">
        <v>3042919</v>
      </c>
      <c r="FU85" s="85">
        <v>356119</v>
      </c>
      <c r="FV85" s="85">
        <v>54421</v>
      </c>
      <c r="FW85" s="85">
        <v>62830</v>
      </c>
      <c r="FX85" s="85">
        <f>482200+371213-FU85-FV85-FW85</f>
        <v>380043</v>
      </c>
      <c r="FY85" s="85">
        <v>5000</v>
      </c>
      <c r="FZ85" s="85">
        <v>858413</v>
      </c>
      <c r="GA85" s="85">
        <v>139559</v>
      </c>
      <c r="GB85" s="85">
        <v>21035</v>
      </c>
      <c r="GC85" s="85">
        <v>24464</v>
      </c>
      <c r="GD85" s="85">
        <f>190192+146110-GA85-GB85-GC85</f>
        <v>151244</v>
      </c>
      <c r="GE85" s="85">
        <v>3150</v>
      </c>
      <c r="GF85" s="85">
        <v>339452</v>
      </c>
      <c r="GG85" s="85">
        <v>398945</v>
      </c>
      <c r="GH85" s="85">
        <v>195989</v>
      </c>
      <c r="GI85" s="85">
        <v>69467</v>
      </c>
      <c r="GJ85" s="85">
        <f>794914+217969-GG85-GH85-GI85</f>
        <v>348482</v>
      </c>
      <c r="GK85" s="85">
        <v>528601</v>
      </c>
      <c r="GL85" s="85">
        <v>1541484</v>
      </c>
      <c r="GM85" s="85">
        <v>10034440</v>
      </c>
      <c r="GN85" s="85">
        <v>3685701</v>
      </c>
      <c r="GO85" s="85">
        <v>2027126</v>
      </c>
      <c r="GP85" s="85">
        <f>15964555+9315880-GM85-GN85-GO85</f>
        <v>9533168</v>
      </c>
      <c r="GQ85" s="85">
        <v>3684373</v>
      </c>
      <c r="GR85" s="85">
        <v>28964808</v>
      </c>
      <c r="GS85" s="85">
        <v>0</v>
      </c>
      <c r="GT85" s="85">
        <v>0</v>
      </c>
      <c r="GU85" s="85">
        <v>0</v>
      </c>
      <c r="GV85" s="85">
        <v>0</v>
      </c>
      <c r="GW85" s="85">
        <v>0</v>
      </c>
      <c r="GX85" s="85">
        <v>0</v>
      </c>
      <c r="GY85" s="85">
        <v>10034440</v>
      </c>
      <c r="GZ85" s="85">
        <v>3685701</v>
      </c>
      <c r="HA85" s="85">
        <v>2027126</v>
      </c>
      <c r="HB85" s="85">
        <f>15964555+9315880-GY85-GZ85-HA85</f>
        <v>9533168</v>
      </c>
      <c r="HC85" s="85">
        <v>3684373</v>
      </c>
      <c r="HD85" s="85">
        <v>28964808</v>
      </c>
      <c r="HF85" s="7">
        <f>SUM(AZ85:AZ85)</f>
        <v>1558050</v>
      </c>
      <c r="HG85" s="7" t="e">
        <f>#REF!-HF85</f>
        <v>#REF!</v>
      </c>
      <c r="HH85" s="7" t="e">
        <f>SUM(#REF!)</f>
        <v>#REF!</v>
      </c>
      <c r="HI85" s="7" t="e">
        <f>#REF!-HH85</f>
        <v>#REF!</v>
      </c>
      <c r="HJ85" s="7">
        <f>SUM(BA85:BA85)</f>
        <v>1700000</v>
      </c>
      <c r="HK85" s="7" t="e">
        <f>#REF!-HJ85</f>
        <v>#REF!</v>
      </c>
      <c r="HL85" s="7">
        <f>SUM(BB85:BB85)</f>
        <v>1223527</v>
      </c>
      <c r="HM85" s="7" t="e">
        <f>#REF!-HL85</f>
        <v>#REF!</v>
      </c>
      <c r="HN85" s="7" t="e">
        <f>SUM(#REF!)</f>
        <v>#REF!</v>
      </c>
      <c r="HO85" s="7" t="e">
        <f>#REF!-HN85</f>
        <v>#REF!</v>
      </c>
      <c r="HP85" s="7" t="e">
        <f>SUM(#REF!)</f>
        <v>#REF!</v>
      </c>
      <c r="HQ85" s="7" t="e">
        <f>#REF!-HP85</f>
        <v>#REF!</v>
      </c>
      <c r="HR85" s="7" t="e">
        <f>SUM(#REF!)</f>
        <v>#REF!</v>
      </c>
      <c r="HS85" s="7" t="e">
        <f>#REF!-HR85</f>
        <v>#REF!</v>
      </c>
      <c r="HT85" s="7" t="e">
        <f>SUM(#REF!)</f>
        <v>#REF!</v>
      </c>
      <c r="HU85" s="7" t="e">
        <f>#REF!-HT85</f>
        <v>#REF!</v>
      </c>
      <c r="HV85" s="7" t="e">
        <f>SUM(#REF!)</f>
        <v>#REF!</v>
      </c>
      <c r="HW85" s="7" t="e">
        <f>#REF!-HV85</f>
        <v>#REF!</v>
      </c>
      <c r="HX85" s="7" t="e">
        <f>SUM(#REF!)</f>
        <v>#REF!</v>
      </c>
      <c r="HY85" s="7" t="e">
        <f>#REF!-HX85</f>
        <v>#REF!</v>
      </c>
      <c r="HZ85" s="7">
        <f>SUM(BC85:BC85)</f>
        <v>178964</v>
      </c>
      <c r="IA85" s="7" t="e">
        <f>#REF!-HZ85</f>
        <v>#REF!</v>
      </c>
      <c r="IB85" s="7">
        <f>SUM(BD85:BD85)</f>
        <v>897127</v>
      </c>
      <c r="IC85" s="7" t="e">
        <f>#REF!-IB85</f>
        <v>#REF!</v>
      </c>
      <c r="ID85" s="7">
        <f t="shared" si="109"/>
        <v>129998</v>
      </c>
      <c r="IE85" s="7">
        <f t="shared" si="110"/>
        <v>0</v>
      </c>
      <c r="IF85" s="7">
        <f t="shared" si="111"/>
        <v>79227</v>
      </c>
      <c r="IG85" s="7">
        <f t="shared" si="112"/>
        <v>0</v>
      </c>
      <c r="IH85" s="7">
        <f t="shared" si="113"/>
        <v>550731</v>
      </c>
      <c r="II85" s="7">
        <f t="shared" si="155"/>
        <v>0</v>
      </c>
      <c r="IJ85" s="7">
        <f t="shared" si="156"/>
        <v>29017848.630000003</v>
      </c>
      <c r="IK85" s="7">
        <f t="shared" si="114"/>
        <v>-0.63000000268220901</v>
      </c>
      <c r="IL85" s="7">
        <f t="shared" si="115"/>
        <v>6573982</v>
      </c>
      <c r="IM85" s="7">
        <f t="shared" si="116"/>
        <v>0</v>
      </c>
      <c r="IN85" s="7">
        <f t="shared" si="117"/>
        <v>692416</v>
      </c>
      <c r="IO85" s="7">
        <f t="shared" si="118"/>
        <v>0</v>
      </c>
      <c r="IP85" s="7">
        <f t="shared" si="119"/>
        <v>5023132</v>
      </c>
      <c r="IQ85" s="7">
        <f t="shared" si="120"/>
        <v>0</v>
      </c>
      <c r="IR85" s="7">
        <f t="shared" si="121"/>
        <v>207672</v>
      </c>
      <c r="IS85" s="7">
        <f t="shared" si="122"/>
        <v>0</v>
      </c>
      <c r="IT85" s="7">
        <f t="shared" si="123"/>
        <v>3117508</v>
      </c>
      <c r="IU85" s="7">
        <f t="shared" si="124"/>
        <v>0</v>
      </c>
      <c r="IV85" s="7">
        <f t="shared" si="157"/>
        <v>43805</v>
      </c>
      <c r="IW85" s="7">
        <f t="shared" si="158"/>
        <v>0</v>
      </c>
      <c r="IX85" s="7">
        <f t="shared" si="125"/>
        <v>339723</v>
      </c>
      <c r="IY85" s="7">
        <f t="shared" si="126"/>
        <v>0</v>
      </c>
      <c r="IZ85" s="7">
        <f t="shared" si="127"/>
        <v>509906</v>
      </c>
      <c r="JA85" s="7">
        <f t="shared" si="128"/>
        <v>0</v>
      </c>
      <c r="JB85" s="7">
        <f t="shared" si="159"/>
        <v>2921799</v>
      </c>
      <c r="JC85" s="7">
        <f t="shared" si="160"/>
        <v>0</v>
      </c>
      <c r="JD85" s="7">
        <f t="shared" si="129"/>
        <v>423206</v>
      </c>
      <c r="JE85" s="7">
        <f t="shared" si="130"/>
        <v>0</v>
      </c>
      <c r="JF85" s="7">
        <f t="shared" si="131"/>
        <v>1362466</v>
      </c>
      <c r="JG85" s="7">
        <f t="shared" si="132"/>
        <v>0</v>
      </c>
      <c r="JH85" s="7">
        <f t="shared" si="133"/>
        <v>1171416</v>
      </c>
      <c r="JI85" s="7">
        <f t="shared" si="134"/>
        <v>0</v>
      </c>
      <c r="JJ85" s="7">
        <f t="shared" si="135"/>
        <v>135253</v>
      </c>
      <c r="JK85" s="7">
        <f t="shared" si="136"/>
        <v>0</v>
      </c>
      <c r="JL85" s="7">
        <f t="shared" si="137"/>
        <v>533848</v>
      </c>
      <c r="JM85" s="7">
        <f t="shared" si="138"/>
        <v>0</v>
      </c>
      <c r="JN85" s="7">
        <f t="shared" si="139"/>
        <v>126408</v>
      </c>
      <c r="JO85" s="7">
        <f t="shared" si="140"/>
        <v>0</v>
      </c>
      <c r="JP85" s="7">
        <f t="shared" si="141"/>
        <v>3042919</v>
      </c>
      <c r="JQ85" s="7">
        <f t="shared" si="142"/>
        <v>0</v>
      </c>
      <c r="JR85" s="7">
        <f t="shared" si="143"/>
        <v>858413</v>
      </c>
      <c r="JS85" s="7">
        <f t="shared" si="144"/>
        <v>0</v>
      </c>
      <c r="JT85" s="7">
        <f t="shared" si="145"/>
        <v>339452</v>
      </c>
      <c r="JU85" s="7">
        <f t="shared" si="146"/>
        <v>0</v>
      </c>
      <c r="JV85" s="7">
        <f t="shared" si="147"/>
        <v>1541484</v>
      </c>
      <c r="JW85" s="7">
        <f t="shared" si="148"/>
        <v>0</v>
      </c>
      <c r="JX85" s="7">
        <f t="shared" si="149"/>
        <v>28964808</v>
      </c>
      <c r="JY85" s="7">
        <f t="shared" si="150"/>
        <v>0</v>
      </c>
      <c r="JZ85" s="7">
        <f t="shared" si="151"/>
        <v>0</v>
      </c>
      <c r="KA85" s="7">
        <f t="shared" si="152"/>
        <v>0</v>
      </c>
      <c r="KB85" s="7">
        <f t="shared" si="153"/>
        <v>28964808</v>
      </c>
      <c r="KC85" s="7">
        <f t="shared" si="154"/>
        <v>0</v>
      </c>
      <c r="KE85" s="7" t="e">
        <f t="shared" si="107"/>
        <v>#REF!</v>
      </c>
      <c r="KG85" s="5" t="e">
        <f t="shared" si="108"/>
        <v>#REF!</v>
      </c>
    </row>
    <row r="86" spans="1:293" x14ac:dyDescent="0.15">
      <c r="A86" s="121" t="s">
        <v>231</v>
      </c>
      <c r="B86" s="17" t="s">
        <v>340</v>
      </c>
      <c r="C86" s="41">
        <v>234076</v>
      </c>
      <c r="D86" s="38">
        <v>2013</v>
      </c>
      <c r="E86" s="38">
        <v>1</v>
      </c>
      <c r="F86" s="38">
        <v>1</v>
      </c>
      <c r="G86" s="39">
        <v>6410</v>
      </c>
      <c r="H86" s="39">
        <v>7765</v>
      </c>
      <c r="I86" s="40">
        <v>2433251185</v>
      </c>
      <c r="J86" s="40"/>
      <c r="K86" s="40">
        <v>9542384</v>
      </c>
      <c r="L86" s="40"/>
      <c r="M86" s="40">
        <v>55883810</v>
      </c>
      <c r="N86" s="40"/>
      <c r="O86" s="40">
        <v>91096703</v>
      </c>
      <c r="P86" s="40"/>
      <c r="Q86" s="40">
        <v>1283449019</v>
      </c>
      <c r="R86" s="40"/>
      <c r="S86" s="40">
        <v>999952188</v>
      </c>
      <c r="T86" s="40"/>
      <c r="U86" s="40">
        <v>22336</v>
      </c>
      <c r="V86" s="40"/>
      <c r="W86" s="40">
        <v>48348</v>
      </c>
      <c r="X86" s="40"/>
      <c r="Y86" s="40">
        <v>25464</v>
      </c>
      <c r="Z86" s="40"/>
      <c r="AA86" s="40">
        <v>51696</v>
      </c>
      <c r="AB86" s="40"/>
      <c r="AC86" s="56">
        <v>8</v>
      </c>
      <c r="AD86" s="56">
        <v>9</v>
      </c>
      <c r="AE86" s="56">
        <v>4</v>
      </c>
      <c r="AF86" s="57">
        <v>6188787</v>
      </c>
      <c r="AG86" s="57"/>
      <c r="AH86" s="57">
        <v>706424.81</v>
      </c>
      <c r="AI86" s="57">
        <v>346301.9</v>
      </c>
      <c r="AJ86" s="57">
        <f>6684111.447/AK86</f>
        <v>742679.04966666666</v>
      </c>
      <c r="AK86" s="58">
        <v>9</v>
      </c>
      <c r="AL86" s="57">
        <f>6684111.447/AM86</f>
        <v>668411.14469999995</v>
      </c>
      <c r="AM86" s="58">
        <v>10</v>
      </c>
      <c r="AN86" s="57">
        <f>2333607.967/AO86</f>
        <v>233360.79670000001</v>
      </c>
      <c r="AO86" s="58">
        <v>10</v>
      </c>
      <c r="AP86" s="57">
        <f>2333607.967/AQ86</f>
        <v>212146.17881818183</v>
      </c>
      <c r="AQ86" s="58">
        <v>11</v>
      </c>
      <c r="AR86" s="57">
        <f>5501226.595/AS86</f>
        <v>177458.92241935484</v>
      </c>
      <c r="AS86" s="58">
        <v>31</v>
      </c>
      <c r="AT86" s="57">
        <f>5501226.595/AU86</f>
        <v>134176.25841463415</v>
      </c>
      <c r="AU86" s="58">
        <v>41</v>
      </c>
      <c r="AV86" s="57">
        <f>1887176.723/AW86</f>
        <v>67399.168678571426</v>
      </c>
      <c r="AW86" s="58">
        <v>28</v>
      </c>
      <c r="AX86" s="57">
        <f>1887176.723/AY86</f>
        <v>47179.418075000001</v>
      </c>
      <c r="AY86" s="58">
        <v>40</v>
      </c>
      <c r="AZ86" s="79">
        <v>8858509</v>
      </c>
      <c r="BA86" s="79">
        <v>250000</v>
      </c>
      <c r="BB86" s="79">
        <v>2340044.2000000002</v>
      </c>
      <c r="BC86" s="79">
        <v>513681.93</v>
      </c>
      <c r="BD86" s="79">
        <v>0</v>
      </c>
      <c r="BE86" s="79">
        <v>8516.35</v>
      </c>
      <c r="BF86" s="79">
        <v>3085.47</v>
      </c>
      <c r="BG86" s="79">
        <v>2772</v>
      </c>
      <c r="BH86" s="79">
        <f>39865.13+22017.97-BE86-BF86-BG86</f>
        <v>47509.279999999999</v>
      </c>
      <c r="BI86" s="79">
        <v>77077.69</v>
      </c>
      <c r="BJ86" s="79">
        <v>138960</v>
      </c>
      <c r="BK86" s="79">
        <v>0</v>
      </c>
      <c r="BL86" s="79">
        <v>0</v>
      </c>
      <c r="BM86" s="79">
        <v>0</v>
      </c>
      <c r="BN86" s="79">
        <v>0</v>
      </c>
      <c r="BO86" s="79">
        <v>567068</v>
      </c>
      <c r="BP86" s="79">
        <v>567068</v>
      </c>
      <c r="BQ86" s="79">
        <v>0</v>
      </c>
      <c r="BR86" s="79">
        <v>0</v>
      </c>
      <c r="BS86" s="79">
        <v>0</v>
      </c>
      <c r="BT86" s="79">
        <v>0</v>
      </c>
      <c r="BU86" s="79">
        <v>2043404</v>
      </c>
      <c r="BV86" s="79">
        <v>2043404</v>
      </c>
      <c r="BW86" s="79">
        <v>21521177.48</v>
      </c>
      <c r="BX86" s="79">
        <v>7659155.5800000001</v>
      </c>
      <c r="BY86" s="79">
        <v>240545.66</v>
      </c>
      <c r="BZ86" s="79">
        <f>31891279.46+2302778.57-BW86-BX86-BY86</f>
        <v>4773179.3100000005</v>
      </c>
      <c r="CA86" s="79">
        <v>50208652.43</v>
      </c>
      <c r="CB86" s="79">
        <v>84402710</v>
      </c>
      <c r="CC86" s="79">
        <v>3210531.1</v>
      </c>
      <c r="CD86" s="79">
        <v>629757.22</v>
      </c>
      <c r="CE86" s="79"/>
      <c r="CF86" s="79"/>
      <c r="CG86" s="79"/>
      <c r="CH86" s="79">
        <v>13520148</v>
      </c>
      <c r="CI86" s="79">
        <v>1300000</v>
      </c>
      <c r="CJ86" s="79">
        <v>455000</v>
      </c>
      <c r="CK86" s="79">
        <v>48000</v>
      </c>
      <c r="CL86" s="79">
        <f>1803500+50380-CI86-CJ86-CK86</f>
        <v>50880</v>
      </c>
      <c r="CM86" s="79">
        <v>0</v>
      </c>
      <c r="CN86" s="79">
        <v>1853880</v>
      </c>
      <c r="CO86" s="79">
        <f>2365030.6+3296270.8</f>
        <v>5661301.4000000004</v>
      </c>
      <c r="CP86" s="79">
        <f>1899447.4+824619.41</f>
        <v>2724066.81</v>
      </c>
      <c r="CQ86" s="79">
        <f>836325+619641.12</f>
        <v>1455966.12</v>
      </c>
      <c r="CR86" s="79">
        <f>6684111.447+5501226.595+2333607.967+1887176.723-CO86-CP86-CQ86</f>
        <v>6564788.4019999979</v>
      </c>
      <c r="CS86" s="79">
        <v>0</v>
      </c>
      <c r="CT86" s="79">
        <v>16406122</v>
      </c>
      <c r="CU86" s="79">
        <v>0</v>
      </c>
      <c r="CV86" s="79">
        <v>0</v>
      </c>
      <c r="CW86" s="79">
        <v>0</v>
      </c>
      <c r="CX86" s="79">
        <v>0</v>
      </c>
      <c r="CY86" s="79">
        <v>0</v>
      </c>
      <c r="CZ86" s="79">
        <v>0</v>
      </c>
      <c r="DA86" s="79">
        <v>1524810.8</v>
      </c>
      <c r="DB86" s="79">
        <v>636197.67000000004</v>
      </c>
      <c r="DC86" s="79">
        <v>377910.54</v>
      </c>
      <c r="DD86" s="79">
        <f>2319636.219+774419.196-DA86-DB86-DC86</f>
        <v>555136.40500000003</v>
      </c>
      <c r="DE86" s="79">
        <v>11189783.550000001</v>
      </c>
      <c r="DF86" s="79">
        <v>14283838</v>
      </c>
      <c r="DG86" s="79">
        <v>0</v>
      </c>
      <c r="DH86" s="79">
        <v>0</v>
      </c>
      <c r="DI86" s="79">
        <v>0</v>
      </c>
      <c r="DJ86" s="79">
        <v>0</v>
      </c>
      <c r="DK86" s="79">
        <v>0</v>
      </c>
      <c r="DL86" s="79">
        <v>0</v>
      </c>
      <c r="DM86" s="79">
        <v>459989.23</v>
      </c>
      <c r="DN86" s="79">
        <v>0</v>
      </c>
      <c r="DO86" s="79">
        <v>0</v>
      </c>
      <c r="DP86" s="79">
        <f>459989.23+67112.7-DM86-DN86-DO86</f>
        <v>67112.699999999953</v>
      </c>
      <c r="DQ86" s="79">
        <v>92150.99</v>
      </c>
      <c r="DR86" s="79">
        <v>619252</v>
      </c>
      <c r="DS86" s="79">
        <v>299730.48</v>
      </c>
      <c r="DT86" s="79">
        <v>172429.71</v>
      </c>
      <c r="DU86" s="79">
        <v>138103.5</v>
      </c>
      <c r="DV86" s="79">
        <f>706424.81+346301.9-DS86-DT86-DU86</f>
        <v>442463.02</v>
      </c>
      <c r="DW86" s="79">
        <v>131586.44</v>
      </c>
      <c r="DX86" s="79">
        <v>1184313</v>
      </c>
      <c r="DY86" s="79">
        <v>1117324.8</v>
      </c>
      <c r="DZ86" s="79">
        <v>620064.56000000006</v>
      </c>
      <c r="EA86" s="79">
        <v>554544.18999999994</v>
      </c>
      <c r="EB86" s="79">
        <f>2730997.58+1756227.11-DY86-DZ86-EA86</f>
        <v>2195291.1400000006</v>
      </c>
      <c r="EC86" s="79">
        <v>964204.38</v>
      </c>
      <c r="ED86" s="79">
        <v>5451429</v>
      </c>
      <c r="EE86" s="79">
        <v>623912.99</v>
      </c>
      <c r="EF86" s="79">
        <v>5407.13</v>
      </c>
      <c r="EG86" s="79">
        <v>6698.26</v>
      </c>
      <c r="EH86" s="79">
        <f>836541.71+156855.97-EE86-EF86-EG86</f>
        <v>357379.29999999993</v>
      </c>
      <c r="EI86" s="79">
        <f>215099.61</f>
        <v>215099.61</v>
      </c>
      <c r="EJ86" s="79">
        <v>1208497</v>
      </c>
      <c r="EK86" s="79">
        <v>1428129.5</v>
      </c>
      <c r="EL86" s="79">
        <v>1045908.7</v>
      </c>
      <c r="EM86" s="79">
        <v>459535.37</v>
      </c>
      <c r="EN86" s="79">
        <f>3149393.61+822065.52-EK86-EL86-EM86</f>
        <v>1037885.5599999999</v>
      </c>
      <c r="EO86" s="79">
        <v>233596.16</v>
      </c>
      <c r="EP86" s="79">
        <v>4205055</v>
      </c>
      <c r="EQ86" s="79">
        <v>97075.82</v>
      </c>
      <c r="ER86" s="79">
        <v>23941.39</v>
      </c>
      <c r="ES86" s="79">
        <v>3940</v>
      </c>
      <c r="ET86" s="79">
        <f>125214.51+6618.77-EQ86-ER86-ES86</f>
        <v>6876.0699999999924</v>
      </c>
      <c r="EU86" s="79">
        <v>695532.15</v>
      </c>
      <c r="EV86" s="79">
        <v>827365</v>
      </c>
      <c r="EW86" s="79">
        <v>0</v>
      </c>
      <c r="EX86" s="79">
        <v>0</v>
      </c>
      <c r="EY86" s="79">
        <v>0</v>
      </c>
      <c r="EZ86" s="79">
        <v>0</v>
      </c>
      <c r="FA86" s="79">
        <v>0</v>
      </c>
      <c r="FB86" s="79">
        <v>0</v>
      </c>
      <c r="FC86" s="79">
        <v>4992474.5999999996</v>
      </c>
      <c r="FD86" s="79">
        <v>2085.44</v>
      </c>
      <c r="FE86" s="79">
        <v>5031.6000000000004</v>
      </c>
      <c r="FF86" s="79">
        <f>6996860.79+1242459.66-FC86-FD86-FE86</f>
        <v>3239728.8100000005</v>
      </c>
      <c r="FG86" s="79">
        <v>8052486.7199999997</v>
      </c>
      <c r="FH86" s="79">
        <v>16291807</v>
      </c>
      <c r="FI86" s="79">
        <v>4498.04</v>
      </c>
      <c r="FJ86" s="79">
        <v>1265.68</v>
      </c>
      <c r="FK86" s="79">
        <v>2177.2800000000002</v>
      </c>
      <c r="FL86" s="79">
        <f>5763.72+2177.28-FI86-FJ86-FK86</f>
        <v>0</v>
      </c>
      <c r="FM86" s="79">
        <v>155897.76999999999</v>
      </c>
      <c r="FN86" s="79">
        <v>163838</v>
      </c>
      <c r="FO86" s="79">
        <v>0</v>
      </c>
      <c r="FP86" s="79">
        <v>0</v>
      </c>
      <c r="FQ86" s="79">
        <v>0</v>
      </c>
      <c r="FR86" s="79">
        <v>0</v>
      </c>
      <c r="FS86" s="79">
        <v>0</v>
      </c>
      <c r="FT86" s="79">
        <v>0</v>
      </c>
      <c r="FU86" s="79">
        <v>156593.57999999999</v>
      </c>
      <c r="FV86" s="79">
        <v>59674.45</v>
      </c>
      <c r="FW86" s="79">
        <v>40391.26</v>
      </c>
      <c r="FX86" s="79">
        <f>350221.47+101999.11-FU86-FV86-FW86</f>
        <v>195561.28999999998</v>
      </c>
      <c r="FY86" s="79">
        <v>1302597.49</v>
      </c>
      <c r="FZ86" s="79">
        <v>1754818</v>
      </c>
      <c r="GA86" s="79">
        <v>4310.88</v>
      </c>
      <c r="GB86" s="79">
        <v>3575</v>
      </c>
      <c r="GC86" s="79">
        <v>10153</v>
      </c>
      <c r="GD86" s="79">
        <f>16508.81+21632.94-GA86-GB86-GC86</f>
        <v>20102.870000000003</v>
      </c>
      <c r="GE86" s="79">
        <v>59519.55</v>
      </c>
      <c r="GF86" s="79">
        <v>97661</v>
      </c>
      <c r="GG86" s="79">
        <v>574532.92000000004</v>
      </c>
      <c r="GH86" s="79">
        <v>175634.3</v>
      </c>
      <c r="GI86" s="79">
        <v>175429.43</v>
      </c>
      <c r="GJ86" s="79">
        <f>960855.72+456220.38-GG86-GH86-GI86</f>
        <v>491479.45000000013</v>
      </c>
      <c r="GK86" s="79">
        <v>4916685.1500000004</v>
      </c>
      <c r="GL86" s="79">
        <v>6333761</v>
      </c>
      <c r="GM86" s="79">
        <v>21455216.140000001</v>
      </c>
      <c r="GN86" s="79">
        <v>6555080.0599999996</v>
      </c>
      <c r="GO86" s="79">
        <v>3979783.1</v>
      </c>
      <c r="GP86" s="79">
        <f>38836033.22+15203447.62-GM86-GN86-GO86</f>
        <v>22049401.539999995</v>
      </c>
      <c r="GQ86" s="79">
        <v>30162308.719999999</v>
      </c>
      <c r="GR86" s="79">
        <v>84201789</v>
      </c>
      <c r="GS86" s="79">
        <v>0</v>
      </c>
      <c r="GT86" s="79">
        <v>0</v>
      </c>
      <c r="GU86" s="79">
        <v>0</v>
      </c>
      <c r="GV86" s="79">
        <v>0</v>
      </c>
      <c r="GW86" s="79">
        <v>0</v>
      </c>
      <c r="GX86" s="79">
        <v>0</v>
      </c>
      <c r="GY86" s="79">
        <v>21455216.140000001</v>
      </c>
      <c r="GZ86" s="79">
        <v>6555080.0599999996</v>
      </c>
      <c r="HA86" s="79">
        <v>3979783.1</v>
      </c>
      <c r="HB86" s="79">
        <f>38836033.22+15203447.62-GY86-GZ86-HA86</f>
        <v>22049401.539999995</v>
      </c>
      <c r="HC86" s="79">
        <v>30162308.719999999</v>
      </c>
      <c r="HD86" s="79">
        <v>84201789</v>
      </c>
      <c r="HF86" s="7">
        <f>SUM(AZ86:AZ86)</f>
        <v>8858509</v>
      </c>
      <c r="HG86" s="7" t="e">
        <f>#REF!-HF86</f>
        <v>#REF!</v>
      </c>
      <c r="HH86" s="7" t="e">
        <f>SUM(#REF!)</f>
        <v>#REF!</v>
      </c>
      <c r="HI86" s="7" t="e">
        <f>#REF!-HH86</f>
        <v>#REF!</v>
      </c>
      <c r="HJ86" s="7">
        <f>SUM(BA86:BA86)</f>
        <v>250000</v>
      </c>
      <c r="HK86" s="7" t="e">
        <f>#REF!-HJ86</f>
        <v>#REF!</v>
      </c>
      <c r="HL86" s="7">
        <f>SUM(BB86:BB86)</f>
        <v>2340044.2000000002</v>
      </c>
      <c r="HM86" s="7" t="e">
        <f>#REF!-HL86</f>
        <v>#REF!</v>
      </c>
      <c r="HN86" s="7" t="e">
        <f>SUM(#REF!)</f>
        <v>#REF!</v>
      </c>
      <c r="HO86" s="7" t="e">
        <f>#REF!-HN86</f>
        <v>#REF!</v>
      </c>
      <c r="HP86" s="7" t="e">
        <f>SUM(#REF!)</f>
        <v>#REF!</v>
      </c>
      <c r="HQ86" s="7" t="e">
        <f>#REF!-HP86</f>
        <v>#REF!</v>
      </c>
      <c r="HR86" s="7" t="e">
        <f>SUM(#REF!)</f>
        <v>#REF!</v>
      </c>
      <c r="HS86" s="7" t="e">
        <f>#REF!-HR86</f>
        <v>#REF!</v>
      </c>
      <c r="HT86" s="7" t="e">
        <f>SUM(#REF!)</f>
        <v>#REF!</v>
      </c>
      <c r="HU86" s="7" t="e">
        <f>#REF!-HT86</f>
        <v>#REF!</v>
      </c>
      <c r="HV86" s="7" t="e">
        <f>SUM(#REF!)</f>
        <v>#REF!</v>
      </c>
      <c r="HW86" s="7" t="e">
        <f>#REF!-HV86</f>
        <v>#REF!</v>
      </c>
      <c r="HX86" s="7" t="e">
        <f>SUM(#REF!)</f>
        <v>#REF!</v>
      </c>
      <c r="HY86" s="7" t="e">
        <f>#REF!-HX86</f>
        <v>#REF!</v>
      </c>
      <c r="HZ86" s="7">
        <f>SUM(BC86:BC86)</f>
        <v>513681.93</v>
      </c>
      <c r="IA86" s="7" t="e">
        <f>#REF!-HZ86</f>
        <v>#REF!</v>
      </c>
      <c r="IB86" s="7">
        <f>SUM(BD86:BD86)</f>
        <v>0</v>
      </c>
      <c r="IC86" s="7" t="e">
        <f>#REF!-IB86</f>
        <v>#REF!</v>
      </c>
      <c r="ID86" s="7">
        <f t="shared" si="109"/>
        <v>138960.79</v>
      </c>
      <c r="IE86" s="7">
        <f t="shared" si="110"/>
        <v>-0.79000000000814907</v>
      </c>
      <c r="IF86" s="7">
        <f t="shared" si="111"/>
        <v>567068</v>
      </c>
      <c r="IG86" s="7">
        <f t="shared" si="112"/>
        <v>0</v>
      </c>
      <c r="IH86" s="7">
        <f t="shared" si="113"/>
        <v>2043404</v>
      </c>
      <c r="II86" s="7">
        <f t="shared" si="155"/>
        <v>0</v>
      </c>
      <c r="IJ86" s="7">
        <f t="shared" si="156"/>
        <v>84402710.460000008</v>
      </c>
      <c r="IK86" s="7">
        <f t="shared" si="114"/>
        <v>-0.46000000834465027</v>
      </c>
      <c r="IL86" s="7">
        <f t="shared" si="115"/>
        <v>3840288.3200000003</v>
      </c>
      <c r="IM86" s="7">
        <f t="shared" si="116"/>
        <v>9679859.6799999997</v>
      </c>
      <c r="IN86" s="7">
        <f t="shared" si="117"/>
        <v>1853880</v>
      </c>
      <c r="IO86" s="7">
        <f t="shared" si="118"/>
        <v>0</v>
      </c>
      <c r="IP86" s="7">
        <f t="shared" si="119"/>
        <v>16406122.732000001</v>
      </c>
      <c r="IQ86" s="7">
        <f t="shared" si="120"/>
        <v>-0.73200000077486038</v>
      </c>
      <c r="IR86" s="7">
        <f t="shared" si="121"/>
        <v>0</v>
      </c>
      <c r="IS86" s="7">
        <f t="shared" si="122"/>
        <v>0</v>
      </c>
      <c r="IT86" s="7">
        <f t="shared" si="123"/>
        <v>14283838.965</v>
      </c>
      <c r="IU86" s="7">
        <f t="shared" si="124"/>
        <v>-0.96499999985098839</v>
      </c>
      <c r="IV86" s="7">
        <f t="shared" si="157"/>
        <v>0</v>
      </c>
      <c r="IW86" s="7">
        <f t="shared" si="158"/>
        <v>0</v>
      </c>
      <c r="IX86" s="7">
        <f t="shared" si="125"/>
        <v>619252.91999999993</v>
      </c>
      <c r="IY86" s="7">
        <f t="shared" si="126"/>
        <v>-0.91999999992549419</v>
      </c>
      <c r="IZ86" s="7">
        <f t="shared" si="127"/>
        <v>1184313.1499999999</v>
      </c>
      <c r="JA86" s="7">
        <f t="shared" si="128"/>
        <v>-0.14999999990686774</v>
      </c>
      <c r="JB86" s="7">
        <f t="shared" si="159"/>
        <v>5451429.0700000003</v>
      </c>
      <c r="JC86" s="7">
        <f t="shared" si="160"/>
        <v>-7.0000000298023224E-2</v>
      </c>
      <c r="JD86" s="7">
        <f t="shared" si="129"/>
        <v>1208497.29</v>
      </c>
      <c r="JE86" s="7">
        <f t="shared" si="130"/>
        <v>-0.2900000000372529</v>
      </c>
      <c r="JF86" s="7">
        <f t="shared" si="131"/>
        <v>4205055.29</v>
      </c>
      <c r="JG86" s="7">
        <f t="shared" si="132"/>
        <v>-0.2900000000372529</v>
      </c>
      <c r="JH86" s="7">
        <f t="shared" si="133"/>
        <v>827365.43</v>
      </c>
      <c r="JI86" s="7">
        <f t="shared" si="134"/>
        <v>-0.43000000005122274</v>
      </c>
      <c r="JJ86" s="7">
        <f t="shared" si="135"/>
        <v>0</v>
      </c>
      <c r="JK86" s="7">
        <f t="shared" si="136"/>
        <v>0</v>
      </c>
      <c r="JL86" s="7">
        <f t="shared" si="137"/>
        <v>16291807.17</v>
      </c>
      <c r="JM86" s="7">
        <f t="shared" si="138"/>
        <v>-0.16999999992549419</v>
      </c>
      <c r="JN86" s="7">
        <f t="shared" si="139"/>
        <v>163838.76999999999</v>
      </c>
      <c r="JO86" s="7">
        <f t="shared" si="140"/>
        <v>-0.76999999998952262</v>
      </c>
      <c r="JP86" s="7">
        <f t="shared" si="141"/>
        <v>0</v>
      </c>
      <c r="JQ86" s="7">
        <f t="shared" si="142"/>
        <v>0</v>
      </c>
      <c r="JR86" s="7">
        <f t="shared" si="143"/>
        <v>1754818.0699999998</v>
      </c>
      <c r="JS86" s="7">
        <f t="shared" si="144"/>
        <v>-6.9999999832361937E-2</v>
      </c>
      <c r="JT86" s="7">
        <f t="shared" si="145"/>
        <v>97661.3</v>
      </c>
      <c r="JU86" s="7">
        <f t="shared" si="146"/>
        <v>-0.30000000000291038</v>
      </c>
      <c r="JV86" s="7">
        <f t="shared" si="147"/>
        <v>6333761.25</v>
      </c>
      <c r="JW86" s="7">
        <f t="shared" si="148"/>
        <v>-0.25</v>
      </c>
      <c r="JX86" s="7">
        <f t="shared" si="149"/>
        <v>84201789.560000002</v>
      </c>
      <c r="JY86" s="7">
        <f t="shared" si="150"/>
        <v>-0.56000000238418579</v>
      </c>
      <c r="JZ86" s="7">
        <f t="shared" si="151"/>
        <v>0</v>
      </c>
      <c r="KA86" s="7">
        <f t="shared" si="152"/>
        <v>0</v>
      </c>
      <c r="KB86" s="7">
        <f t="shared" si="153"/>
        <v>84201789.560000002</v>
      </c>
      <c r="KC86" s="7">
        <f t="shared" si="154"/>
        <v>-0.56000000238418579</v>
      </c>
      <c r="KE86" s="7" t="e">
        <f t="shared" si="107"/>
        <v>#REF!</v>
      </c>
      <c r="KG86" s="5" t="e">
        <f t="shared" si="108"/>
        <v>#REF!</v>
      </c>
    </row>
    <row r="87" spans="1:293" x14ac:dyDescent="0.15">
      <c r="A87" s="119" t="s">
        <v>233</v>
      </c>
      <c r="B87" s="17" t="s">
        <v>340</v>
      </c>
      <c r="C87" s="41">
        <v>233921</v>
      </c>
      <c r="D87" s="38">
        <v>2013</v>
      </c>
      <c r="E87" s="38">
        <v>1</v>
      </c>
      <c r="F87" s="38">
        <v>1</v>
      </c>
      <c r="G87" s="39">
        <v>13656</v>
      </c>
      <c r="H87" s="39">
        <v>9708</v>
      </c>
      <c r="I87" s="40">
        <v>1155521000</v>
      </c>
      <c r="J87" s="40"/>
      <c r="K87" s="40">
        <v>5445000</v>
      </c>
      <c r="L87" s="40"/>
      <c r="M87" s="40">
        <v>41330000</v>
      </c>
      <c r="N87" s="40"/>
      <c r="O87" s="40">
        <v>55805000</v>
      </c>
      <c r="P87" s="40"/>
      <c r="Q87" s="40">
        <v>461919000</v>
      </c>
      <c r="R87" s="40"/>
      <c r="S87" s="40">
        <v>838523000</v>
      </c>
      <c r="T87" s="40"/>
      <c r="U87" s="40">
        <v>20407</v>
      </c>
      <c r="V87" s="40"/>
      <c r="W87" s="40">
        <v>35299</v>
      </c>
      <c r="X87" s="40"/>
      <c r="Y87" s="40">
        <v>23020</v>
      </c>
      <c r="Z87" s="40"/>
      <c r="AA87" s="40">
        <v>38120</v>
      </c>
      <c r="AB87" s="40"/>
      <c r="AC87" s="56">
        <v>11</v>
      </c>
      <c r="AD87" s="56">
        <v>10</v>
      </c>
      <c r="AE87" s="56">
        <v>0</v>
      </c>
      <c r="AF87" s="57">
        <v>5624218</v>
      </c>
      <c r="AG87" s="57">
        <v>3579957</v>
      </c>
      <c r="AH87" s="57">
        <v>840673</v>
      </c>
      <c r="AI87" s="57">
        <v>353498</v>
      </c>
      <c r="AJ87" s="57">
        <v>691090.27</v>
      </c>
      <c r="AK87" s="58">
        <v>7.5</v>
      </c>
      <c r="AL87" s="57">
        <v>575908.56000000006</v>
      </c>
      <c r="AM87" s="58">
        <v>9</v>
      </c>
      <c r="AN87" s="57">
        <v>172833</v>
      </c>
      <c r="AO87" s="58">
        <v>7</v>
      </c>
      <c r="AP87" s="57">
        <v>151228.88</v>
      </c>
      <c r="AQ87" s="58">
        <v>8</v>
      </c>
      <c r="AR87" s="57">
        <v>180459.92</v>
      </c>
      <c r="AS87" s="58">
        <v>25</v>
      </c>
      <c r="AT87" s="57">
        <v>150383.26999999999</v>
      </c>
      <c r="AU87" s="58">
        <v>30</v>
      </c>
      <c r="AV87" s="57">
        <v>68074.94</v>
      </c>
      <c r="AW87" s="58">
        <v>17</v>
      </c>
      <c r="AX87" s="57">
        <v>52603.360000000001</v>
      </c>
      <c r="AY87" s="58">
        <v>22</v>
      </c>
      <c r="AZ87" s="79">
        <v>14259840</v>
      </c>
      <c r="BA87" s="79">
        <v>500000</v>
      </c>
      <c r="BB87" s="79">
        <v>9003612</v>
      </c>
      <c r="BC87" s="79">
        <v>1232870</v>
      </c>
      <c r="BD87" s="79">
        <v>1163405</v>
      </c>
      <c r="BE87" s="79">
        <v>0</v>
      </c>
      <c r="BF87" s="79">
        <v>0</v>
      </c>
      <c r="BG87" s="79">
        <v>0</v>
      </c>
      <c r="BH87" s="79">
        <v>0</v>
      </c>
      <c r="BI87" s="79">
        <v>0</v>
      </c>
      <c r="BJ87" s="79">
        <v>0</v>
      </c>
      <c r="BK87" s="79">
        <v>513355</v>
      </c>
      <c r="BL87" s="79">
        <v>128475</v>
      </c>
      <c r="BM87" s="79">
        <v>97161</v>
      </c>
      <c r="BN87" s="79">
        <f>500294+667120</f>
        <v>1167414</v>
      </c>
      <c r="BO87" s="79">
        <v>80953</v>
      </c>
      <c r="BP87" s="79">
        <v>1987358</v>
      </c>
      <c r="BQ87" s="79">
        <v>4975</v>
      </c>
      <c r="BR87" s="79">
        <v>0</v>
      </c>
      <c r="BS87" s="79">
        <v>0</v>
      </c>
      <c r="BT87" s="79">
        <f>50564+50564</f>
        <v>101128</v>
      </c>
      <c r="BU87" s="79">
        <v>74712</v>
      </c>
      <c r="BV87" s="79">
        <v>180816</v>
      </c>
      <c r="BW87" s="79">
        <v>39136045</v>
      </c>
      <c r="BX87" s="79">
        <v>10719051</v>
      </c>
      <c r="BY87" s="79">
        <v>1121750</v>
      </c>
      <c r="BZ87" s="79">
        <f>3292402+6047046</f>
        <v>9339448</v>
      </c>
      <c r="CA87" s="79">
        <v>9714194</v>
      </c>
      <c r="CB87" s="79">
        <v>70030488</v>
      </c>
      <c r="CC87" s="79">
        <v>3277245</v>
      </c>
      <c r="CD87" s="79">
        <v>416177</v>
      </c>
      <c r="CE87" s="79">
        <v>577001</v>
      </c>
      <c r="CF87" s="79">
        <f>2364871+3226094</f>
        <v>5590965</v>
      </c>
      <c r="CG87" s="79">
        <v>375707</v>
      </c>
      <c r="CH87" s="79">
        <v>10237094</v>
      </c>
      <c r="CI87" s="79">
        <v>718750</v>
      </c>
      <c r="CJ87" s="79">
        <v>409500</v>
      </c>
      <c r="CK87" s="79">
        <v>41989</v>
      </c>
      <c r="CL87" s="79">
        <f>25626+7500</f>
        <v>33126</v>
      </c>
      <c r="CM87" s="79">
        <v>0</v>
      </c>
      <c r="CN87" s="79">
        <v>1203365</v>
      </c>
      <c r="CO87" s="79">
        <v>5709487</v>
      </c>
      <c r="CP87" s="79">
        <v>2172611</v>
      </c>
      <c r="CQ87" s="79">
        <v>860218</v>
      </c>
      <c r="CR87" s="79">
        <f>1812579+1506889</f>
        <v>3319468</v>
      </c>
      <c r="CS87" s="79">
        <v>0</v>
      </c>
      <c r="CT87" s="79">
        <v>12061783</v>
      </c>
      <c r="CU87" s="79">
        <v>185000</v>
      </c>
      <c r="CV87" s="79">
        <v>0</v>
      </c>
      <c r="CW87" s="79">
        <v>0</v>
      </c>
      <c r="CX87" s="79">
        <v>0</v>
      </c>
      <c r="CY87" s="79">
        <v>0</v>
      </c>
      <c r="CZ87" s="79">
        <v>185000</v>
      </c>
      <c r="DA87" s="79">
        <v>1689811</v>
      </c>
      <c r="DB87" s="79">
        <v>269340</v>
      </c>
      <c r="DC87" s="79">
        <v>181680</v>
      </c>
      <c r="DD87" s="79">
        <f>61811+103094</f>
        <v>164905</v>
      </c>
      <c r="DE87" s="79">
        <v>7856699</v>
      </c>
      <c r="DF87" s="79">
        <v>10162435</v>
      </c>
      <c r="DG87" s="79">
        <v>0</v>
      </c>
      <c r="DH87" s="79">
        <v>0</v>
      </c>
      <c r="DI87" s="79">
        <v>0</v>
      </c>
      <c r="DJ87" s="79">
        <v>0</v>
      </c>
      <c r="DK87" s="79">
        <v>0</v>
      </c>
      <c r="DL87" s="79">
        <v>0</v>
      </c>
      <c r="DM87" s="79">
        <v>64491</v>
      </c>
      <c r="DN87" s="79">
        <v>12047</v>
      </c>
      <c r="DO87" s="79">
        <v>17941</v>
      </c>
      <c r="DP87" s="79">
        <f>5538+4415</f>
        <v>9953</v>
      </c>
      <c r="DQ87" s="79">
        <v>28444</v>
      </c>
      <c r="DR87" s="79">
        <v>132876</v>
      </c>
      <c r="DS87" s="79">
        <v>353983</v>
      </c>
      <c r="DT87" s="79">
        <v>237297</v>
      </c>
      <c r="DU87" s="79">
        <v>163383</v>
      </c>
      <c r="DV87" s="79">
        <f>249393+190116</f>
        <v>439509</v>
      </c>
      <c r="DW87" s="79">
        <v>2000</v>
      </c>
      <c r="DX87" s="79">
        <v>1196171</v>
      </c>
      <c r="DY87" s="79">
        <v>1651863</v>
      </c>
      <c r="DZ87" s="79">
        <v>400114</v>
      </c>
      <c r="EA87" s="79">
        <v>343654</v>
      </c>
      <c r="EB87" s="79">
        <f>917140+914436</f>
        <v>1831576</v>
      </c>
      <c r="EC87" s="79">
        <v>59169</v>
      </c>
      <c r="ED87" s="79">
        <v>4286376</v>
      </c>
      <c r="EE87" s="79">
        <v>508847</v>
      </c>
      <c r="EF87" s="79">
        <v>123007</v>
      </c>
      <c r="EG87" s="79">
        <v>104221</v>
      </c>
      <c r="EH87" s="79">
        <f>393297+464953</f>
        <v>858250</v>
      </c>
      <c r="EI87" s="79">
        <v>69907</v>
      </c>
      <c r="EJ87" s="79">
        <v>1664231</v>
      </c>
      <c r="EK87" s="79">
        <v>1738231</v>
      </c>
      <c r="EL87" s="79">
        <v>387526</v>
      </c>
      <c r="EM87" s="79">
        <v>212047</v>
      </c>
      <c r="EN87" s="79">
        <f>305492+193037</f>
        <v>498529</v>
      </c>
      <c r="EO87" s="79">
        <v>375659</v>
      </c>
      <c r="EP87" s="79">
        <v>3211991</v>
      </c>
      <c r="EQ87" s="79">
        <v>335860</v>
      </c>
      <c r="ER87" s="79">
        <v>352029</v>
      </c>
      <c r="ES87" s="79">
        <v>103977</v>
      </c>
      <c r="ET87" s="79">
        <f>86149+50805</f>
        <v>136954</v>
      </c>
      <c r="EU87" s="79">
        <v>441221</v>
      </c>
      <c r="EV87" s="79">
        <v>1370041</v>
      </c>
      <c r="EW87" s="79">
        <v>0</v>
      </c>
      <c r="EX87" s="79">
        <v>0</v>
      </c>
      <c r="EY87" s="79">
        <v>0</v>
      </c>
      <c r="EZ87" s="79">
        <v>0</v>
      </c>
      <c r="FA87" s="79">
        <v>0</v>
      </c>
      <c r="FB87" s="79">
        <v>0</v>
      </c>
      <c r="FC87" s="79">
        <v>7276321</v>
      </c>
      <c r="FD87" s="79">
        <v>436105</v>
      </c>
      <c r="FE87" s="79">
        <v>438797</v>
      </c>
      <c r="FF87" s="79">
        <f>476801+542196</f>
        <v>1018997</v>
      </c>
      <c r="FG87" s="79">
        <v>7614035</v>
      </c>
      <c r="FH87" s="79">
        <v>16784256</v>
      </c>
      <c r="FI87" s="79">
        <v>272921</v>
      </c>
      <c r="FJ87" s="79">
        <v>18932</v>
      </c>
      <c r="FK87" s="79">
        <v>11084</v>
      </c>
      <c r="FL87" s="79">
        <v>0</v>
      </c>
      <c r="FM87" s="79">
        <v>106344</v>
      </c>
      <c r="FN87" s="79">
        <v>409280</v>
      </c>
      <c r="FO87" s="79">
        <v>0</v>
      </c>
      <c r="FP87" s="79">
        <v>0</v>
      </c>
      <c r="FQ87" s="79">
        <v>0</v>
      </c>
      <c r="FR87" s="79">
        <v>0</v>
      </c>
      <c r="FS87" s="79">
        <v>0</v>
      </c>
      <c r="FT87" s="79">
        <v>0</v>
      </c>
      <c r="FU87" s="79">
        <v>155372</v>
      </c>
      <c r="FV87" s="79">
        <v>27445</v>
      </c>
      <c r="FW87" s="79">
        <v>28516</v>
      </c>
      <c r="FX87" s="79">
        <f>180072+136468</f>
        <v>316540</v>
      </c>
      <c r="FY87" s="79">
        <v>317016</v>
      </c>
      <c r="FZ87" s="79">
        <v>844889</v>
      </c>
      <c r="GA87" s="79">
        <v>2039</v>
      </c>
      <c r="GB87" s="79">
        <v>1020</v>
      </c>
      <c r="GC87" s="79">
        <v>1308</v>
      </c>
      <c r="GD87" s="79">
        <f>7096+3220</f>
        <v>10316</v>
      </c>
      <c r="GE87" s="79">
        <v>27379</v>
      </c>
      <c r="GF87" s="79">
        <v>42063</v>
      </c>
      <c r="GG87" s="79">
        <v>1122963</v>
      </c>
      <c r="GH87" s="79">
        <v>232150</v>
      </c>
      <c r="GI87" s="79">
        <v>101701</v>
      </c>
      <c r="GJ87" s="79">
        <f>246710+138133</f>
        <v>384843</v>
      </c>
      <c r="GK87" s="79">
        <v>948416</v>
      </c>
      <c r="GL87" s="79">
        <v>2790072</v>
      </c>
      <c r="GM87" s="79">
        <v>25063184</v>
      </c>
      <c r="GN87" s="79">
        <v>5495300</v>
      </c>
      <c r="GO87" s="79">
        <v>3187515</v>
      </c>
      <c r="GP87" s="79">
        <f>7132575+7481355</f>
        <v>14613930</v>
      </c>
      <c r="GQ87" s="79">
        <v>18221995</v>
      </c>
      <c r="GR87" s="79">
        <v>66581924</v>
      </c>
      <c r="GS87" s="79">
        <v>0</v>
      </c>
      <c r="GT87" s="79">
        <v>0</v>
      </c>
      <c r="GU87" s="79">
        <v>0</v>
      </c>
      <c r="GV87" s="79">
        <v>0</v>
      </c>
      <c r="GW87" s="79">
        <v>0</v>
      </c>
      <c r="GX87" s="79">
        <v>0</v>
      </c>
      <c r="GY87" s="79">
        <v>25063184</v>
      </c>
      <c r="GZ87" s="79">
        <v>5495300</v>
      </c>
      <c r="HA87" s="79">
        <v>3187515</v>
      </c>
      <c r="HB87" s="79">
        <f>7132575+7481355</f>
        <v>14613930</v>
      </c>
      <c r="HC87" s="79">
        <v>18221995</v>
      </c>
      <c r="HD87" s="79">
        <v>66581924</v>
      </c>
      <c r="HF87" s="7">
        <f>SUM(AZ87:AZ87)</f>
        <v>14259840</v>
      </c>
      <c r="HG87" s="7" t="e">
        <f>#REF!-HF87</f>
        <v>#REF!</v>
      </c>
      <c r="HH87" s="7" t="e">
        <f>SUM(#REF!)</f>
        <v>#REF!</v>
      </c>
      <c r="HI87" s="7" t="e">
        <f>#REF!-HH87</f>
        <v>#REF!</v>
      </c>
      <c r="HJ87" s="7">
        <f>SUM(BA87:BA87)</f>
        <v>500000</v>
      </c>
      <c r="HK87" s="7" t="e">
        <f>#REF!-HJ87</f>
        <v>#REF!</v>
      </c>
      <c r="HL87" s="7">
        <f>SUM(BB87:BB87)</f>
        <v>9003612</v>
      </c>
      <c r="HM87" s="7" t="e">
        <f>#REF!-HL87</f>
        <v>#REF!</v>
      </c>
      <c r="HN87" s="7" t="e">
        <f>SUM(#REF!)</f>
        <v>#REF!</v>
      </c>
      <c r="HO87" s="7" t="e">
        <f>#REF!-HN87</f>
        <v>#REF!</v>
      </c>
      <c r="HP87" s="7" t="e">
        <f>SUM(#REF!)</f>
        <v>#REF!</v>
      </c>
      <c r="HQ87" s="7" t="e">
        <f>#REF!-HP87</f>
        <v>#REF!</v>
      </c>
      <c r="HR87" s="7" t="e">
        <f>SUM(#REF!)</f>
        <v>#REF!</v>
      </c>
      <c r="HS87" s="7" t="e">
        <f>#REF!-HR87</f>
        <v>#REF!</v>
      </c>
      <c r="HT87" s="7" t="e">
        <f>SUM(#REF!)</f>
        <v>#REF!</v>
      </c>
      <c r="HU87" s="7" t="e">
        <f>#REF!-HT87</f>
        <v>#REF!</v>
      </c>
      <c r="HV87" s="7" t="e">
        <f>SUM(#REF!)</f>
        <v>#REF!</v>
      </c>
      <c r="HW87" s="7" t="e">
        <f>#REF!-HV87</f>
        <v>#REF!</v>
      </c>
      <c r="HX87" s="7" t="e">
        <f>SUM(#REF!)</f>
        <v>#REF!</v>
      </c>
      <c r="HY87" s="7" t="e">
        <f>#REF!-HX87</f>
        <v>#REF!</v>
      </c>
      <c r="HZ87" s="7">
        <f>SUM(BC87:BC87)</f>
        <v>1232870</v>
      </c>
      <c r="IA87" s="7" t="e">
        <f>#REF!-HZ87</f>
        <v>#REF!</v>
      </c>
      <c r="IB87" s="7">
        <f>SUM(BD87:BD87)</f>
        <v>1163405</v>
      </c>
      <c r="IC87" s="7" t="e">
        <f>#REF!-IB87</f>
        <v>#REF!</v>
      </c>
      <c r="ID87" s="7">
        <f t="shared" si="109"/>
        <v>0</v>
      </c>
      <c r="IE87" s="7">
        <f t="shared" si="110"/>
        <v>0</v>
      </c>
      <c r="IF87" s="7">
        <f t="shared" si="111"/>
        <v>1987358</v>
      </c>
      <c r="IG87" s="7">
        <f t="shared" si="112"/>
        <v>0</v>
      </c>
      <c r="IH87" s="7">
        <f t="shared" si="113"/>
        <v>180815</v>
      </c>
      <c r="II87" s="7">
        <f t="shared" si="155"/>
        <v>1</v>
      </c>
      <c r="IJ87" s="7">
        <f t="shared" si="156"/>
        <v>70030488</v>
      </c>
      <c r="IK87" s="7">
        <f t="shared" si="114"/>
        <v>0</v>
      </c>
      <c r="IL87" s="7">
        <f t="shared" si="115"/>
        <v>10237095</v>
      </c>
      <c r="IM87" s="7">
        <f t="shared" si="116"/>
        <v>-1</v>
      </c>
      <c r="IN87" s="7">
        <f t="shared" si="117"/>
        <v>1203365</v>
      </c>
      <c r="IO87" s="7">
        <f t="shared" si="118"/>
        <v>0</v>
      </c>
      <c r="IP87" s="7">
        <f t="shared" si="119"/>
        <v>12061784</v>
      </c>
      <c r="IQ87" s="7">
        <f t="shared" si="120"/>
        <v>-1</v>
      </c>
      <c r="IR87" s="7">
        <f t="shared" si="121"/>
        <v>185000</v>
      </c>
      <c r="IS87" s="7">
        <f t="shared" si="122"/>
        <v>0</v>
      </c>
      <c r="IT87" s="7">
        <f t="shared" si="123"/>
        <v>10162435</v>
      </c>
      <c r="IU87" s="7">
        <f t="shared" si="124"/>
        <v>0</v>
      </c>
      <c r="IV87" s="7">
        <f t="shared" si="157"/>
        <v>0</v>
      </c>
      <c r="IW87" s="7">
        <f t="shared" si="158"/>
        <v>0</v>
      </c>
      <c r="IX87" s="7">
        <f t="shared" si="125"/>
        <v>132876</v>
      </c>
      <c r="IY87" s="7">
        <f t="shared" si="126"/>
        <v>0</v>
      </c>
      <c r="IZ87" s="7">
        <f t="shared" si="127"/>
        <v>1196172</v>
      </c>
      <c r="JA87" s="7">
        <f t="shared" si="128"/>
        <v>-1</v>
      </c>
      <c r="JB87" s="7">
        <f t="shared" si="159"/>
        <v>4286376</v>
      </c>
      <c r="JC87" s="7">
        <f t="shared" si="160"/>
        <v>0</v>
      </c>
      <c r="JD87" s="7">
        <f t="shared" si="129"/>
        <v>1664232</v>
      </c>
      <c r="JE87" s="7">
        <f t="shared" si="130"/>
        <v>-1</v>
      </c>
      <c r="JF87" s="7">
        <f t="shared" si="131"/>
        <v>3211992</v>
      </c>
      <c r="JG87" s="7">
        <f t="shared" si="132"/>
        <v>-1</v>
      </c>
      <c r="JH87" s="7">
        <f t="shared" si="133"/>
        <v>1370041</v>
      </c>
      <c r="JI87" s="7">
        <f t="shared" si="134"/>
        <v>0</v>
      </c>
      <c r="JJ87" s="7">
        <f t="shared" si="135"/>
        <v>0</v>
      </c>
      <c r="JK87" s="7">
        <f t="shared" si="136"/>
        <v>0</v>
      </c>
      <c r="JL87" s="7">
        <f t="shared" si="137"/>
        <v>16784255</v>
      </c>
      <c r="JM87" s="7">
        <f t="shared" si="138"/>
        <v>1</v>
      </c>
      <c r="JN87" s="7">
        <f t="shared" si="139"/>
        <v>409281</v>
      </c>
      <c r="JO87" s="7">
        <f t="shared" si="140"/>
        <v>-1</v>
      </c>
      <c r="JP87" s="7">
        <f t="shared" si="141"/>
        <v>0</v>
      </c>
      <c r="JQ87" s="7">
        <f t="shared" si="142"/>
        <v>0</v>
      </c>
      <c r="JR87" s="7">
        <f t="shared" si="143"/>
        <v>844889</v>
      </c>
      <c r="JS87" s="7">
        <f t="shared" si="144"/>
        <v>0</v>
      </c>
      <c r="JT87" s="7">
        <f t="shared" si="145"/>
        <v>42062</v>
      </c>
      <c r="JU87" s="7">
        <f t="shared" si="146"/>
        <v>1</v>
      </c>
      <c r="JV87" s="7">
        <f t="shared" si="147"/>
        <v>2790073</v>
      </c>
      <c r="JW87" s="7">
        <f t="shared" si="148"/>
        <v>-1</v>
      </c>
      <c r="JX87" s="7">
        <f t="shared" si="149"/>
        <v>66581924</v>
      </c>
      <c r="JY87" s="7">
        <f t="shared" si="150"/>
        <v>0</v>
      </c>
      <c r="JZ87" s="7">
        <f t="shared" si="151"/>
        <v>0</v>
      </c>
      <c r="KA87" s="7">
        <f t="shared" si="152"/>
        <v>0</v>
      </c>
      <c r="KB87" s="7">
        <f t="shared" si="153"/>
        <v>66581924</v>
      </c>
      <c r="KC87" s="7">
        <f t="shared" si="154"/>
        <v>0</v>
      </c>
      <c r="KE87" s="7" t="e">
        <f t="shared" si="107"/>
        <v>#REF!</v>
      </c>
      <c r="KG87" s="5" t="e">
        <f t="shared" si="108"/>
        <v>#REF!</v>
      </c>
    </row>
    <row r="88" spans="1:293" x14ac:dyDescent="0.15">
      <c r="A88" s="119" t="s">
        <v>234</v>
      </c>
      <c r="B88" s="17" t="s">
        <v>340</v>
      </c>
      <c r="C88" s="41">
        <v>236948</v>
      </c>
      <c r="D88" s="38">
        <v>2013</v>
      </c>
      <c r="E88" s="38">
        <v>1</v>
      </c>
      <c r="F88" s="38">
        <v>4</v>
      </c>
      <c r="G88" s="39">
        <v>12481</v>
      </c>
      <c r="H88" s="39">
        <v>13712</v>
      </c>
      <c r="I88" s="40">
        <v>4121149000</v>
      </c>
      <c r="J88" s="40"/>
      <c r="K88" s="40">
        <v>1100000</v>
      </c>
      <c r="L88" s="40"/>
      <c r="M88" s="40">
        <v>1991033000</v>
      </c>
      <c r="N88" s="40"/>
      <c r="O88" s="40">
        <v>229000000</v>
      </c>
      <c r="P88" s="40"/>
      <c r="Q88" s="40">
        <v>120828000</v>
      </c>
      <c r="R88" s="40"/>
      <c r="S88" s="40">
        <v>2637748000</v>
      </c>
      <c r="T88" s="40"/>
      <c r="U88" s="40">
        <v>23872</v>
      </c>
      <c r="V88" s="40"/>
      <c r="W88" s="40">
        <v>41427</v>
      </c>
      <c r="X88" s="40"/>
      <c r="Y88" s="40">
        <v>24059</v>
      </c>
      <c r="Z88" s="40"/>
      <c r="AA88" s="40">
        <v>41543</v>
      </c>
      <c r="AB88" s="40"/>
      <c r="AC88" s="56">
        <v>10</v>
      </c>
      <c r="AD88" s="56">
        <v>12</v>
      </c>
      <c r="AE88" s="56">
        <v>0</v>
      </c>
      <c r="AF88" s="57">
        <v>6185232</v>
      </c>
      <c r="AG88" s="57">
        <v>4511255</v>
      </c>
      <c r="AH88" s="57">
        <v>1051521</v>
      </c>
      <c r="AI88" s="57">
        <v>415408</v>
      </c>
      <c r="AJ88" s="57">
        <v>907887.6</v>
      </c>
      <c r="AK88" s="58">
        <v>7.5</v>
      </c>
      <c r="AL88" s="57">
        <v>851144.63</v>
      </c>
      <c r="AM88" s="58">
        <v>8</v>
      </c>
      <c r="AN88" s="57">
        <v>256087.18</v>
      </c>
      <c r="AO88" s="58">
        <v>8.5</v>
      </c>
      <c r="AP88" s="57">
        <v>241860.11</v>
      </c>
      <c r="AQ88" s="58">
        <v>9</v>
      </c>
      <c r="AR88" s="57">
        <v>234239.78</v>
      </c>
      <c r="AS88" s="58">
        <v>22.7</v>
      </c>
      <c r="AT88" s="57">
        <v>204509.35</v>
      </c>
      <c r="AU88" s="58">
        <v>26</v>
      </c>
      <c r="AV88" s="57">
        <v>89500.97</v>
      </c>
      <c r="AW88" s="58">
        <v>17.5</v>
      </c>
      <c r="AX88" s="57">
        <v>78313.350000000006</v>
      </c>
      <c r="AY88" s="58">
        <v>20</v>
      </c>
      <c r="AZ88" s="79">
        <v>15919968</v>
      </c>
      <c r="BA88" s="79">
        <v>550000</v>
      </c>
      <c r="BB88" s="79">
        <v>21024004</v>
      </c>
      <c r="BC88" s="79">
        <v>309301</v>
      </c>
      <c r="BD88" s="79">
        <v>838000</v>
      </c>
      <c r="BE88" s="79">
        <v>61630</v>
      </c>
      <c r="BF88" s="79">
        <v>0</v>
      </c>
      <c r="BG88" s="79">
        <v>0</v>
      </c>
      <c r="BH88" s="79">
        <v>0</v>
      </c>
      <c r="BI88" s="79">
        <v>0</v>
      </c>
      <c r="BJ88" s="79">
        <v>61630</v>
      </c>
      <c r="BK88" s="79">
        <v>569877</v>
      </c>
      <c r="BL88" s="79">
        <v>137692</v>
      </c>
      <c r="BM88" s="79">
        <v>10092</v>
      </c>
      <c r="BN88" s="79">
        <v>522516</v>
      </c>
      <c r="BO88" s="79">
        <v>388827</v>
      </c>
      <c r="BP88" s="79">
        <v>1629004</v>
      </c>
      <c r="BQ88" s="79">
        <v>5495</v>
      </c>
      <c r="BR88" s="79">
        <v>0</v>
      </c>
      <c r="BS88" s="79">
        <v>0</v>
      </c>
      <c r="BT88" s="79">
        <v>634427</v>
      </c>
      <c r="BU88" s="79">
        <v>572176</v>
      </c>
      <c r="BV88" s="79">
        <v>1212098</v>
      </c>
      <c r="BW88" s="79">
        <v>56379534</v>
      </c>
      <c r="BX88" s="79">
        <v>10234559</v>
      </c>
      <c r="BY88" s="79">
        <v>673030</v>
      </c>
      <c r="BZ88" s="79">
        <v>7107806</v>
      </c>
      <c r="CA88" s="79">
        <v>10677957</v>
      </c>
      <c r="CB88" s="79">
        <v>85072886</v>
      </c>
      <c r="CC88" s="79">
        <v>3473731</v>
      </c>
      <c r="CD88" s="79">
        <v>483568</v>
      </c>
      <c r="CE88" s="79">
        <v>351293</v>
      </c>
      <c r="CF88" s="79">
        <v>6387895</v>
      </c>
      <c r="CG88" s="79">
        <v>33084</v>
      </c>
      <c r="CH88" s="79">
        <v>10729571</v>
      </c>
      <c r="CI88" s="79">
        <v>1275000</v>
      </c>
      <c r="CJ88" s="79">
        <v>594156</v>
      </c>
      <c r="CK88" s="79">
        <v>29000</v>
      </c>
      <c r="CL88" s="79">
        <v>31097</v>
      </c>
      <c r="CM88" s="79">
        <v>0</v>
      </c>
      <c r="CN88" s="79">
        <v>1929253</v>
      </c>
      <c r="CO88" s="79">
        <v>6965219</v>
      </c>
      <c r="CP88" s="79">
        <v>3323323</v>
      </c>
      <c r="CQ88" s="79">
        <v>973132</v>
      </c>
      <c r="CR88" s="79">
        <v>4607734</v>
      </c>
      <c r="CS88" s="79">
        <v>0</v>
      </c>
      <c r="CT88" s="79">
        <v>15869408</v>
      </c>
      <c r="CU88" s="79">
        <v>0</v>
      </c>
      <c r="CV88" s="79">
        <v>0</v>
      </c>
      <c r="CW88" s="79">
        <v>0</v>
      </c>
      <c r="CX88" s="79">
        <v>0</v>
      </c>
      <c r="CY88" s="79">
        <v>0</v>
      </c>
      <c r="CZ88" s="79">
        <v>0</v>
      </c>
      <c r="DA88" s="79">
        <v>1018389</v>
      </c>
      <c r="DB88" s="79">
        <v>199261</v>
      </c>
      <c r="DC88" s="79">
        <v>188786</v>
      </c>
      <c r="DD88" s="79">
        <v>547313</v>
      </c>
      <c r="DE88" s="79">
        <v>12970677</v>
      </c>
      <c r="DF88" s="79">
        <v>14924426</v>
      </c>
      <c r="DG88" s="79">
        <v>0</v>
      </c>
      <c r="DH88" s="79">
        <v>0</v>
      </c>
      <c r="DI88" s="79">
        <v>0</v>
      </c>
      <c r="DJ88" s="79">
        <v>0</v>
      </c>
      <c r="DK88" s="79">
        <v>0</v>
      </c>
      <c r="DL88" s="79">
        <v>0</v>
      </c>
      <c r="DM88" s="79">
        <v>0</v>
      </c>
      <c r="DN88" s="79">
        <v>0</v>
      </c>
      <c r="DO88" s="79">
        <v>0</v>
      </c>
      <c r="DP88" s="79">
        <v>0</v>
      </c>
      <c r="DQ88" s="79">
        <v>0</v>
      </c>
      <c r="DR88" s="79">
        <v>0</v>
      </c>
      <c r="DS88" s="79">
        <v>709212</v>
      </c>
      <c r="DT88" s="79">
        <v>158867</v>
      </c>
      <c r="DU88" s="79">
        <v>134901</v>
      </c>
      <c r="DV88" s="79">
        <v>463949</v>
      </c>
      <c r="DW88" s="79">
        <v>0</v>
      </c>
      <c r="DX88" s="79">
        <v>1466929</v>
      </c>
      <c r="DY88" s="79">
        <v>2057620</v>
      </c>
      <c r="DZ88" s="79">
        <v>641909</v>
      </c>
      <c r="EA88" s="79">
        <v>377443</v>
      </c>
      <c r="EB88" s="79">
        <v>2549374</v>
      </c>
      <c r="EC88" s="79">
        <v>32867</v>
      </c>
      <c r="ED88" s="79">
        <v>5659213</v>
      </c>
      <c r="EE88" s="79">
        <v>1619037</v>
      </c>
      <c r="EF88" s="79">
        <v>226595</v>
      </c>
      <c r="EG88" s="79">
        <v>202092</v>
      </c>
      <c r="EH88" s="79">
        <v>1873327</v>
      </c>
      <c r="EI88" s="79">
        <v>759051</v>
      </c>
      <c r="EJ88" s="79">
        <v>4680102</v>
      </c>
      <c r="EK88" s="79">
        <v>3192097</v>
      </c>
      <c r="EL88" s="79">
        <v>667815</v>
      </c>
      <c r="EM88" s="79">
        <v>220415</v>
      </c>
      <c r="EN88" s="79">
        <v>673201</v>
      </c>
      <c r="EO88" s="79">
        <v>35763</v>
      </c>
      <c r="EP88" s="79">
        <v>4789291</v>
      </c>
      <c r="EQ88" s="79">
        <v>1082263</v>
      </c>
      <c r="ER88" s="79">
        <v>264618</v>
      </c>
      <c r="ES88" s="79">
        <v>117824</v>
      </c>
      <c r="ET88" s="79">
        <v>166194</v>
      </c>
      <c r="EU88" s="79">
        <v>285725</v>
      </c>
      <c r="EV88" s="79">
        <v>1916624</v>
      </c>
      <c r="EW88" s="79">
        <v>53740</v>
      </c>
      <c r="EX88" s="79">
        <v>0</v>
      </c>
      <c r="EY88" s="79">
        <v>0</v>
      </c>
      <c r="EZ88" s="79">
        <v>0</v>
      </c>
      <c r="FA88" s="79">
        <v>0</v>
      </c>
      <c r="FB88" s="79">
        <v>53740</v>
      </c>
      <c r="FC88" s="79">
        <v>98170</v>
      </c>
      <c r="FD88" s="79">
        <v>0</v>
      </c>
      <c r="FE88" s="79">
        <v>0</v>
      </c>
      <c r="FF88" s="79">
        <v>211287</v>
      </c>
      <c r="FG88" s="79">
        <v>1678718</v>
      </c>
      <c r="FH88" s="79">
        <v>1988175</v>
      </c>
      <c r="FI88" s="79">
        <v>219533</v>
      </c>
      <c r="FJ88" s="79">
        <v>54883</v>
      </c>
      <c r="FK88" s="79">
        <v>54883</v>
      </c>
      <c r="FL88" s="79">
        <v>18295</v>
      </c>
      <c r="FM88" s="79">
        <v>18295</v>
      </c>
      <c r="FN88" s="79">
        <v>365889</v>
      </c>
      <c r="FO88" s="79">
        <v>0</v>
      </c>
      <c r="FP88" s="79">
        <v>0</v>
      </c>
      <c r="FQ88" s="79">
        <v>0</v>
      </c>
      <c r="FR88" s="79">
        <v>0</v>
      </c>
      <c r="FS88" s="79">
        <v>0</v>
      </c>
      <c r="FT88" s="79">
        <v>0</v>
      </c>
      <c r="FU88" s="79">
        <v>482767</v>
      </c>
      <c r="FV88" s="79">
        <v>45400</v>
      </c>
      <c r="FW88" s="79">
        <v>33168</v>
      </c>
      <c r="FX88" s="79">
        <v>287028</v>
      </c>
      <c r="FY88" s="79">
        <v>7094</v>
      </c>
      <c r="FZ88" s="79">
        <v>855457</v>
      </c>
      <c r="GA88" s="79">
        <v>13360</v>
      </c>
      <c r="GB88" s="79">
        <v>2169</v>
      </c>
      <c r="GC88" s="79">
        <v>1282</v>
      </c>
      <c r="GD88" s="79">
        <v>139705</v>
      </c>
      <c r="GE88" s="79">
        <v>89327</v>
      </c>
      <c r="GF88" s="79">
        <v>245843</v>
      </c>
      <c r="GG88" s="79">
        <v>1541517</v>
      </c>
      <c r="GH88" s="79">
        <v>246974</v>
      </c>
      <c r="GI88" s="79">
        <v>70821</v>
      </c>
      <c r="GJ88" s="79">
        <v>963635</v>
      </c>
      <c r="GK88" s="79">
        <v>7913059</v>
      </c>
      <c r="GL88" s="79">
        <v>10736006</v>
      </c>
      <c r="GM88" s="79">
        <v>23801655</v>
      </c>
      <c r="GN88" s="79">
        <v>6909538</v>
      </c>
      <c r="GO88" s="79">
        <v>2755040</v>
      </c>
      <c r="GP88" s="79">
        <v>18920034</v>
      </c>
      <c r="GQ88" s="79">
        <v>23823660</v>
      </c>
      <c r="GR88" s="79">
        <v>76209927</v>
      </c>
      <c r="GS88" s="79">
        <v>0</v>
      </c>
      <c r="GT88" s="79">
        <v>0</v>
      </c>
      <c r="GU88" s="79">
        <v>0</v>
      </c>
      <c r="GV88" s="79">
        <v>0</v>
      </c>
      <c r="GW88" s="79">
        <v>0</v>
      </c>
      <c r="GX88" s="79">
        <v>0</v>
      </c>
      <c r="GY88" s="79">
        <v>23801655</v>
      </c>
      <c r="GZ88" s="79">
        <v>6909538</v>
      </c>
      <c r="HA88" s="79">
        <v>2755040</v>
      </c>
      <c r="HB88" s="79">
        <v>18920034</v>
      </c>
      <c r="HC88" s="79">
        <v>23823660</v>
      </c>
      <c r="HD88" s="79">
        <v>76209927</v>
      </c>
      <c r="HF88" s="7">
        <f>SUM(AZ88:AZ88)</f>
        <v>15919968</v>
      </c>
      <c r="HG88" s="7" t="e">
        <f>#REF!-HF88</f>
        <v>#REF!</v>
      </c>
      <c r="HH88" s="7" t="e">
        <f>SUM(#REF!)</f>
        <v>#REF!</v>
      </c>
      <c r="HI88" s="7" t="e">
        <f>#REF!-HH88</f>
        <v>#REF!</v>
      </c>
      <c r="HJ88" s="7">
        <f>SUM(BA88:BA88)</f>
        <v>550000</v>
      </c>
      <c r="HK88" s="7" t="e">
        <f>#REF!-HJ88</f>
        <v>#REF!</v>
      </c>
      <c r="HL88" s="7">
        <f>SUM(BB88:BB88)</f>
        <v>21024004</v>
      </c>
      <c r="HM88" s="7" t="e">
        <f>#REF!-HL88</f>
        <v>#REF!</v>
      </c>
      <c r="HN88" s="7" t="e">
        <f>SUM(#REF!)</f>
        <v>#REF!</v>
      </c>
      <c r="HO88" s="7" t="e">
        <f>#REF!-HN88</f>
        <v>#REF!</v>
      </c>
      <c r="HP88" s="7" t="e">
        <f>SUM(#REF!)</f>
        <v>#REF!</v>
      </c>
      <c r="HQ88" s="7" t="e">
        <f>#REF!-HP88</f>
        <v>#REF!</v>
      </c>
      <c r="HR88" s="7" t="e">
        <f>SUM(#REF!)</f>
        <v>#REF!</v>
      </c>
      <c r="HS88" s="7" t="e">
        <f>#REF!-HR88</f>
        <v>#REF!</v>
      </c>
      <c r="HT88" s="7" t="e">
        <f>SUM(#REF!)</f>
        <v>#REF!</v>
      </c>
      <c r="HU88" s="7" t="e">
        <f>#REF!-HT88</f>
        <v>#REF!</v>
      </c>
      <c r="HV88" s="7" t="e">
        <f>SUM(#REF!)</f>
        <v>#REF!</v>
      </c>
      <c r="HW88" s="7" t="e">
        <f>#REF!-HV88</f>
        <v>#REF!</v>
      </c>
      <c r="HX88" s="7" t="e">
        <f>SUM(#REF!)</f>
        <v>#REF!</v>
      </c>
      <c r="HY88" s="7" t="e">
        <f>#REF!-HX88</f>
        <v>#REF!</v>
      </c>
      <c r="HZ88" s="7">
        <f>SUM(BC88:BC88)</f>
        <v>309301</v>
      </c>
      <c r="IA88" s="7" t="e">
        <f>#REF!-HZ88</f>
        <v>#REF!</v>
      </c>
      <c r="IB88" s="7">
        <f>SUM(BD88:BD88)</f>
        <v>838000</v>
      </c>
      <c r="IC88" s="7" t="e">
        <f>#REF!-IB88</f>
        <v>#REF!</v>
      </c>
      <c r="ID88" s="7">
        <f t="shared" si="109"/>
        <v>61630</v>
      </c>
      <c r="IE88" s="7">
        <f t="shared" si="110"/>
        <v>0</v>
      </c>
      <c r="IF88" s="7">
        <f t="shared" si="111"/>
        <v>1629004</v>
      </c>
      <c r="IG88" s="7">
        <f t="shared" si="112"/>
        <v>0</v>
      </c>
      <c r="IH88" s="7">
        <f t="shared" si="113"/>
        <v>1212098</v>
      </c>
      <c r="II88" s="7">
        <f t="shared" si="155"/>
        <v>0</v>
      </c>
      <c r="IJ88" s="7">
        <f t="shared" si="156"/>
        <v>85072886</v>
      </c>
      <c r="IK88" s="7">
        <f t="shared" si="114"/>
        <v>0</v>
      </c>
      <c r="IL88" s="7">
        <f t="shared" si="115"/>
        <v>10729571</v>
      </c>
      <c r="IM88" s="7">
        <f t="shared" si="116"/>
        <v>0</v>
      </c>
      <c r="IN88" s="7">
        <f t="shared" si="117"/>
        <v>1929253</v>
      </c>
      <c r="IO88" s="7">
        <f t="shared" si="118"/>
        <v>0</v>
      </c>
      <c r="IP88" s="7">
        <f t="shared" si="119"/>
        <v>15869408</v>
      </c>
      <c r="IQ88" s="7">
        <f t="shared" si="120"/>
        <v>0</v>
      </c>
      <c r="IR88" s="7">
        <f t="shared" si="121"/>
        <v>0</v>
      </c>
      <c r="IS88" s="7">
        <f t="shared" si="122"/>
        <v>0</v>
      </c>
      <c r="IT88" s="7">
        <f t="shared" si="123"/>
        <v>14924426</v>
      </c>
      <c r="IU88" s="7">
        <f t="shared" si="124"/>
        <v>0</v>
      </c>
      <c r="IV88" s="7">
        <f t="shared" si="157"/>
        <v>0</v>
      </c>
      <c r="IW88" s="7">
        <f t="shared" si="158"/>
        <v>0</v>
      </c>
      <c r="IX88" s="7">
        <f t="shared" si="125"/>
        <v>0</v>
      </c>
      <c r="IY88" s="7">
        <f t="shared" si="126"/>
        <v>0</v>
      </c>
      <c r="IZ88" s="7">
        <f t="shared" si="127"/>
        <v>1466929</v>
      </c>
      <c r="JA88" s="7">
        <f t="shared" si="128"/>
        <v>0</v>
      </c>
      <c r="JB88" s="7">
        <f t="shared" si="159"/>
        <v>5659213</v>
      </c>
      <c r="JC88" s="7">
        <f t="shared" si="160"/>
        <v>0</v>
      </c>
      <c r="JD88" s="7">
        <f t="shared" si="129"/>
        <v>4680102</v>
      </c>
      <c r="JE88" s="7">
        <f t="shared" si="130"/>
        <v>0</v>
      </c>
      <c r="JF88" s="7">
        <f t="shared" si="131"/>
        <v>4789291</v>
      </c>
      <c r="JG88" s="7">
        <f t="shared" si="132"/>
        <v>0</v>
      </c>
      <c r="JH88" s="7">
        <f t="shared" si="133"/>
        <v>1916624</v>
      </c>
      <c r="JI88" s="7">
        <f t="shared" si="134"/>
        <v>0</v>
      </c>
      <c r="JJ88" s="7">
        <f t="shared" si="135"/>
        <v>53740</v>
      </c>
      <c r="JK88" s="7">
        <f t="shared" si="136"/>
        <v>0</v>
      </c>
      <c r="JL88" s="7">
        <f t="shared" si="137"/>
        <v>1988175</v>
      </c>
      <c r="JM88" s="7">
        <f t="shared" si="138"/>
        <v>0</v>
      </c>
      <c r="JN88" s="7">
        <f t="shared" si="139"/>
        <v>365889</v>
      </c>
      <c r="JO88" s="7">
        <f t="shared" si="140"/>
        <v>0</v>
      </c>
      <c r="JP88" s="7">
        <f t="shared" si="141"/>
        <v>0</v>
      </c>
      <c r="JQ88" s="7">
        <f t="shared" si="142"/>
        <v>0</v>
      </c>
      <c r="JR88" s="7">
        <f t="shared" si="143"/>
        <v>855457</v>
      </c>
      <c r="JS88" s="7">
        <f t="shared" si="144"/>
        <v>0</v>
      </c>
      <c r="JT88" s="7">
        <f t="shared" si="145"/>
        <v>245843</v>
      </c>
      <c r="JU88" s="7">
        <f t="shared" si="146"/>
        <v>0</v>
      </c>
      <c r="JV88" s="7">
        <f t="shared" si="147"/>
        <v>10736006</v>
      </c>
      <c r="JW88" s="7">
        <f t="shared" si="148"/>
        <v>0</v>
      </c>
      <c r="JX88" s="7">
        <f t="shared" si="149"/>
        <v>76209927</v>
      </c>
      <c r="JY88" s="7">
        <f t="shared" si="150"/>
        <v>0</v>
      </c>
      <c r="JZ88" s="7">
        <f t="shared" si="151"/>
        <v>0</v>
      </c>
      <c r="KA88" s="7">
        <f t="shared" si="152"/>
        <v>0</v>
      </c>
      <c r="KB88" s="7">
        <f t="shared" si="153"/>
        <v>76209927</v>
      </c>
      <c r="KC88" s="7">
        <f t="shared" si="154"/>
        <v>0</v>
      </c>
      <c r="KE88" s="7" t="e">
        <f t="shared" si="107"/>
        <v>#REF!</v>
      </c>
      <c r="KG88" s="5" t="e">
        <f t="shared" si="108"/>
        <v>#REF!</v>
      </c>
    </row>
    <row r="89" spans="1:293" x14ac:dyDescent="0.15">
      <c r="A89" s="119" t="s">
        <v>338</v>
      </c>
      <c r="B89" s="17" t="s">
        <v>340</v>
      </c>
      <c r="C89" s="41">
        <v>236939</v>
      </c>
      <c r="D89" s="38">
        <v>2013</v>
      </c>
      <c r="E89" s="38">
        <v>1</v>
      </c>
      <c r="F89" s="38">
        <v>4</v>
      </c>
      <c r="G89" s="39">
        <v>8614</v>
      </c>
      <c r="H89" s="39">
        <v>7535</v>
      </c>
      <c r="I89" s="40">
        <v>9237021931</v>
      </c>
      <c r="J89" s="40"/>
      <c r="K89" s="40">
        <v>1586744</v>
      </c>
      <c r="L89" s="40"/>
      <c r="M89" s="40">
        <v>36016352</v>
      </c>
      <c r="N89" s="40"/>
      <c r="O89" s="40">
        <v>13611000</v>
      </c>
      <c r="P89" s="40"/>
      <c r="Q89" s="40">
        <v>387225000</v>
      </c>
      <c r="R89" s="40"/>
      <c r="S89" s="40">
        <v>585838499</v>
      </c>
      <c r="T89" s="40"/>
      <c r="U89" s="40">
        <v>23760</v>
      </c>
      <c r="V89" s="40"/>
      <c r="W89" s="40">
        <v>36842</v>
      </c>
      <c r="X89" s="40"/>
      <c r="Y89" s="40">
        <v>27302</v>
      </c>
      <c r="Z89" s="40"/>
      <c r="AA89" s="40">
        <v>40384</v>
      </c>
      <c r="AB89" s="40"/>
      <c r="AC89" s="56">
        <v>7</v>
      </c>
      <c r="AD89" s="56">
        <v>10</v>
      </c>
      <c r="AE89" s="56">
        <v>0</v>
      </c>
      <c r="AF89" s="57">
        <v>4321105</v>
      </c>
      <c r="AG89" s="57">
        <v>3638805</v>
      </c>
      <c r="AH89" s="57">
        <v>622526</v>
      </c>
      <c r="AI89" s="57">
        <v>309651</v>
      </c>
      <c r="AJ89" s="57">
        <v>814341.11</v>
      </c>
      <c r="AK89" s="58">
        <v>4.5</v>
      </c>
      <c r="AL89" s="57">
        <v>732907</v>
      </c>
      <c r="AM89" s="58">
        <v>5</v>
      </c>
      <c r="AN89" s="57">
        <v>147183.6</v>
      </c>
      <c r="AO89" s="58">
        <v>7.5</v>
      </c>
      <c r="AP89" s="57">
        <v>137984.63</v>
      </c>
      <c r="AQ89" s="58">
        <v>8</v>
      </c>
      <c r="AR89" s="57">
        <v>194732.91</v>
      </c>
      <c r="AS89" s="58">
        <v>16.5</v>
      </c>
      <c r="AT89" s="57">
        <v>169110.16</v>
      </c>
      <c r="AU89" s="58">
        <v>19</v>
      </c>
      <c r="AV89" s="57">
        <v>89620.37</v>
      </c>
      <c r="AW89" s="58">
        <v>13.5</v>
      </c>
      <c r="AX89" s="57">
        <v>75617.19</v>
      </c>
      <c r="AY89" s="58">
        <v>16</v>
      </c>
      <c r="AZ89" s="79">
        <v>5737401</v>
      </c>
      <c r="BA89" s="79">
        <v>565000</v>
      </c>
      <c r="BB89" s="79">
        <v>2225051</v>
      </c>
      <c r="BC89" s="79">
        <v>0</v>
      </c>
      <c r="BD89" s="79">
        <v>435748</v>
      </c>
      <c r="BE89" s="79">
        <v>35274</v>
      </c>
      <c r="BF89" s="79">
        <v>74854</v>
      </c>
      <c r="BG89" s="79">
        <v>6936</v>
      </c>
      <c r="BH89" s="79">
        <v>272499</v>
      </c>
      <c r="BI89" s="79">
        <v>6383</v>
      </c>
      <c r="BJ89" s="79">
        <v>395946</v>
      </c>
      <c r="BK89" s="79">
        <v>180833</v>
      </c>
      <c r="BL89" s="79">
        <v>26815</v>
      </c>
      <c r="BM89" s="79">
        <v>33955</v>
      </c>
      <c r="BN89" s="79">
        <v>245072</v>
      </c>
      <c r="BO89" s="79">
        <v>0</v>
      </c>
      <c r="BP89" s="79">
        <v>486675</v>
      </c>
      <c r="BQ89" s="79">
        <v>11281</v>
      </c>
      <c r="BR89" s="79">
        <v>4174</v>
      </c>
      <c r="BS89" s="79">
        <v>46643</v>
      </c>
      <c r="BT89" s="79">
        <v>117947</v>
      </c>
      <c r="BU89" s="79">
        <v>333688</v>
      </c>
      <c r="BV89" s="79">
        <v>513733</v>
      </c>
      <c r="BW89" s="79">
        <v>26379721</v>
      </c>
      <c r="BX89" s="79">
        <v>4825734</v>
      </c>
      <c r="BY89" s="79">
        <v>953803</v>
      </c>
      <c r="BZ89" s="79">
        <v>6490678</v>
      </c>
      <c r="CA89" s="79">
        <v>8541304</v>
      </c>
      <c r="CB89" s="79">
        <v>47191240</v>
      </c>
      <c r="CC89" s="79">
        <v>2957655</v>
      </c>
      <c r="CD89" s="79">
        <v>438572</v>
      </c>
      <c r="CE89" s="79">
        <v>555364</v>
      </c>
      <c r="CF89" s="79">
        <v>4008319</v>
      </c>
      <c r="CG89" s="79">
        <v>1420400</v>
      </c>
      <c r="CH89" s="79">
        <v>9380310</v>
      </c>
      <c r="CI89" s="79">
        <v>315000</v>
      </c>
      <c r="CJ89" s="79">
        <v>382951</v>
      </c>
      <c r="CK89" s="79">
        <v>7500</v>
      </c>
      <c r="CL89" s="79">
        <v>50608</v>
      </c>
      <c r="CM89" s="79">
        <v>0</v>
      </c>
      <c r="CN89" s="79">
        <v>756059</v>
      </c>
      <c r="CO89" s="79">
        <v>4689453</v>
      </c>
      <c r="CP89" s="79">
        <v>1423218</v>
      </c>
      <c r="CQ89" s="79">
        <v>665490</v>
      </c>
      <c r="CR89" s="79">
        <v>2413219</v>
      </c>
      <c r="CS89" s="79">
        <v>0</v>
      </c>
      <c r="CT89" s="79">
        <v>9191380</v>
      </c>
      <c r="CU89" s="79">
        <v>0</v>
      </c>
      <c r="CV89" s="79">
        <v>0</v>
      </c>
      <c r="CW89" s="79">
        <v>0</v>
      </c>
      <c r="CX89" s="79">
        <v>0</v>
      </c>
      <c r="CY89" s="79">
        <v>0</v>
      </c>
      <c r="CZ89" s="79">
        <v>0</v>
      </c>
      <c r="DA89" s="79">
        <v>811671</v>
      </c>
      <c r="DB89" s="79">
        <v>160911</v>
      </c>
      <c r="DC89" s="79">
        <v>154406</v>
      </c>
      <c r="DD89" s="79">
        <v>179600</v>
      </c>
      <c r="DE89" s="79">
        <v>8014087</v>
      </c>
      <c r="DF89" s="79">
        <v>9320675</v>
      </c>
      <c r="DG89" s="79">
        <v>0</v>
      </c>
      <c r="DH89" s="79">
        <v>0</v>
      </c>
      <c r="DI89" s="79">
        <v>0</v>
      </c>
      <c r="DJ89" s="79">
        <v>0</v>
      </c>
      <c r="DK89" s="79">
        <v>0</v>
      </c>
      <c r="DL89" s="79">
        <v>0</v>
      </c>
      <c r="DM89" s="79">
        <v>0</v>
      </c>
      <c r="DN89" s="79">
        <v>0</v>
      </c>
      <c r="DO89" s="79">
        <v>0</v>
      </c>
      <c r="DP89" s="79">
        <v>0</v>
      </c>
      <c r="DQ89" s="79">
        <v>0</v>
      </c>
      <c r="DR89" s="79">
        <v>0</v>
      </c>
      <c r="DS89" s="79">
        <v>363683</v>
      </c>
      <c r="DT89" s="79">
        <v>155038</v>
      </c>
      <c r="DU89" s="79">
        <v>92665</v>
      </c>
      <c r="DV89" s="79">
        <v>320791</v>
      </c>
      <c r="DW89" s="79">
        <v>0</v>
      </c>
      <c r="DX89" s="79">
        <v>932177</v>
      </c>
      <c r="DY89" s="79">
        <v>1044180</v>
      </c>
      <c r="DZ89" s="79">
        <v>373684</v>
      </c>
      <c r="EA89" s="79">
        <v>276584</v>
      </c>
      <c r="EB89" s="79">
        <v>1622529</v>
      </c>
      <c r="EC89" s="79">
        <v>0</v>
      </c>
      <c r="ED89" s="79">
        <v>3316977</v>
      </c>
      <c r="EE89" s="79">
        <v>779404</v>
      </c>
      <c r="EF89" s="79">
        <v>101098</v>
      </c>
      <c r="EG89" s="79">
        <v>131762</v>
      </c>
      <c r="EH89" s="79">
        <v>889256</v>
      </c>
      <c r="EI89" s="79">
        <v>300048</v>
      </c>
      <c r="EJ89" s="79">
        <v>2201568</v>
      </c>
      <c r="EK89" s="79">
        <v>816526</v>
      </c>
      <c r="EL89" s="79">
        <v>389191</v>
      </c>
      <c r="EM89" s="79">
        <v>174150</v>
      </c>
      <c r="EN89" s="79">
        <v>211064</v>
      </c>
      <c r="EO89" s="79">
        <v>146281</v>
      </c>
      <c r="EP89" s="79">
        <v>1737212</v>
      </c>
      <c r="EQ89" s="79">
        <v>14747</v>
      </c>
      <c r="ER89" s="79">
        <v>2090</v>
      </c>
      <c r="ES89" s="79">
        <v>1844</v>
      </c>
      <c r="ET89" s="79">
        <v>32938</v>
      </c>
      <c r="EU89" s="79">
        <v>2648910</v>
      </c>
      <c r="EV89" s="79">
        <v>2700529</v>
      </c>
      <c r="EW89" s="79">
        <v>77191</v>
      </c>
      <c r="EX89" s="79">
        <v>51256</v>
      </c>
      <c r="EY89" s="79">
        <v>19802</v>
      </c>
      <c r="EZ89" s="79">
        <v>189663</v>
      </c>
      <c r="FA89" s="79">
        <v>495</v>
      </c>
      <c r="FB89" s="79">
        <v>338407</v>
      </c>
      <c r="FC89" s="79">
        <v>26647</v>
      </c>
      <c r="FD89" s="79">
        <v>4485</v>
      </c>
      <c r="FE89" s="79">
        <v>6314</v>
      </c>
      <c r="FF89" s="79">
        <v>42342</v>
      </c>
      <c r="FG89" s="79">
        <v>3835071</v>
      </c>
      <c r="FH89" s="79">
        <v>3914859</v>
      </c>
      <c r="FI89" s="79">
        <v>0</v>
      </c>
      <c r="FJ89" s="79">
        <v>0</v>
      </c>
      <c r="FK89" s="79">
        <v>0</v>
      </c>
      <c r="FL89" s="79">
        <v>0</v>
      </c>
      <c r="FM89" s="79">
        <v>50130</v>
      </c>
      <c r="FN89" s="79">
        <v>50130</v>
      </c>
      <c r="FO89" s="79">
        <v>0</v>
      </c>
      <c r="FP89" s="79">
        <v>0</v>
      </c>
      <c r="FQ89" s="79">
        <v>0</v>
      </c>
      <c r="FR89" s="79">
        <v>0</v>
      </c>
      <c r="FS89" s="79">
        <v>1971845</v>
      </c>
      <c r="FT89" s="79">
        <v>1971845</v>
      </c>
      <c r="FU89" s="79">
        <v>0</v>
      </c>
      <c r="FV89" s="79">
        <v>0</v>
      </c>
      <c r="FW89" s="79">
        <v>0</v>
      </c>
      <c r="FX89" s="79">
        <v>0</v>
      </c>
      <c r="FY89" s="79">
        <v>854069</v>
      </c>
      <c r="FZ89" s="79">
        <v>854069</v>
      </c>
      <c r="GA89" s="79">
        <v>2212</v>
      </c>
      <c r="GB89" s="79">
        <v>920</v>
      </c>
      <c r="GC89" s="79">
        <v>1535</v>
      </c>
      <c r="GD89" s="79">
        <v>8004</v>
      </c>
      <c r="GE89" s="79">
        <v>1447284</v>
      </c>
      <c r="GF89" s="79">
        <v>1459955</v>
      </c>
      <c r="GG89" s="79">
        <v>760163</v>
      </c>
      <c r="GH89" s="79">
        <v>281698</v>
      </c>
      <c r="GI89" s="79">
        <v>140202</v>
      </c>
      <c r="GJ89" s="79">
        <v>566011</v>
      </c>
      <c r="GK89" s="79">
        <v>2251898</v>
      </c>
      <c r="GL89" s="79">
        <v>3999972</v>
      </c>
      <c r="GM89" s="79">
        <v>12658532</v>
      </c>
      <c r="GN89" s="79">
        <v>3765112</v>
      </c>
      <c r="GO89" s="79">
        <v>2227618</v>
      </c>
      <c r="GP89" s="79">
        <v>10534344</v>
      </c>
      <c r="GQ89" s="79">
        <v>22940518</v>
      </c>
      <c r="GR89" s="79">
        <v>52126124</v>
      </c>
      <c r="GS89" s="79">
        <v>0</v>
      </c>
      <c r="GT89" s="79">
        <v>0</v>
      </c>
      <c r="GU89" s="79">
        <v>0</v>
      </c>
      <c r="GV89" s="79">
        <v>0</v>
      </c>
      <c r="GW89" s="79">
        <v>0</v>
      </c>
      <c r="GX89" s="79">
        <v>0</v>
      </c>
      <c r="GY89" s="79">
        <v>12658532</v>
      </c>
      <c r="GZ89" s="79">
        <v>3765112</v>
      </c>
      <c r="HA89" s="79">
        <v>2227618</v>
      </c>
      <c r="HB89" s="79">
        <v>10534344</v>
      </c>
      <c r="HC89" s="79">
        <v>22940518</v>
      </c>
      <c r="HD89" s="79">
        <v>52126124</v>
      </c>
      <c r="HF89" s="7">
        <f>SUM(AZ89:AZ89)</f>
        <v>5737401</v>
      </c>
      <c r="HG89" s="7" t="e">
        <f>#REF!-HF89</f>
        <v>#REF!</v>
      </c>
      <c r="HH89" s="7" t="e">
        <f>SUM(#REF!)</f>
        <v>#REF!</v>
      </c>
      <c r="HI89" s="7" t="e">
        <f>#REF!-HH89</f>
        <v>#REF!</v>
      </c>
      <c r="HJ89" s="7">
        <f>SUM(BA89:BA89)</f>
        <v>565000</v>
      </c>
      <c r="HK89" s="7" t="e">
        <f>#REF!-HJ89</f>
        <v>#REF!</v>
      </c>
      <c r="HL89" s="7">
        <f>SUM(BB89:BB89)</f>
        <v>2225051</v>
      </c>
      <c r="HM89" s="7" t="e">
        <f>#REF!-HL89</f>
        <v>#REF!</v>
      </c>
      <c r="HN89" s="7" t="e">
        <f>SUM(#REF!)</f>
        <v>#REF!</v>
      </c>
      <c r="HO89" s="7" t="e">
        <f>#REF!-HN89</f>
        <v>#REF!</v>
      </c>
      <c r="HP89" s="7" t="e">
        <f>SUM(#REF!)</f>
        <v>#REF!</v>
      </c>
      <c r="HQ89" s="7" t="e">
        <f>#REF!-HP89</f>
        <v>#REF!</v>
      </c>
      <c r="HR89" s="7" t="e">
        <f>SUM(#REF!)</f>
        <v>#REF!</v>
      </c>
      <c r="HS89" s="7" t="e">
        <f>#REF!-HR89</f>
        <v>#REF!</v>
      </c>
      <c r="HT89" s="7" t="e">
        <f>SUM(#REF!)</f>
        <v>#REF!</v>
      </c>
      <c r="HU89" s="7" t="e">
        <f>#REF!-HT89</f>
        <v>#REF!</v>
      </c>
      <c r="HV89" s="7" t="e">
        <f>SUM(#REF!)</f>
        <v>#REF!</v>
      </c>
      <c r="HW89" s="7" t="e">
        <f>#REF!-HV89</f>
        <v>#REF!</v>
      </c>
      <c r="HX89" s="7" t="e">
        <f>SUM(#REF!)</f>
        <v>#REF!</v>
      </c>
      <c r="HY89" s="7" t="e">
        <f>#REF!-HX89</f>
        <v>#REF!</v>
      </c>
      <c r="HZ89" s="7">
        <f>SUM(BC89:BC89)</f>
        <v>0</v>
      </c>
      <c r="IA89" s="7" t="e">
        <f>#REF!-HZ89</f>
        <v>#REF!</v>
      </c>
      <c r="IB89" s="7">
        <f>SUM(BD89:BD89)</f>
        <v>435748</v>
      </c>
      <c r="IC89" s="7" t="e">
        <f>#REF!-IB89</f>
        <v>#REF!</v>
      </c>
      <c r="ID89" s="7">
        <f t="shared" si="109"/>
        <v>395946</v>
      </c>
      <c r="IE89" s="7">
        <f t="shared" si="110"/>
        <v>0</v>
      </c>
      <c r="IF89" s="7">
        <f t="shared" si="111"/>
        <v>486675</v>
      </c>
      <c r="IG89" s="7">
        <f t="shared" si="112"/>
        <v>0</v>
      </c>
      <c r="IH89" s="7">
        <f t="shared" si="113"/>
        <v>513733</v>
      </c>
      <c r="II89" s="7">
        <f t="shared" si="155"/>
        <v>0</v>
      </c>
      <c r="IJ89" s="7">
        <f t="shared" si="156"/>
        <v>47191240</v>
      </c>
      <c r="IK89" s="7">
        <f t="shared" si="114"/>
        <v>0</v>
      </c>
      <c r="IL89" s="7">
        <f t="shared" si="115"/>
        <v>9380310</v>
      </c>
      <c r="IM89" s="7">
        <f t="shared" si="116"/>
        <v>0</v>
      </c>
      <c r="IN89" s="7">
        <f t="shared" si="117"/>
        <v>756059</v>
      </c>
      <c r="IO89" s="7">
        <f t="shared" si="118"/>
        <v>0</v>
      </c>
      <c r="IP89" s="7">
        <f t="shared" si="119"/>
        <v>9191380</v>
      </c>
      <c r="IQ89" s="7">
        <f t="shared" si="120"/>
        <v>0</v>
      </c>
      <c r="IR89" s="7">
        <f t="shared" si="121"/>
        <v>0</v>
      </c>
      <c r="IS89" s="7">
        <f t="shared" si="122"/>
        <v>0</v>
      </c>
      <c r="IT89" s="7">
        <f t="shared" si="123"/>
        <v>9320675</v>
      </c>
      <c r="IU89" s="7">
        <f t="shared" si="124"/>
        <v>0</v>
      </c>
      <c r="IV89" s="7">
        <f t="shared" si="157"/>
        <v>0</v>
      </c>
      <c r="IW89" s="7">
        <f t="shared" si="158"/>
        <v>0</v>
      </c>
      <c r="IX89" s="7">
        <f t="shared" si="125"/>
        <v>0</v>
      </c>
      <c r="IY89" s="7">
        <f t="shared" si="126"/>
        <v>0</v>
      </c>
      <c r="IZ89" s="7">
        <f t="shared" si="127"/>
        <v>932177</v>
      </c>
      <c r="JA89" s="7">
        <f t="shared" si="128"/>
        <v>0</v>
      </c>
      <c r="JB89" s="7">
        <f t="shared" si="159"/>
        <v>3316977</v>
      </c>
      <c r="JC89" s="7">
        <f t="shared" si="160"/>
        <v>0</v>
      </c>
      <c r="JD89" s="7">
        <f t="shared" si="129"/>
        <v>2201568</v>
      </c>
      <c r="JE89" s="7">
        <f t="shared" si="130"/>
        <v>0</v>
      </c>
      <c r="JF89" s="7">
        <f t="shared" si="131"/>
        <v>1737212</v>
      </c>
      <c r="JG89" s="7">
        <f t="shared" si="132"/>
        <v>0</v>
      </c>
      <c r="JH89" s="7">
        <f t="shared" si="133"/>
        <v>2700529</v>
      </c>
      <c r="JI89" s="7">
        <f t="shared" si="134"/>
        <v>0</v>
      </c>
      <c r="JJ89" s="7">
        <f t="shared" si="135"/>
        <v>338407</v>
      </c>
      <c r="JK89" s="7">
        <f t="shared" si="136"/>
        <v>0</v>
      </c>
      <c r="JL89" s="7">
        <f t="shared" si="137"/>
        <v>3914859</v>
      </c>
      <c r="JM89" s="7">
        <f t="shared" si="138"/>
        <v>0</v>
      </c>
      <c r="JN89" s="7">
        <f t="shared" si="139"/>
        <v>50130</v>
      </c>
      <c r="JO89" s="7">
        <f t="shared" si="140"/>
        <v>0</v>
      </c>
      <c r="JP89" s="7">
        <f t="shared" si="141"/>
        <v>1971845</v>
      </c>
      <c r="JQ89" s="7">
        <f t="shared" si="142"/>
        <v>0</v>
      </c>
      <c r="JR89" s="7">
        <f t="shared" si="143"/>
        <v>854069</v>
      </c>
      <c r="JS89" s="7">
        <f t="shared" si="144"/>
        <v>0</v>
      </c>
      <c r="JT89" s="7">
        <f t="shared" si="145"/>
        <v>1459955</v>
      </c>
      <c r="JU89" s="7">
        <f t="shared" si="146"/>
        <v>0</v>
      </c>
      <c r="JV89" s="7">
        <f t="shared" si="147"/>
        <v>3999972</v>
      </c>
      <c r="JW89" s="7">
        <f t="shared" si="148"/>
        <v>0</v>
      </c>
      <c r="JX89" s="7">
        <f t="shared" si="149"/>
        <v>52126124</v>
      </c>
      <c r="JY89" s="7">
        <f t="shared" si="150"/>
        <v>0</v>
      </c>
      <c r="JZ89" s="7">
        <f t="shared" si="151"/>
        <v>0</v>
      </c>
      <c r="KA89" s="7">
        <f t="shared" si="152"/>
        <v>0</v>
      </c>
      <c r="KB89" s="7">
        <f t="shared" si="153"/>
        <v>52126124</v>
      </c>
      <c r="KC89" s="7">
        <f t="shared" si="154"/>
        <v>0</v>
      </c>
      <c r="KE89" s="7" t="e">
        <f t="shared" si="107"/>
        <v>#REF!</v>
      </c>
      <c r="KG89" s="5" t="e">
        <f t="shared" si="108"/>
        <v>#REF!</v>
      </c>
    </row>
    <row r="90" spans="1:293" x14ac:dyDescent="0.15">
      <c r="A90" s="119" t="s">
        <v>236</v>
      </c>
      <c r="B90" s="17" t="s">
        <v>340</v>
      </c>
      <c r="C90" s="41">
        <v>157951</v>
      </c>
      <c r="D90" s="38">
        <v>2013</v>
      </c>
      <c r="E90" s="38">
        <v>1</v>
      </c>
      <c r="F90" s="38">
        <v>8</v>
      </c>
      <c r="G90" s="39">
        <v>6090</v>
      </c>
      <c r="H90" s="39">
        <v>7601</v>
      </c>
      <c r="I90" s="40">
        <v>3187202331</v>
      </c>
      <c r="J90" s="40"/>
      <c r="K90" s="40">
        <v>5057350</v>
      </c>
      <c r="L90" s="40"/>
      <c r="M90" s="40">
        <v>16638958</v>
      </c>
      <c r="N90" s="40"/>
      <c r="O90" s="40">
        <v>55460600</v>
      </c>
      <c r="P90" s="40"/>
      <c r="Q90" s="40">
        <v>186940071</v>
      </c>
      <c r="R90" s="40"/>
      <c r="S90" s="40">
        <v>272752643</v>
      </c>
      <c r="T90" s="40"/>
      <c r="U90" s="40">
        <v>15932</v>
      </c>
      <c r="V90" s="40"/>
      <c r="W90" s="40">
        <v>28460</v>
      </c>
      <c r="X90" s="40"/>
      <c r="Y90" s="40">
        <v>19051</v>
      </c>
      <c r="Z90" s="40"/>
      <c r="AA90" s="40">
        <v>21595</v>
      </c>
      <c r="AB90" s="40"/>
      <c r="AC90" s="56">
        <v>9</v>
      </c>
      <c r="AD90" s="56">
        <v>10</v>
      </c>
      <c r="AE90" s="56">
        <v>0</v>
      </c>
      <c r="AF90" s="57">
        <v>3597223</v>
      </c>
      <c r="AG90" s="57">
        <v>2109419</v>
      </c>
      <c r="AH90" s="57">
        <v>372315</v>
      </c>
      <c r="AI90" s="57">
        <v>163982</v>
      </c>
      <c r="AJ90" s="57">
        <v>291438</v>
      </c>
      <c r="AK90" s="58">
        <v>5.5</v>
      </c>
      <c r="AL90" s="57">
        <v>228987</v>
      </c>
      <c r="AM90" s="58">
        <v>7</v>
      </c>
      <c r="AN90" s="57">
        <v>102494.15</v>
      </c>
      <c r="AO90" s="58">
        <v>6.5</v>
      </c>
      <c r="AP90" s="57">
        <v>83276.5</v>
      </c>
      <c r="AQ90" s="58">
        <v>8</v>
      </c>
      <c r="AR90" s="57">
        <v>90736.7</v>
      </c>
      <c r="AS90" s="58">
        <v>20</v>
      </c>
      <c r="AT90" s="57">
        <v>86415.9</v>
      </c>
      <c r="AU90" s="58">
        <v>21</v>
      </c>
      <c r="AV90" s="57">
        <v>46032</v>
      </c>
      <c r="AW90" s="58">
        <v>13</v>
      </c>
      <c r="AX90" s="57">
        <v>42744</v>
      </c>
      <c r="AY90" s="58">
        <v>14</v>
      </c>
      <c r="AZ90" s="79">
        <v>802657</v>
      </c>
      <c r="BA90" s="79">
        <v>1700000</v>
      </c>
      <c r="BB90" s="79">
        <v>860694</v>
      </c>
      <c r="BC90" s="79">
        <v>0</v>
      </c>
      <c r="BD90" s="79">
        <v>0</v>
      </c>
      <c r="BE90" s="79">
        <v>35255</v>
      </c>
      <c r="BF90" s="79">
        <v>56039</v>
      </c>
      <c r="BG90" s="79">
        <v>14415</v>
      </c>
      <c r="BH90" s="79">
        <v>261202</v>
      </c>
      <c r="BI90" s="79">
        <v>0</v>
      </c>
      <c r="BJ90" s="79">
        <v>366911</v>
      </c>
      <c r="BK90" s="79">
        <v>146417</v>
      </c>
      <c r="BL90" s="79">
        <v>58202</v>
      </c>
      <c r="BM90" s="79">
        <v>0</v>
      </c>
      <c r="BN90" s="79">
        <v>0</v>
      </c>
      <c r="BO90" s="79">
        <v>0</v>
      </c>
      <c r="BP90" s="79">
        <v>204619</v>
      </c>
      <c r="BQ90" s="79">
        <v>0</v>
      </c>
      <c r="BR90" s="79">
        <v>0</v>
      </c>
      <c r="BS90" s="79">
        <v>0</v>
      </c>
      <c r="BT90" s="79">
        <v>0</v>
      </c>
      <c r="BU90" s="79">
        <v>493711</v>
      </c>
      <c r="BV90" s="79">
        <v>493711</v>
      </c>
      <c r="BW90" s="79">
        <v>6426993</v>
      </c>
      <c r="BX90" s="79">
        <v>2683743</v>
      </c>
      <c r="BY90" s="79">
        <v>1412021</v>
      </c>
      <c r="BZ90" s="79">
        <v>6028239</v>
      </c>
      <c r="CA90" s="79">
        <v>11055405</v>
      </c>
      <c r="CB90" s="79">
        <v>27606401</v>
      </c>
      <c r="CC90" s="79">
        <v>2173628</v>
      </c>
      <c r="CD90" s="79">
        <v>384350</v>
      </c>
      <c r="CE90" s="79">
        <v>257522</v>
      </c>
      <c r="CF90" s="79">
        <v>2891142</v>
      </c>
      <c r="CG90" s="79">
        <v>310605</v>
      </c>
      <c r="CH90" s="79">
        <v>6017247</v>
      </c>
      <c r="CI90" s="79">
        <v>575000</v>
      </c>
      <c r="CJ90" s="79">
        <v>225604</v>
      </c>
      <c r="CK90" s="79">
        <v>1500</v>
      </c>
      <c r="CL90" s="79">
        <v>3101</v>
      </c>
      <c r="CM90" s="79">
        <v>0</v>
      </c>
      <c r="CN90" s="79">
        <v>805205</v>
      </c>
      <c r="CO90" s="79">
        <v>1860019</v>
      </c>
      <c r="CP90" s="79">
        <v>883055</v>
      </c>
      <c r="CQ90" s="79">
        <v>443638</v>
      </c>
      <c r="CR90" s="79">
        <v>1495559</v>
      </c>
      <c r="CS90" s="79">
        <v>0</v>
      </c>
      <c r="CT90" s="79">
        <v>4682271</v>
      </c>
      <c r="CU90" s="79">
        <v>20121</v>
      </c>
      <c r="CV90" s="79">
        <v>14793</v>
      </c>
      <c r="CW90" s="79">
        <v>6427</v>
      </c>
      <c r="CX90" s="79">
        <v>13663</v>
      </c>
      <c r="CY90" s="79">
        <v>0</v>
      </c>
      <c r="CZ90" s="79">
        <v>55004</v>
      </c>
      <c r="DA90" s="79">
        <v>466369</v>
      </c>
      <c r="DB90" s="79">
        <v>205023</v>
      </c>
      <c r="DC90" s="79">
        <v>120461</v>
      </c>
      <c r="DD90" s="79">
        <v>8108</v>
      </c>
      <c r="DE90" s="79">
        <v>2518517</v>
      </c>
      <c r="DF90" s="79">
        <v>3318478</v>
      </c>
      <c r="DG90" s="79">
        <v>0</v>
      </c>
      <c r="DH90" s="79">
        <v>0</v>
      </c>
      <c r="DI90" s="79">
        <v>0</v>
      </c>
      <c r="DJ90" s="79">
        <v>0</v>
      </c>
      <c r="DK90" s="79">
        <v>13578</v>
      </c>
      <c r="DL90" s="79">
        <v>13578</v>
      </c>
      <c r="DM90" s="79">
        <v>0</v>
      </c>
      <c r="DN90" s="79">
        <v>0</v>
      </c>
      <c r="DO90" s="79">
        <v>180112</v>
      </c>
      <c r="DP90" s="79">
        <v>0</v>
      </c>
      <c r="DQ90" s="79">
        <v>0</v>
      </c>
      <c r="DR90" s="79">
        <v>180112</v>
      </c>
      <c r="DS90" s="79">
        <v>186044</v>
      </c>
      <c r="DT90" s="79">
        <v>119551</v>
      </c>
      <c r="DU90" s="79">
        <v>74445</v>
      </c>
      <c r="DV90" s="79">
        <v>156257</v>
      </c>
      <c r="DW90" s="79">
        <v>0</v>
      </c>
      <c r="DX90" s="79">
        <v>536297</v>
      </c>
      <c r="DY90" s="79">
        <v>521583</v>
      </c>
      <c r="DZ90" s="79">
        <v>449552</v>
      </c>
      <c r="EA90" s="79">
        <v>176160</v>
      </c>
      <c r="EB90" s="79">
        <v>649885</v>
      </c>
      <c r="EC90" s="79">
        <v>729574</v>
      </c>
      <c r="ED90" s="79">
        <v>2526754</v>
      </c>
      <c r="EE90" s="79">
        <v>140152</v>
      </c>
      <c r="EF90" s="79">
        <v>77710</v>
      </c>
      <c r="EG90" s="79">
        <v>16309</v>
      </c>
      <c r="EH90" s="79">
        <v>222327</v>
      </c>
      <c r="EI90" s="79">
        <v>2337</v>
      </c>
      <c r="EJ90" s="79">
        <v>458835</v>
      </c>
      <c r="EK90" s="79">
        <v>85352</v>
      </c>
      <c r="EL90" s="79">
        <v>88244</v>
      </c>
      <c r="EM90" s="79">
        <v>52351</v>
      </c>
      <c r="EN90" s="79">
        <v>85608</v>
      </c>
      <c r="EO90" s="79">
        <v>605959</v>
      </c>
      <c r="EP90" s="79">
        <v>917514</v>
      </c>
      <c r="EQ90" s="79">
        <v>26526</v>
      </c>
      <c r="ER90" s="79">
        <v>8531</v>
      </c>
      <c r="ES90" s="79">
        <v>588</v>
      </c>
      <c r="ET90" s="79">
        <v>15938</v>
      </c>
      <c r="EU90" s="79">
        <v>3999</v>
      </c>
      <c r="EV90" s="79">
        <v>55582</v>
      </c>
      <c r="EW90" s="79">
        <v>58775</v>
      </c>
      <c r="EX90" s="79">
        <v>63499</v>
      </c>
      <c r="EY90" s="79">
        <v>10273</v>
      </c>
      <c r="EZ90" s="79">
        <v>291768</v>
      </c>
      <c r="FA90" s="79">
        <v>0</v>
      </c>
      <c r="FB90" s="79">
        <v>424315</v>
      </c>
      <c r="FC90" s="79">
        <v>0</v>
      </c>
      <c r="FD90" s="79">
        <v>285</v>
      </c>
      <c r="FE90" s="79">
        <v>2035</v>
      </c>
      <c r="FF90" s="79">
        <v>19673</v>
      </c>
      <c r="FG90" s="79">
        <v>3079752</v>
      </c>
      <c r="FH90" s="79">
        <v>3101745</v>
      </c>
      <c r="FI90" s="79">
        <v>0</v>
      </c>
      <c r="FJ90" s="79">
        <v>0</v>
      </c>
      <c r="FK90" s="79">
        <v>0</v>
      </c>
      <c r="FL90" s="79">
        <v>0</v>
      </c>
      <c r="FM90" s="79">
        <v>122889</v>
      </c>
      <c r="FN90" s="79">
        <v>122889</v>
      </c>
      <c r="FO90" s="79">
        <v>0</v>
      </c>
      <c r="FP90" s="79">
        <v>0</v>
      </c>
      <c r="FQ90" s="79">
        <v>0</v>
      </c>
      <c r="FR90" s="79">
        <v>0</v>
      </c>
      <c r="FS90" s="79">
        <v>1428109</v>
      </c>
      <c r="FT90" s="79">
        <v>1428109</v>
      </c>
      <c r="FU90" s="79">
        <v>0</v>
      </c>
      <c r="FV90" s="79">
        <v>1614</v>
      </c>
      <c r="FW90" s="79">
        <v>0</v>
      </c>
      <c r="FX90" s="79">
        <v>0</v>
      </c>
      <c r="FY90" s="79">
        <v>600223</v>
      </c>
      <c r="FZ90" s="79">
        <v>601837</v>
      </c>
      <c r="GA90" s="79">
        <v>0</v>
      </c>
      <c r="GB90" s="79">
        <v>160</v>
      </c>
      <c r="GC90" s="79">
        <v>0</v>
      </c>
      <c r="GD90" s="79">
        <v>1320</v>
      </c>
      <c r="GE90" s="79">
        <v>1109781</v>
      </c>
      <c r="GF90" s="79">
        <v>1111261</v>
      </c>
      <c r="GG90" s="79">
        <v>313424</v>
      </c>
      <c r="GH90" s="79">
        <v>161772</v>
      </c>
      <c r="GI90" s="79">
        <v>70200</v>
      </c>
      <c r="GJ90" s="79">
        <v>173890</v>
      </c>
      <c r="GK90" s="79">
        <v>530082</v>
      </c>
      <c r="GL90" s="79">
        <v>1249368</v>
      </c>
      <c r="GM90" s="79">
        <v>6426993</v>
      </c>
      <c r="GN90" s="79">
        <v>2683743</v>
      </c>
      <c r="GO90" s="79">
        <v>1412021</v>
      </c>
      <c r="GP90" s="79">
        <v>6028239</v>
      </c>
      <c r="GQ90" s="79">
        <v>11055405</v>
      </c>
      <c r="GR90" s="79">
        <v>27606401</v>
      </c>
      <c r="GS90" s="79">
        <v>0</v>
      </c>
      <c r="GT90" s="79">
        <v>0</v>
      </c>
      <c r="GU90" s="79">
        <v>0</v>
      </c>
      <c r="GV90" s="79">
        <v>0</v>
      </c>
      <c r="GW90" s="79">
        <v>0</v>
      </c>
      <c r="GX90" s="79">
        <v>0</v>
      </c>
      <c r="GY90" s="79">
        <v>6426993</v>
      </c>
      <c r="GZ90" s="79">
        <v>2683743</v>
      </c>
      <c r="HA90" s="79">
        <v>1412021</v>
      </c>
      <c r="HB90" s="79">
        <v>6028239</v>
      </c>
      <c r="HC90" s="79">
        <v>11055405</v>
      </c>
      <c r="HD90" s="79">
        <v>27606401</v>
      </c>
      <c r="HF90" s="7">
        <f>SUM(AZ90:AZ90)</f>
        <v>802657</v>
      </c>
      <c r="HG90" s="7" t="e">
        <f>#REF!-HF90</f>
        <v>#REF!</v>
      </c>
      <c r="HH90" s="7" t="e">
        <f>SUM(#REF!)</f>
        <v>#REF!</v>
      </c>
      <c r="HI90" s="7" t="e">
        <f>#REF!-HH90</f>
        <v>#REF!</v>
      </c>
      <c r="HJ90" s="7">
        <f>SUM(BA90:BA90)</f>
        <v>1700000</v>
      </c>
      <c r="HK90" s="7" t="e">
        <f>#REF!-HJ90</f>
        <v>#REF!</v>
      </c>
      <c r="HL90" s="7">
        <f>SUM(BB90:BB90)</f>
        <v>860694</v>
      </c>
      <c r="HM90" s="7" t="e">
        <f>#REF!-HL90</f>
        <v>#REF!</v>
      </c>
      <c r="HN90" s="7" t="e">
        <f>SUM(#REF!)</f>
        <v>#REF!</v>
      </c>
      <c r="HO90" s="7" t="e">
        <f>#REF!-HN90</f>
        <v>#REF!</v>
      </c>
      <c r="HP90" s="7" t="e">
        <f>SUM(#REF!)</f>
        <v>#REF!</v>
      </c>
      <c r="HQ90" s="7" t="e">
        <f>#REF!-HP90</f>
        <v>#REF!</v>
      </c>
      <c r="HR90" s="7" t="e">
        <f>SUM(#REF!)</f>
        <v>#REF!</v>
      </c>
      <c r="HS90" s="7" t="e">
        <f>#REF!-HR90</f>
        <v>#REF!</v>
      </c>
      <c r="HT90" s="7" t="e">
        <f>SUM(#REF!)</f>
        <v>#REF!</v>
      </c>
      <c r="HU90" s="7" t="e">
        <f>#REF!-HT90</f>
        <v>#REF!</v>
      </c>
      <c r="HV90" s="7" t="e">
        <f>SUM(#REF!)</f>
        <v>#REF!</v>
      </c>
      <c r="HW90" s="7" t="e">
        <f>#REF!-HV90</f>
        <v>#REF!</v>
      </c>
      <c r="HX90" s="7" t="e">
        <f>SUM(#REF!)</f>
        <v>#REF!</v>
      </c>
      <c r="HY90" s="7" t="e">
        <f>#REF!-HX90</f>
        <v>#REF!</v>
      </c>
      <c r="HZ90" s="7">
        <f>SUM(BC90:BC90)</f>
        <v>0</v>
      </c>
      <c r="IA90" s="7" t="e">
        <f>#REF!-HZ90</f>
        <v>#REF!</v>
      </c>
      <c r="IB90" s="7">
        <f>SUM(BD90:BD90)</f>
        <v>0</v>
      </c>
      <c r="IC90" s="7" t="e">
        <f>#REF!-IB90</f>
        <v>#REF!</v>
      </c>
      <c r="ID90" s="7">
        <f t="shared" si="109"/>
        <v>366911</v>
      </c>
      <c r="IE90" s="7">
        <f t="shared" si="110"/>
        <v>0</v>
      </c>
      <c r="IF90" s="7">
        <f t="shared" si="111"/>
        <v>204619</v>
      </c>
      <c r="IG90" s="7">
        <f t="shared" si="112"/>
        <v>0</v>
      </c>
      <c r="IH90" s="7">
        <f t="shared" si="113"/>
        <v>493711</v>
      </c>
      <c r="II90" s="7">
        <f t="shared" si="155"/>
        <v>0</v>
      </c>
      <c r="IJ90" s="7">
        <f t="shared" si="156"/>
        <v>27606401</v>
      </c>
      <c r="IK90" s="7">
        <f t="shared" si="114"/>
        <v>0</v>
      </c>
      <c r="IL90" s="7">
        <f t="shared" si="115"/>
        <v>6017247</v>
      </c>
      <c r="IM90" s="7">
        <f t="shared" si="116"/>
        <v>0</v>
      </c>
      <c r="IN90" s="7">
        <f t="shared" si="117"/>
        <v>805205</v>
      </c>
      <c r="IO90" s="7">
        <f t="shared" si="118"/>
        <v>0</v>
      </c>
      <c r="IP90" s="7">
        <f t="shared" si="119"/>
        <v>4682271</v>
      </c>
      <c r="IQ90" s="7">
        <f t="shared" si="120"/>
        <v>0</v>
      </c>
      <c r="IR90" s="7">
        <f t="shared" si="121"/>
        <v>55004</v>
      </c>
      <c r="IS90" s="7">
        <f t="shared" si="122"/>
        <v>0</v>
      </c>
      <c r="IT90" s="7">
        <f t="shared" si="123"/>
        <v>3318478</v>
      </c>
      <c r="IU90" s="7">
        <f t="shared" si="124"/>
        <v>0</v>
      </c>
      <c r="IV90" s="7">
        <f t="shared" si="157"/>
        <v>13578</v>
      </c>
      <c r="IW90" s="7">
        <f t="shared" si="158"/>
        <v>0</v>
      </c>
      <c r="IX90" s="7">
        <f t="shared" si="125"/>
        <v>180112</v>
      </c>
      <c r="IY90" s="7">
        <f t="shared" si="126"/>
        <v>0</v>
      </c>
      <c r="IZ90" s="7">
        <f t="shared" si="127"/>
        <v>536297</v>
      </c>
      <c r="JA90" s="7">
        <f t="shared" si="128"/>
        <v>0</v>
      </c>
      <c r="JB90" s="7">
        <f t="shared" si="159"/>
        <v>2526754</v>
      </c>
      <c r="JC90" s="7">
        <f t="shared" si="160"/>
        <v>0</v>
      </c>
      <c r="JD90" s="7">
        <f t="shared" si="129"/>
        <v>458835</v>
      </c>
      <c r="JE90" s="7">
        <f t="shared" si="130"/>
        <v>0</v>
      </c>
      <c r="JF90" s="7">
        <f t="shared" si="131"/>
        <v>917514</v>
      </c>
      <c r="JG90" s="7">
        <f t="shared" si="132"/>
        <v>0</v>
      </c>
      <c r="JH90" s="7">
        <f t="shared" si="133"/>
        <v>55582</v>
      </c>
      <c r="JI90" s="7">
        <f t="shared" si="134"/>
        <v>0</v>
      </c>
      <c r="JJ90" s="7">
        <f t="shared" si="135"/>
        <v>424315</v>
      </c>
      <c r="JK90" s="7">
        <f t="shared" si="136"/>
        <v>0</v>
      </c>
      <c r="JL90" s="7">
        <f t="shared" si="137"/>
        <v>3101745</v>
      </c>
      <c r="JM90" s="7">
        <f t="shared" si="138"/>
        <v>0</v>
      </c>
      <c r="JN90" s="7">
        <f t="shared" si="139"/>
        <v>122889</v>
      </c>
      <c r="JO90" s="7">
        <f t="shared" si="140"/>
        <v>0</v>
      </c>
      <c r="JP90" s="7">
        <f t="shared" si="141"/>
        <v>1428109</v>
      </c>
      <c r="JQ90" s="7">
        <f t="shared" si="142"/>
        <v>0</v>
      </c>
      <c r="JR90" s="7">
        <f t="shared" si="143"/>
        <v>601837</v>
      </c>
      <c r="JS90" s="7">
        <f t="shared" si="144"/>
        <v>0</v>
      </c>
      <c r="JT90" s="7">
        <f t="shared" si="145"/>
        <v>1111261</v>
      </c>
      <c r="JU90" s="7">
        <f t="shared" si="146"/>
        <v>0</v>
      </c>
      <c r="JV90" s="7">
        <f t="shared" si="147"/>
        <v>1249368</v>
      </c>
      <c r="JW90" s="7">
        <f t="shared" si="148"/>
        <v>0</v>
      </c>
      <c r="JX90" s="7">
        <f t="shared" si="149"/>
        <v>27606401</v>
      </c>
      <c r="JY90" s="7">
        <f t="shared" si="150"/>
        <v>0</v>
      </c>
      <c r="JZ90" s="7">
        <f t="shared" si="151"/>
        <v>0</v>
      </c>
      <c r="KA90" s="7">
        <f t="shared" si="152"/>
        <v>0</v>
      </c>
      <c r="KB90" s="7">
        <f t="shared" si="153"/>
        <v>27606401</v>
      </c>
      <c r="KC90" s="7">
        <f t="shared" si="154"/>
        <v>0</v>
      </c>
      <c r="KE90" s="7" t="e">
        <f t="shared" si="107"/>
        <v>#REF!</v>
      </c>
      <c r="KG90" s="5" t="e">
        <f t="shared" si="108"/>
        <v>#REF!</v>
      </c>
    </row>
    <row r="91" spans="1:293" x14ac:dyDescent="0.15">
      <c r="A91" s="119" t="s">
        <v>238</v>
      </c>
      <c r="B91" s="17" t="s">
        <v>340</v>
      </c>
      <c r="C91" s="41">
        <v>172699</v>
      </c>
      <c r="D91" s="38">
        <v>2013</v>
      </c>
      <c r="E91" s="38">
        <v>1</v>
      </c>
      <c r="F91" s="38">
        <v>9</v>
      </c>
      <c r="G91" s="39">
        <v>8100</v>
      </c>
      <c r="H91" s="39">
        <v>8128</v>
      </c>
      <c r="I91" s="40">
        <v>510929649</v>
      </c>
      <c r="J91" s="40"/>
      <c r="K91" s="40">
        <v>2656381</v>
      </c>
      <c r="L91" s="52"/>
      <c r="M91" s="40">
        <v>26360089</v>
      </c>
      <c r="N91" s="40"/>
      <c r="O91" s="40">
        <v>29891710</v>
      </c>
      <c r="P91" s="40"/>
      <c r="Q91" s="40">
        <v>289860000</v>
      </c>
      <c r="R91" s="40"/>
      <c r="S91" s="40">
        <v>347038787</v>
      </c>
      <c r="T91" s="40"/>
      <c r="U91" s="40">
        <v>19196</v>
      </c>
      <c r="V91" s="40"/>
      <c r="W91" s="40">
        <v>32476</v>
      </c>
      <c r="X91" s="40"/>
      <c r="Y91" s="40">
        <v>23496</v>
      </c>
      <c r="Z91" s="40"/>
      <c r="AA91" s="40">
        <v>36776</v>
      </c>
      <c r="AB91" s="40"/>
      <c r="AC91" s="56">
        <v>6</v>
      </c>
      <c r="AD91" s="56">
        <v>10</v>
      </c>
      <c r="AE91" s="56">
        <v>0</v>
      </c>
      <c r="AF91" s="57">
        <v>4512925</v>
      </c>
      <c r="AG91" s="57">
        <v>2660535</v>
      </c>
      <c r="AH91" s="57">
        <v>293067</v>
      </c>
      <c r="AI91" s="57">
        <v>69388</v>
      </c>
      <c r="AJ91" s="57">
        <v>281917.83</v>
      </c>
      <c r="AK91" s="58">
        <v>6</v>
      </c>
      <c r="AL91" s="57">
        <v>281917.83</v>
      </c>
      <c r="AM91" s="58">
        <v>6</v>
      </c>
      <c r="AN91" s="57">
        <v>120000</v>
      </c>
      <c r="AO91" s="58">
        <v>8</v>
      </c>
      <c r="AP91" s="57">
        <v>120000</v>
      </c>
      <c r="AQ91" s="58">
        <v>8</v>
      </c>
      <c r="AR91" s="57">
        <v>111820.35</v>
      </c>
      <c r="AS91" s="58">
        <v>18.82</v>
      </c>
      <c r="AT91" s="57">
        <v>87685.79</v>
      </c>
      <c r="AU91" s="58">
        <v>24</v>
      </c>
      <c r="AV91" s="57">
        <v>72785</v>
      </c>
      <c r="AW91" s="58">
        <v>11</v>
      </c>
      <c r="AX91" s="57">
        <v>61587.31</v>
      </c>
      <c r="AY91" s="58">
        <v>13</v>
      </c>
      <c r="AZ91" s="79">
        <v>830036</v>
      </c>
      <c r="BA91" s="79">
        <v>1150000</v>
      </c>
      <c r="BB91" s="79">
        <v>59282</v>
      </c>
      <c r="BC91" s="79">
        <v>12680</v>
      </c>
      <c r="BD91" s="79">
        <v>508795</v>
      </c>
      <c r="BE91" s="79">
        <v>29465</v>
      </c>
      <c r="BF91" s="79">
        <v>7286</v>
      </c>
      <c r="BG91" s="79">
        <v>8163</v>
      </c>
      <c r="BH91" s="79">
        <v>293628</v>
      </c>
      <c r="BI91" s="79">
        <v>0</v>
      </c>
      <c r="BJ91" s="79">
        <v>338542</v>
      </c>
      <c r="BK91" s="79">
        <v>58465</v>
      </c>
      <c r="BL91" s="79">
        <v>4014</v>
      </c>
      <c r="BM91" s="79">
        <v>0</v>
      </c>
      <c r="BN91" s="79">
        <v>140028</v>
      </c>
      <c r="BO91" s="79">
        <v>26962</v>
      </c>
      <c r="BP91" s="79">
        <v>229469</v>
      </c>
      <c r="BQ91" s="79">
        <v>13183</v>
      </c>
      <c r="BR91" s="79">
        <v>10</v>
      </c>
      <c r="BS91" s="79">
        <v>3862</v>
      </c>
      <c r="BT91" s="79">
        <v>93007</v>
      </c>
      <c r="BU91" s="79">
        <v>398437</v>
      </c>
      <c r="BV91" s="79">
        <v>508499</v>
      </c>
      <c r="BW91" s="79">
        <v>2661906</v>
      </c>
      <c r="BX91" s="79">
        <v>771963</v>
      </c>
      <c r="BY91" s="79">
        <v>116159</v>
      </c>
      <c r="BZ91" s="79">
        <v>1411636</v>
      </c>
      <c r="CA91" s="79">
        <v>23662684</v>
      </c>
      <c r="CB91" s="79">
        <v>28624348</v>
      </c>
      <c r="CC91" s="79">
        <v>2932543</v>
      </c>
      <c r="CD91" s="79">
        <v>424191</v>
      </c>
      <c r="CE91" s="79">
        <v>440218</v>
      </c>
      <c r="CF91" s="79">
        <v>3376508</v>
      </c>
      <c r="CG91" s="79">
        <v>146773</v>
      </c>
      <c r="CH91" s="79">
        <v>7320233</v>
      </c>
      <c r="CI91" s="79">
        <v>525000</v>
      </c>
      <c r="CJ91" s="79">
        <v>104773</v>
      </c>
      <c r="CK91" s="79">
        <v>6500</v>
      </c>
      <c r="CL91" s="79">
        <v>27384</v>
      </c>
      <c r="CM91" s="79">
        <v>0</v>
      </c>
      <c r="CN91" s="79">
        <v>663657</v>
      </c>
      <c r="CO91" s="79">
        <v>1875851</v>
      </c>
      <c r="CP91" s="79">
        <v>812000</v>
      </c>
      <c r="CQ91" s="79">
        <v>572530</v>
      </c>
      <c r="CR91" s="79">
        <v>2296220</v>
      </c>
      <c r="CS91" s="79">
        <v>0</v>
      </c>
      <c r="CT91" s="79">
        <v>5556601</v>
      </c>
      <c r="CU91" s="79">
        <v>0</v>
      </c>
      <c r="CV91" s="79">
        <v>0</v>
      </c>
      <c r="CW91" s="79">
        <v>0</v>
      </c>
      <c r="CX91" s="79">
        <v>0</v>
      </c>
      <c r="CY91" s="79">
        <v>0</v>
      </c>
      <c r="CZ91" s="79">
        <v>0</v>
      </c>
      <c r="DA91" s="79">
        <v>145976</v>
      </c>
      <c r="DB91" s="79">
        <v>38699</v>
      </c>
      <c r="DC91" s="79">
        <v>37320</v>
      </c>
      <c r="DD91" s="79">
        <v>28034</v>
      </c>
      <c r="DE91" s="79">
        <v>2753110</v>
      </c>
      <c r="DF91" s="79">
        <v>3003139</v>
      </c>
      <c r="DG91" s="79">
        <v>0</v>
      </c>
      <c r="DH91" s="79">
        <v>0</v>
      </c>
      <c r="DI91" s="79">
        <v>0</v>
      </c>
      <c r="DJ91" s="79">
        <v>0</v>
      </c>
      <c r="DK91" s="79">
        <v>0</v>
      </c>
      <c r="DL91" s="79">
        <v>0</v>
      </c>
      <c r="DM91" s="79">
        <v>137733</v>
      </c>
      <c r="DN91" s="79">
        <v>0</v>
      </c>
      <c r="DO91" s="79">
        <v>0</v>
      </c>
      <c r="DP91" s="79">
        <v>0</v>
      </c>
      <c r="DQ91" s="79">
        <v>0</v>
      </c>
      <c r="DR91" s="79">
        <v>137733</v>
      </c>
      <c r="DS91" s="79">
        <v>165001</v>
      </c>
      <c r="DT91" s="79">
        <v>50378</v>
      </c>
      <c r="DU91" s="79">
        <v>40893</v>
      </c>
      <c r="DV91" s="79">
        <v>106183</v>
      </c>
      <c r="DW91" s="79">
        <v>589</v>
      </c>
      <c r="DX91" s="79">
        <v>363044</v>
      </c>
      <c r="DY91" s="79">
        <v>484585</v>
      </c>
      <c r="DZ91" s="79">
        <v>269477</v>
      </c>
      <c r="EA91" s="79">
        <v>131083</v>
      </c>
      <c r="EB91" s="79">
        <v>902427</v>
      </c>
      <c r="EC91" s="79">
        <v>31484</v>
      </c>
      <c r="ED91" s="79">
        <v>1819056</v>
      </c>
      <c r="EE91" s="79">
        <v>411939</v>
      </c>
      <c r="EF91" s="79">
        <v>53777</v>
      </c>
      <c r="EG91" s="79">
        <v>51077</v>
      </c>
      <c r="EH91" s="79">
        <v>438106</v>
      </c>
      <c r="EI91" s="79">
        <v>32445</v>
      </c>
      <c r="EJ91" s="79">
        <v>987344</v>
      </c>
      <c r="EK91" s="79">
        <v>79264</v>
      </c>
      <c r="EL91" s="79">
        <v>71771</v>
      </c>
      <c r="EM91" s="79">
        <v>37900</v>
      </c>
      <c r="EN91" s="79">
        <v>66936</v>
      </c>
      <c r="EO91" s="79">
        <v>548526</v>
      </c>
      <c r="EP91" s="79">
        <v>804397</v>
      </c>
      <c r="EQ91" s="79">
        <v>5608</v>
      </c>
      <c r="ER91" s="79">
        <v>0</v>
      </c>
      <c r="ES91" s="79">
        <v>0</v>
      </c>
      <c r="ET91" s="79">
        <v>331</v>
      </c>
      <c r="EU91" s="79">
        <v>656903</v>
      </c>
      <c r="EV91" s="79">
        <v>662842</v>
      </c>
      <c r="EW91" s="79">
        <v>29768</v>
      </c>
      <c r="EX91" s="79">
        <v>115</v>
      </c>
      <c r="EY91" s="79">
        <v>5159</v>
      </c>
      <c r="EZ91" s="79">
        <v>262803</v>
      </c>
      <c r="FA91" s="79">
        <v>0</v>
      </c>
      <c r="FB91" s="79">
        <v>297845</v>
      </c>
      <c r="FC91" s="79">
        <v>808</v>
      </c>
      <c r="FD91" s="79">
        <v>180</v>
      </c>
      <c r="FE91" s="79">
        <v>0</v>
      </c>
      <c r="FF91" s="79">
        <v>166409</v>
      </c>
      <c r="FG91" s="79">
        <v>724813</v>
      </c>
      <c r="FH91" s="79">
        <v>892210</v>
      </c>
      <c r="FI91" s="79">
        <v>0</v>
      </c>
      <c r="FJ91" s="79">
        <v>0</v>
      </c>
      <c r="FK91" s="79">
        <v>0</v>
      </c>
      <c r="FL91" s="79">
        <v>0</v>
      </c>
      <c r="FM91" s="79">
        <v>95115</v>
      </c>
      <c r="FN91" s="79">
        <v>95115</v>
      </c>
      <c r="FO91" s="79">
        <v>0</v>
      </c>
      <c r="FP91" s="79">
        <v>0</v>
      </c>
      <c r="FQ91" s="79">
        <v>0</v>
      </c>
      <c r="FR91" s="79">
        <v>0</v>
      </c>
      <c r="FS91" s="79">
        <v>3171989</v>
      </c>
      <c r="FT91" s="79">
        <v>3171989</v>
      </c>
      <c r="FU91" s="79">
        <v>0</v>
      </c>
      <c r="FV91" s="79">
        <v>0</v>
      </c>
      <c r="FW91" s="79">
        <v>0</v>
      </c>
      <c r="FX91" s="79">
        <v>0</v>
      </c>
      <c r="FY91" s="79">
        <v>786468</v>
      </c>
      <c r="FZ91" s="79">
        <v>786468</v>
      </c>
      <c r="GA91" s="79">
        <v>9096</v>
      </c>
      <c r="GB91" s="79">
        <v>793</v>
      </c>
      <c r="GC91" s="79">
        <v>651</v>
      </c>
      <c r="GD91" s="79">
        <v>6956</v>
      </c>
      <c r="GE91" s="79">
        <v>433700</v>
      </c>
      <c r="GF91" s="79">
        <v>451196</v>
      </c>
      <c r="GG91" s="79">
        <v>309605</v>
      </c>
      <c r="GH91" s="79">
        <v>41529</v>
      </c>
      <c r="GI91" s="79">
        <v>67222</v>
      </c>
      <c r="GJ91" s="79">
        <v>118552</v>
      </c>
      <c r="GK91" s="79">
        <v>1080508</v>
      </c>
      <c r="GL91" s="79">
        <v>1617416</v>
      </c>
      <c r="GM91" s="79">
        <v>7112777</v>
      </c>
      <c r="GN91" s="79">
        <v>1867683</v>
      </c>
      <c r="GO91" s="79">
        <v>1390553</v>
      </c>
      <c r="GP91" s="79">
        <v>7796849</v>
      </c>
      <c r="GQ91" s="79">
        <v>10462423</v>
      </c>
      <c r="GR91" s="79">
        <v>28630285</v>
      </c>
      <c r="GS91" s="79">
        <v>0</v>
      </c>
      <c r="GT91" s="79">
        <v>0</v>
      </c>
      <c r="GU91" s="79">
        <v>0</v>
      </c>
      <c r="GV91" s="79">
        <v>0</v>
      </c>
      <c r="GW91" s="79">
        <v>0</v>
      </c>
      <c r="GX91" s="79">
        <v>0</v>
      </c>
      <c r="GY91" s="79">
        <v>7112777</v>
      </c>
      <c r="GZ91" s="79">
        <v>1867683</v>
      </c>
      <c r="HA91" s="79">
        <v>1390553</v>
      </c>
      <c r="HB91" s="79">
        <v>7796849</v>
      </c>
      <c r="HC91" s="79">
        <v>10462423</v>
      </c>
      <c r="HD91" s="79">
        <v>28630285</v>
      </c>
      <c r="HF91" s="7">
        <f>SUM(AZ91:AZ91)</f>
        <v>830036</v>
      </c>
      <c r="HG91" s="7" t="e">
        <f>#REF!-HF91</f>
        <v>#REF!</v>
      </c>
      <c r="HH91" s="7" t="e">
        <f>SUM(#REF!)</f>
        <v>#REF!</v>
      </c>
      <c r="HI91" s="7" t="e">
        <f>#REF!-HH91</f>
        <v>#REF!</v>
      </c>
      <c r="HJ91" s="7">
        <f>SUM(BA91:BA91)</f>
        <v>1150000</v>
      </c>
      <c r="HK91" s="7" t="e">
        <f>#REF!-HJ91</f>
        <v>#REF!</v>
      </c>
      <c r="HL91" s="7">
        <f>SUM(BB91:BB91)</f>
        <v>59282</v>
      </c>
      <c r="HM91" s="7" t="e">
        <f>#REF!-HL91</f>
        <v>#REF!</v>
      </c>
      <c r="HN91" s="7" t="e">
        <f>SUM(#REF!)</f>
        <v>#REF!</v>
      </c>
      <c r="HO91" s="7" t="e">
        <f>#REF!-HN91</f>
        <v>#REF!</v>
      </c>
      <c r="HP91" s="7" t="e">
        <f>SUM(#REF!)</f>
        <v>#REF!</v>
      </c>
      <c r="HQ91" s="7" t="e">
        <f>#REF!-HP91</f>
        <v>#REF!</v>
      </c>
      <c r="HR91" s="7" t="e">
        <f>SUM(#REF!)</f>
        <v>#REF!</v>
      </c>
      <c r="HS91" s="7" t="e">
        <f>#REF!-HR91</f>
        <v>#REF!</v>
      </c>
      <c r="HT91" s="7" t="e">
        <f>SUM(#REF!)</f>
        <v>#REF!</v>
      </c>
      <c r="HU91" s="7" t="e">
        <f>#REF!-HT91</f>
        <v>#REF!</v>
      </c>
      <c r="HV91" s="7" t="e">
        <f>SUM(#REF!)</f>
        <v>#REF!</v>
      </c>
      <c r="HW91" s="7" t="e">
        <f>#REF!-HV91</f>
        <v>#REF!</v>
      </c>
      <c r="HX91" s="7" t="e">
        <f>SUM(#REF!)</f>
        <v>#REF!</v>
      </c>
      <c r="HY91" s="7" t="e">
        <f>#REF!-HX91</f>
        <v>#REF!</v>
      </c>
      <c r="HZ91" s="7">
        <f>SUM(BC91:BC91)</f>
        <v>12680</v>
      </c>
      <c r="IA91" s="7" t="e">
        <f>#REF!-HZ91</f>
        <v>#REF!</v>
      </c>
      <c r="IB91" s="7">
        <f>SUM(BD91:BD91)</f>
        <v>508795</v>
      </c>
      <c r="IC91" s="7" t="e">
        <f>#REF!-IB91</f>
        <v>#REF!</v>
      </c>
      <c r="ID91" s="7">
        <f t="shared" si="109"/>
        <v>338542</v>
      </c>
      <c r="IE91" s="7">
        <f t="shared" si="110"/>
        <v>0</v>
      </c>
      <c r="IF91" s="7">
        <f t="shared" si="111"/>
        <v>229469</v>
      </c>
      <c r="IG91" s="7">
        <f t="shared" si="112"/>
        <v>0</v>
      </c>
      <c r="IH91" s="7">
        <f t="shared" si="113"/>
        <v>508499</v>
      </c>
      <c r="II91" s="7">
        <f t="shared" si="155"/>
        <v>0</v>
      </c>
      <c r="IJ91" s="7">
        <f t="shared" si="156"/>
        <v>28624348</v>
      </c>
      <c r="IK91" s="7">
        <f t="shared" si="114"/>
        <v>0</v>
      </c>
      <c r="IL91" s="7">
        <f t="shared" si="115"/>
        <v>7320233</v>
      </c>
      <c r="IM91" s="7">
        <f t="shared" si="116"/>
        <v>0</v>
      </c>
      <c r="IN91" s="7">
        <f t="shared" si="117"/>
        <v>663657</v>
      </c>
      <c r="IO91" s="7">
        <f t="shared" si="118"/>
        <v>0</v>
      </c>
      <c r="IP91" s="7">
        <f t="shared" si="119"/>
        <v>5556601</v>
      </c>
      <c r="IQ91" s="7">
        <f t="shared" si="120"/>
        <v>0</v>
      </c>
      <c r="IR91" s="7">
        <f t="shared" si="121"/>
        <v>0</v>
      </c>
      <c r="IS91" s="7">
        <f t="shared" si="122"/>
        <v>0</v>
      </c>
      <c r="IT91" s="7">
        <f t="shared" si="123"/>
        <v>3003139</v>
      </c>
      <c r="IU91" s="7">
        <f t="shared" si="124"/>
        <v>0</v>
      </c>
      <c r="IV91" s="7">
        <f t="shared" si="157"/>
        <v>0</v>
      </c>
      <c r="IW91" s="7">
        <f t="shared" si="158"/>
        <v>0</v>
      </c>
      <c r="IX91" s="7">
        <f t="shared" si="125"/>
        <v>137733</v>
      </c>
      <c r="IY91" s="7">
        <f t="shared" si="126"/>
        <v>0</v>
      </c>
      <c r="IZ91" s="7">
        <f t="shared" si="127"/>
        <v>363044</v>
      </c>
      <c r="JA91" s="7">
        <f t="shared" si="128"/>
        <v>0</v>
      </c>
      <c r="JB91" s="7">
        <f t="shared" si="159"/>
        <v>1819056</v>
      </c>
      <c r="JC91" s="7">
        <f t="shared" si="160"/>
        <v>0</v>
      </c>
      <c r="JD91" s="7">
        <f t="shared" si="129"/>
        <v>987344</v>
      </c>
      <c r="JE91" s="7">
        <f t="shared" si="130"/>
        <v>0</v>
      </c>
      <c r="JF91" s="7">
        <f t="shared" si="131"/>
        <v>804397</v>
      </c>
      <c r="JG91" s="7">
        <f t="shared" si="132"/>
        <v>0</v>
      </c>
      <c r="JH91" s="7">
        <f t="shared" si="133"/>
        <v>662842</v>
      </c>
      <c r="JI91" s="7">
        <f t="shared" si="134"/>
        <v>0</v>
      </c>
      <c r="JJ91" s="7">
        <f t="shared" si="135"/>
        <v>297845</v>
      </c>
      <c r="JK91" s="7">
        <f t="shared" si="136"/>
        <v>0</v>
      </c>
      <c r="JL91" s="7">
        <f t="shared" si="137"/>
        <v>892210</v>
      </c>
      <c r="JM91" s="7">
        <f t="shared" si="138"/>
        <v>0</v>
      </c>
      <c r="JN91" s="7">
        <f t="shared" si="139"/>
        <v>95115</v>
      </c>
      <c r="JO91" s="7">
        <f t="shared" si="140"/>
        <v>0</v>
      </c>
      <c r="JP91" s="7">
        <f t="shared" si="141"/>
        <v>3171989</v>
      </c>
      <c r="JQ91" s="7">
        <f t="shared" si="142"/>
        <v>0</v>
      </c>
      <c r="JR91" s="7">
        <f t="shared" si="143"/>
        <v>786468</v>
      </c>
      <c r="JS91" s="7">
        <f t="shared" si="144"/>
        <v>0</v>
      </c>
      <c r="JT91" s="7">
        <f t="shared" si="145"/>
        <v>451196</v>
      </c>
      <c r="JU91" s="7">
        <f t="shared" si="146"/>
        <v>0</v>
      </c>
      <c r="JV91" s="7">
        <f t="shared" si="147"/>
        <v>1617416</v>
      </c>
      <c r="JW91" s="7">
        <f t="shared" si="148"/>
        <v>0</v>
      </c>
      <c r="JX91" s="7">
        <f t="shared" si="149"/>
        <v>28630285</v>
      </c>
      <c r="JY91" s="7">
        <f t="shared" si="150"/>
        <v>0</v>
      </c>
      <c r="JZ91" s="7">
        <f t="shared" si="151"/>
        <v>0</v>
      </c>
      <c r="KA91" s="7">
        <f t="shared" si="152"/>
        <v>0</v>
      </c>
      <c r="KB91" s="7">
        <f t="shared" si="153"/>
        <v>28630285</v>
      </c>
      <c r="KC91" s="7">
        <f t="shared" si="154"/>
        <v>0</v>
      </c>
      <c r="KE91" s="7" t="e">
        <f t="shared" si="107"/>
        <v>#REF!</v>
      </c>
      <c r="KG91" s="5" t="e">
        <f t="shared" si="108"/>
        <v>#REF!</v>
      </c>
    </row>
    <row r="92" spans="1:293" x14ac:dyDescent="0.15">
      <c r="A92" s="13" t="s">
        <v>239</v>
      </c>
      <c r="B92" s="17" t="s">
        <v>340</v>
      </c>
      <c r="C92" s="41">
        <v>240444</v>
      </c>
      <c r="D92" s="38">
        <v>2013</v>
      </c>
      <c r="E92" s="38">
        <v>1</v>
      </c>
      <c r="F92" s="38">
        <v>3</v>
      </c>
      <c r="G92" s="39">
        <v>14082</v>
      </c>
      <c r="H92" s="39">
        <v>15036</v>
      </c>
      <c r="I92" s="40">
        <v>2326806278</v>
      </c>
      <c r="J92" s="40"/>
      <c r="K92" s="40">
        <v>11734276</v>
      </c>
      <c r="L92" s="40"/>
      <c r="M92" s="40">
        <v>57048968</v>
      </c>
      <c r="N92" s="40"/>
      <c r="O92" s="40">
        <v>124779662</v>
      </c>
      <c r="P92" s="40"/>
      <c r="Q92" s="40">
        <v>874918828</v>
      </c>
      <c r="R92" s="40"/>
      <c r="S92" s="40">
        <v>2000784266</v>
      </c>
      <c r="T92" s="40"/>
      <c r="U92" s="40">
        <v>21526</v>
      </c>
      <c r="V92" s="40"/>
      <c r="W92" s="40">
        <v>37776</v>
      </c>
      <c r="X92" s="40"/>
      <c r="Y92" s="40">
        <v>25966</v>
      </c>
      <c r="Z92" s="40"/>
      <c r="AA92" s="40">
        <v>43196</v>
      </c>
      <c r="AB92" s="40"/>
      <c r="AC92" s="56">
        <v>12</v>
      </c>
      <c r="AD92" s="56">
        <v>12</v>
      </c>
      <c r="AE92" s="56">
        <v>0</v>
      </c>
      <c r="AF92" s="57">
        <v>5797030</v>
      </c>
      <c r="AG92" s="57">
        <v>4909708</v>
      </c>
      <c r="AH92" s="57">
        <v>576920</v>
      </c>
      <c r="AI92" s="57">
        <v>357973</v>
      </c>
      <c r="AJ92" s="57">
        <v>612166.56999999995</v>
      </c>
      <c r="AK92" s="58">
        <v>10.5</v>
      </c>
      <c r="AL92" s="57">
        <v>584340.81999999995</v>
      </c>
      <c r="AM92" s="58">
        <v>11</v>
      </c>
      <c r="AN92" s="57">
        <v>223943.16</v>
      </c>
      <c r="AO92" s="58">
        <v>9.5</v>
      </c>
      <c r="AP92" s="57">
        <v>212746</v>
      </c>
      <c r="AQ92" s="58">
        <v>10</v>
      </c>
      <c r="AR92" s="57">
        <v>213775.76</v>
      </c>
      <c r="AS92" s="58">
        <v>25.5</v>
      </c>
      <c r="AT92" s="57">
        <v>194688.64000000001</v>
      </c>
      <c r="AU92" s="58">
        <v>28</v>
      </c>
      <c r="AV92" s="57">
        <v>87408.98</v>
      </c>
      <c r="AW92" s="58">
        <v>21.5</v>
      </c>
      <c r="AX92" s="57">
        <v>78303.88</v>
      </c>
      <c r="AY92" s="58">
        <v>24</v>
      </c>
      <c r="AZ92" s="79">
        <v>19080365</v>
      </c>
      <c r="BA92" s="79">
        <v>200000</v>
      </c>
      <c r="BB92" s="79">
        <v>10997567</v>
      </c>
      <c r="BC92" s="79">
        <v>1958297</v>
      </c>
      <c r="BD92" s="79">
        <v>229221</v>
      </c>
      <c r="BE92" s="79">
        <v>212296</v>
      </c>
      <c r="BF92" s="79">
        <v>231414</v>
      </c>
      <c r="BG92" s="79">
        <v>50239</v>
      </c>
      <c r="BH92" s="79">
        <v>1308696</v>
      </c>
      <c r="BI92" s="79">
        <v>0</v>
      </c>
      <c r="BJ92" s="79">
        <v>1802645</v>
      </c>
      <c r="BK92" s="79">
        <v>0</v>
      </c>
      <c r="BL92" s="79">
        <v>0</v>
      </c>
      <c r="BM92" s="79">
        <v>0</v>
      </c>
      <c r="BN92" s="79">
        <v>0</v>
      </c>
      <c r="BO92" s="79">
        <v>1481369</v>
      </c>
      <c r="BP92" s="79">
        <v>1481369</v>
      </c>
      <c r="BQ92" s="79">
        <v>16563</v>
      </c>
      <c r="BR92" s="79">
        <v>5936</v>
      </c>
      <c r="BS92" s="79">
        <v>3515</v>
      </c>
      <c r="BT92" s="79">
        <v>7843</v>
      </c>
      <c r="BU92" s="79">
        <v>2599795</v>
      </c>
      <c r="BV92" s="79">
        <v>2633652</v>
      </c>
      <c r="BW92" s="79">
        <v>50302447</v>
      </c>
      <c r="BX92" s="79">
        <v>18974107</v>
      </c>
      <c r="BY92" s="79">
        <v>1607505</v>
      </c>
      <c r="BZ92" s="79">
        <v>32580739</v>
      </c>
      <c r="CA92" s="79">
        <v>45676607</v>
      </c>
      <c r="CB92" s="79">
        <v>149141405</v>
      </c>
      <c r="CC92" s="79">
        <v>2992467</v>
      </c>
      <c r="CD92" s="79">
        <v>482701</v>
      </c>
      <c r="CE92" s="79">
        <v>492579</v>
      </c>
      <c r="CF92" s="79">
        <v>6738991</v>
      </c>
      <c r="CG92" s="79">
        <v>47970</v>
      </c>
      <c r="CH92" s="79">
        <v>10754708</v>
      </c>
      <c r="CI92" s="79">
        <v>3332854</v>
      </c>
      <c r="CJ92" s="79">
        <v>541310</v>
      </c>
      <c r="CK92" s="79">
        <v>55000</v>
      </c>
      <c r="CL92" s="79">
        <v>58700</v>
      </c>
      <c r="CM92" s="79">
        <v>0</v>
      </c>
      <c r="CN92" s="79">
        <v>3987864</v>
      </c>
      <c r="CO92" s="79">
        <v>6150040</v>
      </c>
      <c r="CP92" s="79">
        <v>2979478</v>
      </c>
      <c r="CQ92" s="79">
        <v>756891</v>
      </c>
      <c r="CR92" s="79">
        <v>5999375</v>
      </c>
      <c r="CS92" s="79">
        <v>0</v>
      </c>
      <c r="CT92" s="79">
        <v>15885784</v>
      </c>
      <c r="CU92" s="79">
        <v>0</v>
      </c>
      <c r="CV92" s="79">
        <v>0</v>
      </c>
      <c r="CW92" s="79">
        <v>0</v>
      </c>
      <c r="CX92" s="79">
        <v>0</v>
      </c>
      <c r="CY92" s="79">
        <v>0</v>
      </c>
      <c r="CZ92" s="79">
        <v>0</v>
      </c>
      <c r="DA92" s="79">
        <v>1022052</v>
      </c>
      <c r="DB92" s="79">
        <v>219780</v>
      </c>
      <c r="DC92" s="79">
        <v>141607</v>
      </c>
      <c r="DD92" s="79">
        <v>826319</v>
      </c>
      <c r="DE92" s="79">
        <v>19558429</v>
      </c>
      <c r="DF92" s="79">
        <v>21768187</v>
      </c>
      <c r="DG92" s="79">
        <v>0</v>
      </c>
      <c r="DH92" s="79">
        <v>0</v>
      </c>
      <c r="DI92" s="79">
        <v>0</v>
      </c>
      <c r="DJ92" s="79">
        <v>0</v>
      </c>
      <c r="DK92" s="79">
        <v>0</v>
      </c>
      <c r="DL92" s="79">
        <v>0</v>
      </c>
      <c r="DM92" s="79">
        <v>0</v>
      </c>
      <c r="DN92" s="79">
        <v>0</v>
      </c>
      <c r="DO92" s="79">
        <v>0</v>
      </c>
      <c r="DP92" s="79">
        <v>0</v>
      </c>
      <c r="DQ92" s="79">
        <v>0</v>
      </c>
      <c r="DR92" s="79">
        <v>0</v>
      </c>
      <c r="DS92" s="79">
        <v>256967</v>
      </c>
      <c r="DT92" s="79">
        <v>73193</v>
      </c>
      <c r="DU92" s="79">
        <v>90966</v>
      </c>
      <c r="DV92" s="79">
        <v>513767</v>
      </c>
      <c r="DW92" s="79">
        <v>0</v>
      </c>
      <c r="DX92" s="79">
        <v>934893</v>
      </c>
      <c r="DY92" s="79">
        <v>3710910</v>
      </c>
      <c r="DZ92" s="79">
        <v>997302</v>
      </c>
      <c r="EA92" s="79">
        <v>438167</v>
      </c>
      <c r="EB92" s="79">
        <v>4082540</v>
      </c>
      <c r="EC92" s="79">
        <v>333249</v>
      </c>
      <c r="ED92" s="79">
        <v>9562168</v>
      </c>
      <c r="EE92" s="79">
        <v>402514</v>
      </c>
      <c r="EF92" s="79">
        <v>57219</v>
      </c>
      <c r="EG92" s="79">
        <v>40201</v>
      </c>
      <c r="EH92" s="79">
        <v>1110358</v>
      </c>
      <c r="EI92" s="79">
        <v>383532</v>
      </c>
      <c r="EJ92" s="79">
        <v>1993824</v>
      </c>
      <c r="EK92" s="79">
        <v>979110</v>
      </c>
      <c r="EL92" s="79">
        <v>279209</v>
      </c>
      <c r="EM92" s="79">
        <v>173610</v>
      </c>
      <c r="EN92" s="79">
        <v>342404</v>
      </c>
      <c r="EO92" s="79">
        <v>3762481</v>
      </c>
      <c r="EP92" s="79">
        <v>5536814</v>
      </c>
      <c r="EQ92" s="79">
        <v>0</v>
      </c>
      <c r="ER92" s="79">
        <v>0</v>
      </c>
      <c r="ES92" s="79">
        <v>0</v>
      </c>
      <c r="ET92" s="79">
        <v>0</v>
      </c>
      <c r="EU92" s="79">
        <v>2659377</v>
      </c>
      <c r="EV92" s="79">
        <v>2659377</v>
      </c>
      <c r="EW92" s="79">
        <v>76753</v>
      </c>
      <c r="EX92" s="79">
        <v>125273</v>
      </c>
      <c r="EY92" s="79">
        <v>14996</v>
      </c>
      <c r="EZ92" s="79">
        <v>459770</v>
      </c>
      <c r="FA92" s="79">
        <v>0</v>
      </c>
      <c r="FB92" s="79">
        <v>676792</v>
      </c>
      <c r="FC92" s="79">
        <v>11972110</v>
      </c>
      <c r="FD92" s="79">
        <v>689237</v>
      </c>
      <c r="FE92" s="79">
        <v>689297</v>
      </c>
      <c r="FF92" s="79">
        <v>33601710</v>
      </c>
      <c r="FG92" s="79">
        <v>14213167</v>
      </c>
      <c r="FH92" s="79">
        <v>61165521</v>
      </c>
      <c r="FI92" s="79">
        <v>0</v>
      </c>
      <c r="FJ92" s="79">
        <v>0</v>
      </c>
      <c r="FK92" s="79">
        <v>0</v>
      </c>
      <c r="FL92" s="79">
        <v>0</v>
      </c>
      <c r="FM92" s="79">
        <v>790482</v>
      </c>
      <c r="FN92" s="79">
        <v>790482</v>
      </c>
      <c r="FO92" s="79">
        <v>0</v>
      </c>
      <c r="FP92" s="79">
        <v>0</v>
      </c>
      <c r="FQ92" s="79">
        <v>0</v>
      </c>
      <c r="FR92" s="79">
        <v>0</v>
      </c>
      <c r="FS92" s="79">
        <v>2775000</v>
      </c>
      <c r="FT92" s="79">
        <v>2775000</v>
      </c>
      <c r="FU92" s="79">
        <v>312503</v>
      </c>
      <c r="FV92" s="79">
        <v>47014</v>
      </c>
      <c r="FW92" s="79">
        <v>38717</v>
      </c>
      <c r="FX92" s="79">
        <v>2394933</v>
      </c>
      <c r="FY92" s="79">
        <v>0</v>
      </c>
      <c r="FZ92" s="79">
        <v>2793167</v>
      </c>
      <c r="GA92" s="79">
        <v>1800</v>
      </c>
      <c r="GB92" s="79">
        <v>1035</v>
      </c>
      <c r="GC92" s="79">
        <v>871</v>
      </c>
      <c r="GD92" s="79">
        <v>15973</v>
      </c>
      <c r="GE92" s="79">
        <v>0</v>
      </c>
      <c r="GF92" s="79">
        <v>19679</v>
      </c>
      <c r="GG92" s="79">
        <v>601199</v>
      </c>
      <c r="GH92" s="79">
        <v>28027</v>
      </c>
      <c r="GI92" s="79">
        <v>72086</v>
      </c>
      <c r="GJ92" s="79">
        <v>761738</v>
      </c>
      <c r="GK92" s="79">
        <v>3891877</v>
      </c>
      <c r="GL92" s="79">
        <v>5354927</v>
      </c>
      <c r="GM92" s="79">
        <v>31811279</v>
      </c>
      <c r="GN92" s="79">
        <v>6520778</v>
      </c>
      <c r="GO92" s="79">
        <v>3004988</v>
      </c>
      <c r="GP92" s="79">
        <v>56906578</v>
      </c>
      <c r="GQ92" s="79">
        <v>48415564</v>
      </c>
      <c r="GR92" s="79">
        <v>146659187</v>
      </c>
      <c r="GS92" s="79">
        <v>0</v>
      </c>
      <c r="GT92" s="79">
        <v>0</v>
      </c>
      <c r="GU92" s="79">
        <v>0</v>
      </c>
      <c r="GV92" s="79">
        <v>0</v>
      </c>
      <c r="GW92" s="79">
        <v>0</v>
      </c>
      <c r="GX92" s="79">
        <v>0</v>
      </c>
      <c r="GY92" s="79">
        <v>31811279</v>
      </c>
      <c r="GZ92" s="79">
        <v>6520778</v>
      </c>
      <c r="HA92" s="79">
        <v>3004988</v>
      </c>
      <c r="HB92" s="79">
        <v>56906578</v>
      </c>
      <c r="HC92" s="79">
        <v>48415564</v>
      </c>
      <c r="HD92" s="79">
        <v>146659187</v>
      </c>
      <c r="HF92" s="7">
        <f>SUM(AZ92:AZ92)</f>
        <v>19080365</v>
      </c>
      <c r="HG92" s="7" t="e">
        <f>#REF!-HF92</f>
        <v>#REF!</v>
      </c>
      <c r="HH92" s="7" t="e">
        <f>SUM(#REF!)</f>
        <v>#REF!</v>
      </c>
      <c r="HI92" s="7" t="e">
        <f>#REF!-HH92</f>
        <v>#REF!</v>
      </c>
      <c r="HJ92" s="7">
        <f>SUM(BA92:BA92)</f>
        <v>200000</v>
      </c>
      <c r="HK92" s="7" t="e">
        <f>#REF!-HJ92</f>
        <v>#REF!</v>
      </c>
      <c r="HL92" s="7">
        <f>SUM(BB92:BB92)</f>
        <v>10997567</v>
      </c>
      <c r="HM92" s="7" t="e">
        <f>#REF!-HL92</f>
        <v>#REF!</v>
      </c>
      <c r="HN92" s="7" t="e">
        <f>SUM(#REF!)</f>
        <v>#REF!</v>
      </c>
      <c r="HO92" s="7" t="e">
        <f>#REF!-HN92</f>
        <v>#REF!</v>
      </c>
      <c r="HP92" s="7" t="e">
        <f>SUM(#REF!)</f>
        <v>#REF!</v>
      </c>
      <c r="HQ92" s="7" t="e">
        <f>#REF!-HP92</f>
        <v>#REF!</v>
      </c>
      <c r="HR92" s="7" t="e">
        <f>SUM(#REF!)</f>
        <v>#REF!</v>
      </c>
      <c r="HS92" s="7" t="e">
        <f>#REF!-HR92</f>
        <v>#REF!</v>
      </c>
      <c r="HT92" s="7" t="e">
        <f>SUM(#REF!)</f>
        <v>#REF!</v>
      </c>
      <c r="HU92" s="7" t="e">
        <f>#REF!-HT92</f>
        <v>#REF!</v>
      </c>
      <c r="HV92" s="7" t="e">
        <f>SUM(#REF!)</f>
        <v>#REF!</v>
      </c>
      <c r="HW92" s="7" t="e">
        <f>#REF!-HV92</f>
        <v>#REF!</v>
      </c>
      <c r="HX92" s="7" t="e">
        <f>SUM(#REF!)</f>
        <v>#REF!</v>
      </c>
      <c r="HY92" s="7" t="e">
        <f>#REF!-HX92</f>
        <v>#REF!</v>
      </c>
      <c r="HZ92" s="7">
        <f>SUM(BC92:BC92)</f>
        <v>1958297</v>
      </c>
      <c r="IA92" s="7" t="e">
        <f>#REF!-HZ92</f>
        <v>#REF!</v>
      </c>
      <c r="IB92" s="7">
        <f>SUM(BD92:BD92)</f>
        <v>229221</v>
      </c>
      <c r="IC92" s="7" t="e">
        <f>#REF!-IB92</f>
        <v>#REF!</v>
      </c>
      <c r="ID92" s="7">
        <f t="shared" si="109"/>
        <v>1802645</v>
      </c>
      <c r="IE92" s="7">
        <f t="shared" si="110"/>
        <v>0</v>
      </c>
      <c r="IF92" s="7">
        <f t="shared" si="111"/>
        <v>1481369</v>
      </c>
      <c r="IG92" s="7">
        <f t="shared" si="112"/>
        <v>0</v>
      </c>
      <c r="IH92" s="7">
        <f t="shared" si="113"/>
        <v>2633652</v>
      </c>
      <c r="II92" s="7">
        <f t="shared" si="155"/>
        <v>0</v>
      </c>
      <c r="IJ92" s="7">
        <f t="shared" si="156"/>
        <v>149141405</v>
      </c>
      <c r="IK92" s="7">
        <f t="shared" si="114"/>
        <v>0</v>
      </c>
      <c r="IL92" s="7">
        <f t="shared" si="115"/>
        <v>10754708</v>
      </c>
      <c r="IM92" s="7">
        <f t="shared" si="116"/>
        <v>0</v>
      </c>
      <c r="IN92" s="7">
        <f t="shared" si="117"/>
        <v>3987864</v>
      </c>
      <c r="IO92" s="7">
        <f t="shared" si="118"/>
        <v>0</v>
      </c>
      <c r="IP92" s="7">
        <f t="shared" si="119"/>
        <v>15885784</v>
      </c>
      <c r="IQ92" s="7">
        <f t="shared" si="120"/>
        <v>0</v>
      </c>
      <c r="IR92" s="7">
        <f t="shared" si="121"/>
        <v>0</v>
      </c>
      <c r="IS92" s="7">
        <f t="shared" si="122"/>
        <v>0</v>
      </c>
      <c r="IT92" s="7">
        <f t="shared" si="123"/>
        <v>21768187</v>
      </c>
      <c r="IU92" s="7">
        <f t="shared" si="124"/>
        <v>0</v>
      </c>
      <c r="IV92" s="7">
        <f t="shared" si="157"/>
        <v>0</v>
      </c>
      <c r="IW92" s="7">
        <f t="shared" si="158"/>
        <v>0</v>
      </c>
      <c r="IX92" s="7">
        <f t="shared" si="125"/>
        <v>0</v>
      </c>
      <c r="IY92" s="7">
        <f t="shared" si="126"/>
        <v>0</v>
      </c>
      <c r="IZ92" s="7">
        <f t="shared" si="127"/>
        <v>934893</v>
      </c>
      <c r="JA92" s="7">
        <f t="shared" si="128"/>
        <v>0</v>
      </c>
      <c r="JB92" s="7">
        <f t="shared" si="159"/>
        <v>9562168</v>
      </c>
      <c r="JC92" s="7">
        <f t="shared" si="160"/>
        <v>0</v>
      </c>
      <c r="JD92" s="7">
        <f t="shared" si="129"/>
        <v>1993824</v>
      </c>
      <c r="JE92" s="7">
        <f t="shared" si="130"/>
        <v>0</v>
      </c>
      <c r="JF92" s="7">
        <f t="shared" si="131"/>
        <v>5536814</v>
      </c>
      <c r="JG92" s="7">
        <f t="shared" si="132"/>
        <v>0</v>
      </c>
      <c r="JH92" s="7">
        <f t="shared" si="133"/>
        <v>2659377</v>
      </c>
      <c r="JI92" s="7">
        <f t="shared" si="134"/>
        <v>0</v>
      </c>
      <c r="JJ92" s="7">
        <f t="shared" si="135"/>
        <v>676792</v>
      </c>
      <c r="JK92" s="7">
        <f t="shared" si="136"/>
        <v>0</v>
      </c>
      <c r="JL92" s="7">
        <f t="shared" si="137"/>
        <v>61165521</v>
      </c>
      <c r="JM92" s="7">
        <f t="shared" si="138"/>
        <v>0</v>
      </c>
      <c r="JN92" s="7">
        <f t="shared" si="139"/>
        <v>790482</v>
      </c>
      <c r="JO92" s="7">
        <f t="shared" si="140"/>
        <v>0</v>
      </c>
      <c r="JP92" s="7">
        <f t="shared" si="141"/>
        <v>2775000</v>
      </c>
      <c r="JQ92" s="7">
        <f t="shared" si="142"/>
        <v>0</v>
      </c>
      <c r="JR92" s="7">
        <f t="shared" si="143"/>
        <v>2793167</v>
      </c>
      <c r="JS92" s="7">
        <f t="shared" si="144"/>
        <v>0</v>
      </c>
      <c r="JT92" s="7">
        <f t="shared" si="145"/>
        <v>19679</v>
      </c>
      <c r="JU92" s="7">
        <f t="shared" si="146"/>
        <v>0</v>
      </c>
      <c r="JV92" s="7">
        <f t="shared" si="147"/>
        <v>5354927</v>
      </c>
      <c r="JW92" s="7">
        <f t="shared" si="148"/>
        <v>0</v>
      </c>
      <c r="JX92" s="7">
        <f t="shared" si="149"/>
        <v>146659187</v>
      </c>
      <c r="JY92" s="7">
        <f t="shared" si="150"/>
        <v>0</v>
      </c>
      <c r="JZ92" s="7">
        <f t="shared" si="151"/>
        <v>0</v>
      </c>
      <c r="KA92" s="7">
        <f t="shared" si="152"/>
        <v>0</v>
      </c>
      <c r="KB92" s="7">
        <f t="shared" si="153"/>
        <v>146659187</v>
      </c>
      <c r="KC92" s="7">
        <f t="shared" si="154"/>
        <v>0</v>
      </c>
      <c r="KE92" s="7" t="e">
        <f t="shared" si="107"/>
        <v>#REF!</v>
      </c>
      <c r="KG92" s="5" t="e">
        <f t="shared" ref="KG92" si="161">IF(KE92=0,0,1)</f>
        <v>#REF!</v>
      </c>
    </row>
    <row r="93" spans="1:293" x14ac:dyDescent="0.15">
      <c r="A93" s="119" t="s">
        <v>241</v>
      </c>
      <c r="B93" s="17" t="s">
        <v>340</v>
      </c>
      <c r="C93" s="41">
        <v>240727</v>
      </c>
      <c r="D93" s="38">
        <v>2013</v>
      </c>
      <c r="E93" s="38">
        <v>1</v>
      </c>
      <c r="F93" s="38">
        <v>10</v>
      </c>
      <c r="G93" s="39">
        <v>4158</v>
      </c>
      <c r="H93" s="39">
        <v>3795</v>
      </c>
      <c r="I93" s="40">
        <v>506360087</v>
      </c>
      <c r="J93" s="40"/>
      <c r="K93" s="40">
        <v>11066</v>
      </c>
      <c r="L93" s="40"/>
      <c r="M93" s="40">
        <v>14899589</v>
      </c>
      <c r="N93" s="40"/>
      <c r="O93" s="40">
        <v>11715</v>
      </c>
      <c r="P93" s="40"/>
      <c r="Q93" s="40">
        <v>1173055430</v>
      </c>
      <c r="R93" s="40"/>
      <c r="S93" s="40">
        <v>451176874</v>
      </c>
      <c r="T93" s="40"/>
      <c r="U93" s="40">
        <v>14562</v>
      </c>
      <c r="V93" s="40"/>
      <c r="W93" s="52">
        <v>23772</v>
      </c>
      <c r="X93" s="40"/>
      <c r="Y93" s="52">
        <v>17652</v>
      </c>
      <c r="Z93" s="40"/>
      <c r="AA93" s="52">
        <v>26862</v>
      </c>
      <c r="AB93" s="40"/>
      <c r="AC93" s="56">
        <v>8</v>
      </c>
      <c r="AD93" s="56">
        <v>9</v>
      </c>
      <c r="AE93" s="56">
        <v>0</v>
      </c>
      <c r="AF93" s="57">
        <v>2694648</v>
      </c>
      <c r="AG93" s="57">
        <v>1330006</v>
      </c>
      <c r="AH93" s="57">
        <v>305919</v>
      </c>
      <c r="AI93" s="57">
        <v>141085</v>
      </c>
      <c r="AJ93" s="57">
        <v>455364.2</v>
      </c>
      <c r="AK93" s="58">
        <v>5</v>
      </c>
      <c r="AL93" s="57">
        <v>379470.17</v>
      </c>
      <c r="AM93" s="58">
        <v>6</v>
      </c>
      <c r="AN93" s="57">
        <v>148871.5</v>
      </c>
      <c r="AO93" s="58">
        <v>6</v>
      </c>
      <c r="AP93" s="57">
        <v>127604.14</v>
      </c>
      <c r="AQ93" s="58">
        <v>7</v>
      </c>
      <c r="AR93" s="57">
        <v>117041.2</v>
      </c>
      <c r="AS93" s="58">
        <v>17.5</v>
      </c>
      <c r="AT93" s="57">
        <v>97534.33</v>
      </c>
      <c r="AU93" s="58">
        <v>21</v>
      </c>
      <c r="AV93" s="57">
        <v>74183.22</v>
      </c>
      <c r="AW93" s="58">
        <v>11.5</v>
      </c>
      <c r="AX93" s="57">
        <v>56873.8</v>
      </c>
      <c r="AY93" s="58">
        <v>15</v>
      </c>
      <c r="AZ93" s="79">
        <v>2242308</v>
      </c>
      <c r="BA93" s="79">
        <v>1050000</v>
      </c>
      <c r="BB93" s="79">
        <v>25255</v>
      </c>
      <c r="BC93" s="79">
        <v>193038</v>
      </c>
      <c r="BD93" s="79">
        <v>0</v>
      </c>
      <c r="BE93" s="79">
        <v>0</v>
      </c>
      <c r="BF93" s="79">
        <v>0</v>
      </c>
      <c r="BG93" s="79">
        <v>0</v>
      </c>
      <c r="BH93" s="79">
        <v>0</v>
      </c>
      <c r="BI93" s="79">
        <v>0</v>
      </c>
      <c r="BJ93" s="79">
        <v>0</v>
      </c>
      <c r="BK93" s="79">
        <v>22208</v>
      </c>
      <c r="BL93" s="79">
        <v>10500</v>
      </c>
      <c r="BM93" s="79">
        <v>15330</v>
      </c>
      <c r="BN93" s="79">
        <v>114854</v>
      </c>
      <c r="BO93" s="79">
        <v>0</v>
      </c>
      <c r="BP93" s="79">
        <v>162892</v>
      </c>
      <c r="BQ93" s="79">
        <v>30444</v>
      </c>
      <c r="BR93" s="79">
        <v>6988</v>
      </c>
      <c r="BS93" s="79">
        <v>0</v>
      </c>
      <c r="BT93" s="79">
        <v>238131</v>
      </c>
      <c r="BU93" s="79">
        <v>626507</v>
      </c>
      <c r="BV93" s="79">
        <v>902070</v>
      </c>
      <c r="BW93" s="79">
        <v>7802981</v>
      </c>
      <c r="BX93" s="79">
        <v>3090977</v>
      </c>
      <c r="BY93" s="79">
        <v>1305107</v>
      </c>
      <c r="BZ93" s="79">
        <v>3965799</v>
      </c>
      <c r="CA93" s="79">
        <v>13482239</v>
      </c>
      <c r="CB93" s="79">
        <v>29647103</v>
      </c>
      <c r="CC93" s="79">
        <v>1757672</v>
      </c>
      <c r="CD93" s="79">
        <v>307742</v>
      </c>
      <c r="CE93" s="79">
        <v>271629</v>
      </c>
      <c r="CF93" s="79">
        <v>1687611</v>
      </c>
      <c r="CG93" s="79">
        <v>1283112</v>
      </c>
      <c r="CH93" s="79">
        <v>5307766</v>
      </c>
      <c r="CI93" s="79">
        <v>675000</v>
      </c>
      <c r="CJ93" s="79">
        <v>332204</v>
      </c>
      <c r="CK93" s="79">
        <v>13000</v>
      </c>
      <c r="CL93" s="79">
        <v>46851</v>
      </c>
      <c r="CM93" s="79">
        <v>0</v>
      </c>
      <c r="CN93" s="79">
        <v>1067055</v>
      </c>
      <c r="CO93" s="79">
        <v>2515926</v>
      </c>
      <c r="CP93" s="79">
        <v>1159091</v>
      </c>
      <c r="CQ93" s="79">
        <v>672242</v>
      </c>
      <c r="CR93" s="79">
        <v>1724119</v>
      </c>
      <c r="CS93" s="79">
        <v>0</v>
      </c>
      <c r="CT93" s="79">
        <v>6071378</v>
      </c>
      <c r="CU93" s="79">
        <v>40497</v>
      </c>
      <c r="CV93" s="79">
        <v>26200</v>
      </c>
      <c r="CW93" s="79">
        <v>53000</v>
      </c>
      <c r="CX93" s="79">
        <v>110866</v>
      </c>
      <c r="CY93" s="79">
        <v>0</v>
      </c>
      <c r="CZ93" s="79">
        <v>230563</v>
      </c>
      <c r="DA93" s="79">
        <v>647880</v>
      </c>
      <c r="DB93" s="79">
        <v>190472</v>
      </c>
      <c r="DC93" s="79">
        <v>200163</v>
      </c>
      <c r="DD93" s="79">
        <v>373015</v>
      </c>
      <c r="DE93" s="79">
        <v>4861822</v>
      </c>
      <c r="DF93" s="79">
        <v>6273352</v>
      </c>
      <c r="DG93" s="79">
        <v>3250</v>
      </c>
      <c r="DH93" s="79">
        <v>7800</v>
      </c>
      <c r="DI93" s="79">
        <v>200</v>
      </c>
      <c r="DJ93" s="79">
        <v>0</v>
      </c>
      <c r="DK93" s="79">
        <v>19061</v>
      </c>
      <c r="DL93" s="79">
        <v>30311</v>
      </c>
      <c r="DM93" s="79">
        <v>0</v>
      </c>
      <c r="DN93" s="79">
        <v>169602</v>
      </c>
      <c r="DO93" s="79">
        <v>0</v>
      </c>
      <c r="DP93" s="79">
        <v>0</v>
      </c>
      <c r="DQ93" s="79">
        <v>0</v>
      </c>
      <c r="DR93" s="79">
        <v>169602</v>
      </c>
      <c r="DS93" s="79">
        <v>169623</v>
      </c>
      <c r="DT93" s="79">
        <v>105108</v>
      </c>
      <c r="DU93" s="79">
        <v>39083</v>
      </c>
      <c r="DV93" s="79">
        <v>133190</v>
      </c>
      <c r="DW93" s="79">
        <v>21351</v>
      </c>
      <c r="DX93" s="79">
        <v>468355</v>
      </c>
      <c r="DY93" s="79">
        <v>747576</v>
      </c>
      <c r="DZ93" s="79">
        <v>373584</v>
      </c>
      <c r="EA93" s="79">
        <v>270064</v>
      </c>
      <c r="EB93" s="79">
        <v>962168</v>
      </c>
      <c r="EC93" s="79">
        <v>12043</v>
      </c>
      <c r="ED93" s="79">
        <v>2365435</v>
      </c>
      <c r="EE93" s="79">
        <v>244542</v>
      </c>
      <c r="EF93" s="79">
        <v>35653</v>
      </c>
      <c r="EG93" s="79">
        <v>14222</v>
      </c>
      <c r="EH93" s="79">
        <v>196209</v>
      </c>
      <c r="EI93" s="79">
        <v>160496</v>
      </c>
      <c r="EJ93" s="79">
        <v>651122</v>
      </c>
      <c r="EK93" s="79">
        <v>89349</v>
      </c>
      <c r="EL93" s="79">
        <v>153000</v>
      </c>
      <c r="EM93" s="79">
        <v>84753</v>
      </c>
      <c r="EN93" s="79">
        <v>62716</v>
      </c>
      <c r="EO93" s="79">
        <v>461231</v>
      </c>
      <c r="EP93" s="79">
        <v>851049</v>
      </c>
      <c r="EQ93" s="79">
        <v>0</v>
      </c>
      <c r="ER93" s="79">
        <v>0</v>
      </c>
      <c r="ES93" s="79">
        <v>0</v>
      </c>
      <c r="ET93" s="79">
        <v>0</v>
      </c>
      <c r="EU93" s="79">
        <v>233261</v>
      </c>
      <c r="EV93" s="79">
        <v>233261</v>
      </c>
      <c r="EW93" s="79">
        <v>0</v>
      </c>
      <c r="EX93" s="79">
        <v>0</v>
      </c>
      <c r="EY93" s="79">
        <v>0</v>
      </c>
      <c r="EZ93" s="79">
        <v>0</v>
      </c>
      <c r="FA93" s="79">
        <v>0</v>
      </c>
      <c r="FB93" s="79">
        <v>0</v>
      </c>
      <c r="FC93" s="79">
        <v>0</v>
      </c>
      <c r="FD93" s="79">
        <v>0</v>
      </c>
      <c r="FE93" s="79">
        <v>0</v>
      </c>
      <c r="FF93" s="79">
        <v>0</v>
      </c>
      <c r="FG93" s="79">
        <v>2668075</v>
      </c>
      <c r="FH93" s="79">
        <v>2668075</v>
      </c>
      <c r="FI93" s="79">
        <v>0</v>
      </c>
      <c r="FJ93" s="79">
        <v>0</v>
      </c>
      <c r="FK93" s="79">
        <v>0</v>
      </c>
      <c r="FL93" s="79">
        <v>0</v>
      </c>
      <c r="FM93" s="79">
        <v>1022</v>
      </c>
      <c r="FN93" s="79">
        <v>1022</v>
      </c>
      <c r="FO93" s="79">
        <v>0</v>
      </c>
      <c r="FP93" s="79">
        <v>0</v>
      </c>
      <c r="FQ93" s="79">
        <v>0</v>
      </c>
      <c r="FR93" s="79">
        <v>0</v>
      </c>
      <c r="FS93" s="79">
        <v>810480</v>
      </c>
      <c r="FT93" s="79">
        <v>810480</v>
      </c>
      <c r="FU93" s="79">
        <v>0</v>
      </c>
      <c r="FV93" s="79">
        <v>0</v>
      </c>
      <c r="FW93" s="79">
        <v>0</v>
      </c>
      <c r="FX93" s="79">
        <v>0</v>
      </c>
      <c r="FY93" s="79">
        <v>551469</v>
      </c>
      <c r="FZ93" s="79">
        <v>551469</v>
      </c>
      <c r="GA93" s="79">
        <v>0</v>
      </c>
      <c r="GB93" s="79">
        <v>0</v>
      </c>
      <c r="GC93" s="79">
        <v>1870</v>
      </c>
      <c r="GD93" s="79">
        <v>9925</v>
      </c>
      <c r="GE93" s="79">
        <v>400566</v>
      </c>
      <c r="GF93" s="79">
        <v>412361</v>
      </c>
      <c r="GG93" s="79">
        <v>90115</v>
      </c>
      <c r="GH93" s="79">
        <v>90841</v>
      </c>
      <c r="GI93" s="79">
        <v>84736</v>
      </c>
      <c r="GJ93" s="79">
        <v>158514</v>
      </c>
      <c r="GK93" s="79">
        <v>1145079</v>
      </c>
      <c r="GL93" s="79">
        <v>1569285</v>
      </c>
      <c r="GM93" s="79">
        <v>6981430</v>
      </c>
      <c r="GN93" s="79">
        <v>2951297</v>
      </c>
      <c r="GO93" s="79">
        <v>1704962</v>
      </c>
      <c r="GP93" s="79">
        <v>5465184</v>
      </c>
      <c r="GQ93" s="79">
        <v>12629068</v>
      </c>
      <c r="GR93" s="79">
        <v>29731941</v>
      </c>
      <c r="GS93" s="79">
        <v>0</v>
      </c>
      <c r="GT93" s="79">
        <v>0</v>
      </c>
      <c r="GU93" s="79">
        <v>0</v>
      </c>
      <c r="GV93" s="79">
        <v>0</v>
      </c>
      <c r="GW93" s="79">
        <v>0</v>
      </c>
      <c r="GX93" s="79">
        <v>0</v>
      </c>
      <c r="GY93" s="79">
        <v>6981430</v>
      </c>
      <c r="GZ93" s="79">
        <v>2951297</v>
      </c>
      <c r="HA93" s="79">
        <v>1704962</v>
      </c>
      <c r="HB93" s="79">
        <v>5465184</v>
      </c>
      <c r="HC93" s="79">
        <v>12629068</v>
      </c>
      <c r="HD93" s="79">
        <v>29731941</v>
      </c>
      <c r="HF93" s="7">
        <f>SUM(AZ93:AZ93)</f>
        <v>2242308</v>
      </c>
      <c r="HG93" s="7" t="e">
        <f>#REF!-HF93</f>
        <v>#REF!</v>
      </c>
      <c r="HH93" s="7" t="e">
        <f>SUM(#REF!)</f>
        <v>#REF!</v>
      </c>
      <c r="HI93" s="7" t="e">
        <f>#REF!-HH93</f>
        <v>#REF!</v>
      </c>
      <c r="HJ93" s="7">
        <f>SUM(BA93:BA93)</f>
        <v>1050000</v>
      </c>
      <c r="HK93" s="7" t="e">
        <f>#REF!-HJ93</f>
        <v>#REF!</v>
      </c>
      <c r="HL93" s="7">
        <f>SUM(BB93:BB93)</f>
        <v>25255</v>
      </c>
      <c r="HM93" s="7" t="e">
        <f>#REF!-HL93</f>
        <v>#REF!</v>
      </c>
      <c r="HN93" s="7" t="e">
        <f>SUM(#REF!)</f>
        <v>#REF!</v>
      </c>
      <c r="HO93" s="7" t="e">
        <f>#REF!-HN93</f>
        <v>#REF!</v>
      </c>
      <c r="HP93" s="7" t="e">
        <f>SUM(#REF!)</f>
        <v>#REF!</v>
      </c>
      <c r="HQ93" s="7" t="e">
        <f>#REF!-HP93</f>
        <v>#REF!</v>
      </c>
      <c r="HR93" s="7" t="e">
        <f>SUM(#REF!)</f>
        <v>#REF!</v>
      </c>
      <c r="HS93" s="7" t="e">
        <f>#REF!-HR93</f>
        <v>#REF!</v>
      </c>
      <c r="HT93" s="7" t="e">
        <f>SUM(#REF!)</f>
        <v>#REF!</v>
      </c>
      <c r="HU93" s="7" t="e">
        <f>#REF!-HT93</f>
        <v>#REF!</v>
      </c>
      <c r="HV93" s="7" t="e">
        <f>SUM(#REF!)</f>
        <v>#REF!</v>
      </c>
      <c r="HW93" s="7" t="e">
        <f>#REF!-HV93</f>
        <v>#REF!</v>
      </c>
      <c r="HX93" s="7" t="e">
        <f>SUM(#REF!)</f>
        <v>#REF!</v>
      </c>
      <c r="HY93" s="7" t="e">
        <f>#REF!-HX93</f>
        <v>#REF!</v>
      </c>
      <c r="HZ93" s="7">
        <f>SUM(BC93:BC93)</f>
        <v>193038</v>
      </c>
      <c r="IA93" s="7" t="e">
        <f>#REF!-HZ93</f>
        <v>#REF!</v>
      </c>
      <c r="IB93" s="7">
        <f>SUM(BD93:BD93)</f>
        <v>0</v>
      </c>
      <c r="IC93" s="7" t="e">
        <f>#REF!-IB93</f>
        <v>#REF!</v>
      </c>
      <c r="ID93" s="7">
        <f t="shared" si="109"/>
        <v>0</v>
      </c>
      <c r="IE93" s="7">
        <f t="shared" si="110"/>
        <v>0</v>
      </c>
      <c r="IF93" s="7">
        <f t="shared" si="111"/>
        <v>162892</v>
      </c>
      <c r="IG93" s="7">
        <f t="shared" si="112"/>
        <v>0</v>
      </c>
      <c r="IH93" s="7">
        <f t="shared" si="113"/>
        <v>902070</v>
      </c>
      <c r="II93" s="7">
        <f t="shared" si="155"/>
        <v>0</v>
      </c>
      <c r="IJ93" s="7">
        <f t="shared" si="156"/>
        <v>29647103</v>
      </c>
      <c r="IK93" s="7">
        <f t="shared" si="114"/>
        <v>0</v>
      </c>
      <c r="IL93" s="7">
        <f t="shared" si="115"/>
        <v>5307766</v>
      </c>
      <c r="IM93" s="7">
        <f t="shared" si="116"/>
        <v>0</v>
      </c>
      <c r="IN93" s="7">
        <f t="shared" si="117"/>
        <v>1067055</v>
      </c>
      <c r="IO93" s="7">
        <f t="shared" si="118"/>
        <v>0</v>
      </c>
      <c r="IP93" s="7">
        <f t="shared" si="119"/>
        <v>6071378</v>
      </c>
      <c r="IQ93" s="7">
        <f t="shared" si="120"/>
        <v>0</v>
      </c>
      <c r="IR93" s="7">
        <f t="shared" si="121"/>
        <v>230563</v>
      </c>
      <c r="IS93" s="7">
        <f t="shared" si="122"/>
        <v>0</v>
      </c>
      <c r="IT93" s="7">
        <f t="shared" si="123"/>
        <v>6273352</v>
      </c>
      <c r="IU93" s="7">
        <f t="shared" si="124"/>
        <v>0</v>
      </c>
      <c r="IV93" s="7">
        <f t="shared" si="157"/>
        <v>30311</v>
      </c>
      <c r="IW93" s="7">
        <f t="shared" si="158"/>
        <v>0</v>
      </c>
      <c r="IX93" s="7">
        <f t="shared" si="125"/>
        <v>169602</v>
      </c>
      <c r="IY93" s="7">
        <f t="shared" si="126"/>
        <v>0</v>
      </c>
      <c r="IZ93" s="7">
        <f t="shared" si="127"/>
        <v>468355</v>
      </c>
      <c r="JA93" s="7">
        <f t="shared" si="128"/>
        <v>0</v>
      </c>
      <c r="JB93" s="7">
        <f t="shared" si="159"/>
        <v>2365435</v>
      </c>
      <c r="JC93" s="7">
        <f t="shared" si="160"/>
        <v>0</v>
      </c>
      <c r="JD93" s="7">
        <f t="shared" si="129"/>
        <v>651122</v>
      </c>
      <c r="JE93" s="7">
        <f t="shared" si="130"/>
        <v>0</v>
      </c>
      <c r="JF93" s="7">
        <f t="shared" si="131"/>
        <v>851049</v>
      </c>
      <c r="JG93" s="7">
        <f t="shared" si="132"/>
        <v>0</v>
      </c>
      <c r="JH93" s="7">
        <f t="shared" si="133"/>
        <v>233261</v>
      </c>
      <c r="JI93" s="7">
        <f t="shared" si="134"/>
        <v>0</v>
      </c>
      <c r="JJ93" s="7">
        <f t="shared" si="135"/>
        <v>0</v>
      </c>
      <c r="JK93" s="7">
        <f t="shared" si="136"/>
        <v>0</v>
      </c>
      <c r="JL93" s="7">
        <f t="shared" si="137"/>
        <v>2668075</v>
      </c>
      <c r="JM93" s="7">
        <f t="shared" si="138"/>
        <v>0</v>
      </c>
      <c r="JN93" s="7">
        <f t="shared" si="139"/>
        <v>1022</v>
      </c>
      <c r="JO93" s="7">
        <f t="shared" si="140"/>
        <v>0</v>
      </c>
      <c r="JP93" s="7">
        <f t="shared" si="141"/>
        <v>810480</v>
      </c>
      <c r="JQ93" s="7">
        <f t="shared" si="142"/>
        <v>0</v>
      </c>
      <c r="JR93" s="7">
        <f t="shared" si="143"/>
        <v>551469</v>
      </c>
      <c r="JS93" s="7">
        <f t="shared" si="144"/>
        <v>0</v>
      </c>
      <c r="JT93" s="7">
        <f t="shared" si="145"/>
        <v>412361</v>
      </c>
      <c r="JU93" s="7">
        <f t="shared" si="146"/>
        <v>0</v>
      </c>
      <c r="JV93" s="7">
        <f t="shared" si="147"/>
        <v>1569285</v>
      </c>
      <c r="JW93" s="7">
        <f t="shared" si="148"/>
        <v>0</v>
      </c>
      <c r="JX93" s="7">
        <f t="shared" si="149"/>
        <v>29731941</v>
      </c>
      <c r="JY93" s="7">
        <f t="shared" si="150"/>
        <v>0</v>
      </c>
      <c r="JZ93" s="7">
        <f t="shared" si="151"/>
        <v>0</v>
      </c>
      <c r="KA93" s="7">
        <f t="shared" si="152"/>
        <v>0</v>
      </c>
      <c r="KB93" s="7">
        <f t="shared" si="153"/>
        <v>29731941</v>
      </c>
      <c r="KC93" s="7">
        <f t="shared" si="154"/>
        <v>0</v>
      </c>
      <c r="KE93" s="7" t="e">
        <f t="shared" si="107"/>
        <v>#REF!</v>
      </c>
      <c r="KG93" s="5" t="e">
        <f t="shared" ref="KG93" si="162">IF(KE93=0,0,1)</f>
        <v>#REF!</v>
      </c>
    </row>
    <row r="94" spans="1:293" x14ac:dyDescent="0.15">
      <c r="A94" s="5">
        <f>COUNTA(A3:A93)</f>
        <v>91</v>
      </c>
      <c r="HG94" s="7" t="e">
        <f>SUM(HG3:HG93)</f>
        <v>#REF!</v>
      </c>
      <c r="HI94" s="7" t="e">
        <f>SUM(HI3:HI93)</f>
        <v>#REF!</v>
      </c>
      <c r="HK94" s="7" t="e">
        <f>SUM(HK3:HK93)</f>
        <v>#REF!</v>
      </c>
      <c r="HM94" s="7" t="e">
        <f>SUM(HM3:HM93)</f>
        <v>#REF!</v>
      </c>
      <c r="HO94" s="7" t="e">
        <f>SUM(HO3:HO93)</f>
        <v>#REF!</v>
      </c>
      <c r="HQ94" s="7" t="e">
        <f>SUM(HQ3:HQ93)</f>
        <v>#REF!</v>
      </c>
      <c r="HS94" s="7" t="e">
        <f>SUM(HS3:HS93)</f>
        <v>#REF!</v>
      </c>
      <c r="HU94" s="7" t="e">
        <f>SUM(HU3:HU93)</f>
        <v>#REF!</v>
      </c>
      <c r="HW94" s="7" t="e">
        <f>SUM(HW3:HW93)</f>
        <v>#REF!</v>
      </c>
      <c r="HY94" s="7" t="e">
        <f>SUM(HY3:HY93)</f>
        <v>#REF!</v>
      </c>
      <c r="IA94" s="7" t="e">
        <f>SUM(IA3:IA93)</f>
        <v>#REF!</v>
      </c>
      <c r="IC94" s="7" t="e">
        <f>SUM(IC3:IC93)</f>
        <v>#REF!</v>
      </c>
      <c r="IE94" s="7">
        <f>SUM(IE3:IE93)</f>
        <v>-0.8800000000919681</v>
      </c>
      <c r="IG94" s="7">
        <f>SUM(IG3:IG93)</f>
        <v>0</v>
      </c>
      <c r="II94" s="7">
        <f>SUM(II3:II93)</f>
        <v>0.7000000000007276</v>
      </c>
      <c r="IK94" s="7" t="e">
        <f>SUM(IK3:IK93)</f>
        <v>#REF!</v>
      </c>
      <c r="IM94" s="7">
        <f>SUM(IM3:IM93)</f>
        <v>13085082.68</v>
      </c>
      <c r="IO94" s="7">
        <f>SUM(IO3:IO93)</f>
        <v>0</v>
      </c>
      <c r="IQ94" s="7">
        <f>SUM(IQ3:IQ93)</f>
        <v>6549564.2679999992</v>
      </c>
      <c r="IS94" s="7">
        <f>SUM(IS3:IS93)</f>
        <v>0</v>
      </c>
      <c r="IU94" s="7">
        <f>SUM(IU3:IU93)</f>
        <v>-0.96499999985098839</v>
      </c>
      <c r="IW94" s="7">
        <f>SUM(IW3:IW93)</f>
        <v>-1547297</v>
      </c>
      <c r="IY94" s="7">
        <f>SUM(IY3:IY93)</f>
        <v>-0.91999999992549419</v>
      </c>
      <c r="JA94" s="7">
        <f>SUM(JA3:JA93)</f>
        <v>-1.1499999999068677</v>
      </c>
      <c r="JC94" s="7">
        <f>SUM(JC3:JC93)</f>
        <v>-7.0000000298023224E-2</v>
      </c>
      <c r="JE94" s="7">
        <f>SUM(JE3:JE93)</f>
        <v>-1.2900000000372529</v>
      </c>
      <c r="JG94" s="7">
        <f>SUM(JG3:JG93)</f>
        <v>-1.2900000000372529</v>
      </c>
      <c r="JI94" s="7">
        <f>SUM(JI3:JI93)</f>
        <v>-0.43000000005122274</v>
      </c>
      <c r="JK94" s="7">
        <f>SUM(JK3:JK93)</f>
        <v>0</v>
      </c>
      <c r="JM94" s="7">
        <f>SUM(JM3:JM93)</f>
        <v>0.83000000007450581</v>
      </c>
      <c r="JO94" s="7">
        <f>SUM(JO3:JO93)</f>
        <v>-1.7699999999895226</v>
      </c>
      <c r="JQ94" s="7">
        <f>SUM(JQ3:JQ93)</f>
        <v>0</v>
      </c>
      <c r="JS94" s="7">
        <f>SUM(JS3:JS93)</f>
        <v>-6.9999999832361937E-2</v>
      </c>
      <c r="JU94" s="7">
        <f>SUM(JU3:JU93)</f>
        <v>0.69999999999708962</v>
      </c>
      <c r="JW94" s="7">
        <f>SUM(JW3:JW93)</f>
        <v>-1.7199999999720603</v>
      </c>
      <c r="JY94" s="7">
        <f>SUM(JY3:JY93)</f>
        <v>-1.0300000011920929</v>
      </c>
      <c r="KA94" s="7">
        <f>SUM(KA3:KA93)</f>
        <v>0</v>
      </c>
      <c r="KC94" s="7">
        <f>SUM(KC3:KC93)</f>
        <v>-1.0300000011920929</v>
      </c>
      <c r="KE94" s="7" t="e">
        <f>SUM(KE93)</f>
        <v>#REF!</v>
      </c>
      <c r="KG94" s="5" t="e">
        <f>SUM(KG3:KG93)</f>
        <v>#REF!</v>
      </c>
    </row>
    <row r="95" spans="1:293" x14ac:dyDescent="0.15"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</row>
    <row r="96" spans="1:293" x14ac:dyDescent="0.15">
      <c r="A96" s="23" t="s">
        <v>407</v>
      </c>
      <c r="G96" s="24">
        <f>MIN(G3:G93)</f>
        <v>3342</v>
      </c>
      <c r="H96" s="24">
        <f t="shared" ref="H96:BB96" si="163">MIN(H3:H93)</f>
        <v>2697</v>
      </c>
      <c r="I96" s="24">
        <f t="shared" si="163"/>
        <v>155721249</v>
      </c>
      <c r="J96" s="24">
        <f t="shared" si="163"/>
        <v>153471261</v>
      </c>
      <c r="K96" s="24">
        <f t="shared" si="163"/>
        <v>0</v>
      </c>
      <c r="L96" s="24">
        <f t="shared" si="163"/>
        <v>17127</v>
      </c>
      <c r="M96" s="24">
        <f t="shared" si="163"/>
        <v>1397759</v>
      </c>
      <c r="N96" s="24">
        <f t="shared" si="163"/>
        <v>30212547</v>
      </c>
      <c r="O96" s="24">
        <f t="shared" si="163"/>
        <v>0</v>
      </c>
      <c r="P96" s="24">
        <f t="shared" si="163"/>
        <v>72262</v>
      </c>
      <c r="Q96" s="24">
        <f t="shared" si="163"/>
        <v>66848301</v>
      </c>
      <c r="R96" s="24">
        <f t="shared" si="163"/>
        <v>407923165</v>
      </c>
      <c r="S96" s="24">
        <f t="shared" si="163"/>
        <v>119894903</v>
      </c>
      <c r="T96" s="24">
        <f t="shared" si="163"/>
        <v>126585159</v>
      </c>
      <c r="U96" s="24">
        <f t="shared" si="163"/>
        <v>12586</v>
      </c>
      <c r="V96" s="24">
        <f t="shared" si="163"/>
        <v>11642</v>
      </c>
      <c r="W96" s="24">
        <f t="shared" si="163"/>
        <v>15578</v>
      </c>
      <c r="X96" s="24">
        <f t="shared" si="163"/>
        <v>18222</v>
      </c>
      <c r="Y96" s="24">
        <f t="shared" si="163"/>
        <v>17127</v>
      </c>
      <c r="Z96" s="24">
        <f t="shared" si="163"/>
        <v>16389</v>
      </c>
      <c r="AA96" s="24">
        <f t="shared" si="163"/>
        <v>21595</v>
      </c>
      <c r="AB96" s="24">
        <f t="shared" si="163"/>
        <v>23514</v>
      </c>
      <c r="AC96" s="24">
        <f t="shared" si="163"/>
        <v>6</v>
      </c>
      <c r="AD96" s="24">
        <f t="shared" si="163"/>
        <v>8</v>
      </c>
      <c r="AE96" s="24">
        <f t="shared" si="163"/>
        <v>0</v>
      </c>
      <c r="AF96" s="24">
        <f t="shared" si="163"/>
        <v>2083756</v>
      </c>
      <c r="AG96" s="24">
        <f t="shared" si="163"/>
        <v>1330006</v>
      </c>
      <c r="AH96" s="24">
        <f t="shared" si="163"/>
        <v>97824</v>
      </c>
      <c r="AI96" s="24">
        <f t="shared" si="163"/>
        <v>69388</v>
      </c>
      <c r="AJ96" s="24">
        <f t="shared" si="163"/>
        <v>123214</v>
      </c>
      <c r="AK96" s="24">
        <f t="shared" si="163"/>
        <v>3.5</v>
      </c>
      <c r="AL96" s="24">
        <f t="shared" si="163"/>
        <v>29694.17</v>
      </c>
      <c r="AM96" s="24">
        <f t="shared" si="163"/>
        <v>4</v>
      </c>
      <c r="AN96" s="24">
        <f t="shared" si="163"/>
        <v>66223.5</v>
      </c>
      <c r="AO96" s="24">
        <f t="shared" si="163"/>
        <v>5.5</v>
      </c>
      <c r="AP96" s="24">
        <f t="shared" si="163"/>
        <v>55176</v>
      </c>
      <c r="AQ96" s="24">
        <f t="shared" si="163"/>
        <v>6</v>
      </c>
      <c r="AR96" s="24">
        <f t="shared" si="163"/>
        <v>68664.263462394301</v>
      </c>
      <c r="AS96" s="24">
        <f t="shared" si="163"/>
        <v>13.75</v>
      </c>
      <c r="AT96" s="24">
        <f t="shared" si="163"/>
        <v>49770.516129032258</v>
      </c>
      <c r="AU96" s="24">
        <f t="shared" si="163"/>
        <v>15</v>
      </c>
      <c r="AV96" s="24">
        <f t="shared" si="163"/>
        <v>37349.133333333331</v>
      </c>
      <c r="AW96" s="24">
        <f t="shared" si="163"/>
        <v>6.5</v>
      </c>
      <c r="AX96" s="24">
        <f t="shared" si="163"/>
        <v>4501.1000000000004</v>
      </c>
      <c r="AY96" s="24">
        <f t="shared" si="163"/>
        <v>9</v>
      </c>
      <c r="AZ96" s="24">
        <f t="shared" si="163"/>
        <v>311162</v>
      </c>
      <c r="BA96" s="24">
        <f t="shared" si="163"/>
        <v>0</v>
      </c>
      <c r="BB96" s="24" t="e">
        <f t="shared" si="163"/>
        <v>#REF!</v>
      </c>
      <c r="BC96" s="24">
        <f t="shared" ref="BC96:BP96" si="164">MIN(BC3:BC93)</f>
        <v>0</v>
      </c>
      <c r="BD96" s="24">
        <f t="shared" si="164"/>
        <v>0</v>
      </c>
      <c r="BE96" s="24">
        <f t="shared" si="164"/>
        <v>0</v>
      </c>
      <c r="BF96" s="24">
        <f t="shared" si="164"/>
        <v>0</v>
      </c>
      <c r="BG96" s="24">
        <f t="shared" si="164"/>
        <v>0</v>
      </c>
      <c r="BH96" s="24">
        <f t="shared" si="164"/>
        <v>0</v>
      </c>
      <c r="BI96" s="24">
        <f t="shared" si="164"/>
        <v>0</v>
      </c>
      <c r="BJ96" s="24">
        <f t="shared" si="164"/>
        <v>0</v>
      </c>
      <c r="BK96" s="24">
        <f t="shared" si="164"/>
        <v>-7532</v>
      </c>
      <c r="BL96" s="24">
        <f t="shared" si="164"/>
        <v>-947</v>
      </c>
      <c r="BM96" s="24">
        <f t="shared" si="164"/>
        <v>-493</v>
      </c>
      <c r="BN96" s="24">
        <f t="shared" si="164"/>
        <v>-2752</v>
      </c>
      <c r="BO96" s="24">
        <f t="shared" si="164"/>
        <v>-2115</v>
      </c>
      <c r="BP96" s="24">
        <f t="shared" si="164"/>
        <v>0</v>
      </c>
      <c r="BQ96" s="24">
        <f t="shared" ref="BQ96:EB96" si="165">MIN(BQ3:BQ93)</f>
        <v>0</v>
      </c>
      <c r="BR96" s="24">
        <f t="shared" si="165"/>
        <v>0</v>
      </c>
      <c r="BS96" s="24">
        <f t="shared" si="165"/>
        <v>0</v>
      </c>
      <c r="BT96" s="24">
        <f t="shared" si="165"/>
        <v>-32549</v>
      </c>
      <c r="BU96" s="24">
        <f t="shared" si="165"/>
        <v>-2115</v>
      </c>
      <c r="BV96" s="24">
        <f t="shared" si="165"/>
        <v>0</v>
      </c>
      <c r="BW96" s="24" t="e">
        <f t="shared" si="165"/>
        <v>#REF!</v>
      </c>
      <c r="BX96" s="24" t="e">
        <f t="shared" si="165"/>
        <v>#REF!</v>
      </c>
      <c r="BY96" s="24" t="e">
        <f t="shared" si="165"/>
        <v>#REF!</v>
      </c>
      <c r="BZ96" s="24" t="e">
        <f t="shared" si="165"/>
        <v>#REF!</v>
      </c>
      <c r="CA96" s="24" t="e">
        <f t="shared" si="165"/>
        <v>#REF!</v>
      </c>
      <c r="CB96" s="24" t="e">
        <f t="shared" si="165"/>
        <v>#REF!</v>
      </c>
      <c r="CC96" s="24">
        <f t="shared" si="165"/>
        <v>1498836</v>
      </c>
      <c r="CD96" s="24">
        <f t="shared" si="165"/>
        <v>240419</v>
      </c>
      <c r="CE96" s="24">
        <f t="shared" si="165"/>
        <v>221246</v>
      </c>
      <c r="CF96" s="24">
        <f t="shared" si="165"/>
        <v>1629118</v>
      </c>
      <c r="CG96" s="24">
        <f t="shared" si="165"/>
        <v>0</v>
      </c>
      <c r="CH96" s="24">
        <f t="shared" si="165"/>
        <v>3909230</v>
      </c>
      <c r="CI96" s="24">
        <f t="shared" si="165"/>
        <v>142500</v>
      </c>
      <c r="CJ96" s="24">
        <f t="shared" si="165"/>
        <v>0</v>
      </c>
      <c r="CK96" s="24">
        <f t="shared" si="165"/>
        <v>0</v>
      </c>
      <c r="CL96" s="24">
        <f t="shared" si="165"/>
        <v>0</v>
      </c>
      <c r="CM96" s="24">
        <f t="shared" si="165"/>
        <v>0</v>
      </c>
      <c r="CN96" s="24">
        <f t="shared" si="165"/>
        <v>220000</v>
      </c>
      <c r="CO96" s="24">
        <f t="shared" si="165"/>
        <v>0</v>
      </c>
      <c r="CP96" s="24">
        <f t="shared" si="165"/>
        <v>0</v>
      </c>
      <c r="CQ96" s="24">
        <f t="shared" si="165"/>
        <v>0</v>
      </c>
      <c r="CR96" s="24">
        <f t="shared" si="165"/>
        <v>0</v>
      </c>
      <c r="CS96" s="24">
        <f t="shared" si="165"/>
        <v>0</v>
      </c>
      <c r="CT96" s="24">
        <f t="shared" si="165"/>
        <v>2713387</v>
      </c>
      <c r="CU96" s="24">
        <f t="shared" si="165"/>
        <v>0</v>
      </c>
      <c r="CV96" s="24">
        <f t="shared" si="165"/>
        <v>0</v>
      </c>
      <c r="CW96" s="24">
        <f t="shared" si="165"/>
        <v>0</v>
      </c>
      <c r="CX96" s="24">
        <f t="shared" si="165"/>
        <v>0</v>
      </c>
      <c r="CY96" s="24">
        <f t="shared" si="165"/>
        <v>0</v>
      </c>
      <c r="CZ96" s="24">
        <f t="shared" si="165"/>
        <v>0</v>
      </c>
      <c r="DA96" s="24">
        <f t="shared" si="165"/>
        <v>0</v>
      </c>
      <c r="DB96" s="24">
        <f t="shared" si="165"/>
        <v>0</v>
      </c>
      <c r="DC96" s="24">
        <f t="shared" si="165"/>
        <v>0</v>
      </c>
      <c r="DD96" s="24">
        <f t="shared" si="165"/>
        <v>0</v>
      </c>
      <c r="DE96" s="24">
        <f t="shared" si="165"/>
        <v>0</v>
      </c>
      <c r="DF96" s="24">
        <f t="shared" si="165"/>
        <v>1532249</v>
      </c>
      <c r="DG96" s="24">
        <f t="shared" si="165"/>
        <v>0</v>
      </c>
      <c r="DH96" s="24">
        <f t="shared" si="165"/>
        <v>0</v>
      </c>
      <c r="DI96" s="24">
        <f t="shared" si="165"/>
        <v>0</v>
      </c>
      <c r="DJ96" s="24">
        <f t="shared" si="165"/>
        <v>0</v>
      </c>
      <c r="DK96" s="24">
        <f t="shared" si="165"/>
        <v>0</v>
      </c>
      <c r="DL96" s="24">
        <f t="shared" si="165"/>
        <v>0</v>
      </c>
      <c r="DM96" s="24">
        <f t="shared" si="165"/>
        <v>0</v>
      </c>
      <c r="DN96" s="24">
        <f t="shared" si="165"/>
        <v>0</v>
      </c>
      <c r="DO96" s="24">
        <f t="shared" si="165"/>
        <v>0</v>
      </c>
      <c r="DP96" s="24">
        <f t="shared" si="165"/>
        <v>0</v>
      </c>
      <c r="DQ96" s="24">
        <f t="shared" si="165"/>
        <v>0</v>
      </c>
      <c r="DR96" s="24">
        <f t="shared" si="165"/>
        <v>0</v>
      </c>
      <c r="DS96" s="24">
        <f t="shared" si="165"/>
        <v>92821</v>
      </c>
      <c r="DT96" s="24">
        <f t="shared" si="165"/>
        <v>42618</v>
      </c>
      <c r="DU96" s="24">
        <f t="shared" si="165"/>
        <v>17159</v>
      </c>
      <c r="DV96" s="24">
        <f t="shared" si="165"/>
        <v>50047</v>
      </c>
      <c r="DW96" s="24">
        <f t="shared" si="165"/>
        <v>0</v>
      </c>
      <c r="DX96" s="24">
        <f t="shared" si="165"/>
        <v>309125</v>
      </c>
      <c r="DY96" s="24">
        <f t="shared" si="165"/>
        <v>208463</v>
      </c>
      <c r="DZ96" s="24">
        <f t="shared" si="165"/>
        <v>108356</v>
      </c>
      <c r="EA96" s="24">
        <f t="shared" si="165"/>
        <v>91845</v>
      </c>
      <c r="EB96" s="24">
        <f t="shared" si="165"/>
        <v>548464</v>
      </c>
      <c r="EC96" s="24">
        <f t="shared" ref="EC96:GN96" si="166">MIN(EC3:EC93)</f>
        <v>0</v>
      </c>
      <c r="ED96" s="24">
        <f t="shared" si="166"/>
        <v>1247490</v>
      </c>
      <c r="EE96" s="24">
        <f t="shared" si="166"/>
        <v>76496</v>
      </c>
      <c r="EF96" s="24">
        <f t="shared" si="166"/>
        <v>5407.13</v>
      </c>
      <c r="EG96" s="24">
        <f t="shared" si="166"/>
        <v>4493</v>
      </c>
      <c r="EH96" s="24">
        <f t="shared" si="166"/>
        <v>138544</v>
      </c>
      <c r="EI96" s="24">
        <f t="shared" si="166"/>
        <v>0</v>
      </c>
      <c r="EJ96" s="24">
        <f t="shared" si="166"/>
        <v>328793</v>
      </c>
      <c r="EK96" s="24">
        <f t="shared" si="166"/>
        <v>0</v>
      </c>
      <c r="EL96" s="24">
        <f t="shared" si="166"/>
        <v>0</v>
      </c>
      <c r="EM96" s="24">
        <f t="shared" si="166"/>
        <v>0</v>
      </c>
      <c r="EN96" s="24">
        <f t="shared" si="166"/>
        <v>0</v>
      </c>
      <c r="EO96" s="24">
        <f t="shared" si="166"/>
        <v>0</v>
      </c>
      <c r="EP96" s="24">
        <f t="shared" si="166"/>
        <v>271637</v>
      </c>
      <c r="EQ96" s="24">
        <f t="shared" si="166"/>
        <v>0</v>
      </c>
      <c r="ER96" s="24">
        <f t="shared" si="166"/>
        <v>0</v>
      </c>
      <c r="ES96" s="24">
        <f t="shared" si="166"/>
        <v>0</v>
      </c>
      <c r="ET96" s="24">
        <f t="shared" si="166"/>
        <v>0</v>
      </c>
      <c r="EU96" s="24">
        <f t="shared" si="166"/>
        <v>0</v>
      </c>
      <c r="EV96" s="24">
        <f t="shared" si="166"/>
        <v>55582</v>
      </c>
      <c r="EW96" s="24">
        <f t="shared" si="166"/>
        <v>0</v>
      </c>
      <c r="EX96" s="24">
        <f t="shared" si="166"/>
        <v>0</v>
      </c>
      <c r="EY96" s="24">
        <f t="shared" si="166"/>
        <v>0</v>
      </c>
      <c r="EZ96" s="24">
        <f t="shared" si="166"/>
        <v>0</v>
      </c>
      <c r="FA96" s="24">
        <f t="shared" si="166"/>
        <v>0</v>
      </c>
      <c r="FB96" s="24">
        <f t="shared" si="166"/>
        <v>0</v>
      </c>
      <c r="FC96" s="24">
        <f t="shared" si="166"/>
        <v>0</v>
      </c>
      <c r="FD96" s="24">
        <f t="shared" si="166"/>
        <v>-3666</v>
      </c>
      <c r="FE96" s="24">
        <f t="shared" si="166"/>
        <v>-173</v>
      </c>
      <c r="FF96" s="24">
        <f t="shared" si="166"/>
        <v>0</v>
      </c>
      <c r="FG96" s="24">
        <f t="shared" si="166"/>
        <v>0</v>
      </c>
      <c r="FH96" s="24">
        <f t="shared" si="166"/>
        <v>54404</v>
      </c>
      <c r="FI96" s="24">
        <f t="shared" si="166"/>
        <v>0</v>
      </c>
      <c r="FJ96" s="24">
        <f t="shared" si="166"/>
        <v>0</v>
      </c>
      <c r="FK96" s="24">
        <f t="shared" si="166"/>
        <v>0</v>
      </c>
      <c r="FL96" s="24">
        <f t="shared" si="166"/>
        <v>0</v>
      </c>
      <c r="FM96" s="24">
        <f t="shared" si="166"/>
        <v>0</v>
      </c>
      <c r="FN96" s="24">
        <f t="shared" si="166"/>
        <v>0</v>
      </c>
      <c r="FO96" s="24">
        <f t="shared" si="166"/>
        <v>0</v>
      </c>
      <c r="FP96" s="24">
        <f t="shared" si="166"/>
        <v>0</v>
      </c>
      <c r="FQ96" s="24">
        <f t="shared" si="166"/>
        <v>0</v>
      </c>
      <c r="FR96" s="24">
        <f t="shared" si="166"/>
        <v>0</v>
      </c>
      <c r="FS96" s="24">
        <f t="shared" si="166"/>
        <v>0</v>
      </c>
      <c r="FT96" s="24">
        <f t="shared" si="166"/>
        <v>0</v>
      </c>
      <c r="FU96" s="24">
        <f t="shared" si="166"/>
        <v>0</v>
      </c>
      <c r="FV96" s="24">
        <f t="shared" si="166"/>
        <v>0</v>
      </c>
      <c r="FW96" s="24">
        <f t="shared" si="166"/>
        <v>0</v>
      </c>
      <c r="FX96" s="24">
        <f t="shared" si="166"/>
        <v>0</v>
      </c>
      <c r="FY96" s="24">
        <f t="shared" si="166"/>
        <v>0</v>
      </c>
      <c r="FZ96" s="24">
        <f t="shared" si="166"/>
        <v>45178</v>
      </c>
      <c r="GA96" s="24">
        <f t="shared" si="166"/>
        <v>0</v>
      </c>
      <c r="GB96" s="24">
        <f t="shared" si="166"/>
        <v>0</v>
      </c>
      <c r="GC96" s="24">
        <f t="shared" si="166"/>
        <v>0</v>
      </c>
      <c r="GD96" s="24">
        <f t="shared" si="166"/>
        <v>0</v>
      </c>
      <c r="GE96" s="24">
        <f t="shared" si="166"/>
        <v>0</v>
      </c>
      <c r="GF96" s="24">
        <f t="shared" si="166"/>
        <v>15041</v>
      </c>
      <c r="GG96" s="24">
        <f t="shared" si="166"/>
        <v>0</v>
      </c>
      <c r="GH96" s="24">
        <f t="shared" si="166"/>
        <v>0</v>
      </c>
      <c r="GI96" s="24">
        <f t="shared" si="166"/>
        <v>0</v>
      </c>
      <c r="GJ96" s="24">
        <f t="shared" si="166"/>
        <v>0</v>
      </c>
      <c r="GK96" s="24">
        <f t="shared" si="166"/>
        <v>0</v>
      </c>
      <c r="GL96" s="24">
        <f t="shared" si="166"/>
        <v>341234</v>
      </c>
      <c r="GM96" s="24">
        <f t="shared" si="166"/>
        <v>3128013</v>
      </c>
      <c r="GN96" s="24">
        <f t="shared" si="166"/>
        <v>189918</v>
      </c>
      <c r="GO96" s="24">
        <f t="shared" ref="GO96:HD96" si="167">MIN(GO3:GO93)</f>
        <v>77708</v>
      </c>
      <c r="GP96" s="24">
        <f t="shared" si="167"/>
        <v>750259</v>
      </c>
      <c r="GQ96" s="24">
        <f t="shared" si="167"/>
        <v>3325527</v>
      </c>
      <c r="GR96" s="24">
        <f t="shared" si="167"/>
        <v>8687406</v>
      </c>
      <c r="GS96" s="24">
        <f t="shared" si="167"/>
        <v>0</v>
      </c>
      <c r="GT96" s="24">
        <f t="shared" si="167"/>
        <v>0</v>
      </c>
      <c r="GU96" s="24">
        <f t="shared" si="167"/>
        <v>0</v>
      </c>
      <c r="GV96" s="24">
        <f t="shared" si="167"/>
        <v>-184800</v>
      </c>
      <c r="GW96" s="24">
        <f t="shared" si="167"/>
        <v>0</v>
      </c>
      <c r="GX96" s="24">
        <f t="shared" si="167"/>
        <v>0</v>
      </c>
      <c r="GY96" s="24">
        <f t="shared" si="167"/>
        <v>1872154</v>
      </c>
      <c r="GZ96" s="24">
        <f t="shared" si="167"/>
        <v>575611</v>
      </c>
      <c r="HA96" s="24">
        <f t="shared" si="167"/>
        <v>45388</v>
      </c>
      <c r="HB96" s="24">
        <f t="shared" si="167"/>
        <v>3802573</v>
      </c>
      <c r="HC96" s="24">
        <f t="shared" si="167"/>
        <v>236149</v>
      </c>
      <c r="HD96" s="24">
        <f t="shared" si="167"/>
        <v>16281038</v>
      </c>
    </row>
    <row r="97" spans="1:212" x14ac:dyDescent="0.15">
      <c r="A97" s="23" t="s">
        <v>408</v>
      </c>
      <c r="G97" s="24">
        <f>MAX(G3:G93)</f>
        <v>24992</v>
      </c>
      <c r="H97" s="24">
        <f t="shared" ref="H97:BB97" si="168">MAX(H3:H93)</f>
        <v>24953</v>
      </c>
      <c r="I97" s="24">
        <f t="shared" si="168"/>
        <v>9237021931</v>
      </c>
      <c r="J97" s="24">
        <f t="shared" si="168"/>
        <v>582233000</v>
      </c>
      <c r="K97" s="24">
        <f t="shared" si="168"/>
        <v>26192311</v>
      </c>
      <c r="L97" s="24">
        <f t="shared" si="168"/>
        <v>5177252</v>
      </c>
      <c r="M97" s="24">
        <f t="shared" si="168"/>
        <v>1991033000</v>
      </c>
      <c r="N97" s="24">
        <f t="shared" si="168"/>
        <v>30212547</v>
      </c>
      <c r="O97" s="24">
        <f t="shared" si="168"/>
        <v>428268000</v>
      </c>
      <c r="P97" s="24">
        <f t="shared" si="168"/>
        <v>73371134</v>
      </c>
      <c r="Q97" s="24">
        <f t="shared" si="168"/>
        <v>4618288831</v>
      </c>
      <c r="R97" s="24">
        <f t="shared" si="168"/>
        <v>407923165</v>
      </c>
      <c r="S97" s="24">
        <f t="shared" si="168"/>
        <v>8310416281</v>
      </c>
      <c r="T97" s="24">
        <f t="shared" si="168"/>
        <v>397232665</v>
      </c>
      <c r="U97" s="24">
        <f t="shared" si="168"/>
        <v>31492</v>
      </c>
      <c r="V97" s="24">
        <f t="shared" si="168"/>
        <v>22167</v>
      </c>
      <c r="W97" s="24">
        <f t="shared" si="168"/>
        <v>54370</v>
      </c>
      <c r="X97" s="24">
        <f t="shared" si="168"/>
        <v>30716</v>
      </c>
      <c r="Y97" s="24">
        <f t="shared" si="168"/>
        <v>33279</v>
      </c>
      <c r="Z97" s="24">
        <f t="shared" si="168"/>
        <v>23304</v>
      </c>
      <c r="AA97" s="24">
        <f t="shared" si="168"/>
        <v>55764</v>
      </c>
      <c r="AB97" s="24">
        <f t="shared" si="168"/>
        <v>31464</v>
      </c>
      <c r="AC97" s="24">
        <f t="shared" si="168"/>
        <v>17</v>
      </c>
      <c r="AD97" s="24">
        <f t="shared" si="168"/>
        <v>17</v>
      </c>
      <c r="AE97" s="24">
        <f t="shared" si="168"/>
        <v>4</v>
      </c>
      <c r="AF97" s="24">
        <f t="shared" si="168"/>
        <v>8460161</v>
      </c>
      <c r="AG97" s="24">
        <f t="shared" si="168"/>
        <v>7377647</v>
      </c>
      <c r="AH97" s="24">
        <f t="shared" si="168"/>
        <v>2116836</v>
      </c>
      <c r="AI97" s="24">
        <f t="shared" si="168"/>
        <v>670710</v>
      </c>
      <c r="AJ97" s="24">
        <f t="shared" si="168"/>
        <v>1836371.857142857</v>
      </c>
      <c r="AK97" s="24">
        <f t="shared" si="168"/>
        <v>15</v>
      </c>
      <c r="AL97" s="24">
        <f t="shared" si="168"/>
        <v>1836371.857142857</v>
      </c>
      <c r="AM97" s="24">
        <f t="shared" si="168"/>
        <v>17</v>
      </c>
      <c r="AN97" s="24">
        <f t="shared" si="168"/>
        <v>372495.76</v>
      </c>
      <c r="AO97" s="24">
        <f t="shared" si="168"/>
        <v>16</v>
      </c>
      <c r="AP97" s="24">
        <f t="shared" si="168"/>
        <v>351801.56</v>
      </c>
      <c r="AQ97" s="24">
        <f t="shared" si="168"/>
        <v>18</v>
      </c>
      <c r="AR97" s="24">
        <f t="shared" si="168"/>
        <v>378527.85</v>
      </c>
      <c r="AS97" s="24">
        <f t="shared" si="168"/>
        <v>34</v>
      </c>
      <c r="AT97" s="24">
        <f t="shared" si="168"/>
        <v>315439.88</v>
      </c>
      <c r="AU97" s="24">
        <f t="shared" si="168"/>
        <v>41</v>
      </c>
      <c r="AV97" s="24">
        <f t="shared" si="168"/>
        <v>128946.82</v>
      </c>
      <c r="AW97" s="24">
        <f t="shared" si="168"/>
        <v>28</v>
      </c>
      <c r="AX97" s="24">
        <f t="shared" si="168"/>
        <v>109604.8</v>
      </c>
      <c r="AY97" s="24">
        <f t="shared" si="168"/>
        <v>40</v>
      </c>
      <c r="AZ97" s="24">
        <f t="shared" si="168"/>
        <v>46317719</v>
      </c>
      <c r="BA97" s="24">
        <f t="shared" si="168"/>
        <v>3088171</v>
      </c>
      <c r="BB97" s="24" t="e">
        <f t="shared" si="168"/>
        <v>#REF!</v>
      </c>
      <c r="BC97" s="24">
        <f t="shared" ref="BC97:BP97" si="169">MAX(BC3:BC93)</f>
        <v>4399884</v>
      </c>
      <c r="BD97" s="24">
        <f t="shared" si="169"/>
        <v>25934289</v>
      </c>
      <c r="BE97" s="24">
        <f t="shared" si="169"/>
        <v>584616</v>
      </c>
      <c r="BF97" s="24">
        <f t="shared" si="169"/>
        <v>798787</v>
      </c>
      <c r="BG97" s="24">
        <f t="shared" si="169"/>
        <v>342168</v>
      </c>
      <c r="BH97" s="24">
        <f t="shared" si="169"/>
        <v>4158477</v>
      </c>
      <c r="BI97" s="24">
        <f t="shared" si="169"/>
        <v>952600</v>
      </c>
      <c r="BJ97" s="24">
        <f t="shared" si="169"/>
        <v>5327040</v>
      </c>
      <c r="BK97" s="24">
        <f t="shared" si="169"/>
        <v>3417023</v>
      </c>
      <c r="BL97" s="24">
        <f t="shared" si="169"/>
        <v>336913</v>
      </c>
      <c r="BM97" s="24">
        <f t="shared" si="169"/>
        <v>271409</v>
      </c>
      <c r="BN97" s="24">
        <f t="shared" si="169"/>
        <v>3911957</v>
      </c>
      <c r="BO97" s="24">
        <f t="shared" si="169"/>
        <v>5936340</v>
      </c>
      <c r="BP97" s="24">
        <f t="shared" si="169"/>
        <v>11487477</v>
      </c>
      <c r="BQ97" s="24">
        <f t="shared" ref="BQ97:EB97" si="170">MAX(BQ3:BQ93)</f>
        <v>8097317</v>
      </c>
      <c r="BR97" s="24">
        <f t="shared" si="170"/>
        <v>2033212</v>
      </c>
      <c r="BS97" s="24">
        <f t="shared" si="170"/>
        <v>300019</v>
      </c>
      <c r="BT97" s="24">
        <f t="shared" si="170"/>
        <v>2866720</v>
      </c>
      <c r="BU97" s="24">
        <f t="shared" si="170"/>
        <v>11107030</v>
      </c>
      <c r="BV97" s="24">
        <f t="shared" si="170"/>
        <v>11107030</v>
      </c>
      <c r="BW97" s="24" t="e">
        <f t="shared" si="170"/>
        <v>#REF!</v>
      </c>
      <c r="BX97" s="24" t="e">
        <f t="shared" si="170"/>
        <v>#REF!</v>
      </c>
      <c r="BY97" s="24" t="e">
        <f t="shared" si="170"/>
        <v>#REF!</v>
      </c>
      <c r="BZ97" s="24" t="e">
        <f t="shared" si="170"/>
        <v>#REF!</v>
      </c>
      <c r="CA97" s="24" t="e">
        <f t="shared" si="170"/>
        <v>#REF!</v>
      </c>
      <c r="CB97" s="24" t="e">
        <f t="shared" si="170"/>
        <v>#REF!</v>
      </c>
      <c r="CC97" s="24">
        <f t="shared" si="170"/>
        <v>4321129</v>
      </c>
      <c r="CD97" s="24">
        <f t="shared" si="170"/>
        <v>712150</v>
      </c>
      <c r="CE97" s="24">
        <f t="shared" si="170"/>
        <v>739633</v>
      </c>
      <c r="CF97" s="24">
        <f t="shared" si="170"/>
        <v>11056525</v>
      </c>
      <c r="CG97" s="24">
        <f t="shared" si="170"/>
        <v>4354219</v>
      </c>
      <c r="CH97" s="24">
        <f t="shared" si="170"/>
        <v>15357209</v>
      </c>
      <c r="CI97" s="24">
        <f t="shared" si="170"/>
        <v>6948051</v>
      </c>
      <c r="CJ97" s="24">
        <f t="shared" si="170"/>
        <v>1412347</v>
      </c>
      <c r="CK97" s="24">
        <f t="shared" si="170"/>
        <v>254119</v>
      </c>
      <c r="CL97" s="24">
        <f t="shared" si="170"/>
        <v>1318296</v>
      </c>
      <c r="CM97" s="24">
        <f t="shared" si="170"/>
        <v>1317205</v>
      </c>
      <c r="CN97" s="24">
        <f t="shared" si="170"/>
        <v>7999881</v>
      </c>
      <c r="CO97" s="24">
        <f t="shared" si="170"/>
        <v>11766773</v>
      </c>
      <c r="CP97" s="24">
        <f t="shared" si="170"/>
        <v>7520428</v>
      </c>
      <c r="CQ97" s="24">
        <f t="shared" si="170"/>
        <v>2956557</v>
      </c>
      <c r="CR97" s="24">
        <f t="shared" si="170"/>
        <v>9294275</v>
      </c>
      <c r="CS97" s="24">
        <f t="shared" si="170"/>
        <v>20023614</v>
      </c>
      <c r="CT97" s="24">
        <f t="shared" si="170"/>
        <v>28466335</v>
      </c>
      <c r="CU97" s="24">
        <f t="shared" si="170"/>
        <v>1262605</v>
      </c>
      <c r="CV97" s="24">
        <f t="shared" si="170"/>
        <v>464500</v>
      </c>
      <c r="CW97" s="24">
        <f t="shared" si="170"/>
        <v>273741</v>
      </c>
      <c r="CX97" s="24">
        <f t="shared" si="170"/>
        <v>774243</v>
      </c>
      <c r="CY97" s="24">
        <f t="shared" si="170"/>
        <v>0</v>
      </c>
      <c r="CZ97" s="24">
        <f t="shared" si="170"/>
        <v>2713387</v>
      </c>
      <c r="DA97" s="24">
        <f t="shared" si="170"/>
        <v>3205914</v>
      </c>
      <c r="DB97" s="24">
        <f t="shared" si="170"/>
        <v>1050580</v>
      </c>
      <c r="DC97" s="24">
        <f t="shared" si="170"/>
        <v>549777</v>
      </c>
      <c r="DD97" s="24">
        <f t="shared" si="170"/>
        <v>14145868</v>
      </c>
      <c r="DE97" s="24">
        <f t="shared" si="170"/>
        <v>26718278</v>
      </c>
      <c r="DF97" s="24">
        <f t="shared" si="170"/>
        <v>30823731</v>
      </c>
      <c r="DG97" s="24">
        <f t="shared" si="170"/>
        <v>1547297</v>
      </c>
      <c r="DH97" s="24">
        <f t="shared" si="170"/>
        <v>7800</v>
      </c>
      <c r="DI97" s="24">
        <f t="shared" si="170"/>
        <v>8200</v>
      </c>
      <c r="DJ97" s="24">
        <f t="shared" si="170"/>
        <v>136550</v>
      </c>
      <c r="DK97" s="24">
        <f t="shared" si="170"/>
        <v>164061</v>
      </c>
      <c r="DL97" s="24">
        <f t="shared" si="170"/>
        <v>287719</v>
      </c>
      <c r="DM97" s="24">
        <f t="shared" si="170"/>
        <v>5768520</v>
      </c>
      <c r="DN97" s="24">
        <f t="shared" si="170"/>
        <v>4062021</v>
      </c>
      <c r="DO97" s="24">
        <f t="shared" si="170"/>
        <v>420934</v>
      </c>
      <c r="DP97" s="24">
        <f t="shared" si="170"/>
        <v>378604</v>
      </c>
      <c r="DQ97" s="24">
        <f t="shared" si="170"/>
        <v>1703391</v>
      </c>
      <c r="DR97" s="24">
        <f t="shared" si="170"/>
        <v>5942482</v>
      </c>
      <c r="DS97" s="24">
        <f t="shared" si="170"/>
        <v>1384188</v>
      </c>
      <c r="DT97" s="24">
        <f t="shared" si="170"/>
        <v>542299</v>
      </c>
      <c r="DU97" s="24">
        <f t="shared" si="170"/>
        <v>260284</v>
      </c>
      <c r="DV97" s="24">
        <f t="shared" si="170"/>
        <v>739627</v>
      </c>
      <c r="DW97" s="24">
        <f t="shared" si="170"/>
        <v>131586.44</v>
      </c>
      <c r="DX97" s="24">
        <f t="shared" si="170"/>
        <v>2796184</v>
      </c>
      <c r="DY97" s="24">
        <f t="shared" si="170"/>
        <v>3710910</v>
      </c>
      <c r="DZ97" s="24">
        <f t="shared" si="170"/>
        <v>1567568</v>
      </c>
      <c r="EA97" s="24">
        <f t="shared" si="170"/>
        <v>934676</v>
      </c>
      <c r="EB97" s="24">
        <f t="shared" si="170"/>
        <v>4154343</v>
      </c>
      <c r="EC97" s="24">
        <f t="shared" ref="EC97:GN97" si="171">MAX(EC3:EC93)</f>
        <v>1003831</v>
      </c>
      <c r="ED97" s="24">
        <f t="shared" si="171"/>
        <v>9562168</v>
      </c>
      <c r="EE97" s="24">
        <f t="shared" si="171"/>
        <v>1619037</v>
      </c>
      <c r="EF97" s="24">
        <f t="shared" si="171"/>
        <v>324593</v>
      </c>
      <c r="EG97" s="24">
        <f t="shared" si="171"/>
        <v>483737</v>
      </c>
      <c r="EH97" s="24">
        <f t="shared" si="171"/>
        <v>1873327</v>
      </c>
      <c r="EI97" s="24">
        <f t="shared" si="171"/>
        <v>2586787</v>
      </c>
      <c r="EJ97" s="24">
        <f t="shared" si="171"/>
        <v>4680102</v>
      </c>
      <c r="EK97" s="24">
        <f t="shared" si="171"/>
        <v>4692265</v>
      </c>
      <c r="EL97" s="24">
        <f t="shared" si="171"/>
        <v>1433853</v>
      </c>
      <c r="EM97" s="24">
        <f t="shared" si="171"/>
        <v>1210690</v>
      </c>
      <c r="EN97" s="24">
        <f t="shared" si="171"/>
        <v>2130719</v>
      </c>
      <c r="EO97" s="24">
        <f t="shared" si="171"/>
        <v>17586470</v>
      </c>
      <c r="EP97" s="24">
        <f t="shared" si="171"/>
        <v>25486020</v>
      </c>
      <c r="EQ97" s="24">
        <f t="shared" si="171"/>
        <v>4273408</v>
      </c>
      <c r="ER97" s="24">
        <f t="shared" si="171"/>
        <v>821201</v>
      </c>
      <c r="ES97" s="24">
        <f t="shared" si="171"/>
        <v>168459</v>
      </c>
      <c r="ET97" s="24">
        <f t="shared" si="171"/>
        <v>704372</v>
      </c>
      <c r="EU97" s="24">
        <f t="shared" si="171"/>
        <v>8195806</v>
      </c>
      <c r="EV97" s="24">
        <f t="shared" si="171"/>
        <v>8392233</v>
      </c>
      <c r="EW97" s="24">
        <f t="shared" si="171"/>
        <v>917032</v>
      </c>
      <c r="EX97" s="24">
        <f t="shared" si="171"/>
        <v>396201</v>
      </c>
      <c r="EY97" s="24">
        <f t="shared" si="171"/>
        <v>172577</v>
      </c>
      <c r="EZ97" s="24">
        <f t="shared" si="171"/>
        <v>2346913</v>
      </c>
      <c r="FA97" s="24">
        <f t="shared" si="171"/>
        <v>947027</v>
      </c>
      <c r="FB97" s="24">
        <f t="shared" si="171"/>
        <v>3637282</v>
      </c>
      <c r="FC97" s="24">
        <f t="shared" si="171"/>
        <v>11972110</v>
      </c>
      <c r="FD97" s="24">
        <f t="shared" si="171"/>
        <v>4082927</v>
      </c>
      <c r="FE97" s="24">
        <f t="shared" si="171"/>
        <v>1482513</v>
      </c>
      <c r="FF97" s="24">
        <f t="shared" si="171"/>
        <v>33601710</v>
      </c>
      <c r="FG97" s="24">
        <f t="shared" si="171"/>
        <v>35352299</v>
      </c>
      <c r="FH97" s="24">
        <f t="shared" si="171"/>
        <v>61165521</v>
      </c>
      <c r="FI97" s="24">
        <f t="shared" si="171"/>
        <v>1005600</v>
      </c>
      <c r="FJ97" s="24">
        <f t="shared" si="171"/>
        <v>177534</v>
      </c>
      <c r="FK97" s="24">
        <f t="shared" si="171"/>
        <v>101772</v>
      </c>
      <c r="FL97" s="24">
        <f t="shared" si="171"/>
        <v>184828</v>
      </c>
      <c r="FM97" s="24">
        <f t="shared" si="171"/>
        <v>1033257</v>
      </c>
      <c r="FN97" s="24">
        <f t="shared" si="171"/>
        <v>1275111</v>
      </c>
      <c r="FO97" s="24">
        <f t="shared" si="171"/>
        <v>1269751</v>
      </c>
      <c r="FP97" s="24">
        <f t="shared" si="171"/>
        <v>2398149</v>
      </c>
      <c r="FQ97" s="24">
        <f t="shared" si="171"/>
        <v>393085</v>
      </c>
      <c r="FR97" s="24">
        <f t="shared" si="171"/>
        <v>1354898</v>
      </c>
      <c r="FS97" s="24">
        <f t="shared" si="171"/>
        <v>7045722</v>
      </c>
      <c r="FT97" s="24">
        <f t="shared" si="171"/>
        <v>7045722</v>
      </c>
      <c r="FU97" s="24">
        <f t="shared" si="171"/>
        <v>1237426</v>
      </c>
      <c r="FV97" s="24">
        <f t="shared" si="171"/>
        <v>105040</v>
      </c>
      <c r="FW97" s="24">
        <f t="shared" si="171"/>
        <v>73617</v>
      </c>
      <c r="FX97" s="24">
        <f t="shared" si="171"/>
        <v>2394933</v>
      </c>
      <c r="FY97" s="24">
        <f t="shared" si="171"/>
        <v>2814994</v>
      </c>
      <c r="FZ97" s="24">
        <f t="shared" si="171"/>
        <v>2814994</v>
      </c>
      <c r="GA97" s="24">
        <f t="shared" si="171"/>
        <v>153494</v>
      </c>
      <c r="GB97" s="24">
        <f t="shared" si="171"/>
        <v>22811</v>
      </c>
      <c r="GC97" s="24">
        <f t="shared" si="171"/>
        <v>30054</v>
      </c>
      <c r="GD97" s="24">
        <f t="shared" si="171"/>
        <v>151244</v>
      </c>
      <c r="GE97" s="24">
        <f t="shared" si="171"/>
        <v>5014757</v>
      </c>
      <c r="GF97" s="24">
        <f t="shared" si="171"/>
        <v>5030149</v>
      </c>
      <c r="GG97" s="24">
        <f t="shared" si="171"/>
        <v>6496516</v>
      </c>
      <c r="GH97" s="24">
        <f t="shared" si="171"/>
        <v>5323858</v>
      </c>
      <c r="GI97" s="24">
        <f t="shared" si="171"/>
        <v>531400</v>
      </c>
      <c r="GJ97" s="24">
        <f t="shared" si="171"/>
        <v>4494999</v>
      </c>
      <c r="GK97" s="24">
        <f t="shared" si="171"/>
        <v>13533470</v>
      </c>
      <c r="GL97" s="24">
        <f t="shared" si="171"/>
        <v>19580403</v>
      </c>
      <c r="GM97" s="24">
        <f t="shared" si="171"/>
        <v>41549940</v>
      </c>
      <c r="GN97" s="24">
        <f t="shared" si="171"/>
        <v>15653606</v>
      </c>
      <c r="GO97" s="24">
        <f t="shared" ref="GO97:HD97" si="172">MAX(GO3:GO93)</f>
        <v>5914491</v>
      </c>
      <c r="GP97" s="24">
        <f t="shared" si="172"/>
        <v>56906578</v>
      </c>
      <c r="GQ97" s="24">
        <f t="shared" si="172"/>
        <v>82537302</v>
      </c>
      <c r="GR97" s="24">
        <f t="shared" si="172"/>
        <v>146807585</v>
      </c>
      <c r="GS97" s="24">
        <f t="shared" si="172"/>
        <v>1872154</v>
      </c>
      <c r="GT97" s="24">
        <f t="shared" si="172"/>
        <v>575611</v>
      </c>
      <c r="GU97" s="24">
        <f t="shared" si="172"/>
        <v>45388</v>
      </c>
      <c r="GV97" s="24">
        <f t="shared" si="172"/>
        <v>151263</v>
      </c>
      <c r="GW97" s="24">
        <f t="shared" si="172"/>
        <v>9201066</v>
      </c>
      <c r="GX97" s="24">
        <f t="shared" si="172"/>
        <v>9201066</v>
      </c>
      <c r="GY97" s="24">
        <f t="shared" si="172"/>
        <v>41549940</v>
      </c>
      <c r="GZ97" s="24">
        <f t="shared" si="172"/>
        <v>15653606</v>
      </c>
      <c r="HA97" s="24">
        <f t="shared" si="172"/>
        <v>5914491</v>
      </c>
      <c r="HB97" s="24">
        <f t="shared" si="172"/>
        <v>90277653</v>
      </c>
      <c r="HC97" s="24">
        <f t="shared" si="172"/>
        <v>91738368</v>
      </c>
      <c r="HD97" s="24">
        <f t="shared" si="172"/>
        <v>156008651</v>
      </c>
    </row>
    <row r="98" spans="1:212" x14ac:dyDescent="0.15">
      <c r="A98" s="23" t="s">
        <v>409</v>
      </c>
      <c r="G98" s="24">
        <f t="shared" ref="G98:BB98" si="173">AVERAGE(G3:G93)</f>
        <v>10213.648351648351</v>
      </c>
      <c r="H98" s="24">
        <f t="shared" si="173"/>
        <v>10658.373626373626</v>
      </c>
      <c r="I98" s="24">
        <f t="shared" si="173"/>
        <v>1483349663.1538463</v>
      </c>
      <c r="J98" s="24">
        <f t="shared" si="173"/>
        <v>448570644.39999998</v>
      </c>
      <c r="K98" s="24">
        <f t="shared" si="173"/>
        <v>5124755.8241758244</v>
      </c>
      <c r="L98" s="24">
        <f t="shared" si="173"/>
        <v>2597189.5</v>
      </c>
      <c r="M98" s="24">
        <f t="shared" si="173"/>
        <v>84884404.087912083</v>
      </c>
      <c r="N98" s="24">
        <f t="shared" si="173"/>
        <v>30212547</v>
      </c>
      <c r="O98" s="24">
        <f t="shared" si="173"/>
        <v>65534781.373626374</v>
      </c>
      <c r="P98" s="24">
        <f t="shared" si="173"/>
        <v>36721698</v>
      </c>
      <c r="Q98" s="24">
        <f t="shared" si="173"/>
        <v>643937624.8901099</v>
      </c>
      <c r="R98" s="24">
        <f t="shared" si="173"/>
        <v>407923165</v>
      </c>
      <c r="S98" s="24">
        <f t="shared" si="173"/>
        <v>1082582767.8351648</v>
      </c>
      <c r="T98" s="24">
        <f t="shared" si="173"/>
        <v>300116908.33333331</v>
      </c>
      <c r="U98" s="24">
        <f t="shared" si="173"/>
        <v>19744.758241758242</v>
      </c>
      <c r="V98" s="24">
        <f t="shared" si="173"/>
        <v>15549.6</v>
      </c>
      <c r="W98" s="24">
        <f t="shared" si="173"/>
        <v>33136.54945054945</v>
      </c>
      <c r="X98" s="24">
        <f t="shared" si="173"/>
        <v>23800.6</v>
      </c>
      <c r="Y98" s="24">
        <f t="shared" si="173"/>
        <v>23081.120879120877</v>
      </c>
      <c r="Z98" s="24">
        <f t="shared" si="173"/>
        <v>19227.400000000001</v>
      </c>
      <c r="AA98" s="24">
        <f t="shared" si="173"/>
        <v>36651.527472527472</v>
      </c>
      <c r="AB98" s="24">
        <f t="shared" si="173"/>
        <v>27421.599999999999</v>
      </c>
      <c r="AC98" s="24">
        <f t="shared" si="173"/>
        <v>8.6813186813186807</v>
      </c>
      <c r="AD98" s="24">
        <f t="shared" si="173"/>
        <v>10.934065934065934</v>
      </c>
      <c r="AE98" s="24">
        <f t="shared" si="173"/>
        <v>0.13186813186813187</v>
      </c>
      <c r="AF98" s="24">
        <f t="shared" si="173"/>
        <v>4479167.5274725277</v>
      </c>
      <c r="AG98" s="24">
        <f t="shared" si="173"/>
        <v>3416477.5280898875</v>
      </c>
      <c r="AH98" s="24">
        <f t="shared" si="173"/>
        <v>659863.61329670332</v>
      </c>
      <c r="AI98" s="24">
        <f t="shared" si="173"/>
        <v>275107.38351648347</v>
      </c>
      <c r="AJ98" s="24">
        <f t="shared" si="173"/>
        <v>620150.81776743487</v>
      </c>
      <c r="AK98" s="24">
        <f t="shared" si="173"/>
        <v>6.469775280898876</v>
      </c>
      <c r="AL98" s="24">
        <f t="shared" si="173"/>
        <v>549468.19506035454</v>
      </c>
      <c r="AM98" s="24">
        <f t="shared" si="173"/>
        <v>7.2528089887640448</v>
      </c>
      <c r="AN98" s="24">
        <f t="shared" si="173"/>
        <v>169180.14463151467</v>
      </c>
      <c r="AO98" s="24">
        <f t="shared" si="173"/>
        <v>8.337752808988764</v>
      </c>
      <c r="AP98" s="24">
        <f t="shared" si="173"/>
        <v>154406.08756353144</v>
      </c>
      <c r="AQ98" s="24">
        <f t="shared" si="173"/>
        <v>9.1235955056179776</v>
      </c>
      <c r="AR98" s="24">
        <f t="shared" si="173"/>
        <v>177960.84892085043</v>
      </c>
      <c r="AS98" s="24">
        <f t="shared" si="173"/>
        <v>20.004606741573035</v>
      </c>
      <c r="AT98" s="24">
        <f t="shared" si="173"/>
        <v>154829.7608366631</v>
      </c>
      <c r="AU98" s="24">
        <f t="shared" si="173"/>
        <v>22.932584269662922</v>
      </c>
      <c r="AV98" s="24">
        <f t="shared" si="173"/>
        <v>75788.971870212772</v>
      </c>
      <c r="AW98" s="24">
        <f t="shared" si="173"/>
        <v>15.35325842696629</v>
      </c>
      <c r="AX98" s="24">
        <f t="shared" si="173"/>
        <v>63604.806710463788</v>
      </c>
      <c r="AY98" s="24">
        <f t="shared" si="173"/>
        <v>18.248314606741573</v>
      </c>
      <c r="AZ98" s="24">
        <f t="shared" si="173"/>
        <v>9534704.0076923091</v>
      </c>
      <c r="BA98" s="24">
        <f t="shared" si="173"/>
        <v>806790.78021978016</v>
      </c>
      <c r="BB98" s="24" t="e">
        <f t="shared" si="173"/>
        <v>#REF!</v>
      </c>
      <c r="BC98" s="24">
        <f t="shared" ref="BC98:BO98" si="174">AVERAGE(BC3:BC93)</f>
        <v>723519.17714285711</v>
      </c>
      <c r="BD98" s="24">
        <f t="shared" si="174"/>
        <v>818016.18934065942</v>
      </c>
      <c r="BE98" s="24">
        <f t="shared" si="174"/>
        <v>59620.174725274723</v>
      </c>
      <c r="BF98" s="24">
        <f t="shared" si="174"/>
        <v>60409.477692307686</v>
      </c>
      <c r="BG98" s="24">
        <f t="shared" si="174"/>
        <v>21444.644444444446</v>
      </c>
      <c r="BH98" s="24">
        <f t="shared" si="174"/>
        <v>326509.98153846152</v>
      </c>
      <c r="BI98" s="24">
        <f t="shared" si="174"/>
        <v>47114.315274725283</v>
      </c>
      <c r="BJ98" s="24">
        <f t="shared" si="174"/>
        <v>514862.92857142858</v>
      </c>
      <c r="BK98" s="24">
        <f t="shared" si="174"/>
        <v>150324.75351648353</v>
      </c>
      <c r="BL98" s="24">
        <f t="shared" si="174"/>
        <v>31369.942087912088</v>
      </c>
      <c r="BM98" s="24">
        <f t="shared" si="174"/>
        <v>16499.450659340659</v>
      </c>
      <c r="BN98" s="24">
        <f t="shared" si="174"/>
        <v>189001.75901098902</v>
      </c>
      <c r="BO98" s="24">
        <f t="shared" si="174"/>
        <v>673687.82769230765</v>
      </c>
      <c r="BP98" s="24">
        <f t="shared" ref="BP98:EA98" si="175">AVERAGE(BP3:BP93)</f>
        <v>1060883.7329670331</v>
      </c>
      <c r="BQ98" s="24">
        <f t="shared" si="175"/>
        <v>251914.49219780217</v>
      </c>
      <c r="BR98" s="24">
        <f t="shared" si="175"/>
        <v>48731.824175824178</v>
      </c>
      <c r="BS98" s="24">
        <f t="shared" si="175"/>
        <v>13603.681318681318</v>
      </c>
      <c r="BT98" s="24">
        <f t="shared" si="175"/>
        <v>137119.97307692308</v>
      </c>
      <c r="BU98" s="24">
        <f t="shared" si="175"/>
        <v>1146925.011098901</v>
      </c>
      <c r="BV98" s="24">
        <f t="shared" si="175"/>
        <v>1598294.9895604397</v>
      </c>
      <c r="BW98" s="24" t="e">
        <f t="shared" si="175"/>
        <v>#REF!</v>
      </c>
      <c r="BX98" s="24" t="e">
        <f t="shared" si="175"/>
        <v>#REF!</v>
      </c>
      <c r="BY98" s="24" t="e">
        <f t="shared" si="175"/>
        <v>#REF!</v>
      </c>
      <c r="BZ98" s="24" t="e">
        <f t="shared" si="175"/>
        <v>#REF!</v>
      </c>
      <c r="CA98" s="24" t="e">
        <f t="shared" si="175"/>
        <v>#REF!</v>
      </c>
      <c r="CB98" s="24" t="e">
        <f t="shared" si="175"/>
        <v>#REF!</v>
      </c>
      <c r="CC98" s="24">
        <f t="shared" si="175"/>
        <v>2696983.768791209</v>
      </c>
      <c r="CD98" s="24">
        <f t="shared" si="175"/>
        <v>438946.66934065928</v>
      </c>
      <c r="CE98" s="24">
        <f t="shared" si="175"/>
        <v>449770.13067415723</v>
      </c>
      <c r="CF98" s="24">
        <f t="shared" si="175"/>
        <v>4326803.8326966297</v>
      </c>
      <c r="CG98" s="24">
        <f t="shared" si="175"/>
        <v>368221.50011363637</v>
      </c>
      <c r="CH98" s="24">
        <f t="shared" si="175"/>
        <v>8307399.2010989003</v>
      </c>
      <c r="CI98" s="24">
        <f t="shared" si="175"/>
        <v>1085885.4835164836</v>
      </c>
      <c r="CJ98" s="24">
        <f t="shared" si="175"/>
        <v>386407.21978021978</v>
      </c>
      <c r="CK98" s="24">
        <f t="shared" si="175"/>
        <v>52657.340659340662</v>
      </c>
      <c r="CL98" s="24">
        <f t="shared" si="175"/>
        <v>65132.461538461539</v>
      </c>
      <c r="CM98" s="24">
        <f t="shared" si="175"/>
        <v>18891.362637362636</v>
      </c>
      <c r="CN98" s="24">
        <f t="shared" si="175"/>
        <v>1608973.8681318681</v>
      </c>
      <c r="CO98" s="24">
        <f t="shared" si="175"/>
        <v>4241584.8663333328</v>
      </c>
      <c r="CP98" s="24">
        <f t="shared" si="175"/>
        <v>1983923.2507777778</v>
      </c>
      <c r="CQ98" s="24">
        <f t="shared" si="175"/>
        <v>856822.80588888889</v>
      </c>
      <c r="CR98" s="24">
        <f t="shared" si="175"/>
        <v>3156181.1689111115</v>
      </c>
      <c r="CS98" s="24">
        <f t="shared" si="175"/>
        <v>231669.93258426967</v>
      </c>
      <c r="CT98" s="24">
        <f t="shared" si="175"/>
        <v>10424552.48945055</v>
      </c>
      <c r="CU98" s="24">
        <f t="shared" si="175"/>
        <v>50130.923076923078</v>
      </c>
      <c r="CV98" s="24">
        <f t="shared" si="175"/>
        <v>28152.890109890111</v>
      </c>
      <c r="CW98" s="24">
        <f t="shared" si="175"/>
        <v>7112.3846153846152</v>
      </c>
      <c r="CX98" s="24">
        <f t="shared" si="175"/>
        <v>32913.516483516483</v>
      </c>
      <c r="CY98" s="24">
        <f t="shared" si="175"/>
        <v>0</v>
      </c>
      <c r="CZ98" s="24">
        <f t="shared" si="175"/>
        <v>118309.71428571429</v>
      </c>
      <c r="DA98" s="24">
        <f t="shared" si="175"/>
        <v>817385.96483516484</v>
      </c>
      <c r="DB98" s="24">
        <f t="shared" si="175"/>
        <v>260291.33703296704</v>
      </c>
      <c r="DC98" s="24">
        <f t="shared" si="175"/>
        <v>154230.69549450549</v>
      </c>
      <c r="DD98" s="24">
        <f t="shared" si="175"/>
        <v>455925.49895604397</v>
      </c>
      <c r="DE98" s="24">
        <f t="shared" si="175"/>
        <v>7967439.3402197808</v>
      </c>
      <c r="DF98" s="24">
        <f t="shared" si="175"/>
        <v>9655272.8259340655</v>
      </c>
      <c r="DG98" s="24">
        <f t="shared" si="175"/>
        <v>18628.120879120877</v>
      </c>
      <c r="DH98" s="24">
        <f t="shared" si="175"/>
        <v>304.17582417582418</v>
      </c>
      <c r="DI98" s="24">
        <f t="shared" si="175"/>
        <v>198.13186813186815</v>
      </c>
      <c r="DJ98" s="24">
        <f t="shared" si="175"/>
        <v>1834.7252747252746</v>
      </c>
      <c r="DK98" s="24">
        <f t="shared" si="175"/>
        <v>10631.362637362638</v>
      </c>
      <c r="DL98" s="24">
        <f t="shared" si="175"/>
        <v>14593.252747252747</v>
      </c>
      <c r="DM98" s="24">
        <f t="shared" si="175"/>
        <v>313137.7497802198</v>
      </c>
      <c r="DN98" s="24">
        <f t="shared" si="175"/>
        <v>101546.51648351649</v>
      </c>
      <c r="DO98" s="24">
        <f t="shared" si="175"/>
        <v>15612.516483516483</v>
      </c>
      <c r="DP98" s="24">
        <f t="shared" si="175"/>
        <v>19282.535164835164</v>
      </c>
      <c r="DQ98" s="24">
        <f t="shared" si="175"/>
        <v>76550.494395604401</v>
      </c>
      <c r="DR98" s="24">
        <f t="shared" si="175"/>
        <v>531975.68888888892</v>
      </c>
      <c r="DS98" s="24">
        <f t="shared" si="175"/>
        <v>382777.79296703293</v>
      </c>
      <c r="DT98" s="24">
        <f t="shared" si="175"/>
        <v>166195.27010989012</v>
      </c>
      <c r="DU98" s="24">
        <f t="shared" si="175"/>
        <v>97407.540659340651</v>
      </c>
      <c r="DV98" s="24">
        <f t="shared" si="175"/>
        <v>296830.24472527474</v>
      </c>
      <c r="DW98" s="24">
        <f t="shared" si="175"/>
        <v>8106.6421978021972</v>
      </c>
      <c r="DX98" s="24">
        <f t="shared" si="175"/>
        <v>951317.47802197805</v>
      </c>
      <c r="DY98" s="24">
        <f t="shared" si="175"/>
        <v>1242775.2183516482</v>
      </c>
      <c r="DZ98" s="24">
        <f t="shared" si="175"/>
        <v>557572.53527472529</v>
      </c>
      <c r="EA98" s="24">
        <f t="shared" si="175"/>
        <v>367742.33329670329</v>
      </c>
      <c r="EB98" s="24">
        <f t="shared" ref="EB98:GM98" si="176">AVERAGE(EB3:EB93)</f>
        <v>1716466.0508791208</v>
      </c>
      <c r="EC98" s="24">
        <f t="shared" si="176"/>
        <v>85340.026153846149</v>
      </c>
      <c r="ED98" s="24">
        <f t="shared" si="176"/>
        <v>3969896.1631868132</v>
      </c>
      <c r="EE98" s="24">
        <f t="shared" si="176"/>
        <v>544619.06648351648</v>
      </c>
      <c r="EF98" s="24">
        <f t="shared" si="176"/>
        <v>85628.28956043956</v>
      </c>
      <c r="EG98" s="24">
        <f t="shared" si="176"/>
        <v>61713.656593406595</v>
      </c>
      <c r="EH98" s="24">
        <f t="shared" si="176"/>
        <v>553716.55604395596</v>
      </c>
      <c r="EI98" s="24">
        <f t="shared" si="176"/>
        <v>339659.87604395603</v>
      </c>
      <c r="EJ98" s="24">
        <f t="shared" si="176"/>
        <v>1585337.4305494507</v>
      </c>
      <c r="EK98" s="24">
        <f t="shared" si="176"/>
        <v>1200983.9136263737</v>
      </c>
      <c r="EL98" s="24">
        <f t="shared" si="176"/>
        <v>386168.29461538466</v>
      </c>
      <c r="EM98" s="24">
        <f t="shared" si="176"/>
        <v>186605.40197802195</v>
      </c>
      <c r="EN98" s="24">
        <f t="shared" si="176"/>
        <v>371501.60769230768</v>
      </c>
      <c r="EO98" s="24">
        <f t="shared" si="176"/>
        <v>536970.53252747247</v>
      </c>
      <c r="EP98" s="24">
        <f t="shared" si="176"/>
        <v>2682229.7362637362</v>
      </c>
      <c r="EQ98" s="24">
        <f t="shared" si="176"/>
        <v>241904.29010989011</v>
      </c>
      <c r="ER98" s="24">
        <f t="shared" si="176"/>
        <v>58936.428241758236</v>
      </c>
      <c r="ES98" s="24">
        <f t="shared" si="176"/>
        <v>18344.631428571429</v>
      </c>
      <c r="ET98" s="24">
        <f t="shared" si="176"/>
        <v>72561.739230769235</v>
      </c>
      <c r="EU98" s="24">
        <f t="shared" si="176"/>
        <v>1205319.6419780222</v>
      </c>
      <c r="EV98" s="24">
        <f t="shared" si="176"/>
        <v>1597066.7262637364</v>
      </c>
      <c r="EW98" s="24">
        <f t="shared" si="176"/>
        <v>50797.714505494499</v>
      </c>
      <c r="EX98" s="24">
        <f t="shared" si="176"/>
        <v>37778.197692307695</v>
      </c>
      <c r="EY98" s="24">
        <f t="shared" si="176"/>
        <v>14498.629010989011</v>
      </c>
      <c r="EZ98" s="24">
        <f t="shared" si="176"/>
        <v>185511.20406593406</v>
      </c>
      <c r="FA98" s="24">
        <f t="shared" si="176"/>
        <v>42422.979560439562</v>
      </c>
      <c r="FB98" s="24">
        <f t="shared" si="176"/>
        <v>331008.72483516484</v>
      </c>
      <c r="FC98" s="24">
        <f t="shared" si="176"/>
        <v>1079510.2750549451</v>
      </c>
      <c r="FD98" s="24">
        <f t="shared" si="176"/>
        <v>203700.24593406593</v>
      </c>
      <c r="FE98" s="24">
        <f t="shared" si="176"/>
        <v>102290.62197802197</v>
      </c>
      <c r="FF98" s="24">
        <f t="shared" si="176"/>
        <v>893047.87109890126</v>
      </c>
      <c r="FG98" s="24">
        <f t="shared" si="176"/>
        <v>6484447.132417582</v>
      </c>
      <c r="FH98" s="24">
        <f t="shared" si="176"/>
        <v>8762996.155604396</v>
      </c>
      <c r="FI98" s="24">
        <f t="shared" si="176"/>
        <v>54756.949670329668</v>
      </c>
      <c r="FJ98" s="24">
        <f t="shared" si="176"/>
        <v>5283.9305494505497</v>
      </c>
      <c r="FK98" s="24">
        <f t="shared" si="176"/>
        <v>4606.739340659341</v>
      </c>
      <c r="FL98" s="24">
        <f t="shared" si="176"/>
        <v>5932.0439560439563</v>
      </c>
      <c r="FM98" s="24">
        <f t="shared" si="176"/>
        <v>176536.65098901099</v>
      </c>
      <c r="FN98" s="24">
        <f t="shared" si="176"/>
        <v>247116.29505494508</v>
      </c>
      <c r="FO98" s="24">
        <f t="shared" si="176"/>
        <v>61867.583846153844</v>
      </c>
      <c r="FP98" s="24">
        <f t="shared" si="176"/>
        <v>44589.076373626376</v>
      </c>
      <c r="FQ98" s="24">
        <f t="shared" si="176"/>
        <v>14745.563186813188</v>
      </c>
      <c r="FR98" s="24">
        <f t="shared" si="176"/>
        <v>69418.975934065937</v>
      </c>
      <c r="FS98" s="24">
        <f t="shared" si="176"/>
        <v>1060497.8723076922</v>
      </c>
      <c r="FT98" s="24">
        <f t="shared" si="176"/>
        <v>1265020.3946666666</v>
      </c>
      <c r="FU98" s="24">
        <f t="shared" si="176"/>
        <v>100299.2089010989</v>
      </c>
      <c r="FV98" s="24">
        <f t="shared" si="176"/>
        <v>14561.892527472528</v>
      </c>
      <c r="FW98" s="24">
        <f t="shared" si="176"/>
        <v>12148.987692307692</v>
      </c>
      <c r="FX98" s="24">
        <f t="shared" si="176"/>
        <v>152654.52252747252</v>
      </c>
      <c r="FY98" s="24">
        <f t="shared" si="176"/>
        <v>559657.38098901103</v>
      </c>
      <c r="FZ98" s="24">
        <f t="shared" si="176"/>
        <v>839321.99186813179</v>
      </c>
      <c r="GA98" s="24">
        <f t="shared" si="176"/>
        <v>11240.811978021979</v>
      </c>
      <c r="GB98" s="24">
        <f t="shared" si="176"/>
        <v>2858.1637362637362</v>
      </c>
      <c r="GC98" s="24">
        <f t="shared" si="176"/>
        <v>2691.4285714285716</v>
      </c>
      <c r="GD98" s="24">
        <f t="shared" si="176"/>
        <v>18852.465494505497</v>
      </c>
      <c r="GE98" s="24">
        <f t="shared" si="176"/>
        <v>374352.41549450555</v>
      </c>
      <c r="GF98" s="24">
        <f t="shared" si="176"/>
        <v>409995.29296703293</v>
      </c>
      <c r="GG98" s="24">
        <f t="shared" si="176"/>
        <v>956746.59945054946</v>
      </c>
      <c r="GH98" s="24">
        <f t="shared" si="176"/>
        <v>263627.25098901096</v>
      </c>
      <c r="GI98" s="24">
        <f t="shared" si="176"/>
        <v>99029.712087912092</v>
      </c>
      <c r="GJ98" s="24">
        <f t="shared" si="176"/>
        <v>515254.45</v>
      </c>
      <c r="GK98" s="24">
        <f t="shared" si="176"/>
        <v>3141077.5675824173</v>
      </c>
      <c r="GL98" s="24">
        <f t="shared" si="176"/>
        <v>4975735.5612087911</v>
      </c>
      <c r="GM98" s="24">
        <f t="shared" si="176"/>
        <v>14745528.117362639</v>
      </c>
      <c r="GN98" s="24">
        <f t="shared" ref="GN98:HD98" si="177">AVERAGE(GN3:GN93)</f>
        <v>4930596.4234065935</v>
      </c>
      <c r="GO98" s="24">
        <f t="shared" si="177"/>
        <v>2466675.5754945055</v>
      </c>
      <c r="GP98" s="24">
        <f t="shared" si="177"/>
        <v>12705891.631538462</v>
      </c>
      <c r="GQ98" s="24">
        <f t="shared" si="177"/>
        <v>22445144.242637362</v>
      </c>
      <c r="GR98" s="24">
        <f t="shared" si="177"/>
        <v>57293835.97912088</v>
      </c>
      <c r="GS98" s="24">
        <f t="shared" si="177"/>
        <v>34869.344444444447</v>
      </c>
      <c r="GT98" s="24">
        <f t="shared" si="177"/>
        <v>9622.0989010989015</v>
      </c>
      <c r="GU98" s="24">
        <f t="shared" si="177"/>
        <v>498.76923076923077</v>
      </c>
      <c r="GV98" s="24">
        <f t="shared" si="177"/>
        <v>-368.53846153846155</v>
      </c>
      <c r="GW98" s="24">
        <f t="shared" si="177"/>
        <v>718702.40659340657</v>
      </c>
      <c r="GX98" s="24">
        <f t="shared" si="177"/>
        <v>771418.02222222218</v>
      </c>
      <c r="GY98" s="24">
        <f t="shared" si="177"/>
        <v>14856159.194285715</v>
      </c>
      <c r="GZ98" s="24">
        <f t="shared" si="177"/>
        <v>4962187.8959340667</v>
      </c>
      <c r="HA98" s="24">
        <f t="shared" si="177"/>
        <v>2481704.1579120881</v>
      </c>
      <c r="HB98" s="24">
        <f t="shared" si="177"/>
        <v>13660480.016153846</v>
      </c>
      <c r="HC98" s="24">
        <f t="shared" si="177"/>
        <v>23133677.55032967</v>
      </c>
      <c r="HD98" s="24">
        <f t="shared" si="177"/>
        <v>59094208.803296708</v>
      </c>
    </row>
    <row r="99" spans="1:212" x14ac:dyDescent="0.15">
      <c r="A99" s="23" t="s">
        <v>410</v>
      </c>
      <c r="G99" s="24">
        <f>MEDIAN(G3:G93)</f>
        <v>9089</v>
      </c>
      <c r="H99" s="24">
        <f t="shared" ref="H99:BB99" si="178">MEDIAN(H3:H93)</f>
        <v>9835</v>
      </c>
      <c r="I99" s="24">
        <f t="shared" si="178"/>
        <v>895236635</v>
      </c>
      <c r="J99" s="24">
        <f t="shared" si="178"/>
        <v>486141875</v>
      </c>
      <c r="K99" s="24">
        <f t="shared" si="178"/>
        <v>2932814</v>
      </c>
      <c r="L99" s="24">
        <f t="shared" si="178"/>
        <v>2597189.5</v>
      </c>
      <c r="M99" s="24">
        <f t="shared" si="178"/>
        <v>36016352</v>
      </c>
      <c r="N99" s="24">
        <f t="shared" si="178"/>
        <v>30212547</v>
      </c>
      <c r="O99" s="24">
        <f t="shared" si="178"/>
        <v>46091711</v>
      </c>
      <c r="P99" s="24">
        <f t="shared" si="178"/>
        <v>36721698</v>
      </c>
      <c r="Q99" s="24">
        <f t="shared" si="178"/>
        <v>451678129</v>
      </c>
      <c r="R99" s="24">
        <f t="shared" si="178"/>
        <v>407923165</v>
      </c>
      <c r="S99" s="24">
        <f t="shared" si="178"/>
        <v>640804787</v>
      </c>
      <c r="T99" s="24">
        <f t="shared" si="178"/>
        <v>376532901</v>
      </c>
      <c r="U99" s="24">
        <f t="shared" si="178"/>
        <v>19799</v>
      </c>
      <c r="V99" s="24">
        <f t="shared" si="178"/>
        <v>15288</v>
      </c>
      <c r="W99" s="24">
        <f t="shared" si="178"/>
        <v>32182</v>
      </c>
      <c r="X99" s="24">
        <f t="shared" si="178"/>
        <v>22668</v>
      </c>
      <c r="Y99" s="24">
        <f t="shared" si="178"/>
        <v>22813</v>
      </c>
      <c r="Z99" s="24">
        <f t="shared" si="178"/>
        <v>19434</v>
      </c>
      <c r="AA99" s="24">
        <f t="shared" si="178"/>
        <v>34588</v>
      </c>
      <c r="AB99" s="24">
        <f t="shared" si="178"/>
        <v>27060</v>
      </c>
      <c r="AC99" s="24">
        <f t="shared" si="178"/>
        <v>8</v>
      </c>
      <c r="AD99" s="24">
        <f t="shared" si="178"/>
        <v>11</v>
      </c>
      <c r="AE99" s="24">
        <f t="shared" si="178"/>
        <v>0</v>
      </c>
      <c r="AF99" s="24">
        <f t="shared" si="178"/>
        <v>4270228</v>
      </c>
      <c r="AG99" s="24">
        <f t="shared" si="178"/>
        <v>3210710</v>
      </c>
      <c r="AH99" s="24">
        <f t="shared" si="178"/>
        <v>576920</v>
      </c>
      <c r="AI99" s="24">
        <f t="shared" si="178"/>
        <v>267585</v>
      </c>
      <c r="AJ99" s="24">
        <f t="shared" si="178"/>
        <v>573975</v>
      </c>
      <c r="AK99" s="24">
        <f t="shared" si="178"/>
        <v>6</v>
      </c>
      <c r="AL99" s="24">
        <f t="shared" si="178"/>
        <v>517212.92857142858</v>
      </c>
      <c r="AM99" s="24">
        <f t="shared" si="178"/>
        <v>7</v>
      </c>
      <c r="AN99" s="24">
        <f t="shared" si="178"/>
        <v>149243.55555555556</v>
      </c>
      <c r="AO99" s="24">
        <f t="shared" si="178"/>
        <v>8.06</v>
      </c>
      <c r="AP99" s="24">
        <f t="shared" si="178"/>
        <v>137984.63</v>
      </c>
      <c r="AQ99" s="24">
        <f t="shared" si="178"/>
        <v>9</v>
      </c>
      <c r="AR99" s="24">
        <f t="shared" si="178"/>
        <v>177458.92241935484</v>
      </c>
      <c r="AS99" s="24">
        <f t="shared" si="178"/>
        <v>19</v>
      </c>
      <c r="AT99" s="24">
        <f t="shared" si="178"/>
        <v>146801</v>
      </c>
      <c r="AU99" s="24">
        <f t="shared" si="178"/>
        <v>22</v>
      </c>
      <c r="AV99" s="24">
        <f t="shared" si="178"/>
        <v>77387.91</v>
      </c>
      <c r="AW99" s="24">
        <f t="shared" si="178"/>
        <v>14.92</v>
      </c>
      <c r="AX99" s="24">
        <f t="shared" si="178"/>
        <v>63633.05</v>
      </c>
      <c r="AY99" s="24">
        <f t="shared" si="178"/>
        <v>17</v>
      </c>
      <c r="AZ99" s="24">
        <f t="shared" si="178"/>
        <v>5518253</v>
      </c>
      <c r="BA99" s="24">
        <f t="shared" si="178"/>
        <v>609776</v>
      </c>
      <c r="BB99" s="24" t="e">
        <f t="shared" si="178"/>
        <v>#REF!</v>
      </c>
      <c r="BC99" s="24">
        <f t="shared" ref="BC99:BP99" si="179">MEDIAN(BC3:BC93)</f>
        <v>321656</v>
      </c>
      <c r="BD99" s="24">
        <f t="shared" si="179"/>
        <v>0</v>
      </c>
      <c r="BE99" s="24">
        <f t="shared" si="179"/>
        <v>3640</v>
      </c>
      <c r="BF99" s="24">
        <f t="shared" si="179"/>
        <v>0</v>
      </c>
      <c r="BG99" s="24">
        <f t="shared" si="179"/>
        <v>0</v>
      </c>
      <c r="BH99" s="24">
        <f t="shared" si="179"/>
        <v>7422</v>
      </c>
      <c r="BI99" s="24">
        <f t="shared" si="179"/>
        <v>0</v>
      </c>
      <c r="BJ99" s="24">
        <f t="shared" si="179"/>
        <v>125150</v>
      </c>
      <c r="BK99" s="24">
        <f t="shared" si="179"/>
        <v>3700</v>
      </c>
      <c r="BL99" s="24">
        <f t="shared" si="179"/>
        <v>13</v>
      </c>
      <c r="BM99" s="24">
        <f t="shared" si="179"/>
        <v>0</v>
      </c>
      <c r="BN99" s="24">
        <f t="shared" si="179"/>
        <v>8847</v>
      </c>
      <c r="BO99" s="24">
        <f t="shared" si="179"/>
        <v>140147</v>
      </c>
      <c r="BP99" s="24">
        <f t="shared" si="179"/>
        <v>240487</v>
      </c>
      <c r="BQ99" s="24">
        <f t="shared" ref="BQ99:EB99" si="180">MEDIAN(BQ3:BQ93)</f>
        <v>10609</v>
      </c>
      <c r="BR99" s="24">
        <f t="shared" si="180"/>
        <v>752</v>
      </c>
      <c r="BS99" s="24">
        <f t="shared" si="180"/>
        <v>0</v>
      </c>
      <c r="BT99" s="24">
        <f t="shared" si="180"/>
        <v>56280</v>
      </c>
      <c r="BU99" s="24">
        <f t="shared" si="180"/>
        <v>533453</v>
      </c>
      <c r="BV99" s="24">
        <f t="shared" si="180"/>
        <v>800873</v>
      </c>
      <c r="BW99" s="24" t="e">
        <f t="shared" si="180"/>
        <v>#REF!</v>
      </c>
      <c r="BX99" s="24" t="e">
        <f t="shared" si="180"/>
        <v>#REF!</v>
      </c>
      <c r="BY99" s="24" t="e">
        <f t="shared" si="180"/>
        <v>#REF!</v>
      </c>
      <c r="BZ99" s="24" t="e">
        <f t="shared" si="180"/>
        <v>#REF!</v>
      </c>
      <c r="CA99" s="24" t="e">
        <f t="shared" si="180"/>
        <v>#REF!</v>
      </c>
      <c r="CB99" s="24" t="e">
        <f t="shared" si="180"/>
        <v>#REF!</v>
      </c>
      <c r="CC99" s="24">
        <f t="shared" si="180"/>
        <v>2643681</v>
      </c>
      <c r="CD99" s="24">
        <f t="shared" si="180"/>
        <v>431599</v>
      </c>
      <c r="CE99" s="24">
        <f t="shared" si="180"/>
        <v>440218</v>
      </c>
      <c r="CF99" s="24">
        <f t="shared" si="180"/>
        <v>3985568</v>
      </c>
      <c r="CG99" s="24">
        <f t="shared" si="180"/>
        <v>150467</v>
      </c>
      <c r="CH99" s="24">
        <f t="shared" si="180"/>
        <v>8140736</v>
      </c>
      <c r="CI99" s="24">
        <f t="shared" si="180"/>
        <v>630000</v>
      </c>
      <c r="CJ99" s="24">
        <f t="shared" si="180"/>
        <v>385000</v>
      </c>
      <c r="CK99" s="24">
        <f t="shared" si="180"/>
        <v>41553</v>
      </c>
      <c r="CL99" s="24">
        <f t="shared" si="180"/>
        <v>37295</v>
      </c>
      <c r="CM99" s="24">
        <f t="shared" si="180"/>
        <v>0</v>
      </c>
      <c r="CN99" s="24">
        <f t="shared" si="180"/>
        <v>1203365</v>
      </c>
      <c r="CO99" s="24">
        <f t="shared" si="180"/>
        <v>4056925</v>
      </c>
      <c r="CP99" s="24">
        <f t="shared" si="180"/>
        <v>1687815</v>
      </c>
      <c r="CQ99" s="24">
        <f t="shared" si="180"/>
        <v>749144</v>
      </c>
      <c r="CR99" s="24">
        <f t="shared" si="180"/>
        <v>2898046</v>
      </c>
      <c r="CS99" s="24">
        <f t="shared" si="180"/>
        <v>0</v>
      </c>
      <c r="CT99" s="24">
        <f t="shared" si="180"/>
        <v>10318929</v>
      </c>
      <c r="CU99" s="24">
        <f t="shared" si="180"/>
        <v>0</v>
      </c>
      <c r="CV99" s="24">
        <f t="shared" si="180"/>
        <v>0</v>
      </c>
      <c r="CW99" s="24">
        <f t="shared" si="180"/>
        <v>0</v>
      </c>
      <c r="CX99" s="24">
        <f t="shared" si="180"/>
        <v>0</v>
      </c>
      <c r="CY99" s="24">
        <f t="shared" si="180"/>
        <v>0</v>
      </c>
      <c r="CZ99" s="24">
        <f t="shared" si="180"/>
        <v>0</v>
      </c>
      <c r="DA99" s="24">
        <f t="shared" si="180"/>
        <v>629337</v>
      </c>
      <c r="DB99" s="24">
        <f t="shared" si="180"/>
        <v>205023</v>
      </c>
      <c r="DC99" s="24">
        <f t="shared" si="180"/>
        <v>141355</v>
      </c>
      <c r="DD99" s="24">
        <f t="shared" si="180"/>
        <v>182843</v>
      </c>
      <c r="DE99" s="24">
        <f t="shared" si="180"/>
        <v>6674696</v>
      </c>
      <c r="DF99" s="24">
        <f t="shared" si="180"/>
        <v>8852560</v>
      </c>
      <c r="DG99" s="24">
        <f t="shared" si="180"/>
        <v>0</v>
      </c>
      <c r="DH99" s="24">
        <f t="shared" si="180"/>
        <v>0</v>
      </c>
      <c r="DI99" s="24">
        <f t="shared" si="180"/>
        <v>0</v>
      </c>
      <c r="DJ99" s="24">
        <f t="shared" si="180"/>
        <v>0</v>
      </c>
      <c r="DK99" s="24">
        <f t="shared" si="180"/>
        <v>0</v>
      </c>
      <c r="DL99" s="24">
        <f t="shared" si="180"/>
        <v>0</v>
      </c>
      <c r="DM99" s="24">
        <f t="shared" si="180"/>
        <v>0</v>
      </c>
      <c r="DN99" s="24">
        <f t="shared" si="180"/>
        <v>0</v>
      </c>
      <c r="DO99" s="24">
        <f t="shared" si="180"/>
        <v>0</v>
      </c>
      <c r="DP99" s="24">
        <f t="shared" si="180"/>
        <v>0</v>
      </c>
      <c r="DQ99" s="24">
        <f t="shared" si="180"/>
        <v>0</v>
      </c>
      <c r="DR99" s="24">
        <f t="shared" si="180"/>
        <v>72356</v>
      </c>
      <c r="DS99" s="24">
        <f t="shared" si="180"/>
        <v>300729</v>
      </c>
      <c r="DT99" s="24">
        <f t="shared" si="180"/>
        <v>142258</v>
      </c>
      <c r="DU99" s="24">
        <f t="shared" si="180"/>
        <v>92756</v>
      </c>
      <c r="DV99" s="24">
        <f t="shared" si="180"/>
        <v>277961</v>
      </c>
      <c r="DW99" s="24">
        <f t="shared" si="180"/>
        <v>0</v>
      </c>
      <c r="DX99" s="24">
        <f t="shared" si="180"/>
        <v>858692</v>
      </c>
      <c r="DY99" s="24">
        <f t="shared" si="180"/>
        <v>1064196</v>
      </c>
      <c r="DZ99" s="24">
        <f t="shared" si="180"/>
        <v>475497</v>
      </c>
      <c r="EA99" s="24">
        <f t="shared" si="180"/>
        <v>314895</v>
      </c>
      <c r="EB99" s="24">
        <f t="shared" si="180"/>
        <v>1555557</v>
      </c>
      <c r="EC99" s="24">
        <f t="shared" ref="EC99:GN99" si="181">MEDIAN(EC3:EC93)</f>
        <v>59</v>
      </c>
      <c r="ED99" s="24">
        <f t="shared" si="181"/>
        <v>3972825</v>
      </c>
      <c r="EE99" s="24">
        <f t="shared" si="181"/>
        <v>450768</v>
      </c>
      <c r="EF99" s="24">
        <f t="shared" si="181"/>
        <v>67748</v>
      </c>
      <c r="EG99" s="24">
        <f t="shared" si="181"/>
        <v>46963</v>
      </c>
      <c r="EH99" s="24">
        <f t="shared" si="181"/>
        <v>412727</v>
      </c>
      <c r="EI99" s="24">
        <f t="shared" si="181"/>
        <v>175623</v>
      </c>
      <c r="EJ99" s="24">
        <f t="shared" si="181"/>
        <v>1313907</v>
      </c>
      <c r="EK99" s="24">
        <f t="shared" si="181"/>
        <v>774547</v>
      </c>
      <c r="EL99" s="24">
        <f t="shared" si="181"/>
        <v>300770</v>
      </c>
      <c r="EM99" s="24">
        <f t="shared" si="181"/>
        <v>148906</v>
      </c>
      <c r="EN99" s="24">
        <f t="shared" si="181"/>
        <v>257847</v>
      </c>
      <c r="EO99" s="24">
        <f t="shared" si="181"/>
        <v>37242</v>
      </c>
      <c r="EP99" s="24">
        <f t="shared" si="181"/>
        <v>1836383</v>
      </c>
      <c r="EQ99" s="24">
        <f t="shared" si="181"/>
        <v>28826</v>
      </c>
      <c r="ER99" s="24">
        <f t="shared" si="181"/>
        <v>8011</v>
      </c>
      <c r="ES99" s="24">
        <f t="shared" si="181"/>
        <v>2734</v>
      </c>
      <c r="ET99" s="24">
        <f t="shared" si="181"/>
        <v>16584</v>
      </c>
      <c r="EU99" s="24">
        <f t="shared" si="181"/>
        <v>737545</v>
      </c>
      <c r="EV99" s="24">
        <f t="shared" si="181"/>
        <v>1171416</v>
      </c>
      <c r="EW99" s="24">
        <f t="shared" si="181"/>
        <v>0</v>
      </c>
      <c r="EX99" s="24">
        <f t="shared" si="181"/>
        <v>0</v>
      </c>
      <c r="EY99" s="24">
        <f t="shared" si="181"/>
        <v>0</v>
      </c>
      <c r="EZ99" s="24">
        <f t="shared" si="181"/>
        <v>0</v>
      </c>
      <c r="FA99" s="24">
        <f t="shared" si="181"/>
        <v>0</v>
      </c>
      <c r="FB99" s="24">
        <f t="shared" si="181"/>
        <v>20616</v>
      </c>
      <c r="FC99" s="24">
        <f t="shared" si="181"/>
        <v>152767</v>
      </c>
      <c r="FD99" s="24">
        <f t="shared" si="181"/>
        <v>13531</v>
      </c>
      <c r="FE99" s="24">
        <f t="shared" si="181"/>
        <v>9514</v>
      </c>
      <c r="FF99" s="24">
        <f t="shared" si="181"/>
        <v>117387</v>
      </c>
      <c r="FG99" s="24">
        <f t="shared" si="181"/>
        <v>3084888</v>
      </c>
      <c r="FH99" s="24">
        <f t="shared" si="181"/>
        <v>5576170</v>
      </c>
      <c r="FI99" s="24">
        <f t="shared" si="181"/>
        <v>0</v>
      </c>
      <c r="FJ99" s="24">
        <f t="shared" si="181"/>
        <v>0</v>
      </c>
      <c r="FK99" s="24">
        <f t="shared" si="181"/>
        <v>0</v>
      </c>
      <c r="FL99" s="24">
        <f t="shared" si="181"/>
        <v>0</v>
      </c>
      <c r="FM99" s="24">
        <f t="shared" si="181"/>
        <v>105212</v>
      </c>
      <c r="FN99" s="24">
        <f t="shared" si="181"/>
        <v>163211</v>
      </c>
      <c r="FO99" s="24">
        <f t="shared" si="181"/>
        <v>0</v>
      </c>
      <c r="FP99" s="24">
        <f t="shared" si="181"/>
        <v>0</v>
      </c>
      <c r="FQ99" s="24">
        <f t="shared" si="181"/>
        <v>0</v>
      </c>
      <c r="FR99" s="24">
        <f t="shared" si="181"/>
        <v>0</v>
      </c>
      <c r="FS99" s="24">
        <f t="shared" si="181"/>
        <v>0</v>
      </c>
      <c r="FT99" s="24">
        <f t="shared" si="181"/>
        <v>45313</v>
      </c>
      <c r="FU99" s="24">
        <f t="shared" si="181"/>
        <v>23251</v>
      </c>
      <c r="FV99" s="24">
        <f t="shared" si="181"/>
        <v>1753</v>
      </c>
      <c r="FW99" s="24">
        <f t="shared" si="181"/>
        <v>1057</v>
      </c>
      <c r="FX99" s="24">
        <f t="shared" si="181"/>
        <v>12250</v>
      </c>
      <c r="FY99" s="24">
        <f t="shared" si="181"/>
        <v>447058</v>
      </c>
      <c r="FZ99" s="24">
        <f t="shared" si="181"/>
        <v>730059</v>
      </c>
      <c r="GA99" s="24">
        <f t="shared" si="181"/>
        <v>2560</v>
      </c>
      <c r="GB99" s="24">
        <f t="shared" si="181"/>
        <v>955</v>
      </c>
      <c r="GC99" s="24">
        <f t="shared" si="181"/>
        <v>1259</v>
      </c>
      <c r="GD99" s="24">
        <f t="shared" si="181"/>
        <v>10950</v>
      </c>
      <c r="GE99" s="24">
        <f t="shared" si="181"/>
        <v>115306</v>
      </c>
      <c r="GF99" s="24">
        <f t="shared" si="181"/>
        <v>165548</v>
      </c>
      <c r="GG99" s="24">
        <f t="shared" si="181"/>
        <v>466052</v>
      </c>
      <c r="GH99" s="24">
        <f t="shared" si="181"/>
        <v>149297</v>
      </c>
      <c r="GI99" s="24">
        <f t="shared" si="181"/>
        <v>77708</v>
      </c>
      <c r="GJ99" s="24">
        <f t="shared" si="181"/>
        <v>295872.02999999997</v>
      </c>
      <c r="GK99" s="24">
        <f t="shared" si="181"/>
        <v>2251898</v>
      </c>
      <c r="GL99" s="24">
        <f t="shared" si="181"/>
        <v>3758569</v>
      </c>
      <c r="GM99" s="24">
        <f t="shared" si="181"/>
        <v>13300684</v>
      </c>
      <c r="GN99" s="24">
        <f t="shared" si="181"/>
        <v>4522192</v>
      </c>
      <c r="GO99" s="24">
        <f t="shared" ref="GO99:HD99" si="182">MEDIAN(GO3:GO93)</f>
        <v>2301636</v>
      </c>
      <c r="GP99" s="24">
        <f t="shared" si="182"/>
        <v>10584109</v>
      </c>
      <c r="GQ99" s="24">
        <f t="shared" si="182"/>
        <v>18326655</v>
      </c>
      <c r="GR99" s="24">
        <f t="shared" si="182"/>
        <v>57362224</v>
      </c>
      <c r="GS99" s="24">
        <f t="shared" si="182"/>
        <v>0</v>
      </c>
      <c r="GT99" s="24">
        <f t="shared" si="182"/>
        <v>0</v>
      </c>
      <c r="GU99" s="24">
        <f t="shared" si="182"/>
        <v>0</v>
      </c>
      <c r="GV99" s="24">
        <f t="shared" si="182"/>
        <v>0</v>
      </c>
      <c r="GW99" s="24">
        <f t="shared" si="182"/>
        <v>0</v>
      </c>
      <c r="GX99" s="24">
        <f t="shared" si="182"/>
        <v>0</v>
      </c>
      <c r="GY99" s="24">
        <f t="shared" si="182"/>
        <v>13300684</v>
      </c>
      <c r="GZ99" s="24">
        <f t="shared" si="182"/>
        <v>4522192</v>
      </c>
      <c r="HA99" s="24">
        <f t="shared" si="182"/>
        <v>2301636</v>
      </c>
      <c r="HB99" s="24">
        <f t="shared" si="182"/>
        <v>10739311</v>
      </c>
      <c r="HC99" s="24">
        <f t="shared" si="182"/>
        <v>18420676</v>
      </c>
      <c r="HD99" s="24">
        <f t="shared" si="182"/>
        <v>62224194</v>
      </c>
    </row>
    <row r="100" spans="1:212" x14ac:dyDescent="0.15">
      <c r="A100" s="23" t="s">
        <v>411</v>
      </c>
      <c r="G100" s="24" t="e">
        <f t="shared" ref="G100:BB100" si="183">MODE(G3:G93)</f>
        <v>#N/A</v>
      </c>
      <c r="H100" s="24">
        <f t="shared" si="183"/>
        <v>8003</v>
      </c>
      <c r="I100" s="24" t="e">
        <f t="shared" si="183"/>
        <v>#N/A</v>
      </c>
      <c r="J100" s="24" t="e">
        <f t="shared" si="183"/>
        <v>#N/A</v>
      </c>
      <c r="K100" s="24">
        <f t="shared" si="183"/>
        <v>0</v>
      </c>
      <c r="L100" s="24" t="e">
        <f t="shared" si="183"/>
        <v>#N/A</v>
      </c>
      <c r="M100" s="24" t="e">
        <f t="shared" si="183"/>
        <v>#N/A</v>
      </c>
      <c r="N100" s="24" t="e">
        <f t="shared" si="183"/>
        <v>#N/A</v>
      </c>
      <c r="O100" s="24">
        <f t="shared" si="183"/>
        <v>0</v>
      </c>
      <c r="P100" s="24" t="e">
        <f t="shared" si="183"/>
        <v>#N/A</v>
      </c>
      <c r="Q100" s="24" t="e">
        <f t="shared" si="183"/>
        <v>#N/A</v>
      </c>
      <c r="R100" s="24" t="e">
        <f t="shared" si="183"/>
        <v>#N/A</v>
      </c>
      <c r="S100" s="24" t="e">
        <f t="shared" si="183"/>
        <v>#N/A</v>
      </c>
      <c r="T100" s="24" t="e">
        <f t="shared" si="183"/>
        <v>#N/A</v>
      </c>
      <c r="U100" s="24" t="e">
        <f t="shared" si="183"/>
        <v>#N/A</v>
      </c>
      <c r="V100" s="24" t="e">
        <f t="shared" si="183"/>
        <v>#N/A</v>
      </c>
      <c r="W100" s="24">
        <f t="shared" si="183"/>
        <v>30140</v>
      </c>
      <c r="X100" s="24" t="e">
        <f t="shared" si="183"/>
        <v>#N/A</v>
      </c>
      <c r="Y100" s="24" t="e">
        <f t="shared" si="183"/>
        <v>#N/A</v>
      </c>
      <c r="Z100" s="24" t="e">
        <f t="shared" si="183"/>
        <v>#N/A</v>
      </c>
      <c r="AA100" s="24" t="e">
        <f t="shared" si="183"/>
        <v>#N/A</v>
      </c>
      <c r="AB100" s="24" t="e">
        <f t="shared" si="183"/>
        <v>#N/A</v>
      </c>
      <c r="AC100" s="24">
        <f t="shared" si="183"/>
        <v>7</v>
      </c>
      <c r="AD100" s="24">
        <f t="shared" si="183"/>
        <v>11</v>
      </c>
      <c r="AE100" s="24">
        <f t="shared" si="183"/>
        <v>0</v>
      </c>
      <c r="AF100" s="24" t="e">
        <f t="shared" si="183"/>
        <v>#N/A</v>
      </c>
      <c r="AG100" s="24" t="e">
        <f t="shared" si="183"/>
        <v>#N/A</v>
      </c>
      <c r="AH100" s="24" t="e">
        <f t="shared" si="183"/>
        <v>#N/A</v>
      </c>
      <c r="AI100" s="24" t="e">
        <f t="shared" si="183"/>
        <v>#N/A</v>
      </c>
      <c r="AJ100" s="24" t="e">
        <f t="shared" si="183"/>
        <v>#N/A</v>
      </c>
      <c r="AK100" s="24">
        <f t="shared" si="183"/>
        <v>6</v>
      </c>
      <c r="AL100" s="24" t="e">
        <f t="shared" si="183"/>
        <v>#N/A</v>
      </c>
      <c r="AM100" s="24">
        <f t="shared" si="183"/>
        <v>7</v>
      </c>
      <c r="AN100" s="24" t="e">
        <f t="shared" si="183"/>
        <v>#N/A</v>
      </c>
      <c r="AO100" s="24">
        <f t="shared" si="183"/>
        <v>8</v>
      </c>
      <c r="AP100" s="24" t="e">
        <f t="shared" si="183"/>
        <v>#N/A</v>
      </c>
      <c r="AQ100" s="24">
        <f t="shared" si="183"/>
        <v>9</v>
      </c>
      <c r="AR100" s="24" t="e">
        <f t="shared" si="183"/>
        <v>#N/A</v>
      </c>
      <c r="AS100" s="24">
        <f t="shared" si="183"/>
        <v>20</v>
      </c>
      <c r="AT100" s="24" t="e">
        <f t="shared" si="183"/>
        <v>#N/A</v>
      </c>
      <c r="AU100" s="24">
        <f t="shared" si="183"/>
        <v>20</v>
      </c>
      <c r="AV100" s="24" t="e">
        <f t="shared" si="183"/>
        <v>#N/A</v>
      </c>
      <c r="AW100" s="24">
        <f t="shared" si="183"/>
        <v>17</v>
      </c>
      <c r="AX100" s="24" t="e">
        <f t="shared" si="183"/>
        <v>#N/A</v>
      </c>
      <c r="AY100" s="24">
        <f t="shared" si="183"/>
        <v>16</v>
      </c>
      <c r="AZ100" s="24" t="e">
        <f t="shared" si="183"/>
        <v>#N/A</v>
      </c>
      <c r="BA100" s="24">
        <f t="shared" si="183"/>
        <v>0</v>
      </c>
      <c r="BB100" s="24" t="e">
        <f t="shared" si="183"/>
        <v>#REF!</v>
      </c>
      <c r="BC100" s="24">
        <f t="shared" ref="BC100:BO100" si="184">MODE(BC3:BC93)</f>
        <v>0</v>
      </c>
      <c r="BD100" s="24">
        <f t="shared" si="184"/>
        <v>0</v>
      </c>
      <c r="BE100" s="24">
        <f t="shared" si="184"/>
        <v>0</v>
      </c>
      <c r="BF100" s="24">
        <f t="shared" si="184"/>
        <v>0</v>
      </c>
      <c r="BG100" s="24">
        <f t="shared" si="184"/>
        <v>0</v>
      </c>
      <c r="BH100" s="24">
        <f t="shared" si="184"/>
        <v>0</v>
      </c>
      <c r="BI100" s="24">
        <f t="shared" si="184"/>
        <v>0</v>
      </c>
      <c r="BJ100" s="24">
        <f t="shared" si="184"/>
        <v>0</v>
      </c>
      <c r="BK100" s="24">
        <f t="shared" si="184"/>
        <v>0</v>
      </c>
      <c r="BL100" s="24">
        <f t="shared" si="184"/>
        <v>0</v>
      </c>
      <c r="BM100" s="24">
        <f t="shared" si="184"/>
        <v>0</v>
      </c>
      <c r="BN100" s="24">
        <f t="shared" si="184"/>
        <v>0</v>
      </c>
      <c r="BO100" s="24">
        <f t="shared" si="184"/>
        <v>0</v>
      </c>
      <c r="BP100" s="24">
        <f t="shared" ref="BP100:EA100" si="185">MODE(BP3:BP93)</f>
        <v>0</v>
      </c>
      <c r="BQ100" s="24">
        <f t="shared" si="185"/>
        <v>0</v>
      </c>
      <c r="BR100" s="24">
        <f t="shared" si="185"/>
        <v>0</v>
      </c>
      <c r="BS100" s="24">
        <f t="shared" si="185"/>
        <v>0</v>
      </c>
      <c r="BT100" s="24">
        <f t="shared" si="185"/>
        <v>0</v>
      </c>
      <c r="BU100" s="24" t="e">
        <f t="shared" si="185"/>
        <v>#N/A</v>
      </c>
      <c r="BV100" s="24" t="e">
        <f t="shared" si="185"/>
        <v>#N/A</v>
      </c>
      <c r="BW100" s="24" t="e">
        <f t="shared" si="185"/>
        <v>#REF!</v>
      </c>
      <c r="BX100" s="24" t="e">
        <f t="shared" si="185"/>
        <v>#REF!</v>
      </c>
      <c r="BY100" s="24" t="e">
        <f t="shared" si="185"/>
        <v>#REF!</v>
      </c>
      <c r="BZ100" s="24" t="e">
        <f t="shared" si="185"/>
        <v>#REF!</v>
      </c>
      <c r="CA100" s="24" t="e">
        <f t="shared" si="185"/>
        <v>#REF!</v>
      </c>
      <c r="CB100" s="24" t="e">
        <f t="shared" si="185"/>
        <v>#REF!</v>
      </c>
      <c r="CC100" s="24" t="e">
        <f t="shared" si="185"/>
        <v>#N/A</v>
      </c>
      <c r="CD100" s="24" t="e">
        <f t="shared" si="185"/>
        <v>#N/A</v>
      </c>
      <c r="CE100" s="24" t="e">
        <f t="shared" si="185"/>
        <v>#N/A</v>
      </c>
      <c r="CF100" s="24" t="e">
        <f t="shared" si="185"/>
        <v>#N/A</v>
      </c>
      <c r="CG100" s="24">
        <f t="shared" si="185"/>
        <v>0</v>
      </c>
      <c r="CH100" s="24" t="e">
        <f t="shared" si="185"/>
        <v>#N/A</v>
      </c>
      <c r="CI100" s="24">
        <f t="shared" si="185"/>
        <v>425000</v>
      </c>
      <c r="CJ100" s="24">
        <f t="shared" si="185"/>
        <v>15000</v>
      </c>
      <c r="CK100" s="24">
        <f t="shared" si="185"/>
        <v>0</v>
      </c>
      <c r="CL100" s="24">
        <f t="shared" si="185"/>
        <v>0</v>
      </c>
      <c r="CM100" s="24">
        <f t="shared" si="185"/>
        <v>0</v>
      </c>
      <c r="CN100" s="24" t="e">
        <f t="shared" si="185"/>
        <v>#N/A</v>
      </c>
      <c r="CO100" s="24" t="e">
        <f t="shared" si="185"/>
        <v>#N/A</v>
      </c>
      <c r="CP100" s="24" t="e">
        <f t="shared" si="185"/>
        <v>#N/A</v>
      </c>
      <c r="CQ100" s="24" t="e">
        <f t="shared" si="185"/>
        <v>#N/A</v>
      </c>
      <c r="CR100" s="24" t="e">
        <f t="shared" si="185"/>
        <v>#N/A</v>
      </c>
      <c r="CS100" s="24">
        <f t="shared" si="185"/>
        <v>0</v>
      </c>
      <c r="CT100" s="24" t="e">
        <f t="shared" si="185"/>
        <v>#N/A</v>
      </c>
      <c r="CU100" s="24">
        <f t="shared" si="185"/>
        <v>0</v>
      </c>
      <c r="CV100" s="24">
        <f t="shared" si="185"/>
        <v>0</v>
      </c>
      <c r="CW100" s="24">
        <f t="shared" si="185"/>
        <v>0</v>
      </c>
      <c r="CX100" s="24">
        <f t="shared" si="185"/>
        <v>0</v>
      </c>
      <c r="CY100" s="24">
        <f t="shared" si="185"/>
        <v>0</v>
      </c>
      <c r="CZ100" s="24">
        <f t="shared" si="185"/>
        <v>0</v>
      </c>
      <c r="DA100" s="24">
        <f t="shared" si="185"/>
        <v>0</v>
      </c>
      <c r="DB100" s="24">
        <f t="shared" si="185"/>
        <v>0</v>
      </c>
      <c r="DC100" s="24">
        <f t="shared" si="185"/>
        <v>0</v>
      </c>
      <c r="DD100" s="24">
        <f t="shared" si="185"/>
        <v>0</v>
      </c>
      <c r="DE100" s="24" t="e">
        <f t="shared" si="185"/>
        <v>#N/A</v>
      </c>
      <c r="DF100" s="24" t="e">
        <f t="shared" si="185"/>
        <v>#N/A</v>
      </c>
      <c r="DG100" s="24">
        <f t="shared" si="185"/>
        <v>0</v>
      </c>
      <c r="DH100" s="24">
        <f t="shared" si="185"/>
        <v>0</v>
      </c>
      <c r="DI100" s="24">
        <f t="shared" si="185"/>
        <v>0</v>
      </c>
      <c r="DJ100" s="24">
        <f t="shared" si="185"/>
        <v>0</v>
      </c>
      <c r="DK100" s="24">
        <f t="shared" si="185"/>
        <v>0</v>
      </c>
      <c r="DL100" s="24">
        <f t="shared" si="185"/>
        <v>0</v>
      </c>
      <c r="DM100" s="24">
        <f t="shared" si="185"/>
        <v>0</v>
      </c>
      <c r="DN100" s="24">
        <f t="shared" si="185"/>
        <v>0</v>
      </c>
      <c r="DO100" s="24">
        <f t="shared" si="185"/>
        <v>0</v>
      </c>
      <c r="DP100" s="24">
        <f t="shared" si="185"/>
        <v>0</v>
      </c>
      <c r="DQ100" s="24">
        <f t="shared" si="185"/>
        <v>0</v>
      </c>
      <c r="DR100" s="24">
        <f t="shared" si="185"/>
        <v>0</v>
      </c>
      <c r="DS100" s="24" t="e">
        <f t="shared" si="185"/>
        <v>#N/A</v>
      </c>
      <c r="DT100" s="24" t="e">
        <f t="shared" si="185"/>
        <v>#N/A</v>
      </c>
      <c r="DU100" s="24" t="e">
        <f t="shared" si="185"/>
        <v>#N/A</v>
      </c>
      <c r="DV100" s="24" t="e">
        <f t="shared" si="185"/>
        <v>#N/A</v>
      </c>
      <c r="DW100" s="24">
        <f t="shared" si="185"/>
        <v>0</v>
      </c>
      <c r="DX100" s="24" t="e">
        <f t="shared" si="185"/>
        <v>#N/A</v>
      </c>
      <c r="DY100" s="24" t="e">
        <f t="shared" si="185"/>
        <v>#N/A</v>
      </c>
      <c r="DZ100" s="24" t="e">
        <f t="shared" si="185"/>
        <v>#N/A</v>
      </c>
      <c r="EA100" s="24" t="e">
        <f t="shared" si="185"/>
        <v>#N/A</v>
      </c>
      <c r="EB100" s="24" t="e">
        <f t="shared" ref="EB100:GM100" si="186">MODE(EB3:EB93)</f>
        <v>#N/A</v>
      </c>
      <c r="EC100" s="24">
        <f t="shared" si="186"/>
        <v>0</v>
      </c>
      <c r="ED100" s="24" t="e">
        <f t="shared" si="186"/>
        <v>#N/A</v>
      </c>
      <c r="EE100" s="24" t="e">
        <f t="shared" si="186"/>
        <v>#N/A</v>
      </c>
      <c r="EF100" s="24" t="e">
        <f t="shared" si="186"/>
        <v>#N/A</v>
      </c>
      <c r="EG100" s="24" t="e">
        <f t="shared" si="186"/>
        <v>#N/A</v>
      </c>
      <c r="EH100" s="24" t="e">
        <f t="shared" si="186"/>
        <v>#N/A</v>
      </c>
      <c r="EI100" s="24">
        <f t="shared" si="186"/>
        <v>0</v>
      </c>
      <c r="EJ100" s="24" t="e">
        <f t="shared" si="186"/>
        <v>#N/A</v>
      </c>
      <c r="EK100" s="24" t="e">
        <f t="shared" si="186"/>
        <v>#N/A</v>
      </c>
      <c r="EL100" s="24" t="e">
        <f t="shared" si="186"/>
        <v>#N/A</v>
      </c>
      <c r="EM100" s="24" t="e">
        <f t="shared" si="186"/>
        <v>#N/A</v>
      </c>
      <c r="EN100" s="24" t="e">
        <f t="shared" si="186"/>
        <v>#N/A</v>
      </c>
      <c r="EO100" s="24">
        <f t="shared" si="186"/>
        <v>0</v>
      </c>
      <c r="EP100" s="24" t="e">
        <f t="shared" si="186"/>
        <v>#N/A</v>
      </c>
      <c r="EQ100" s="24">
        <f t="shared" si="186"/>
        <v>0</v>
      </c>
      <c r="ER100" s="24">
        <f t="shared" si="186"/>
        <v>0</v>
      </c>
      <c r="ES100" s="24">
        <f t="shared" si="186"/>
        <v>0</v>
      </c>
      <c r="ET100" s="24">
        <f t="shared" si="186"/>
        <v>0</v>
      </c>
      <c r="EU100" s="24" t="e">
        <f t="shared" si="186"/>
        <v>#N/A</v>
      </c>
      <c r="EV100" s="24" t="e">
        <f t="shared" si="186"/>
        <v>#N/A</v>
      </c>
      <c r="EW100" s="24">
        <f t="shared" si="186"/>
        <v>0</v>
      </c>
      <c r="EX100" s="24">
        <f t="shared" si="186"/>
        <v>0</v>
      </c>
      <c r="EY100" s="24">
        <f t="shared" si="186"/>
        <v>0</v>
      </c>
      <c r="EZ100" s="24">
        <f t="shared" si="186"/>
        <v>0</v>
      </c>
      <c r="FA100" s="24">
        <f t="shared" si="186"/>
        <v>0</v>
      </c>
      <c r="FB100" s="24">
        <f t="shared" si="186"/>
        <v>0</v>
      </c>
      <c r="FC100" s="24">
        <f t="shared" si="186"/>
        <v>0</v>
      </c>
      <c r="FD100" s="24">
        <f t="shared" si="186"/>
        <v>0</v>
      </c>
      <c r="FE100" s="24">
        <f t="shared" si="186"/>
        <v>0</v>
      </c>
      <c r="FF100" s="24">
        <f t="shared" si="186"/>
        <v>0</v>
      </c>
      <c r="FG100" s="24">
        <f t="shared" si="186"/>
        <v>0</v>
      </c>
      <c r="FH100" s="24" t="e">
        <f t="shared" si="186"/>
        <v>#N/A</v>
      </c>
      <c r="FI100" s="24">
        <f t="shared" si="186"/>
        <v>0</v>
      </c>
      <c r="FJ100" s="24">
        <f t="shared" si="186"/>
        <v>0</v>
      </c>
      <c r="FK100" s="24">
        <f t="shared" si="186"/>
        <v>0</v>
      </c>
      <c r="FL100" s="24">
        <f t="shared" si="186"/>
        <v>0</v>
      </c>
      <c r="FM100" s="24">
        <f t="shared" si="186"/>
        <v>0</v>
      </c>
      <c r="FN100" s="24">
        <f t="shared" si="186"/>
        <v>0</v>
      </c>
      <c r="FO100" s="24">
        <f t="shared" si="186"/>
        <v>0</v>
      </c>
      <c r="FP100" s="24">
        <f t="shared" si="186"/>
        <v>0</v>
      </c>
      <c r="FQ100" s="24">
        <f t="shared" si="186"/>
        <v>0</v>
      </c>
      <c r="FR100" s="24">
        <f t="shared" si="186"/>
        <v>0</v>
      </c>
      <c r="FS100" s="24">
        <f t="shared" si="186"/>
        <v>0</v>
      </c>
      <c r="FT100" s="24">
        <f t="shared" si="186"/>
        <v>0</v>
      </c>
      <c r="FU100" s="24">
        <f t="shared" si="186"/>
        <v>0</v>
      </c>
      <c r="FV100" s="24">
        <f t="shared" si="186"/>
        <v>0</v>
      </c>
      <c r="FW100" s="24">
        <f t="shared" si="186"/>
        <v>0</v>
      </c>
      <c r="FX100" s="24">
        <f t="shared" si="186"/>
        <v>0</v>
      </c>
      <c r="FY100" s="24">
        <f t="shared" si="186"/>
        <v>0</v>
      </c>
      <c r="FZ100" s="24" t="e">
        <f t="shared" si="186"/>
        <v>#N/A</v>
      </c>
      <c r="GA100" s="24">
        <f t="shared" si="186"/>
        <v>0</v>
      </c>
      <c r="GB100" s="24">
        <f t="shared" si="186"/>
        <v>0</v>
      </c>
      <c r="GC100" s="24">
        <f t="shared" si="186"/>
        <v>0</v>
      </c>
      <c r="GD100" s="24">
        <f t="shared" si="186"/>
        <v>0</v>
      </c>
      <c r="GE100" s="24">
        <f t="shared" si="186"/>
        <v>0</v>
      </c>
      <c r="GF100" s="24" t="e">
        <f t="shared" si="186"/>
        <v>#N/A</v>
      </c>
      <c r="GG100" s="24">
        <f t="shared" si="186"/>
        <v>0</v>
      </c>
      <c r="GH100" s="24">
        <f t="shared" si="186"/>
        <v>0</v>
      </c>
      <c r="GI100" s="24">
        <f t="shared" si="186"/>
        <v>0</v>
      </c>
      <c r="GJ100" s="24">
        <f t="shared" si="186"/>
        <v>0</v>
      </c>
      <c r="GK100" s="24" t="e">
        <f t="shared" si="186"/>
        <v>#N/A</v>
      </c>
      <c r="GL100" s="24" t="e">
        <f t="shared" si="186"/>
        <v>#N/A</v>
      </c>
      <c r="GM100" s="24" t="e">
        <f t="shared" si="186"/>
        <v>#N/A</v>
      </c>
      <c r="GN100" s="24" t="e">
        <f t="shared" ref="GN100:HD100" si="187">MODE(GN3:GN93)</f>
        <v>#N/A</v>
      </c>
      <c r="GO100" s="24" t="e">
        <f t="shared" si="187"/>
        <v>#N/A</v>
      </c>
      <c r="GP100" s="24" t="e">
        <f t="shared" si="187"/>
        <v>#N/A</v>
      </c>
      <c r="GQ100" s="24" t="e">
        <f t="shared" si="187"/>
        <v>#N/A</v>
      </c>
      <c r="GR100" s="24" t="e">
        <f t="shared" si="187"/>
        <v>#N/A</v>
      </c>
      <c r="GS100" s="24">
        <f t="shared" si="187"/>
        <v>0</v>
      </c>
      <c r="GT100" s="24">
        <f t="shared" si="187"/>
        <v>0</v>
      </c>
      <c r="GU100" s="24">
        <f t="shared" si="187"/>
        <v>0</v>
      </c>
      <c r="GV100" s="24">
        <f t="shared" si="187"/>
        <v>0</v>
      </c>
      <c r="GW100" s="24">
        <f t="shared" si="187"/>
        <v>0</v>
      </c>
      <c r="GX100" s="24">
        <f t="shared" si="187"/>
        <v>0</v>
      </c>
      <c r="GY100" s="24" t="e">
        <f t="shared" si="187"/>
        <v>#N/A</v>
      </c>
      <c r="GZ100" s="24" t="e">
        <f t="shared" si="187"/>
        <v>#N/A</v>
      </c>
      <c r="HA100" s="24" t="e">
        <f t="shared" si="187"/>
        <v>#N/A</v>
      </c>
      <c r="HB100" s="24" t="e">
        <f t="shared" si="187"/>
        <v>#N/A</v>
      </c>
      <c r="HC100" s="24" t="e">
        <f t="shared" si="187"/>
        <v>#N/A</v>
      </c>
      <c r="HD100" s="24" t="e">
        <f t="shared" si="187"/>
        <v>#N/A</v>
      </c>
    </row>
    <row r="101" spans="1:212" x14ac:dyDescent="0.15">
      <c r="A101" s="32" t="s">
        <v>412</v>
      </c>
      <c r="B101" s="33"/>
      <c r="C101" s="33"/>
      <c r="D101" s="33"/>
      <c r="E101" s="33"/>
      <c r="F101" s="33"/>
      <c r="G101" s="24">
        <f>STDEV(G3:G93)</f>
        <v>4397.9586764104461</v>
      </c>
      <c r="H101" s="24">
        <f t="shared" ref="H101:BB101" si="188">STDEV(H3:H93)</f>
        <v>4270.8686460936251</v>
      </c>
      <c r="I101" s="24">
        <f t="shared" si="188"/>
        <v>1621094940.7464921</v>
      </c>
      <c r="J101" s="24">
        <f t="shared" si="188"/>
        <v>172421453.91809574</v>
      </c>
      <c r="K101" s="24">
        <f t="shared" si="188"/>
        <v>5491200.3985594967</v>
      </c>
      <c r="L101" s="24">
        <f t="shared" si="188"/>
        <v>3648759.3792702337</v>
      </c>
      <c r="M101" s="24">
        <f t="shared" si="188"/>
        <v>234663437.1165069</v>
      </c>
      <c r="N101" s="24" t="e">
        <f t="shared" si="188"/>
        <v>#DIV/0!</v>
      </c>
      <c r="O101" s="24">
        <f t="shared" si="188"/>
        <v>74157356.289999515</v>
      </c>
      <c r="P101" s="24">
        <f t="shared" si="188"/>
        <v>51830129.444524758</v>
      </c>
      <c r="Q101" s="24">
        <f t="shared" si="188"/>
        <v>750815438.39752066</v>
      </c>
      <c r="R101" s="24" t="e">
        <f t="shared" si="188"/>
        <v>#DIV/0!</v>
      </c>
      <c r="S101" s="24">
        <f t="shared" si="188"/>
        <v>1339334447.4902375</v>
      </c>
      <c r="T101" s="24">
        <f t="shared" si="188"/>
        <v>150638876.38132814</v>
      </c>
      <c r="U101" s="24">
        <f t="shared" si="188"/>
        <v>3661.7776051792721</v>
      </c>
      <c r="V101" s="24">
        <f t="shared" si="188"/>
        <v>4102.9811478972224</v>
      </c>
      <c r="W101" s="24">
        <f t="shared" si="188"/>
        <v>6747.3705269595912</v>
      </c>
      <c r="X101" s="24">
        <f t="shared" si="188"/>
        <v>4609.7616858141328</v>
      </c>
      <c r="Y101" s="24">
        <f t="shared" si="188"/>
        <v>3342.6415131189056</v>
      </c>
      <c r="Z101" s="24">
        <f t="shared" si="188"/>
        <v>2821.8628244477109</v>
      </c>
      <c r="AA101" s="24">
        <f t="shared" si="188"/>
        <v>6525.0718486306678</v>
      </c>
      <c r="AB101" s="24">
        <f t="shared" si="188"/>
        <v>3187.0385626785178</v>
      </c>
      <c r="AC101" s="24">
        <f t="shared" si="188"/>
        <v>2.1128134001800687</v>
      </c>
      <c r="AD101" s="24">
        <f t="shared" si="188"/>
        <v>1.762587730218133</v>
      </c>
      <c r="AE101" s="24">
        <f t="shared" si="188"/>
        <v>0.49908340894508713</v>
      </c>
      <c r="AF101" s="24">
        <f t="shared" si="188"/>
        <v>1359845.0572273075</v>
      </c>
      <c r="AG101" s="24">
        <f t="shared" si="188"/>
        <v>1258382.9368127037</v>
      </c>
      <c r="AH101" s="24">
        <f t="shared" si="188"/>
        <v>381074.68670529156</v>
      </c>
      <c r="AI101" s="24">
        <f t="shared" si="188"/>
        <v>139616.42533434345</v>
      </c>
      <c r="AJ101" s="24">
        <f t="shared" si="188"/>
        <v>403623.03408935416</v>
      </c>
      <c r="AK101" s="24">
        <f t="shared" si="188"/>
        <v>1.9439077194287679</v>
      </c>
      <c r="AL101" s="24">
        <f t="shared" si="188"/>
        <v>368730.19384290947</v>
      </c>
      <c r="AM101" s="24">
        <f t="shared" si="188"/>
        <v>2.1281708902482674</v>
      </c>
      <c r="AN101" s="24">
        <f t="shared" si="188"/>
        <v>72989.332634951526</v>
      </c>
      <c r="AO101" s="24">
        <f t="shared" si="188"/>
        <v>1.6976184875028111</v>
      </c>
      <c r="AP101" s="24">
        <f t="shared" si="188"/>
        <v>66906.154354172046</v>
      </c>
      <c r="AQ101" s="24">
        <f t="shared" si="188"/>
        <v>1.887881356532557</v>
      </c>
      <c r="AR101" s="24">
        <f t="shared" si="188"/>
        <v>76294.166826845263</v>
      </c>
      <c r="AS101" s="24">
        <f t="shared" si="188"/>
        <v>4.0045593493200826</v>
      </c>
      <c r="AT101" s="24">
        <f t="shared" si="188"/>
        <v>65072.572161936667</v>
      </c>
      <c r="AU101" s="24">
        <f t="shared" si="188"/>
        <v>5.2738586718941773</v>
      </c>
      <c r="AV101" s="24">
        <f t="shared" si="188"/>
        <v>22091.933360407987</v>
      </c>
      <c r="AW101" s="24">
        <f t="shared" si="188"/>
        <v>4.3417596389024258</v>
      </c>
      <c r="AX101" s="24">
        <f t="shared" si="188"/>
        <v>20188.158817497169</v>
      </c>
      <c r="AY101" s="24">
        <f t="shared" si="188"/>
        <v>5.4769374396718957</v>
      </c>
      <c r="AZ101" s="24">
        <f t="shared" si="188"/>
        <v>10587066.558492631</v>
      </c>
      <c r="BA101" s="24">
        <f t="shared" si="188"/>
        <v>666784.27239646588</v>
      </c>
      <c r="BB101" s="24" t="e">
        <f t="shared" si="188"/>
        <v>#REF!</v>
      </c>
      <c r="BC101" s="24">
        <f t="shared" ref="BC101:BP101" si="189">STDEV(BC3:BC93)</f>
        <v>919062.04042783892</v>
      </c>
      <c r="BD101" s="24">
        <f t="shared" si="189"/>
        <v>2940800.8774428624</v>
      </c>
      <c r="BE101" s="24">
        <f t="shared" si="189"/>
        <v>113929.66424581864</v>
      </c>
      <c r="BF101" s="24">
        <f t="shared" si="189"/>
        <v>125959.26764606156</v>
      </c>
      <c r="BG101" s="24">
        <f t="shared" si="189"/>
        <v>46591.872734719938</v>
      </c>
      <c r="BH101" s="24">
        <f t="shared" si="189"/>
        <v>680912.24671059684</v>
      </c>
      <c r="BI101" s="24">
        <f t="shared" si="189"/>
        <v>136832.83329638114</v>
      </c>
      <c r="BJ101" s="24">
        <f t="shared" si="189"/>
        <v>924440.15050714032</v>
      </c>
      <c r="BK101" s="24">
        <f t="shared" si="189"/>
        <v>438865.13009727176</v>
      </c>
      <c r="BL101" s="24">
        <f t="shared" si="189"/>
        <v>61543.640324852029</v>
      </c>
      <c r="BM101" s="24">
        <f t="shared" si="189"/>
        <v>43156.096033311776</v>
      </c>
      <c r="BN101" s="24">
        <f t="shared" si="189"/>
        <v>563723.96386784257</v>
      </c>
      <c r="BO101" s="24">
        <f t="shared" si="189"/>
        <v>1262223.7826696143</v>
      </c>
      <c r="BP101" s="24">
        <f t="shared" si="189"/>
        <v>1843125.4737998815</v>
      </c>
      <c r="BQ101" s="24">
        <f t="shared" ref="BQ101:EB101" si="190">STDEV(BQ3:BQ93)</f>
        <v>911180.13388303795</v>
      </c>
      <c r="BR101" s="24">
        <f t="shared" si="190"/>
        <v>225866.87432106715</v>
      </c>
      <c r="BS101" s="24">
        <f t="shared" si="190"/>
        <v>40733.889536540599</v>
      </c>
      <c r="BT101" s="24">
        <f t="shared" si="190"/>
        <v>344897.45606010983</v>
      </c>
      <c r="BU101" s="24">
        <f t="shared" si="190"/>
        <v>1704893.3372204255</v>
      </c>
      <c r="BV101" s="24">
        <f t="shared" si="190"/>
        <v>2155566.648524093</v>
      </c>
      <c r="BW101" s="24" t="e">
        <f t="shared" si="190"/>
        <v>#REF!</v>
      </c>
      <c r="BX101" s="24" t="e">
        <f t="shared" si="190"/>
        <v>#REF!</v>
      </c>
      <c r="BY101" s="24" t="e">
        <f t="shared" si="190"/>
        <v>#REF!</v>
      </c>
      <c r="BZ101" s="24" t="e">
        <f t="shared" si="190"/>
        <v>#REF!</v>
      </c>
      <c r="CA101" s="24" t="e">
        <f t="shared" si="190"/>
        <v>#REF!</v>
      </c>
      <c r="CB101" s="24" t="e">
        <f t="shared" si="190"/>
        <v>#REF!</v>
      </c>
      <c r="CC101" s="24">
        <f t="shared" si="190"/>
        <v>691386.22370491724</v>
      </c>
      <c r="CD101" s="24">
        <f t="shared" si="190"/>
        <v>103085.4602179904</v>
      </c>
      <c r="CE101" s="24">
        <f t="shared" si="190"/>
        <v>110008.40364633001</v>
      </c>
      <c r="CF101" s="24">
        <f t="shared" si="190"/>
        <v>1897433.3747633297</v>
      </c>
      <c r="CG101" s="24">
        <f t="shared" si="190"/>
        <v>607229.73688670702</v>
      </c>
      <c r="CH101" s="24">
        <f t="shared" si="190"/>
        <v>2658836.1516889217</v>
      </c>
      <c r="CI101" s="24">
        <f t="shared" si="190"/>
        <v>1012245.3460814545</v>
      </c>
      <c r="CJ101" s="24">
        <f t="shared" si="190"/>
        <v>276361.46043521428</v>
      </c>
      <c r="CK101" s="24">
        <f t="shared" si="190"/>
        <v>51276.877166834776</v>
      </c>
      <c r="CL101" s="24">
        <f t="shared" si="190"/>
        <v>151243.77538716228</v>
      </c>
      <c r="CM101" s="24">
        <f t="shared" si="190"/>
        <v>140751.74378256811</v>
      </c>
      <c r="CN101" s="24">
        <f t="shared" si="190"/>
        <v>1250989.203925848</v>
      </c>
      <c r="CO101" s="24">
        <f t="shared" si="190"/>
        <v>2660228.6876343326</v>
      </c>
      <c r="CP101" s="24">
        <f t="shared" si="190"/>
        <v>1409636.1305500201</v>
      </c>
      <c r="CQ101" s="24">
        <f t="shared" si="190"/>
        <v>501729.80597679544</v>
      </c>
      <c r="CR101" s="24">
        <f t="shared" si="190"/>
        <v>1820595.367112733</v>
      </c>
      <c r="CS101" s="24">
        <f t="shared" si="190"/>
        <v>2122185.1847223085</v>
      </c>
      <c r="CT101" s="24">
        <f t="shared" si="190"/>
        <v>5823235.258253241</v>
      </c>
      <c r="CU101" s="24">
        <f t="shared" si="190"/>
        <v>159053.85223769204</v>
      </c>
      <c r="CV101" s="24">
        <f t="shared" si="190"/>
        <v>89210.321860876182</v>
      </c>
      <c r="CW101" s="24">
        <f t="shared" si="190"/>
        <v>32503.07141478897</v>
      </c>
      <c r="CX101" s="24">
        <f t="shared" si="190"/>
        <v>104788.08485376174</v>
      </c>
      <c r="CY101" s="24">
        <f t="shared" si="190"/>
        <v>0</v>
      </c>
      <c r="CZ101" s="24">
        <f t="shared" si="190"/>
        <v>342707.95657087408</v>
      </c>
      <c r="DA101" s="24">
        <f t="shared" si="190"/>
        <v>713313.01867578865</v>
      </c>
      <c r="DB101" s="24">
        <f t="shared" si="190"/>
        <v>232044.24708184315</v>
      </c>
      <c r="DC101" s="24">
        <f t="shared" si="190"/>
        <v>115987.09760089873</v>
      </c>
      <c r="DD101" s="24">
        <f t="shared" si="190"/>
        <v>1503597.0501255144</v>
      </c>
      <c r="DE101" s="24">
        <f t="shared" si="190"/>
        <v>5401975.2501189196</v>
      </c>
      <c r="DF101" s="24">
        <f t="shared" si="190"/>
        <v>6333930.0033294475</v>
      </c>
      <c r="DG101" s="24">
        <f t="shared" si="190"/>
        <v>162122.88037753169</v>
      </c>
      <c r="DH101" s="24">
        <f t="shared" si="190"/>
        <v>1260.8190159434425</v>
      </c>
      <c r="DI101" s="24">
        <f t="shared" si="190"/>
        <v>1033.884704605684</v>
      </c>
      <c r="DJ101" s="24">
        <f t="shared" si="190"/>
        <v>14478.309780162672</v>
      </c>
      <c r="DK101" s="24">
        <f t="shared" si="190"/>
        <v>29870.967080099133</v>
      </c>
      <c r="DL101" s="24">
        <f t="shared" si="190"/>
        <v>43132.608194469663</v>
      </c>
      <c r="DM101" s="24">
        <f t="shared" si="190"/>
        <v>893379.01952271338</v>
      </c>
      <c r="DN101" s="24">
        <f t="shared" si="190"/>
        <v>472733.20438068482</v>
      </c>
      <c r="DO101" s="24">
        <f t="shared" si="190"/>
        <v>61535.417633056859</v>
      </c>
      <c r="DP101" s="24">
        <f t="shared" si="190"/>
        <v>55394.319304863689</v>
      </c>
      <c r="DQ101" s="24">
        <f t="shared" si="190"/>
        <v>253319.6404472407</v>
      </c>
      <c r="DR101" s="24">
        <f t="shared" si="190"/>
        <v>1080808.6289687541</v>
      </c>
      <c r="DS101" s="24">
        <f t="shared" si="190"/>
        <v>236547.74397459236</v>
      </c>
      <c r="DT101" s="24">
        <f t="shared" si="190"/>
        <v>110412.41249841139</v>
      </c>
      <c r="DU101" s="24">
        <f t="shared" si="190"/>
        <v>45291.787026781472</v>
      </c>
      <c r="DV101" s="24">
        <f t="shared" si="190"/>
        <v>174846.78593344174</v>
      </c>
      <c r="DW101" s="24">
        <f t="shared" si="190"/>
        <v>20476.621209202232</v>
      </c>
      <c r="DX101" s="24">
        <f t="shared" si="190"/>
        <v>506898.93095672602</v>
      </c>
      <c r="DY101" s="24">
        <f t="shared" si="190"/>
        <v>706330.11607951194</v>
      </c>
      <c r="DZ101" s="24">
        <f t="shared" si="190"/>
        <v>334554.21943338786</v>
      </c>
      <c r="EA101" s="24">
        <f t="shared" si="190"/>
        <v>225284.42676593186</v>
      </c>
      <c r="EB101" s="24">
        <f t="shared" si="190"/>
        <v>909706.32226140401</v>
      </c>
      <c r="EC101" s="24">
        <f t="shared" ref="EC101:GN101" si="191">STDEV(EC3:EC93)</f>
        <v>203980.92515763227</v>
      </c>
      <c r="ED101" s="24">
        <f t="shared" si="191"/>
        <v>1847926.2224350316</v>
      </c>
      <c r="EE101" s="24">
        <f t="shared" si="191"/>
        <v>332131.57747247617</v>
      </c>
      <c r="EF101" s="24">
        <f t="shared" si="191"/>
        <v>65229.595174407303</v>
      </c>
      <c r="EG101" s="24">
        <f t="shared" si="191"/>
        <v>60244.765425715741</v>
      </c>
      <c r="EH101" s="24">
        <f t="shared" si="191"/>
        <v>371894.53371967422</v>
      </c>
      <c r="EI101" s="24">
        <f t="shared" si="191"/>
        <v>486377.92484027421</v>
      </c>
      <c r="EJ101" s="24">
        <f t="shared" si="191"/>
        <v>979207.25066141109</v>
      </c>
      <c r="EK101" s="24">
        <f t="shared" si="191"/>
        <v>1164616.150247914</v>
      </c>
      <c r="EL101" s="24">
        <f t="shared" si="191"/>
        <v>322797.64771339548</v>
      </c>
      <c r="EM101" s="24">
        <f t="shared" si="191"/>
        <v>170382.22830754251</v>
      </c>
      <c r="EN101" s="24">
        <f t="shared" si="191"/>
        <v>354343.67179702024</v>
      </c>
      <c r="EO101" s="24">
        <f t="shared" si="191"/>
        <v>1983372.9781338193</v>
      </c>
      <c r="EP101" s="24">
        <f t="shared" si="191"/>
        <v>3084446.8694163263</v>
      </c>
      <c r="EQ101" s="24">
        <f t="shared" si="191"/>
        <v>714007.46602960851</v>
      </c>
      <c r="ER101" s="24">
        <f t="shared" si="191"/>
        <v>121614.82501331907</v>
      </c>
      <c r="ES101" s="24">
        <f t="shared" si="191"/>
        <v>35168.331929186541</v>
      </c>
      <c r="ET101" s="24">
        <f t="shared" si="191"/>
        <v>130299.54195029139</v>
      </c>
      <c r="EU101" s="24">
        <f t="shared" si="191"/>
        <v>1262717.5732468599</v>
      </c>
      <c r="EV101" s="24">
        <f t="shared" si="191"/>
        <v>1538193.9562553854</v>
      </c>
      <c r="EW101" s="24">
        <f t="shared" si="191"/>
        <v>126509.39164711419</v>
      </c>
      <c r="EX101" s="24">
        <f t="shared" si="191"/>
        <v>76973.075762231703</v>
      </c>
      <c r="EY101" s="24">
        <f t="shared" si="191"/>
        <v>30142.586176300469</v>
      </c>
      <c r="EZ101" s="24">
        <f t="shared" si="191"/>
        <v>405207.22871320514</v>
      </c>
      <c r="FA101" s="24">
        <f t="shared" si="191"/>
        <v>137513.31648271019</v>
      </c>
      <c r="FB101" s="24">
        <f t="shared" si="191"/>
        <v>631242.73076945916</v>
      </c>
      <c r="FC101" s="24">
        <f t="shared" si="191"/>
        <v>2059187.0516573929</v>
      </c>
      <c r="FD101" s="24">
        <f t="shared" si="191"/>
        <v>524485.19777424261</v>
      </c>
      <c r="FE101" s="24">
        <f t="shared" si="191"/>
        <v>237650.55089742248</v>
      </c>
      <c r="FF101" s="24">
        <f t="shared" si="191"/>
        <v>3598208.596176933</v>
      </c>
      <c r="FG101" s="24">
        <f t="shared" si="191"/>
        <v>7458431.2886845646</v>
      </c>
      <c r="FH101" s="24">
        <f t="shared" si="191"/>
        <v>9885041.2164911963</v>
      </c>
      <c r="FI101" s="24">
        <f t="shared" si="191"/>
        <v>163824.0858329621</v>
      </c>
      <c r="FJ101" s="24">
        <f t="shared" si="191"/>
        <v>22042.216209200691</v>
      </c>
      <c r="FK101" s="24">
        <f t="shared" si="191"/>
        <v>16389.907054544798</v>
      </c>
      <c r="FL101" s="24">
        <f t="shared" si="191"/>
        <v>27444.128222389125</v>
      </c>
      <c r="FM101" s="24">
        <f t="shared" si="191"/>
        <v>213246.78982817766</v>
      </c>
      <c r="FN101" s="24">
        <f t="shared" si="191"/>
        <v>271161.1700214775</v>
      </c>
      <c r="FO101" s="24">
        <f t="shared" si="191"/>
        <v>229770.19695620565</v>
      </c>
      <c r="FP101" s="24">
        <f t="shared" si="191"/>
        <v>258581.01328146813</v>
      </c>
      <c r="FQ101" s="24">
        <f t="shared" si="191"/>
        <v>58880.101247761602</v>
      </c>
      <c r="FR101" s="24">
        <f t="shared" si="191"/>
        <v>251386.95411711719</v>
      </c>
      <c r="FS101" s="24">
        <f t="shared" si="191"/>
        <v>1671338.6171836229</v>
      </c>
      <c r="FT101" s="24">
        <f t="shared" si="191"/>
        <v>1828932.2175383777</v>
      </c>
      <c r="FU101" s="24">
        <f t="shared" si="191"/>
        <v>170165.62332360298</v>
      </c>
      <c r="FV101" s="24">
        <f t="shared" si="191"/>
        <v>22820.13094199562</v>
      </c>
      <c r="FW101" s="24">
        <f t="shared" si="191"/>
        <v>18251.438330035562</v>
      </c>
      <c r="FX101" s="24">
        <f t="shared" si="191"/>
        <v>305084.69566460769</v>
      </c>
      <c r="FY101" s="24">
        <f t="shared" si="191"/>
        <v>524761.87424752628</v>
      </c>
      <c r="FZ101" s="24">
        <f t="shared" si="191"/>
        <v>604293.30302452669</v>
      </c>
      <c r="GA101" s="24">
        <f t="shared" si="191"/>
        <v>28219.891437840921</v>
      </c>
      <c r="GB101" s="24">
        <f t="shared" si="191"/>
        <v>4750.7718411156093</v>
      </c>
      <c r="GC101" s="24">
        <f t="shared" si="191"/>
        <v>4789.6313872151813</v>
      </c>
      <c r="GD101" s="24">
        <f t="shared" si="191"/>
        <v>25802.778639677686</v>
      </c>
      <c r="GE101" s="24">
        <f t="shared" si="191"/>
        <v>739884.97195076023</v>
      </c>
      <c r="GF101" s="24">
        <f t="shared" si="191"/>
        <v>732238.95661359059</v>
      </c>
      <c r="GG101" s="24">
        <f t="shared" si="191"/>
        <v>1227428.3415367869</v>
      </c>
      <c r="GH101" s="24">
        <f t="shared" si="191"/>
        <v>622922.32811144472</v>
      </c>
      <c r="GI101" s="24">
        <f t="shared" si="191"/>
        <v>89083.004476754926</v>
      </c>
      <c r="GJ101" s="24">
        <f t="shared" si="191"/>
        <v>681676.29226205545</v>
      </c>
      <c r="GK101" s="24">
        <f t="shared" si="191"/>
        <v>2873489.6466828668</v>
      </c>
      <c r="GL101" s="24">
        <f t="shared" si="191"/>
        <v>4493308.1903301971</v>
      </c>
      <c r="GM101" s="24">
        <f t="shared" si="191"/>
        <v>8179385.3342511011</v>
      </c>
      <c r="GN101" s="24">
        <f t="shared" si="191"/>
        <v>3079269.316592589</v>
      </c>
      <c r="GO101" s="24">
        <f t="shared" ref="GO101:HD101" si="192">STDEV(GO3:GO93)</f>
        <v>1184102.4611587683</v>
      </c>
      <c r="GP101" s="24">
        <f t="shared" si="192"/>
        <v>8226773.3237321964</v>
      </c>
      <c r="GQ101" s="24">
        <f t="shared" si="192"/>
        <v>15801904.775498854</v>
      </c>
      <c r="GR101" s="24">
        <f t="shared" si="192"/>
        <v>32436919.752596617</v>
      </c>
      <c r="GS101" s="24">
        <f t="shared" si="192"/>
        <v>215675.04908241067</v>
      </c>
      <c r="GT101" s="24">
        <f t="shared" si="192"/>
        <v>67733.366771654299</v>
      </c>
      <c r="GU101" s="24">
        <f t="shared" si="192"/>
        <v>4757.9552169134431</v>
      </c>
      <c r="GV101" s="24">
        <f t="shared" si="192"/>
        <v>25170.347522126416</v>
      </c>
      <c r="GW101" s="24">
        <f t="shared" si="192"/>
        <v>1808076.0844190402</v>
      </c>
      <c r="GX101" s="24">
        <f t="shared" si="192"/>
        <v>1832723.9459270528</v>
      </c>
      <c r="GY101" s="24">
        <f t="shared" si="192"/>
        <v>8439203.6757823434</v>
      </c>
      <c r="GZ101" s="24">
        <f t="shared" si="192"/>
        <v>3097750.397778335</v>
      </c>
      <c r="HA101" s="24">
        <f t="shared" si="192"/>
        <v>1204223.6408294076</v>
      </c>
      <c r="HB101" s="24">
        <f t="shared" si="192"/>
        <v>11468649.19158319</v>
      </c>
      <c r="HC101" s="24">
        <f t="shared" si="192"/>
        <v>16940022.428087719</v>
      </c>
      <c r="HD101" s="24">
        <f t="shared" si="192"/>
        <v>33476788.954523906</v>
      </c>
    </row>
    <row r="102" spans="1:212" x14ac:dyDescent="0.15">
      <c r="A102" s="23" t="s">
        <v>413</v>
      </c>
      <c r="G102" s="34">
        <f t="shared" ref="G102:BB102" si="193">COUNTIF(G3:G93,"="&amp;0)</f>
        <v>0</v>
      </c>
      <c r="H102" s="34">
        <f t="shared" si="193"/>
        <v>0</v>
      </c>
      <c r="I102" s="34">
        <f t="shared" si="193"/>
        <v>0</v>
      </c>
      <c r="J102" s="34">
        <f t="shared" si="193"/>
        <v>0</v>
      </c>
      <c r="K102" s="34">
        <f t="shared" si="193"/>
        <v>12</v>
      </c>
      <c r="L102" s="34">
        <f t="shared" si="193"/>
        <v>0</v>
      </c>
      <c r="M102" s="34">
        <f t="shared" si="193"/>
        <v>0</v>
      </c>
      <c r="N102" s="34">
        <f t="shared" si="193"/>
        <v>0</v>
      </c>
      <c r="O102" s="34">
        <f t="shared" si="193"/>
        <v>11</v>
      </c>
      <c r="P102" s="34">
        <f t="shared" si="193"/>
        <v>0</v>
      </c>
      <c r="Q102" s="34">
        <f t="shared" si="193"/>
        <v>0</v>
      </c>
      <c r="R102" s="34">
        <f t="shared" si="193"/>
        <v>0</v>
      </c>
      <c r="S102" s="34">
        <f t="shared" si="193"/>
        <v>0</v>
      </c>
      <c r="T102" s="34">
        <f t="shared" si="193"/>
        <v>0</v>
      </c>
      <c r="U102" s="34">
        <f t="shared" si="193"/>
        <v>0</v>
      </c>
      <c r="V102" s="34">
        <f t="shared" si="193"/>
        <v>0</v>
      </c>
      <c r="W102" s="34">
        <f t="shared" si="193"/>
        <v>0</v>
      </c>
      <c r="X102" s="34">
        <f t="shared" si="193"/>
        <v>0</v>
      </c>
      <c r="Y102" s="34">
        <f t="shared" si="193"/>
        <v>0</v>
      </c>
      <c r="Z102" s="34">
        <f t="shared" si="193"/>
        <v>0</v>
      </c>
      <c r="AA102" s="34">
        <f t="shared" si="193"/>
        <v>0</v>
      </c>
      <c r="AB102" s="34">
        <f t="shared" si="193"/>
        <v>0</v>
      </c>
      <c r="AC102" s="34">
        <f t="shared" si="193"/>
        <v>0</v>
      </c>
      <c r="AD102" s="34">
        <f t="shared" si="193"/>
        <v>0</v>
      </c>
      <c r="AE102" s="34">
        <f t="shared" si="193"/>
        <v>82</v>
      </c>
      <c r="AF102" s="34">
        <f t="shared" si="193"/>
        <v>0</v>
      </c>
      <c r="AG102" s="34">
        <f t="shared" si="193"/>
        <v>0</v>
      </c>
      <c r="AH102" s="34">
        <f t="shared" si="193"/>
        <v>0</v>
      </c>
      <c r="AI102" s="34">
        <f t="shared" si="193"/>
        <v>0</v>
      </c>
      <c r="AJ102" s="34">
        <f t="shared" si="193"/>
        <v>0</v>
      </c>
      <c r="AK102" s="34">
        <f t="shared" si="193"/>
        <v>0</v>
      </c>
      <c r="AL102" s="34">
        <f t="shared" si="193"/>
        <v>0</v>
      </c>
      <c r="AM102" s="34">
        <f t="shared" si="193"/>
        <v>0</v>
      </c>
      <c r="AN102" s="34">
        <f t="shared" si="193"/>
        <v>0</v>
      </c>
      <c r="AO102" s="34">
        <f t="shared" si="193"/>
        <v>0</v>
      </c>
      <c r="AP102" s="34">
        <f t="shared" si="193"/>
        <v>0</v>
      </c>
      <c r="AQ102" s="34">
        <f t="shared" si="193"/>
        <v>0</v>
      </c>
      <c r="AR102" s="34">
        <f t="shared" si="193"/>
        <v>0</v>
      </c>
      <c r="AS102" s="34">
        <f t="shared" si="193"/>
        <v>0</v>
      </c>
      <c r="AT102" s="34">
        <f t="shared" si="193"/>
        <v>0</v>
      </c>
      <c r="AU102" s="34">
        <f t="shared" si="193"/>
        <v>0</v>
      </c>
      <c r="AV102" s="34">
        <f t="shared" si="193"/>
        <v>0</v>
      </c>
      <c r="AW102" s="34">
        <f t="shared" si="193"/>
        <v>0</v>
      </c>
      <c r="AX102" s="34">
        <f t="shared" si="193"/>
        <v>0</v>
      </c>
      <c r="AY102" s="34">
        <f t="shared" si="193"/>
        <v>0</v>
      </c>
      <c r="AZ102" s="34">
        <f t="shared" si="193"/>
        <v>0</v>
      </c>
      <c r="BA102" s="34">
        <f t="shared" si="193"/>
        <v>9</v>
      </c>
      <c r="BB102" s="34">
        <f t="shared" si="193"/>
        <v>5</v>
      </c>
      <c r="BC102" s="34">
        <f t="shared" ref="BC102:BO102" si="194">COUNTIF(BC3:BC93,"="&amp;0)</f>
        <v>12</v>
      </c>
      <c r="BD102" s="34">
        <f t="shared" si="194"/>
        <v>48</v>
      </c>
      <c r="BE102" s="34">
        <f t="shared" si="194"/>
        <v>41</v>
      </c>
      <c r="BF102" s="34">
        <f t="shared" si="194"/>
        <v>47</v>
      </c>
      <c r="BG102" s="34">
        <f t="shared" si="194"/>
        <v>46</v>
      </c>
      <c r="BH102" s="34">
        <f t="shared" si="194"/>
        <v>44</v>
      </c>
      <c r="BI102" s="34">
        <f t="shared" si="194"/>
        <v>53</v>
      </c>
      <c r="BJ102" s="34">
        <f t="shared" si="194"/>
        <v>35</v>
      </c>
      <c r="BK102" s="34">
        <f t="shared" si="194"/>
        <v>37</v>
      </c>
      <c r="BL102" s="34">
        <f t="shared" si="194"/>
        <v>44</v>
      </c>
      <c r="BM102" s="34">
        <f t="shared" si="194"/>
        <v>46</v>
      </c>
      <c r="BN102" s="34">
        <f t="shared" si="194"/>
        <v>34</v>
      </c>
      <c r="BO102" s="34">
        <f t="shared" si="194"/>
        <v>14</v>
      </c>
      <c r="BP102" s="34">
        <f t="shared" ref="BP102:EA102" si="195">COUNTIF(BP3:BP93,"="&amp;0)</f>
        <v>7</v>
      </c>
      <c r="BQ102" s="34">
        <f t="shared" si="195"/>
        <v>27</v>
      </c>
      <c r="BR102" s="34">
        <f t="shared" si="195"/>
        <v>37</v>
      </c>
      <c r="BS102" s="34">
        <f t="shared" si="195"/>
        <v>46</v>
      </c>
      <c r="BT102" s="34">
        <f t="shared" si="195"/>
        <v>20</v>
      </c>
      <c r="BU102" s="34">
        <f t="shared" si="195"/>
        <v>1</v>
      </c>
      <c r="BV102" s="34">
        <f t="shared" si="195"/>
        <v>1</v>
      </c>
      <c r="BW102" s="34">
        <f t="shared" si="195"/>
        <v>0</v>
      </c>
      <c r="BX102" s="34">
        <f t="shared" si="195"/>
        <v>0</v>
      </c>
      <c r="BY102" s="34">
        <f t="shared" si="195"/>
        <v>0</v>
      </c>
      <c r="BZ102" s="34">
        <f t="shared" si="195"/>
        <v>0</v>
      </c>
      <c r="CA102" s="34">
        <f t="shared" si="195"/>
        <v>0</v>
      </c>
      <c r="CB102" s="34">
        <f t="shared" si="195"/>
        <v>0</v>
      </c>
      <c r="CC102" s="34">
        <f t="shared" si="195"/>
        <v>0</v>
      </c>
      <c r="CD102" s="34">
        <f t="shared" si="195"/>
        <v>0</v>
      </c>
      <c r="CE102" s="34">
        <f t="shared" si="195"/>
        <v>0</v>
      </c>
      <c r="CF102" s="34">
        <f t="shared" si="195"/>
        <v>0</v>
      </c>
      <c r="CG102" s="34">
        <f t="shared" si="195"/>
        <v>16</v>
      </c>
      <c r="CH102" s="34">
        <f t="shared" si="195"/>
        <v>0</v>
      </c>
      <c r="CI102" s="34">
        <f t="shared" si="195"/>
        <v>0</v>
      </c>
      <c r="CJ102" s="34">
        <f t="shared" si="195"/>
        <v>2</v>
      </c>
      <c r="CK102" s="34">
        <f t="shared" si="195"/>
        <v>8</v>
      </c>
      <c r="CL102" s="34">
        <f t="shared" si="195"/>
        <v>7</v>
      </c>
      <c r="CM102" s="34">
        <f t="shared" si="195"/>
        <v>84</v>
      </c>
      <c r="CN102" s="34">
        <f t="shared" si="195"/>
        <v>0</v>
      </c>
      <c r="CO102" s="34">
        <f t="shared" si="195"/>
        <v>1</v>
      </c>
      <c r="CP102" s="34">
        <f t="shared" si="195"/>
        <v>1</v>
      </c>
      <c r="CQ102" s="34">
        <f t="shared" si="195"/>
        <v>1</v>
      </c>
      <c r="CR102" s="34">
        <f t="shared" si="195"/>
        <v>1</v>
      </c>
      <c r="CS102" s="34">
        <f t="shared" si="195"/>
        <v>85</v>
      </c>
      <c r="CT102" s="34">
        <f t="shared" si="195"/>
        <v>0</v>
      </c>
      <c r="CU102" s="34">
        <f t="shared" si="195"/>
        <v>66</v>
      </c>
      <c r="CV102" s="34">
        <f t="shared" si="195"/>
        <v>66</v>
      </c>
      <c r="CW102" s="34">
        <f t="shared" si="195"/>
        <v>71</v>
      </c>
      <c r="CX102" s="34">
        <f t="shared" si="195"/>
        <v>69</v>
      </c>
      <c r="CY102" s="34">
        <f t="shared" si="195"/>
        <v>91</v>
      </c>
      <c r="CZ102" s="34">
        <f t="shared" si="195"/>
        <v>63</v>
      </c>
      <c r="DA102" s="34">
        <f t="shared" si="195"/>
        <v>4</v>
      </c>
      <c r="DB102" s="34">
        <f t="shared" si="195"/>
        <v>6</v>
      </c>
      <c r="DC102" s="34">
        <f t="shared" si="195"/>
        <v>8</v>
      </c>
      <c r="DD102" s="34">
        <f t="shared" si="195"/>
        <v>9</v>
      </c>
      <c r="DE102" s="34">
        <f t="shared" si="195"/>
        <v>1</v>
      </c>
      <c r="DF102" s="34">
        <f t="shared" si="195"/>
        <v>0</v>
      </c>
      <c r="DG102" s="34">
        <f t="shared" si="195"/>
        <v>79</v>
      </c>
      <c r="DH102" s="34">
        <f t="shared" si="195"/>
        <v>84</v>
      </c>
      <c r="DI102" s="34">
        <f t="shared" si="195"/>
        <v>85</v>
      </c>
      <c r="DJ102" s="34">
        <f t="shared" si="195"/>
        <v>85</v>
      </c>
      <c r="DK102" s="34">
        <f t="shared" si="195"/>
        <v>73</v>
      </c>
      <c r="DL102" s="34">
        <f t="shared" si="195"/>
        <v>73</v>
      </c>
      <c r="DM102" s="34">
        <f t="shared" si="195"/>
        <v>59</v>
      </c>
      <c r="DN102" s="34">
        <f t="shared" si="195"/>
        <v>75</v>
      </c>
      <c r="DO102" s="34">
        <f t="shared" si="195"/>
        <v>74</v>
      </c>
      <c r="DP102" s="34">
        <f t="shared" si="195"/>
        <v>67</v>
      </c>
      <c r="DQ102" s="34">
        <f t="shared" si="195"/>
        <v>68</v>
      </c>
      <c r="DR102" s="34">
        <f t="shared" si="195"/>
        <v>36</v>
      </c>
      <c r="DS102" s="34">
        <f t="shared" si="195"/>
        <v>0</v>
      </c>
      <c r="DT102" s="34">
        <f t="shared" si="195"/>
        <v>0</v>
      </c>
      <c r="DU102" s="34">
        <f t="shared" si="195"/>
        <v>0</v>
      </c>
      <c r="DV102" s="34">
        <f t="shared" si="195"/>
        <v>0</v>
      </c>
      <c r="DW102" s="34">
        <f t="shared" si="195"/>
        <v>60</v>
      </c>
      <c r="DX102" s="34">
        <f t="shared" si="195"/>
        <v>0</v>
      </c>
      <c r="DY102" s="34">
        <f t="shared" si="195"/>
        <v>0</v>
      </c>
      <c r="DZ102" s="34">
        <f t="shared" si="195"/>
        <v>0</v>
      </c>
      <c r="EA102" s="34">
        <f t="shared" si="195"/>
        <v>0</v>
      </c>
      <c r="EB102" s="34">
        <f t="shared" ref="EB102:GM102" si="196">COUNTIF(EB3:EB93,"="&amp;0)</f>
        <v>0</v>
      </c>
      <c r="EC102" s="34">
        <f t="shared" si="196"/>
        <v>45</v>
      </c>
      <c r="ED102" s="34">
        <f t="shared" si="196"/>
        <v>0</v>
      </c>
      <c r="EE102" s="34">
        <f t="shared" si="196"/>
        <v>0</v>
      </c>
      <c r="EF102" s="34">
        <f t="shared" si="196"/>
        <v>0</v>
      </c>
      <c r="EG102" s="34">
        <f t="shared" si="196"/>
        <v>0</v>
      </c>
      <c r="EH102" s="34">
        <f t="shared" si="196"/>
        <v>0</v>
      </c>
      <c r="EI102" s="34">
        <f t="shared" si="196"/>
        <v>19</v>
      </c>
      <c r="EJ102" s="34">
        <f t="shared" si="196"/>
        <v>0</v>
      </c>
      <c r="EK102" s="34">
        <f t="shared" si="196"/>
        <v>1</v>
      </c>
      <c r="EL102" s="34">
        <f t="shared" si="196"/>
        <v>1</v>
      </c>
      <c r="EM102" s="34">
        <f t="shared" si="196"/>
        <v>1</v>
      </c>
      <c r="EN102" s="34">
        <f t="shared" si="196"/>
        <v>1</v>
      </c>
      <c r="EO102" s="34">
        <f t="shared" si="196"/>
        <v>30</v>
      </c>
      <c r="EP102" s="34">
        <f t="shared" si="196"/>
        <v>0</v>
      </c>
      <c r="EQ102" s="34">
        <f t="shared" si="196"/>
        <v>27</v>
      </c>
      <c r="ER102" s="34">
        <f t="shared" si="196"/>
        <v>31</v>
      </c>
      <c r="ES102" s="34">
        <f t="shared" si="196"/>
        <v>31</v>
      </c>
      <c r="ET102" s="34">
        <f t="shared" si="196"/>
        <v>28</v>
      </c>
      <c r="EU102" s="34">
        <f t="shared" si="196"/>
        <v>1</v>
      </c>
      <c r="EV102" s="34">
        <f t="shared" si="196"/>
        <v>0</v>
      </c>
      <c r="EW102" s="34">
        <f t="shared" si="196"/>
        <v>47</v>
      </c>
      <c r="EX102" s="34">
        <f t="shared" si="196"/>
        <v>51</v>
      </c>
      <c r="EY102" s="34">
        <f t="shared" si="196"/>
        <v>51</v>
      </c>
      <c r="EZ102" s="34">
        <f t="shared" si="196"/>
        <v>50</v>
      </c>
      <c r="FA102" s="34">
        <f t="shared" si="196"/>
        <v>56</v>
      </c>
      <c r="FB102" s="34">
        <f t="shared" si="196"/>
        <v>40</v>
      </c>
      <c r="FC102" s="34">
        <f t="shared" si="196"/>
        <v>10</v>
      </c>
      <c r="FD102" s="34">
        <f t="shared" si="196"/>
        <v>15</v>
      </c>
      <c r="FE102" s="34">
        <f t="shared" si="196"/>
        <v>17</v>
      </c>
      <c r="FF102" s="34">
        <f t="shared" si="196"/>
        <v>10</v>
      </c>
      <c r="FG102" s="34">
        <f t="shared" si="196"/>
        <v>3</v>
      </c>
      <c r="FH102" s="34">
        <f t="shared" si="196"/>
        <v>0</v>
      </c>
      <c r="FI102" s="34">
        <f t="shared" si="196"/>
        <v>72</v>
      </c>
      <c r="FJ102" s="34">
        <f t="shared" si="196"/>
        <v>77</v>
      </c>
      <c r="FK102" s="34">
        <f t="shared" si="196"/>
        <v>78</v>
      </c>
      <c r="FL102" s="34">
        <f t="shared" si="196"/>
        <v>83</v>
      </c>
      <c r="FM102" s="34">
        <f t="shared" si="196"/>
        <v>15</v>
      </c>
      <c r="FN102" s="34">
        <f t="shared" si="196"/>
        <v>8</v>
      </c>
      <c r="FO102" s="34">
        <f t="shared" si="196"/>
        <v>78</v>
      </c>
      <c r="FP102" s="34">
        <f t="shared" si="196"/>
        <v>77</v>
      </c>
      <c r="FQ102" s="34">
        <f t="shared" si="196"/>
        <v>81</v>
      </c>
      <c r="FR102" s="34">
        <f t="shared" si="196"/>
        <v>80</v>
      </c>
      <c r="FS102" s="34">
        <f t="shared" si="196"/>
        <v>47</v>
      </c>
      <c r="FT102" s="34">
        <f t="shared" si="196"/>
        <v>43</v>
      </c>
      <c r="FU102" s="34">
        <f t="shared" si="196"/>
        <v>32</v>
      </c>
      <c r="FV102" s="34">
        <f t="shared" si="196"/>
        <v>36</v>
      </c>
      <c r="FW102" s="34">
        <f t="shared" si="196"/>
        <v>39</v>
      </c>
      <c r="FX102" s="34">
        <f t="shared" si="196"/>
        <v>34</v>
      </c>
      <c r="FY102" s="34">
        <f t="shared" si="196"/>
        <v>4</v>
      </c>
      <c r="FZ102" s="34">
        <f t="shared" si="196"/>
        <v>0</v>
      </c>
      <c r="GA102" s="34">
        <f t="shared" si="196"/>
        <v>14</v>
      </c>
      <c r="GB102" s="34">
        <f t="shared" si="196"/>
        <v>10</v>
      </c>
      <c r="GC102" s="34">
        <f t="shared" si="196"/>
        <v>10</v>
      </c>
      <c r="GD102" s="34">
        <f t="shared" si="196"/>
        <v>4</v>
      </c>
      <c r="GE102" s="34">
        <f t="shared" si="196"/>
        <v>3</v>
      </c>
      <c r="GF102" s="34">
        <f t="shared" si="196"/>
        <v>0</v>
      </c>
      <c r="GG102" s="34">
        <f t="shared" si="196"/>
        <v>2</v>
      </c>
      <c r="GH102" s="34">
        <f t="shared" si="196"/>
        <v>2</v>
      </c>
      <c r="GI102" s="34">
        <f t="shared" si="196"/>
        <v>2</v>
      </c>
      <c r="GJ102" s="34">
        <f t="shared" si="196"/>
        <v>3</v>
      </c>
      <c r="GK102" s="34">
        <f t="shared" si="196"/>
        <v>1</v>
      </c>
      <c r="GL102" s="34">
        <f t="shared" si="196"/>
        <v>0</v>
      </c>
      <c r="GM102" s="34">
        <f t="shared" si="196"/>
        <v>0</v>
      </c>
      <c r="GN102" s="34">
        <f t="shared" ref="GN102:HD102" si="197">COUNTIF(GN3:GN93,"="&amp;0)</f>
        <v>0</v>
      </c>
      <c r="GO102" s="34">
        <f t="shared" si="197"/>
        <v>0</v>
      </c>
      <c r="GP102" s="34">
        <f t="shared" si="197"/>
        <v>0</v>
      </c>
      <c r="GQ102" s="34">
        <f t="shared" si="197"/>
        <v>0</v>
      </c>
      <c r="GR102" s="34">
        <f t="shared" si="197"/>
        <v>0</v>
      </c>
      <c r="GS102" s="34">
        <f t="shared" si="197"/>
        <v>86</v>
      </c>
      <c r="GT102" s="34">
        <f t="shared" si="197"/>
        <v>89</v>
      </c>
      <c r="GU102" s="34">
        <f t="shared" si="197"/>
        <v>90</v>
      </c>
      <c r="GV102" s="34">
        <f t="shared" si="197"/>
        <v>89</v>
      </c>
      <c r="GW102" s="34">
        <f t="shared" si="197"/>
        <v>66</v>
      </c>
      <c r="GX102" s="34">
        <f t="shared" si="197"/>
        <v>65</v>
      </c>
      <c r="GY102" s="34">
        <f t="shared" si="197"/>
        <v>0</v>
      </c>
      <c r="GZ102" s="34">
        <f t="shared" si="197"/>
        <v>0</v>
      </c>
      <c r="HA102" s="34">
        <f t="shared" si="197"/>
        <v>0</v>
      </c>
      <c r="HB102" s="34">
        <f t="shared" si="197"/>
        <v>0</v>
      </c>
      <c r="HC102" s="34">
        <f t="shared" si="197"/>
        <v>0</v>
      </c>
      <c r="HD102" s="34">
        <f t="shared" si="197"/>
        <v>0</v>
      </c>
    </row>
    <row r="103" spans="1:212" ht="11" x14ac:dyDescent="0.15">
      <c r="HD103" s="22"/>
    </row>
  </sheetData>
  <sortState ref="A3:HD93">
    <sortCondition ref="A3:A93"/>
  </sortState>
  <conditionalFormatting sqref="EK72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7"/>
  <sheetViews>
    <sheetView workbookViewId="0">
      <selection activeCell="E24" sqref="E24:E114"/>
    </sheetView>
  </sheetViews>
  <sheetFormatPr baseColWidth="10" defaultRowHeight="16" x14ac:dyDescent="0.2"/>
  <cols>
    <col min="1" max="1" width="19.1640625" customWidth="1"/>
    <col min="3" max="3" width="23.83203125" bestFit="1" customWidth="1"/>
    <col min="5" max="5" width="26.1640625" customWidth="1"/>
    <col min="6" max="6" width="10.83203125" style="21"/>
    <col min="7" max="7" width="9" customWidth="1"/>
    <col min="8" max="8" width="8.6640625" customWidth="1"/>
    <col min="9" max="9" width="9.1640625" customWidth="1"/>
    <col min="14" max="14" width="10.83203125" style="21"/>
  </cols>
  <sheetData>
    <row r="1" spans="1:15" x14ac:dyDescent="0.2">
      <c r="A1" t="s">
        <v>405</v>
      </c>
    </row>
    <row r="2" spans="1:15" x14ac:dyDescent="0.2">
      <c r="A2" t="s">
        <v>339</v>
      </c>
      <c r="B2" t="s">
        <v>345</v>
      </c>
      <c r="G2" t="s">
        <v>414</v>
      </c>
    </row>
    <row r="3" spans="1:15" x14ac:dyDescent="0.2">
      <c r="A3" t="s">
        <v>1</v>
      </c>
      <c r="B3" t="s">
        <v>346</v>
      </c>
      <c r="G3" t="s">
        <v>396</v>
      </c>
    </row>
    <row r="4" spans="1:15" x14ac:dyDescent="0.2">
      <c r="A4" t="s">
        <v>2</v>
      </c>
      <c r="B4" t="s">
        <v>347</v>
      </c>
    </row>
    <row r="5" spans="1:15" x14ac:dyDescent="0.2">
      <c r="A5" t="s">
        <v>3</v>
      </c>
      <c r="B5" t="s">
        <v>348</v>
      </c>
    </row>
    <row r="6" spans="1:15" x14ac:dyDescent="0.2">
      <c r="A6" t="s">
        <v>4</v>
      </c>
      <c r="B6">
        <v>1</v>
      </c>
      <c r="C6" t="s">
        <v>232</v>
      </c>
      <c r="G6" s="4"/>
    </row>
    <row r="7" spans="1:15" x14ac:dyDescent="0.2">
      <c r="B7">
        <v>2</v>
      </c>
      <c r="C7" t="s">
        <v>349</v>
      </c>
    </row>
    <row r="8" spans="1:15" x14ac:dyDescent="0.2">
      <c r="B8">
        <v>3</v>
      </c>
      <c r="C8" t="s">
        <v>240</v>
      </c>
    </row>
    <row r="9" spans="1:15" x14ac:dyDescent="0.2">
      <c r="B9">
        <v>4</v>
      </c>
      <c r="C9" t="s">
        <v>235</v>
      </c>
    </row>
    <row r="10" spans="1:15" x14ac:dyDescent="0.2">
      <c r="B10">
        <v>5</v>
      </c>
      <c r="C10" t="s">
        <v>334</v>
      </c>
    </row>
    <row r="11" spans="1:15" x14ac:dyDescent="0.2">
      <c r="B11">
        <v>6</v>
      </c>
      <c r="C11" t="s">
        <v>363</v>
      </c>
      <c r="O11" t="s">
        <v>224</v>
      </c>
    </row>
    <row r="12" spans="1:15" x14ac:dyDescent="0.2">
      <c r="B12">
        <v>7</v>
      </c>
      <c r="C12" t="s">
        <v>350</v>
      </c>
      <c r="O12" t="s">
        <v>431</v>
      </c>
    </row>
    <row r="13" spans="1:15" x14ac:dyDescent="0.2">
      <c r="B13">
        <v>8</v>
      </c>
      <c r="C13" t="s">
        <v>333</v>
      </c>
      <c r="O13" t="s">
        <v>370</v>
      </c>
    </row>
    <row r="14" spans="1:15" x14ac:dyDescent="0.2">
      <c r="B14">
        <v>9</v>
      </c>
      <c r="C14" t="s">
        <v>336</v>
      </c>
      <c r="O14" t="s">
        <v>372</v>
      </c>
    </row>
    <row r="15" spans="1:15" x14ac:dyDescent="0.2">
      <c r="B15">
        <v>10</v>
      </c>
      <c r="C15" t="s">
        <v>335</v>
      </c>
      <c r="O15" t="s">
        <v>270</v>
      </c>
    </row>
    <row r="16" spans="1:15" x14ac:dyDescent="0.2">
      <c r="B16">
        <v>11</v>
      </c>
      <c r="C16" t="s">
        <v>237</v>
      </c>
      <c r="O16" t="s">
        <v>381</v>
      </c>
    </row>
    <row r="17" spans="1:17" x14ac:dyDescent="0.2">
      <c r="O17" t="s">
        <v>282</v>
      </c>
    </row>
    <row r="18" spans="1:17" x14ac:dyDescent="0.2">
      <c r="A18" t="s">
        <v>351</v>
      </c>
      <c r="O18" t="s">
        <v>387</v>
      </c>
    </row>
    <row r="19" spans="1:17" x14ac:dyDescent="0.2">
      <c r="O19" t="s">
        <v>388</v>
      </c>
    </row>
    <row r="20" spans="1:17" x14ac:dyDescent="0.2">
      <c r="A20" t="s">
        <v>406</v>
      </c>
      <c r="C20" s="2"/>
      <c r="D20" t="s">
        <v>395</v>
      </c>
      <c r="E20" t="s">
        <v>404</v>
      </c>
      <c r="O20" t="s">
        <v>394</v>
      </c>
    </row>
    <row r="21" spans="1:17" x14ac:dyDescent="0.2">
      <c r="C21" s="21"/>
    </row>
    <row r="22" spans="1:17" x14ac:dyDescent="0.2">
      <c r="G22" s="110"/>
      <c r="H22" s="110" t="s">
        <v>415</v>
      </c>
      <c r="I22" s="110"/>
    </row>
    <row r="23" spans="1:17" x14ac:dyDescent="0.2">
      <c r="A23" s="4"/>
      <c r="B23" s="4"/>
      <c r="G23" s="110" t="s">
        <v>416</v>
      </c>
      <c r="H23" s="110" t="s">
        <v>417</v>
      </c>
      <c r="I23" s="110" t="s">
        <v>418</v>
      </c>
      <c r="N23" s="31"/>
      <c r="O23" s="27"/>
    </row>
    <row r="24" spans="1:17" x14ac:dyDescent="0.2">
      <c r="A24" s="115" t="s">
        <v>352</v>
      </c>
      <c r="B24" s="116" t="s">
        <v>335</v>
      </c>
      <c r="C24" s="27" t="s">
        <v>217</v>
      </c>
      <c r="D24" s="111" t="s">
        <v>336</v>
      </c>
      <c r="E24" s="111" t="s">
        <v>217</v>
      </c>
      <c r="F24" s="28">
        <v>9</v>
      </c>
      <c r="G24" s="107"/>
      <c r="H24" s="108"/>
      <c r="I24" s="109"/>
      <c r="K24" s="4"/>
      <c r="L24" s="21"/>
      <c r="M24" s="21"/>
      <c r="N24" s="1"/>
      <c r="O24" s="28"/>
      <c r="P24" s="27"/>
    </row>
    <row r="25" spans="1:17" x14ac:dyDescent="0.2">
      <c r="A25" s="27" t="s">
        <v>217</v>
      </c>
      <c r="B25" s="111" t="s">
        <v>336</v>
      </c>
      <c r="C25" s="27" t="s">
        <v>353</v>
      </c>
      <c r="D25" s="111" t="s">
        <v>334</v>
      </c>
      <c r="E25" s="111" t="s">
        <v>353</v>
      </c>
      <c r="F25" s="28">
        <v>5</v>
      </c>
      <c r="G25" s="107"/>
      <c r="H25" s="108"/>
      <c r="I25" s="109"/>
      <c r="K25" s="4"/>
      <c r="L25" s="21"/>
      <c r="M25" s="21"/>
      <c r="N25" s="1"/>
      <c r="O25" s="28"/>
      <c r="P25" s="27"/>
    </row>
    <row r="26" spans="1:17" x14ac:dyDescent="0.2">
      <c r="A26" s="27" t="s">
        <v>353</v>
      </c>
      <c r="B26" s="111" t="s">
        <v>334</v>
      </c>
      <c r="C26" s="27" t="s">
        <v>430</v>
      </c>
      <c r="D26" s="111" t="s">
        <v>333</v>
      </c>
      <c r="E26" s="111" t="s">
        <v>430</v>
      </c>
      <c r="F26" s="28">
        <v>8</v>
      </c>
      <c r="G26" s="107"/>
      <c r="H26" s="108"/>
      <c r="I26" s="109"/>
      <c r="J26" s="1"/>
      <c r="K26" s="4"/>
      <c r="L26" s="21"/>
      <c r="M26" s="21"/>
      <c r="N26" s="1"/>
      <c r="O26" s="28"/>
      <c r="P26" s="27"/>
    </row>
    <row r="27" spans="1:17" x14ac:dyDescent="0.2">
      <c r="A27" s="27" t="s">
        <v>430</v>
      </c>
      <c r="B27" s="111" t="s">
        <v>333</v>
      </c>
      <c r="C27" s="27" t="s">
        <v>218</v>
      </c>
      <c r="D27" s="111" t="s">
        <v>355</v>
      </c>
      <c r="E27" s="111" t="s">
        <v>218</v>
      </c>
      <c r="F27" s="28">
        <v>4</v>
      </c>
      <c r="G27" s="107"/>
      <c r="H27" s="108"/>
      <c r="I27" s="109"/>
      <c r="K27" s="4"/>
      <c r="L27" s="21"/>
      <c r="M27" s="21"/>
      <c r="N27" s="29"/>
      <c r="O27" s="28"/>
      <c r="P27" s="27"/>
    </row>
    <row r="28" spans="1:17" x14ac:dyDescent="0.2">
      <c r="A28" s="27" t="s">
        <v>218</v>
      </c>
      <c r="B28" s="111" t="s">
        <v>355</v>
      </c>
      <c r="C28" s="27" t="s">
        <v>219</v>
      </c>
      <c r="D28" s="111" t="s">
        <v>355</v>
      </c>
      <c r="E28" s="111" t="s">
        <v>219</v>
      </c>
      <c r="F28" s="28">
        <v>4</v>
      </c>
      <c r="G28" s="107"/>
      <c r="H28" s="108"/>
      <c r="I28" s="109"/>
      <c r="J28" t="s">
        <v>419</v>
      </c>
      <c r="K28" s="4"/>
      <c r="L28" s="21"/>
      <c r="M28" s="21"/>
      <c r="N28" s="1"/>
      <c r="O28" s="28"/>
      <c r="P28" s="27"/>
    </row>
    <row r="29" spans="1:17" x14ac:dyDescent="0.2">
      <c r="A29" s="27" t="s">
        <v>219</v>
      </c>
      <c r="B29" s="111" t="s">
        <v>355</v>
      </c>
      <c r="C29" s="27" t="s">
        <v>220</v>
      </c>
      <c r="D29" s="111" t="s">
        <v>334</v>
      </c>
      <c r="E29" s="111" t="s">
        <v>220</v>
      </c>
      <c r="F29" s="28">
        <v>1</v>
      </c>
      <c r="G29" s="107"/>
      <c r="H29" s="108"/>
      <c r="I29" s="109"/>
      <c r="K29" s="4"/>
      <c r="L29" s="21"/>
      <c r="M29" s="21"/>
      <c r="N29" s="1"/>
      <c r="O29" s="28"/>
      <c r="P29" s="27"/>
    </row>
    <row r="30" spans="1:17" x14ac:dyDescent="0.2">
      <c r="A30" s="27" t="s">
        <v>220</v>
      </c>
      <c r="B30" s="111" t="s">
        <v>334</v>
      </c>
      <c r="C30" s="27" t="s">
        <v>221</v>
      </c>
      <c r="D30" s="111" t="s">
        <v>354</v>
      </c>
      <c r="E30" s="111" t="s">
        <v>221</v>
      </c>
      <c r="F30" s="28">
        <v>11</v>
      </c>
      <c r="G30" s="107"/>
      <c r="H30" s="108"/>
      <c r="I30" s="109"/>
      <c r="K30" s="4"/>
      <c r="L30" s="21"/>
      <c r="M30" s="21"/>
      <c r="N30" s="29"/>
      <c r="O30" s="28"/>
      <c r="P30" s="27"/>
    </row>
    <row r="31" spans="1:17" x14ac:dyDescent="0.2">
      <c r="A31" s="27" t="s">
        <v>221</v>
      </c>
      <c r="B31" s="111" t="s">
        <v>354</v>
      </c>
      <c r="C31" s="27" t="s">
        <v>222</v>
      </c>
      <c r="D31" s="111" t="s">
        <v>334</v>
      </c>
      <c r="E31" s="111" t="s">
        <v>222</v>
      </c>
      <c r="F31" s="28">
        <v>5</v>
      </c>
      <c r="G31" s="107"/>
      <c r="H31" s="108"/>
      <c r="I31" s="109"/>
      <c r="J31" s="1"/>
      <c r="K31" s="4"/>
      <c r="L31" s="21"/>
      <c r="M31" s="21"/>
      <c r="N31" s="1"/>
      <c r="O31" s="28"/>
      <c r="P31" s="27"/>
    </row>
    <row r="32" spans="1:17" x14ac:dyDescent="0.2">
      <c r="A32" s="115" t="s">
        <v>356</v>
      </c>
      <c r="B32" s="116" t="s">
        <v>357</v>
      </c>
      <c r="C32" s="27" t="s">
        <v>223</v>
      </c>
      <c r="D32" s="111" t="s">
        <v>336</v>
      </c>
      <c r="E32" s="111" t="s">
        <v>223</v>
      </c>
      <c r="F32" s="28">
        <v>9</v>
      </c>
      <c r="G32" s="107"/>
      <c r="H32" s="108"/>
      <c r="I32" s="109"/>
      <c r="J32" s="1"/>
      <c r="K32" s="4"/>
      <c r="L32" s="21"/>
      <c r="M32" s="21"/>
      <c r="N32" s="1"/>
      <c r="O32" s="28"/>
      <c r="P32" s="27"/>
      <c r="Q32" s="27"/>
    </row>
    <row r="33" spans="1:17" x14ac:dyDescent="0.2">
      <c r="A33" s="27" t="s">
        <v>222</v>
      </c>
      <c r="B33" s="111" t="s">
        <v>334</v>
      </c>
      <c r="C33" s="27" t="s">
        <v>225</v>
      </c>
      <c r="D33" s="111" t="s">
        <v>336</v>
      </c>
      <c r="E33" s="123" t="s">
        <v>225</v>
      </c>
      <c r="F33" s="28">
        <v>9</v>
      </c>
      <c r="G33" s="107"/>
      <c r="H33" s="108" t="s">
        <v>421</v>
      </c>
      <c r="I33" s="108" t="s">
        <v>421</v>
      </c>
      <c r="J33" s="1" t="s">
        <v>420</v>
      </c>
      <c r="K33" s="4"/>
      <c r="L33" s="21"/>
      <c r="M33" s="21"/>
      <c r="N33" s="1"/>
      <c r="O33" s="28"/>
      <c r="P33" s="27"/>
      <c r="Q33" s="27"/>
    </row>
    <row r="34" spans="1:17" x14ac:dyDescent="0.2">
      <c r="A34" s="27" t="s">
        <v>223</v>
      </c>
      <c r="B34" s="111" t="s">
        <v>336</v>
      </c>
      <c r="C34" s="27" t="s">
        <v>226</v>
      </c>
      <c r="D34" s="111" t="s">
        <v>336</v>
      </c>
      <c r="E34" s="111" t="s">
        <v>226</v>
      </c>
      <c r="F34" s="28">
        <v>9</v>
      </c>
      <c r="G34" s="107"/>
      <c r="H34" s="108"/>
      <c r="I34" s="109"/>
      <c r="J34" s="1"/>
      <c r="K34" s="4"/>
      <c r="L34" s="21"/>
      <c r="M34" s="21"/>
      <c r="N34" s="1"/>
      <c r="O34" s="28"/>
      <c r="P34" s="27"/>
      <c r="Q34" s="27"/>
    </row>
    <row r="35" spans="1:17" x14ac:dyDescent="0.2">
      <c r="A35" s="117" t="s">
        <v>358</v>
      </c>
      <c r="B35" s="116" t="s">
        <v>359</v>
      </c>
      <c r="C35" s="27" t="s">
        <v>227</v>
      </c>
      <c r="D35" s="111" t="s">
        <v>355</v>
      </c>
      <c r="E35" s="111" t="s">
        <v>227</v>
      </c>
      <c r="F35" s="28">
        <v>4</v>
      </c>
      <c r="G35" s="107"/>
      <c r="H35" s="108"/>
      <c r="I35" s="109"/>
      <c r="J35" s="1"/>
      <c r="K35" s="4"/>
      <c r="L35" s="21"/>
      <c r="M35" s="21"/>
      <c r="N35" s="1"/>
      <c r="O35" s="28"/>
      <c r="P35" s="27"/>
      <c r="Q35" s="27"/>
    </row>
    <row r="36" spans="1:17" x14ac:dyDescent="0.2">
      <c r="A36" s="115" t="s">
        <v>224</v>
      </c>
      <c r="B36" s="116" t="s">
        <v>335</v>
      </c>
      <c r="C36" s="27" t="s">
        <v>210</v>
      </c>
      <c r="D36" s="111" t="s">
        <v>336</v>
      </c>
      <c r="E36" s="111" t="s">
        <v>210</v>
      </c>
      <c r="F36" s="28">
        <v>9</v>
      </c>
      <c r="G36" s="107"/>
      <c r="H36" s="108"/>
      <c r="I36" s="109"/>
      <c r="J36" t="s">
        <v>419</v>
      </c>
      <c r="K36" s="4"/>
      <c r="L36" s="21"/>
      <c r="M36" s="21"/>
      <c r="N36" s="1"/>
      <c r="O36" s="28"/>
      <c r="P36" s="27"/>
      <c r="Q36" s="27"/>
    </row>
    <row r="37" spans="1:17" x14ac:dyDescent="0.2">
      <c r="A37" s="115" t="s">
        <v>360</v>
      </c>
      <c r="B37" s="116" t="s">
        <v>232</v>
      </c>
      <c r="C37" s="27" t="s">
        <v>211</v>
      </c>
      <c r="D37" s="111" t="s">
        <v>232</v>
      </c>
      <c r="E37" s="111" t="s">
        <v>211</v>
      </c>
      <c r="F37" s="28">
        <v>1</v>
      </c>
      <c r="G37" s="107"/>
      <c r="H37" s="108"/>
      <c r="I37" s="109"/>
      <c r="J37" s="1"/>
      <c r="K37" s="4"/>
      <c r="L37" s="21"/>
      <c r="M37" s="21"/>
      <c r="N37" s="1"/>
      <c r="O37" s="28"/>
      <c r="P37" s="27"/>
      <c r="Q37" s="27"/>
    </row>
    <row r="38" spans="1:17" x14ac:dyDescent="0.2">
      <c r="A38" s="27" t="s">
        <v>225</v>
      </c>
      <c r="B38" s="111" t="s">
        <v>336</v>
      </c>
      <c r="C38" s="112" t="s">
        <v>212</v>
      </c>
      <c r="D38" s="111" t="s">
        <v>355</v>
      </c>
      <c r="E38" t="s">
        <v>212</v>
      </c>
      <c r="F38" s="28">
        <v>4</v>
      </c>
      <c r="G38" s="107"/>
      <c r="H38" s="108"/>
      <c r="I38" s="109"/>
      <c r="J38" s="1"/>
      <c r="K38" s="4"/>
      <c r="L38" s="21"/>
      <c r="M38" s="21"/>
      <c r="N38" s="1"/>
      <c r="O38" s="28"/>
      <c r="P38" s="27"/>
      <c r="Q38" s="27"/>
    </row>
    <row r="39" spans="1:17" x14ac:dyDescent="0.2">
      <c r="A39" s="27" t="s">
        <v>226</v>
      </c>
      <c r="B39" s="111" t="s">
        <v>336</v>
      </c>
      <c r="C39" s="27" t="s">
        <v>213</v>
      </c>
      <c r="D39" s="111" t="s">
        <v>335</v>
      </c>
      <c r="E39" s="111" t="s">
        <v>213</v>
      </c>
      <c r="F39" s="28">
        <v>10</v>
      </c>
      <c r="G39" s="107"/>
      <c r="H39" s="108"/>
      <c r="I39" s="109"/>
      <c r="J39" s="1"/>
      <c r="K39" s="4"/>
      <c r="L39" s="21"/>
      <c r="M39" s="21"/>
      <c r="N39" s="1"/>
      <c r="O39" s="28"/>
      <c r="P39" s="27"/>
      <c r="Q39" s="27"/>
    </row>
    <row r="40" spans="1:17" x14ac:dyDescent="0.2">
      <c r="A40" s="115" t="s">
        <v>361</v>
      </c>
      <c r="B40" s="116" t="s">
        <v>357</v>
      </c>
      <c r="C40" s="27" t="s">
        <v>214</v>
      </c>
      <c r="D40" s="111" t="s">
        <v>363</v>
      </c>
      <c r="E40" s="111" t="s">
        <v>214</v>
      </c>
      <c r="F40" s="28">
        <v>6</v>
      </c>
      <c r="G40" s="107"/>
      <c r="H40" s="108"/>
      <c r="I40" s="109"/>
      <c r="J40" s="1"/>
      <c r="K40" s="4"/>
      <c r="L40" s="21"/>
      <c r="M40" s="21"/>
      <c r="N40" s="1"/>
      <c r="O40" s="28"/>
      <c r="P40" s="27"/>
      <c r="Q40" s="27"/>
    </row>
    <row r="41" spans="1:17" x14ac:dyDescent="0.2">
      <c r="A41" s="27" t="s">
        <v>227</v>
      </c>
      <c r="B41" s="111" t="s">
        <v>355</v>
      </c>
      <c r="C41" s="27" t="s">
        <v>365</v>
      </c>
      <c r="D41" s="111" t="s">
        <v>333</v>
      </c>
      <c r="E41" s="111" t="s">
        <v>365</v>
      </c>
      <c r="F41" s="28">
        <v>8</v>
      </c>
      <c r="G41" s="107"/>
      <c r="H41" s="108"/>
      <c r="I41" s="109"/>
      <c r="J41" s="1"/>
      <c r="K41" s="4"/>
      <c r="L41" s="21"/>
      <c r="M41" s="21"/>
      <c r="N41" s="1"/>
      <c r="O41" s="28"/>
      <c r="P41" s="27"/>
      <c r="Q41" s="27"/>
    </row>
    <row r="42" spans="1:17" x14ac:dyDescent="0.2">
      <c r="A42" s="115" t="s">
        <v>431</v>
      </c>
      <c r="B42" s="116" t="s">
        <v>363</v>
      </c>
      <c r="C42" s="27" t="s">
        <v>366</v>
      </c>
      <c r="D42" s="111" t="s">
        <v>336</v>
      </c>
      <c r="E42" s="111" t="s">
        <v>366</v>
      </c>
      <c r="F42" s="28">
        <v>9</v>
      </c>
      <c r="G42" s="107"/>
      <c r="H42" s="108"/>
      <c r="I42" s="109"/>
      <c r="J42" s="1"/>
      <c r="K42" s="4"/>
      <c r="L42" s="21"/>
      <c r="M42" s="21"/>
      <c r="N42" s="1"/>
      <c r="O42" s="28"/>
      <c r="P42" s="27"/>
      <c r="Q42" s="27"/>
    </row>
    <row r="43" spans="1:17" x14ac:dyDescent="0.2">
      <c r="A43" s="27" t="s">
        <v>210</v>
      </c>
      <c r="B43" s="111" t="s">
        <v>336</v>
      </c>
      <c r="C43" s="27" t="s">
        <v>367</v>
      </c>
      <c r="D43" s="111" t="s">
        <v>334</v>
      </c>
      <c r="E43" s="111" t="s">
        <v>367</v>
      </c>
      <c r="F43" s="28">
        <v>5</v>
      </c>
      <c r="G43" s="107"/>
      <c r="H43" s="108"/>
      <c r="I43" s="109"/>
      <c r="J43" s="1"/>
      <c r="K43" s="4"/>
      <c r="L43" s="21"/>
      <c r="M43" s="21"/>
      <c r="N43" s="1"/>
      <c r="O43" s="28"/>
      <c r="P43" s="27"/>
      <c r="Q43" s="27"/>
    </row>
    <row r="44" spans="1:17" x14ac:dyDescent="0.2">
      <c r="A44" s="115" t="s">
        <v>362</v>
      </c>
      <c r="B44" s="116" t="s">
        <v>363</v>
      </c>
      <c r="C44" s="27" t="s">
        <v>368</v>
      </c>
      <c r="D44" s="111" t="s">
        <v>333</v>
      </c>
      <c r="E44" s="111" t="s">
        <v>368</v>
      </c>
      <c r="F44" s="28">
        <v>8</v>
      </c>
      <c r="G44" s="107"/>
      <c r="H44" s="108"/>
      <c r="I44" s="109"/>
      <c r="J44" s="1"/>
      <c r="K44" s="4"/>
      <c r="L44" s="21"/>
      <c r="M44" s="21"/>
      <c r="N44" s="1"/>
      <c r="O44" s="28"/>
      <c r="P44" s="27"/>
      <c r="Q44" s="27"/>
    </row>
    <row r="45" spans="1:17" x14ac:dyDescent="0.2">
      <c r="A45" s="27" t="s">
        <v>211</v>
      </c>
      <c r="B45" s="111" t="s">
        <v>232</v>
      </c>
      <c r="C45" s="27" t="s">
        <v>432</v>
      </c>
      <c r="D45" s="111" t="s">
        <v>232</v>
      </c>
      <c r="E45" s="111" t="s">
        <v>432</v>
      </c>
      <c r="F45" s="28">
        <v>8</v>
      </c>
      <c r="G45" s="107"/>
      <c r="H45" s="108"/>
      <c r="I45" s="109"/>
      <c r="J45" s="1"/>
      <c r="K45" s="4"/>
      <c r="L45" s="21"/>
      <c r="M45" s="21"/>
      <c r="N45" s="1"/>
      <c r="O45" s="28"/>
      <c r="P45" s="27"/>
      <c r="Q45" s="27"/>
    </row>
    <row r="46" spans="1:17" x14ac:dyDescent="0.2">
      <c r="A46" s="112" t="s">
        <v>212</v>
      </c>
      <c r="B46" s="111" t="s">
        <v>355</v>
      </c>
      <c r="C46" s="27" t="s">
        <v>215</v>
      </c>
      <c r="D46" s="111" t="s">
        <v>232</v>
      </c>
      <c r="E46" s="111" t="s">
        <v>215</v>
      </c>
      <c r="F46" s="28">
        <v>1</v>
      </c>
      <c r="G46" s="107"/>
      <c r="H46" s="108"/>
      <c r="I46" s="109"/>
      <c r="J46" s="1" t="s">
        <v>422</v>
      </c>
      <c r="K46" s="4"/>
      <c r="L46" s="21"/>
      <c r="M46" s="21"/>
      <c r="N46" s="1"/>
      <c r="O46" s="28"/>
      <c r="P46" s="27"/>
      <c r="Q46" s="27"/>
    </row>
    <row r="47" spans="1:17" x14ac:dyDescent="0.2">
      <c r="A47" s="27" t="s">
        <v>213</v>
      </c>
      <c r="B47" s="111" t="s">
        <v>335</v>
      </c>
      <c r="C47" s="27" t="s">
        <v>216</v>
      </c>
      <c r="D47" s="111" t="s">
        <v>335</v>
      </c>
      <c r="E47" s="111" t="s">
        <v>216</v>
      </c>
      <c r="F47" s="28">
        <v>10</v>
      </c>
      <c r="G47" s="107"/>
      <c r="H47" s="108"/>
      <c r="I47" s="109"/>
      <c r="J47" s="1"/>
      <c r="K47" s="4"/>
      <c r="L47" s="21"/>
      <c r="M47" s="21"/>
      <c r="N47" s="1"/>
      <c r="O47" s="28"/>
      <c r="P47" s="27"/>
      <c r="Q47" s="27"/>
    </row>
    <row r="48" spans="1:17" x14ac:dyDescent="0.2">
      <c r="A48" s="27" t="s">
        <v>214</v>
      </c>
      <c r="B48" s="111" t="s">
        <v>363</v>
      </c>
      <c r="C48" s="27" t="s">
        <v>242</v>
      </c>
      <c r="D48" s="111" t="s">
        <v>334</v>
      </c>
      <c r="E48" s="111" t="s">
        <v>242</v>
      </c>
      <c r="F48" s="28">
        <v>5</v>
      </c>
      <c r="G48" s="107"/>
      <c r="H48" s="108"/>
      <c r="I48" s="109"/>
      <c r="J48" s="1"/>
      <c r="K48" s="4"/>
      <c r="L48" s="21"/>
      <c r="M48" s="21"/>
      <c r="N48" s="1"/>
      <c r="O48" s="28"/>
      <c r="P48" s="27"/>
      <c r="Q48" s="27"/>
    </row>
    <row r="49" spans="1:17" x14ac:dyDescent="0.2">
      <c r="A49" s="115" t="s">
        <v>364</v>
      </c>
      <c r="B49" s="116" t="s">
        <v>232</v>
      </c>
      <c r="C49" s="27" t="s">
        <v>243</v>
      </c>
      <c r="D49" s="111" t="s">
        <v>232</v>
      </c>
      <c r="E49" s="111" t="s">
        <v>243</v>
      </c>
      <c r="F49" s="28">
        <v>1</v>
      </c>
      <c r="G49" s="107"/>
      <c r="H49" s="108"/>
      <c r="I49" s="109"/>
      <c r="J49" s="4"/>
      <c r="K49" s="4"/>
      <c r="L49" s="21"/>
      <c r="M49" s="21"/>
      <c r="N49" s="1"/>
      <c r="O49" s="28"/>
      <c r="P49" s="27"/>
      <c r="Q49" s="27"/>
    </row>
    <row r="50" spans="1:17" x14ac:dyDescent="0.2">
      <c r="A50" s="27" t="s">
        <v>365</v>
      </c>
      <c r="B50" s="111" t="s">
        <v>333</v>
      </c>
      <c r="C50" s="27" t="s">
        <v>244</v>
      </c>
      <c r="D50" s="111" t="s">
        <v>335</v>
      </c>
      <c r="E50" s="123" t="s">
        <v>244</v>
      </c>
      <c r="F50" s="28">
        <v>10</v>
      </c>
      <c r="G50" s="107"/>
      <c r="H50" s="108"/>
      <c r="I50" s="109" t="s">
        <v>421</v>
      </c>
      <c r="J50" s="4" t="s">
        <v>423</v>
      </c>
      <c r="K50" s="4"/>
      <c r="L50" s="21"/>
      <c r="M50" s="21"/>
      <c r="N50" s="1"/>
      <c r="O50" s="28"/>
      <c r="P50" s="27"/>
      <c r="Q50" s="27"/>
    </row>
    <row r="51" spans="1:17" x14ac:dyDescent="0.2">
      <c r="A51" s="27" t="s">
        <v>366</v>
      </c>
      <c r="B51" s="111" t="s">
        <v>336</v>
      </c>
      <c r="C51" s="27" t="s">
        <v>245</v>
      </c>
      <c r="D51" s="111" t="s">
        <v>363</v>
      </c>
      <c r="E51" s="111" t="s">
        <v>245</v>
      </c>
      <c r="F51" s="28">
        <v>6</v>
      </c>
      <c r="G51" s="107"/>
      <c r="H51" s="108"/>
      <c r="I51" s="109"/>
      <c r="J51" s="1"/>
      <c r="K51" s="4"/>
      <c r="L51" s="21"/>
      <c r="M51" s="21"/>
      <c r="N51" s="1"/>
      <c r="O51" s="28"/>
      <c r="P51" s="27"/>
      <c r="Q51" s="27"/>
    </row>
    <row r="52" spans="1:17" x14ac:dyDescent="0.2">
      <c r="A52" s="27" t="s">
        <v>367</v>
      </c>
      <c r="B52" s="111" t="s">
        <v>334</v>
      </c>
      <c r="C52" s="27" t="s">
        <v>246</v>
      </c>
      <c r="D52" s="111" t="s">
        <v>357</v>
      </c>
      <c r="E52" s="111" t="s">
        <v>246</v>
      </c>
      <c r="F52" s="28">
        <v>13</v>
      </c>
      <c r="G52" s="107"/>
      <c r="H52" s="108"/>
      <c r="I52" s="109"/>
      <c r="J52" s="1"/>
      <c r="K52" s="4"/>
      <c r="L52" s="21"/>
      <c r="M52" s="21"/>
      <c r="N52" s="1"/>
      <c r="O52" s="28"/>
      <c r="P52" s="27"/>
      <c r="Q52" s="27"/>
    </row>
    <row r="53" spans="1:17" x14ac:dyDescent="0.2">
      <c r="A53" s="27" t="s">
        <v>368</v>
      </c>
      <c r="B53" s="111" t="s">
        <v>333</v>
      </c>
      <c r="C53" s="113" t="s">
        <v>247</v>
      </c>
      <c r="D53" s="111" t="s">
        <v>369</v>
      </c>
      <c r="E53" s="111" t="s">
        <v>247</v>
      </c>
      <c r="F53" s="28">
        <v>3</v>
      </c>
      <c r="G53" s="107"/>
      <c r="H53" s="108"/>
      <c r="I53" s="109"/>
      <c r="J53" s="1"/>
      <c r="K53" s="4"/>
      <c r="L53" s="21"/>
      <c r="M53" s="21"/>
      <c r="N53" s="1"/>
      <c r="O53" s="28"/>
      <c r="P53" s="27"/>
      <c r="Q53" s="27"/>
    </row>
    <row r="54" spans="1:17" x14ac:dyDescent="0.2">
      <c r="A54" s="27" t="s">
        <v>432</v>
      </c>
      <c r="B54" s="111" t="s">
        <v>232</v>
      </c>
      <c r="C54" s="113" t="s">
        <v>248</v>
      </c>
      <c r="D54" s="111" t="s">
        <v>369</v>
      </c>
      <c r="E54" s="111" t="s">
        <v>248</v>
      </c>
      <c r="F54" s="28">
        <v>3</v>
      </c>
      <c r="G54" s="107"/>
      <c r="H54" s="108"/>
      <c r="I54" s="109"/>
      <c r="J54" s="1"/>
      <c r="K54" s="4"/>
      <c r="L54" s="21"/>
      <c r="M54" s="21"/>
      <c r="N54" s="1"/>
      <c r="O54" s="28"/>
      <c r="P54" s="27"/>
      <c r="Q54" s="27"/>
    </row>
    <row r="55" spans="1:17" x14ac:dyDescent="0.2">
      <c r="A55" s="27" t="s">
        <v>215</v>
      </c>
      <c r="B55" s="111" t="s">
        <v>232</v>
      </c>
      <c r="C55" s="113" t="s">
        <v>249</v>
      </c>
      <c r="D55" s="111" t="s">
        <v>369</v>
      </c>
      <c r="E55" s="111" t="s">
        <v>249</v>
      </c>
      <c r="F55" s="28">
        <v>3</v>
      </c>
      <c r="G55" s="107"/>
      <c r="H55" s="108"/>
      <c r="I55" s="109"/>
      <c r="J55" s="1"/>
      <c r="K55" s="4"/>
      <c r="L55" s="21"/>
      <c r="M55" s="21"/>
      <c r="N55" s="1"/>
      <c r="O55" s="28"/>
      <c r="P55" s="27"/>
      <c r="Q55" s="27"/>
    </row>
    <row r="56" spans="1:17" x14ac:dyDescent="0.2">
      <c r="A56" s="27" t="s">
        <v>216</v>
      </c>
      <c r="B56" s="111" t="s">
        <v>335</v>
      </c>
      <c r="C56" s="112" t="s">
        <v>250</v>
      </c>
      <c r="D56" s="111" t="s">
        <v>359</v>
      </c>
      <c r="E56" t="s">
        <v>250</v>
      </c>
      <c r="F56" s="28">
        <v>2</v>
      </c>
      <c r="G56" s="107"/>
      <c r="H56" s="108"/>
      <c r="I56" s="109"/>
      <c r="J56" s="1"/>
      <c r="K56" s="4"/>
      <c r="L56" s="21"/>
      <c r="M56" s="21"/>
      <c r="N56" s="1"/>
      <c r="O56" s="28"/>
      <c r="P56" s="27"/>
      <c r="Q56" s="27"/>
    </row>
    <row r="57" spans="1:17" x14ac:dyDescent="0.2">
      <c r="A57" s="27" t="s">
        <v>242</v>
      </c>
      <c r="B57" s="111" t="s">
        <v>334</v>
      </c>
      <c r="C57" s="112" t="s">
        <v>251</v>
      </c>
      <c r="D57" s="111" t="s">
        <v>359</v>
      </c>
      <c r="E57" s="25" t="s">
        <v>251</v>
      </c>
      <c r="F57" s="28">
        <v>2</v>
      </c>
      <c r="G57" s="107"/>
      <c r="H57" s="108"/>
      <c r="I57" s="109" t="s">
        <v>421</v>
      </c>
      <c r="J57" s="1" t="s">
        <v>424</v>
      </c>
      <c r="K57" s="4"/>
      <c r="L57" s="21"/>
      <c r="M57" s="21"/>
      <c r="N57" s="1"/>
      <c r="O57" s="28"/>
      <c r="P57" s="27"/>
      <c r="Q57" s="27"/>
    </row>
    <row r="58" spans="1:17" x14ac:dyDescent="0.2">
      <c r="A58" s="27" t="s">
        <v>433</v>
      </c>
      <c r="B58" s="111" t="s">
        <v>354</v>
      </c>
      <c r="C58" s="112" t="s">
        <v>252</v>
      </c>
      <c r="D58" s="111" t="s">
        <v>336</v>
      </c>
      <c r="E58" t="s">
        <v>252</v>
      </c>
      <c r="F58" s="28">
        <v>9</v>
      </c>
      <c r="G58" s="107"/>
      <c r="H58" s="108"/>
      <c r="I58" s="109"/>
      <c r="J58" s="1"/>
      <c r="K58" s="4"/>
      <c r="L58" s="21"/>
      <c r="M58" s="21"/>
      <c r="N58" s="1"/>
      <c r="O58" s="28"/>
      <c r="P58" s="27"/>
      <c r="Q58" s="27"/>
    </row>
    <row r="59" spans="1:17" x14ac:dyDescent="0.2">
      <c r="A59" s="27" t="s">
        <v>243</v>
      </c>
      <c r="B59" s="111" t="s">
        <v>232</v>
      </c>
      <c r="C59" s="27" t="s">
        <v>263</v>
      </c>
      <c r="D59" s="111" t="s">
        <v>334</v>
      </c>
      <c r="E59" s="111" t="s">
        <v>263</v>
      </c>
      <c r="F59" s="28">
        <v>5</v>
      </c>
      <c r="G59" s="107"/>
      <c r="H59" s="108"/>
      <c r="I59" s="109"/>
      <c r="J59" s="1"/>
      <c r="K59" s="4"/>
      <c r="L59" s="21"/>
      <c r="M59" s="21"/>
      <c r="N59" s="1"/>
      <c r="O59" s="28"/>
      <c r="P59" s="27"/>
      <c r="Q59" s="27"/>
    </row>
    <row r="60" spans="1:17" x14ac:dyDescent="0.2">
      <c r="A60" s="27" t="s">
        <v>244</v>
      </c>
      <c r="B60" s="111" t="s">
        <v>335</v>
      </c>
      <c r="C60" s="27" t="s">
        <v>371</v>
      </c>
      <c r="D60" s="111" t="s">
        <v>354</v>
      </c>
      <c r="E60" s="111" t="s">
        <v>371</v>
      </c>
      <c r="F60" s="28"/>
      <c r="G60" s="107"/>
      <c r="H60" s="108"/>
      <c r="I60" s="109"/>
      <c r="J60" s="1"/>
      <c r="K60" s="4"/>
      <c r="L60" s="21"/>
      <c r="M60" s="21"/>
      <c r="N60" s="1"/>
      <c r="O60" s="28"/>
      <c r="P60" s="27"/>
      <c r="Q60" s="27"/>
    </row>
    <row r="61" spans="1:17" x14ac:dyDescent="0.2">
      <c r="A61" s="27" t="s">
        <v>245</v>
      </c>
      <c r="B61" s="111" t="s">
        <v>363</v>
      </c>
      <c r="C61" s="27" t="s">
        <v>264</v>
      </c>
      <c r="D61" s="111" t="s">
        <v>333</v>
      </c>
      <c r="E61" s="111" t="s">
        <v>264</v>
      </c>
      <c r="F61" s="28">
        <v>8</v>
      </c>
      <c r="G61" s="107"/>
      <c r="H61" s="108"/>
      <c r="I61" s="109"/>
      <c r="J61" s="1"/>
      <c r="K61" s="4"/>
      <c r="L61" s="21"/>
      <c r="M61" s="21"/>
      <c r="N61" s="1"/>
      <c r="O61" s="28"/>
      <c r="P61" s="27"/>
      <c r="Q61" s="27"/>
    </row>
    <row r="62" spans="1:17" x14ac:dyDescent="0.2">
      <c r="A62" s="27" t="s">
        <v>246</v>
      </c>
      <c r="B62" s="111" t="s">
        <v>357</v>
      </c>
      <c r="C62" s="27" t="s">
        <v>265</v>
      </c>
      <c r="D62" s="111" t="s">
        <v>363</v>
      </c>
      <c r="E62" s="111" t="s">
        <v>265</v>
      </c>
      <c r="F62" s="28">
        <v>6</v>
      </c>
      <c r="G62" s="107"/>
      <c r="H62" s="108"/>
      <c r="I62" s="109"/>
      <c r="J62" s="1"/>
      <c r="K62" s="4"/>
      <c r="L62" s="21"/>
      <c r="M62" s="21"/>
      <c r="N62" s="1"/>
      <c r="O62" s="28"/>
      <c r="P62" s="27"/>
      <c r="Q62" s="27"/>
    </row>
    <row r="63" spans="1:17" x14ac:dyDescent="0.2">
      <c r="A63" s="113" t="s">
        <v>247</v>
      </c>
      <c r="B63" s="111" t="s">
        <v>369</v>
      </c>
      <c r="C63" s="27" t="s">
        <v>373</v>
      </c>
      <c r="D63" s="111" t="s">
        <v>334</v>
      </c>
      <c r="E63" s="111" t="s">
        <v>373</v>
      </c>
      <c r="F63" s="28">
        <v>5</v>
      </c>
      <c r="G63" s="107"/>
      <c r="H63" s="108"/>
      <c r="I63" s="109"/>
      <c r="J63" s="1"/>
      <c r="K63" s="4"/>
      <c r="L63" s="21"/>
      <c r="M63" s="21"/>
      <c r="N63" s="1"/>
      <c r="O63" s="28"/>
      <c r="P63" s="27"/>
      <c r="Q63" s="27"/>
    </row>
    <row r="64" spans="1:17" x14ac:dyDescent="0.2">
      <c r="A64" s="113" t="s">
        <v>248</v>
      </c>
      <c r="B64" s="111" t="s">
        <v>369</v>
      </c>
      <c r="C64" s="27" t="s">
        <v>266</v>
      </c>
      <c r="D64" s="111" t="s">
        <v>333</v>
      </c>
      <c r="E64" s="111" t="s">
        <v>266</v>
      </c>
      <c r="F64" s="28">
        <v>8</v>
      </c>
      <c r="G64" s="107"/>
      <c r="H64" s="108"/>
      <c r="I64" s="109"/>
      <c r="J64" s="1"/>
      <c r="K64" s="4"/>
      <c r="L64" s="21"/>
      <c r="M64" s="21"/>
      <c r="N64" s="1"/>
      <c r="O64" s="28"/>
      <c r="P64" s="27"/>
      <c r="Q64" s="27"/>
    </row>
    <row r="65" spans="1:19" x14ac:dyDescent="0.2">
      <c r="A65" s="113" t="s">
        <v>249</v>
      </c>
      <c r="B65" s="111" t="s">
        <v>369</v>
      </c>
      <c r="C65" s="27" t="s">
        <v>267</v>
      </c>
      <c r="D65" s="111" t="s">
        <v>232</v>
      </c>
      <c r="E65" s="111" t="s">
        <v>267</v>
      </c>
      <c r="F65" s="28">
        <v>1</v>
      </c>
      <c r="G65" s="107"/>
      <c r="H65" s="108"/>
      <c r="I65" s="109"/>
      <c r="J65" s="1"/>
      <c r="K65" s="4"/>
      <c r="L65" s="21"/>
      <c r="M65" s="21"/>
      <c r="N65" s="1"/>
      <c r="O65" s="28"/>
      <c r="P65" s="27"/>
      <c r="Q65" s="27"/>
    </row>
    <row r="66" spans="1:19" x14ac:dyDescent="0.2">
      <c r="A66" s="112" t="s">
        <v>250</v>
      </c>
      <c r="B66" s="111" t="s">
        <v>359</v>
      </c>
      <c r="C66" s="27" t="s">
        <v>374</v>
      </c>
      <c r="D66" s="111" t="s">
        <v>336</v>
      </c>
      <c r="E66" s="111" t="s">
        <v>374</v>
      </c>
      <c r="F66" s="28">
        <v>9</v>
      </c>
      <c r="G66" s="107"/>
      <c r="H66" s="108"/>
      <c r="I66" s="109"/>
      <c r="J66" s="1"/>
      <c r="K66" s="4"/>
      <c r="L66" s="21"/>
      <c r="M66" s="21"/>
      <c r="N66" s="1"/>
      <c r="O66" s="28"/>
      <c r="P66" s="27"/>
      <c r="Q66" s="27"/>
      <c r="S66" s="111" t="s">
        <v>354</v>
      </c>
    </row>
    <row r="67" spans="1:19" x14ac:dyDescent="0.2">
      <c r="A67" s="112" t="s">
        <v>251</v>
      </c>
      <c r="B67" s="111" t="s">
        <v>359</v>
      </c>
      <c r="C67" s="27" t="s">
        <v>268</v>
      </c>
      <c r="D67" s="111" t="s">
        <v>363</v>
      </c>
      <c r="E67" s="111" t="s">
        <v>268</v>
      </c>
      <c r="F67" s="28">
        <v>6</v>
      </c>
      <c r="G67" s="107"/>
      <c r="H67" s="108"/>
      <c r="I67" s="109"/>
      <c r="J67" s="1"/>
      <c r="K67" s="4"/>
      <c r="L67" s="21"/>
      <c r="M67" s="21"/>
      <c r="N67" s="1"/>
      <c r="O67" s="28"/>
      <c r="P67" s="27"/>
      <c r="Q67" s="27"/>
    </row>
    <row r="68" spans="1:19" x14ac:dyDescent="0.2">
      <c r="A68" s="117" t="s">
        <v>370</v>
      </c>
      <c r="B68" s="116" t="s">
        <v>359</v>
      </c>
      <c r="C68" s="27" t="s">
        <v>269</v>
      </c>
      <c r="D68" s="111" t="s">
        <v>336</v>
      </c>
      <c r="E68" s="111" t="s">
        <v>269</v>
      </c>
      <c r="F68" s="28">
        <v>9</v>
      </c>
      <c r="G68" s="107"/>
      <c r="H68" s="108"/>
      <c r="I68" s="109"/>
      <c r="J68" s="1"/>
      <c r="K68" s="4"/>
      <c r="L68" s="21"/>
      <c r="M68" s="21"/>
      <c r="N68" s="1"/>
      <c r="O68" s="28"/>
      <c r="P68" s="27"/>
      <c r="Q68" s="27"/>
    </row>
    <row r="69" spans="1:19" x14ac:dyDescent="0.2">
      <c r="A69" s="112" t="s">
        <v>252</v>
      </c>
      <c r="B69" s="111" t="s">
        <v>336</v>
      </c>
      <c r="C69" s="113" t="s">
        <v>271</v>
      </c>
      <c r="D69" s="111" t="s">
        <v>369</v>
      </c>
      <c r="E69" s="111" t="s">
        <v>271</v>
      </c>
      <c r="F69" s="28">
        <v>3</v>
      </c>
      <c r="G69" s="107"/>
      <c r="H69" s="108"/>
      <c r="I69" s="109"/>
      <c r="J69" s="1"/>
      <c r="K69" s="4"/>
      <c r="L69" s="21"/>
      <c r="M69" s="21"/>
      <c r="N69" s="1"/>
      <c r="O69" s="30"/>
      <c r="P69" s="27"/>
      <c r="Q69" s="27"/>
    </row>
    <row r="70" spans="1:19" x14ac:dyDescent="0.2">
      <c r="A70" s="27" t="s">
        <v>263</v>
      </c>
      <c r="B70" s="111" t="s">
        <v>334</v>
      </c>
      <c r="C70" s="27" t="s">
        <v>398</v>
      </c>
      <c r="D70" s="111" t="s">
        <v>333</v>
      </c>
      <c r="E70" s="111" t="s">
        <v>398</v>
      </c>
      <c r="F70" s="28">
        <v>8</v>
      </c>
      <c r="G70" s="107"/>
      <c r="H70" s="108"/>
      <c r="I70" s="109"/>
      <c r="J70" s="1"/>
      <c r="K70" s="4"/>
      <c r="L70" s="21"/>
      <c r="M70" s="21"/>
      <c r="N70" s="1"/>
      <c r="O70" s="28"/>
      <c r="P70" s="27"/>
      <c r="Q70" s="27"/>
    </row>
    <row r="71" spans="1:19" x14ac:dyDescent="0.2">
      <c r="A71" s="27" t="s">
        <v>371</v>
      </c>
      <c r="B71" s="111" t="s">
        <v>354</v>
      </c>
      <c r="C71" s="113" t="s">
        <v>253</v>
      </c>
      <c r="D71" s="111" t="s">
        <v>369</v>
      </c>
      <c r="E71" s="111" t="s">
        <v>253</v>
      </c>
      <c r="F71" s="28">
        <v>3</v>
      </c>
      <c r="G71" s="107"/>
      <c r="H71" s="108"/>
      <c r="I71" s="109"/>
      <c r="J71" s="1"/>
      <c r="K71" s="4"/>
      <c r="L71" s="21"/>
      <c r="M71" s="21"/>
      <c r="N71" s="1"/>
      <c r="O71" s="28"/>
      <c r="P71" s="27"/>
      <c r="Q71" s="27"/>
    </row>
    <row r="72" spans="1:19" x14ac:dyDescent="0.2">
      <c r="A72" s="115" t="s">
        <v>372</v>
      </c>
      <c r="B72" s="116" t="s">
        <v>354</v>
      </c>
      <c r="C72" s="27" t="s">
        <v>435</v>
      </c>
      <c r="D72" s="111" t="s">
        <v>334</v>
      </c>
      <c r="E72" s="111" t="s">
        <v>435</v>
      </c>
      <c r="F72" s="28">
        <v>5</v>
      </c>
      <c r="G72" s="107"/>
      <c r="H72" s="108"/>
      <c r="I72" s="109"/>
      <c r="J72" s="1"/>
      <c r="K72" s="4"/>
      <c r="L72" s="21"/>
      <c r="M72" s="21"/>
      <c r="N72" s="1"/>
      <c r="O72" s="28"/>
      <c r="P72" s="27"/>
      <c r="Q72" s="27"/>
    </row>
    <row r="73" spans="1:19" x14ac:dyDescent="0.2">
      <c r="A73" s="27" t="s">
        <v>264</v>
      </c>
      <c r="B73" s="111" t="s">
        <v>333</v>
      </c>
      <c r="C73" s="27" t="s">
        <v>254</v>
      </c>
      <c r="D73" s="111" t="s">
        <v>334</v>
      </c>
      <c r="E73" s="111" t="s">
        <v>254</v>
      </c>
      <c r="F73" s="28">
        <v>5</v>
      </c>
      <c r="G73" s="107"/>
      <c r="H73" s="108"/>
      <c r="I73" s="109"/>
      <c r="J73" s="1"/>
      <c r="K73" s="4"/>
      <c r="L73" s="21"/>
      <c r="M73" s="21"/>
      <c r="N73" s="1"/>
      <c r="O73" s="28"/>
      <c r="P73" s="27"/>
      <c r="Q73" s="27"/>
    </row>
    <row r="74" spans="1:19" x14ac:dyDescent="0.2">
      <c r="A74" s="27" t="s">
        <v>265</v>
      </c>
      <c r="B74" s="111" t="s">
        <v>363</v>
      </c>
      <c r="C74" s="112" t="s">
        <v>255</v>
      </c>
      <c r="D74" s="111" t="s">
        <v>334</v>
      </c>
      <c r="E74" t="s">
        <v>255</v>
      </c>
      <c r="F74" s="28">
        <v>5</v>
      </c>
      <c r="G74" s="107"/>
      <c r="H74" s="108"/>
      <c r="I74" s="109"/>
      <c r="J74" s="1"/>
      <c r="K74" s="4"/>
      <c r="L74" s="21"/>
      <c r="M74" s="21"/>
      <c r="N74" s="1"/>
      <c r="O74" s="28"/>
      <c r="P74" s="27"/>
      <c r="Q74" s="27"/>
    </row>
    <row r="75" spans="1:19" x14ac:dyDescent="0.2">
      <c r="A75" s="27" t="s">
        <v>373</v>
      </c>
      <c r="B75" s="111" t="s">
        <v>334</v>
      </c>
      <c r="C75" s="112" t="s">
        <v>256</v>
      </c>
      <c r="D75" s="111" t="s">
        <v>369</v>
      </c>
      <c r="E75" t="s">
        <v>256</v>
      </c>
      <c r="F75" s="28">
        <v>3</v>
      </c>
      <c r="G75" s="107"/>
      <c r="H75" s="108"/>
      <c r="I75" s="109"/>
      <c r="J75" s="1"/>
      <c r="K75" s="4"/>
      <c r="L75" s="21"/>
      <c r="M75" s="21"/>
      <c r="N75" s="1"/>
      <c r="O75" s="28"/>
      <c r="P75" s="27"/>
      <c r="Q75" s="27"/>
    </row>
    <row r="76" spans="1:19" x14ac:dyDescent="0.2">
      <c r="A76" s="27" t="s">
        <v>266</v>
      </c>
      <c r="B76" s="111" t="s">
        <v>333</v>
      </c>
      <c r="C76" s="27" t="s">
        <v>257</v>
      </c>
      <c r="D76" s="111" t="s">
        <v>335</v>
      </c>
      <c r="E76" s="111" t="s">
        <v>257</v>
      </c>
      <c r="F76" s="28">
        <v>9</v>
      </c>
      <c r="G76" s="107"/>
      <c r="H76" s="108"/>
      <c r="I76" s="109"/>
      <c r="J76" s="1"/>
      <c r="K76" s="4"/>
      <c r="L76" s="21"/>
      <c r="M76" s="21"/>
      <c r="N76" s="1"/>
      <c r="O76" s="28"/>
      <c r="P76" s="27"/>
      <c r="Q76" s="27"/>
    </row>
    <row r="77" spans="1:19" x14ac:dyDescent="0.2">
      <c r="A77" s="27" t="s">
        <v>267</v>
      </c>
      <c r="B77" s="111" t="s">
        <v>232</v>
      </c>
      <c r="C77" s="27" t="s">
        <v>258</v>
      </c>
      <c r="D77" s="111" t="s">
        <v>335</v>
      </c>
      <c r="E77" s="111" t="s">
        <v>258</v>
      </c>
      <c r="F77" s="28">
        <v>10</v>
      </c>
      <c r="G77" s="107"/>
      <c r="H77" s="108"/>
      <c r="I77" s="109"/>
      <c r="J77" s="1"/>
      <c r="K77" s="4"/>
      <c r="L77" s="21"/>
      <c r="M77" s="21"/>
      <c r="N77" s="1"/>
      <c r="O77" s="28"/>
      <c r="P77" s="27"/>
      <c r="Q77" s="27"/>
      <c r="S77" s="111" t="s">
        <v>357</v>
      </c>
    </row>
    <row r="78" spans="1:19" x14ac:dyDescent="0.2">
      <c r="A78" s="27" t="s">
        <v>374</v>
      </c>
      <c r="B78" s="111" t="s">
        <v>336</v>
      </c>
      <c r="C78" s="27" t="s">
        <v>259</v>
      </c>
      <c r="D78" s="111" t="s">
        <v>357</v>
      </c>
      <c r="E78" s="111" t="s">
        <v>259</v>
      </c>
      <c r="F78" s="28">
        <v>12</v>
      </c>
      <c r="G78" s="107"/>
      <c r="H78" s="108"/>
      <c r="I78" s="109"/>
      <c r="J78" s="1"/>
      <c r="K78" s="4"/>
      <c r="L78" s="21"/>
      <c r="M78" s="21"/>
      <c r="N78" s="1"/>
      <c r="O78" s="28"/>
      <c r="P78" s="27"/>
      <c r="Q78" s="27"/>
    </row>
    <row r="79" spans="1:19" x14ac:dyDescent="0.2">
      <c r="A79" s="27" t="s">
        <v>268</v>
      </c>
      <c r="B79" s="111" t="s">
        <v>363</v>
      </c>
      <c r="C79" s="27" t="s">
        <v>260</v>
      </c>
      <c r="D79" s="111" t="s">
        <v>232</v>
      </c>
      <c r="E79" s="111" t="s">
        <v>260</v>
      </c>
      <c r="F79" s="30">
        <v>1</v>
      </c>
      <c r="G79" s="107"/>
      <c r="H79" s="108"/>
      <c r="I79" s="109"/>
      <c r="J79" s="1"/>
      <c r="K79" s="4"/>
      <c r="L79" s="21"/>
      <c r="M79" s="21"/>
      <c r="N79" s="29"/>
      <c r="O79" s="28"/>
      <c r="P79" s="27"/>
      <c r="Q79" s="27"/>
    </row>
    <row r="80" spans="1:19" x14ac:dyDescent="0.2">
      <c r="A80" s="115" t="s">
        <v>434</v>
      </c>
      <c r="B80" s="116" t="s">
        <v>232</v>
      </c>
      <c r="C80" s="27" t="s">
        <v>261</v>
      </c>
      <c r="D80" s="111" t="s">
        <v>232</v>
      </c>
      <c r="E80" s="111" t="s">
        <v>261</v>
      </c>
      <c r="F80" s="28">
        <v>1</v>
      </c>
      <c r="G80" s="107"/>
      <c r="H80" s="108"/>
      <c r="I80" s="109"/>
      <c r="J80" s="1"/>
      <c r="K80" s="4"/>
      <c r="L80" s="21"/>
      <c r="M80" s="21"/>
      <c r="N80" s="1"/>
      <c r="O80" s="28"/>
      <c r="P80" s="27"/>
      <c r="Q80" s="27"/>
    </row>
    <row r="81" spans="1:17" x14ac:dyDescent="0.2">
      <c r="A81" s="27" t="s">
        <v>269</v>
      </c>
      <c r="B81" s="111" t="s">
        <v>336</v>
      </c>
      <c r="C81" s="27" t="s">
        <v>272</v>
      </c>
      <c r="D81" s="111" t="s">
        <v>333</v>
      </c>
      <c r="E81" s="111" t="s">
        <v>272</v>
      </c>
      <c r="F81" s="28">
        <v>8</v>
      </c>
      <c r="G81" s="107"/>
      <c r="H81" s="108"/>
      <c r="I81" s="109"/>
      <c r="J81" s="1"/>
      <c r="K81" s="4"/>
      <c r="L81" s="21"/>
      <c r="M81" s="21"/>
      <c r="N81" s="1"/>
      <c r="O81" s="28"/>
      <c r="P81" s="27"/>
      <c r="Q81" s="27"/>
    </row>
    <row r="82" spans="1:17" x14ac:dyDescent="0.2">
      <c r="A82" s="118" t="s">
        <v>270</v>
      </c>
      <c r="B82" s="116" t="s">
        <v>369</v>
      </c>
      <c r="C82" s="27" t="s">
        <v>262</v>
      </c>
      <c r="D82" s="111" t="s">
        <v>336</v>
      </c>
      <c r="E82" s="111" t="s">
        <v>262</v>
      </c>
      <c r="F82" s="28">
        <v>9</v>
      </c>
      <c r="G82" s="107"/>
      <c r="H82" s="108"/>
      <c r="I82" s="109"/>
      <c r="J82" s="1"/>
      <c r="K82" s="4"/>
      <c r="L82" s="21"/>
      <c r="M82" s="21"/>
      <c r="N82" s="1"/>
      <c r="O82" s="28"/>
      <c r="P82" s="27"/>
      <c r="Q82" s="27"/>
    </row>
    <row r="83" spans="1:17" x14ac:dyDescent="0.2">
      <c r="A83" s="113" t="s">
        <v>271</v>
      </c>
      <c r="B83" s="111" t="s">
        <v>369</v>
      </c>
      <c r="C83" s="27" t="s">
        <v>273</v>
      </c>
      <c r="D83" s="111" t="s">
        <v>336</v>
      </c>
      <c r="E83" s="111" t="s">
        <v>273</v>
      </c>
      <c r="F83" s="28">
        <v>9</v>
      </c>
      <c r="G83" s="107"/>
      <c r="H83" s="108"/>
      <c r="I83" s="109"/>
      <c r="J83" s="1"/>
      <c r="K83" s="4"/>
      <c r="L83" s="21"/>
      <c r="M83" s="21"/>
      <c r="N83" s="1"/>
      <c r="O83" s="28"/>
      <c r="P83" s="27"/>
      <c r="Q83" s="27"/>
    </row>
    <row r="84" spans="1:17" x14ac:dyDescent="0.2">
      <c r="A84" s="27" t="s">
        <v>398</v>
      </c>
      <c r="B84" s="111" t="s">
        <v>333</v>
      </c>
      <c r="C84" s="113" t="s">
        <v>274</v>
      </c>
      <c r="D84" s="111" t="s">
        <v>369</v>
      </c>
      <c r="E84" s="111" t="s">
        <v>274</v>
      </c>
      <c r="F84" s="28">
        <v>3</v>
      </c>
      <c r="G84" s="107"/>
      <c r="H84" s="108"/>
      <c r="I84" s="109"/>
      <c r="J84" s="1"/>
      <c r="K84" s="4"/>
      <c r="L84" s="21"/>
      <c r="M84" s="21"/>
      <c r="N84" s="1"/>
      <c r="O84" s="28"/>
      <c r="P84" s="27"/>
      <c r="Q84" s="27"/>
    </row>
    <row r="85" spans="1:17" x14ac:dyDescent="0.2">
      <c r="A85" s="113" t="s">
        <v>253</v>
      </c>
      <c r="B85" s="111" t="s">
        <v>369</v>
      </c>
      <c r="C85" s="112" t="s">
        <v>275</v>
      </c>
      <c r="D85" s="111" t="s">
        <v>359</v>
      </c>
      <c r="E85" t="s">
        <v>275</v>
      </c>
      <c r="F85" s="28">
        <v>2</v>
      </c>
      <c r="G85" s="107"/>
      <c r="H85" s="108"/>
      <c r="I85" s="109"/>
      <c r="J85" s="1"/>
      <c r="K85" s="4"/>
      <c r="L85" s="21"/>
      <c r="M85" s="21"/>
      <c r="N85" s="1"/>
      <c r="O85" s="28"/>
      <c r="P85" s="27"/>
      <c r="Q85" s="27"/>
    </row>
    <row r="86" spans="1:17" x14ac:dyDescent="0.2">
      <c r="A86" s="27" t="s">
        <v>435</v>
      </c>
      <c r="B86" s="111" t="s">
        <v>334</v>
      </c>
      <c r="C86" s="27" t="s">
        <v>276</v>
      </c>
      <c r="D86" s="111" t="s">
        <v>359</v>
      </c>
      <c r="E86" s="111" t="s">
        <v>276</v>
      </c>
      <c r="F86" s="28">
        <v>2</v>
      </c>
      <c r="G86" s="107"/>
      <c r="H86" s="108"/>
      <c r="I86" s="109"/>
      <c r="J86" s="1"/>
      <c r="K86" s="4"/>
      <c r="L86" s="21"/>
      <c r="M86" s="21"/>
      <c r="N86" s="1"/>
      <c r="O86" s="28"/>
      <c r="P86" s="27"/>
      <c r="Q86" s="27"/>
    </row>
    <row r="87" spans="1:17" x14ac:dyDescent="0.2">
      <c r="A87" s="27" t="s">
        <v>254</v>
      </c>
      <c r="B87" s="111" t="s">
        <v>334</v>
      </c>
      <c r="C87" s="27" t="s">
        <v>277</v>
      </c>
      <c r="D87" s="111" t="s">
        <v>355</v>
      </c>
      <c r="E87" s="111" t="s">
        <v>277</v>
      </c>
      <c r="F87" s="28">
        <v>4</v>
      </c>
      <c r="G87" s="107"/>
      <c r="H87" s="108"/>
      <c r="I87" s="109"/>
      <c r="J87" s="1"/>
      <c r="K87" s="4"/>
      <c r="L87" s="21"/>
      <c r="M87" s="21"/>
      <c r="N87" s="1"/>
      <c r="O87" s="28"/>
      <c r="P87" s="27"/>
      <c r="Q87" s="27"/>
    </row>
    <row r="88" spans="1:17" x14ac:dyDescent="0.2">
      <c r="A88" s="112" t="s">
        <v>255</v>
      </c>
      <c r="B88" s="111" t="s">
        <v>334</v>
      </c>
      <c r="C88" s="27" t="s">
        <v>278</v>
      </c>
      <c r="D88" s="111" t="s">
        <v>355</v>
      </c>
      <c r="E88" s="111" t="s">
        <v>278</v>
      </c>
      <c r="F88" s="28">
        <v>4</v>
      </c>
      <c r="G88" s="107"/>
      <c r="H88" s="108"/>
      <c r="I88" s="109"/>
      <c r="J88" s="1"/>
      <c r="K88" s="4"/>
      <c r="L88" s="21"/>
      <c r="M88" s="21"/>
      <c r="N88" s="1"/>
      <c r="O88" s="28"/>
      <c r="P88" s="27"/>
      <c r="Q88" s="27"/>
    </row>
    <row r="89" spans="1:17" x14ac:dyDescent="0.2">
      <c r="A89" s="115" t="s">
        <v>375</v>
      </c>
      <c r="B89" s="116" t="s">
        <v>357</v>
      </c>
      <c r="C89" s="113" t="s">
        <v>378</v>
      </c>
      <c r="D89" s="111" t="s">
        <v>369</v>
      </c>
      <c r="E89" s="123" t="s">
        <v>378</v>
      </c>
      <c r="F89" s="28">
        <v>3</v>
      </c>
      <c r="G89" s="107"/>
      <c r="H89" s="108"/>
      <c r="I89" s="109" t="s">
        <v>421</v>
      </c>
      <c r="J89" s="1" t="s">
        <v>425</v>
      </c>
      <c r="K89" s="4"/>
      <c r="L89" s="21"/>
      <c r="M89" s="21"/>
      <c r="N89" s="1"/>
      <c r="O89" s="28"/>
      <c r="P89" s="27"/>
      <c r="Q89" s="27"/>
    </row>
    <row r="90" spans="1:17" x14ac:dyDescent="0.2">
      <c r="A90" s="112" t="s">
        <v>256</v>
      </c>
      <c r="B90" s="111" t="s">
        <v>369</v>
      </c>
      <c r="C90" s="113" t="s">
        <v>279</v>
      </c>
      <c r="D90" s="111" t="s">
        <v>369</v>
      </c>
      <c r="E90" s="111" t="s">
        <v>279</v>
      </c>
      <c r="F90" s="28">
        <v>3</v>
      </c>
      <c r="G90" s="107"/>
      <c r="H90" s="108"/>
      <c r="I90" s="109"/>
      <c r="J90" s="21"/>
      <c r="K90" s="4"/>
      <c r="L90" s="21"/>
      <c r="M90" s="21"/>
      <c r="N90" s="1"/>
      <c r="O90" s="28"/>
      <c r="P90" s="27"/>
      <c r="Q90" s="27"/>
    </row>
    <row r="91" spans="1:17" x14ac:dyDescent="0.2">
      <c r="A91" s="27" t="s">
        <v>257</v>
      </c>
      <c r="B91" s="111" t="s">
        <v>335</v>
      </c>
      <c r="C91" s="27" t="s">
        <v>280</v>
      </c>
      <c r="D91" s="111" t="s">
        <v>363</v>
      </c>
      <c r="E91" s="123" t="s">
        <v>280</v>
      </c>
      <c r="F91" s="28">
        <v>3</v>
      </c>
      <c r="G91" s="107"/>
      <c r="H91" s="108" t="s">
        <v>421</v>
      </c>
      <c r="I91" s="109"/>
      <c r="J91" s="4" t="s">
        <v>426</v>
      </c>
      <c r="K91" s="4"/>
      <c r="L91" s="21"/>
      <c r="M91" s="21"/>
      <c r="N91" s="1"/>
      <c r="O91" s="28"/>
      <c r="P91" s="27"/>
      <c r="Q91" s="27"/>
    </row>
    <row r="92" spans="1:17" x14ac:dyDescent="0.2">
      <c r="A92" s="27" t="s">
        <v>258</v>
      </c>
      <c r="B92" s="111" t="s">
        <v>335</v>
      </c>
      <c r="C92" s="27" t="s">
        <v>402</v>
      </c>
      <c r="D92" s="111" t="s">
        <v>335</v>
      </c>
      <c r="E92" s="111" t="s">
        <v>402</v>
      </c>
      <c r="F92" s="28">
        <v>10</v>
      </c>
      <c r="G92" s="107"/>
      <c r="H92" s="108"/>
      <c r="I92" s="109"/>
      <c r="J92" s="1"/>
      <c r="K92" s="4"/>
      <c r="L92" s="21"/>
      <c r="M92" s="21"/>
      <c r="N92" s="1"/>
      <c r="O92" s="28"/>
      <c r="P92" s="27"/>
      <c r="Q92" s="27"/>
    </row>
    <row r="93" spans="1:17" x14ac:dyDescent="0.2">
      <c r="A93" s="27" t="s">
        <v>259</v>
      </c>
      <c r="B93" s="111" t="s">
        <v>357</v>
      </c>
      <c r="C93" s="27" t="s">
        <v>281</v>
      </c>
      <c r="D93" s="111" t="s">
        <v>354</v>
      </c>
      <c r="E93" s="111" t="s">
        <v>281</v>
      </c>
      <c r="F93" s="28">
        <v>11</v>
      </c>
      <c r="G93" s="107"/>
      <c r="H93" s="108"/>
      <c r="I93" s="109"/>
      <c r="J93" s="1"/>
      <c r="K93" s="4"/>
      <c r="L93" s="21"/>
      <c r="M93" s="21"/>
      <c r="N93" s="1"/>
      <c r="O93" s="28"/>
      <c r="P93" s="27"/>
      <c r="Q93" s="27"/>
    </row>
    <row r="94" spans="1:17" x14ac:dyDescent="0.2">
      <c r="A94" s="27" t="s">
        <v>260</v>
      </c>
      <c r="B94" s="111" t="s">
        <v>232</v>
      </c>
      <c r="C94" s="27" t="s">
        <v>284</v>
      </c>
      <c r="D94" s="111" t="s">
        <v>363</v>
      </c>
      <c r="E94" s="111" t="s">
        <v>284</v>
      </c>
      <c r="F94" s="28">
        <v>6</v>
      </c>
      <c r="G94" s="107"/>
      <c r="H94" s="108"/>
      <c r="I94" s="109"/>
      <c r="J94" s="3"/>
      <c r="K94" s="4"/>
      <c r="L94" s="21"/>
      <c r="M94" s="21"/>
      <c r="N94" s="1"/>
      <c r="O94" s="28"/>
      <c r="P94" s="27"/>
      <c r="Q94" s="27"/>
    </row>
    <row r="95" spans="1:17" x14ac:dyDescent="0.2">
      <c r="A95" s="115" t="s">
        <v>261</v>
      </c>
      <c r="B95" s="116" t="s">
        <v>232</v>
      </c>
      <c r="C95" s="27" t="s">
        <v>283</v>
      </c>
      <c r="D95" s="111" t="s">
        <v>333</v>
      </c>
      <c r="E95" s="111" t="s">
        <v>283</v>
      </c>
      <c r="F95" s="28">
        <v>8</v>
      </c>
      <c r="G95" s="107"/>
      <c r="H95" s="108"/>
      <c r="I95" s="109"/>
      <c r="J95" s="1"/>
      <c r="K95" s="4"/>
      <c r="L95" s="21"/>
      <c r="M95" s="21"/>
      <c r="N95" s="1"/>
      <c r="O95" s="28"/>
      <c r="P95" s="27"/>
      <c r="Q95" s="27"/>
    </row>
    <row r="96" spans="1:17" x14ac:dyDescent="0.2">
      <c r="A96" s="27" t="s">
        <v>272</v>
      </c>
      <c r="B96" s="111" t="s">
        <v>333</v>
      </c>
      <c r="C96" s="112" t="s">
        <v>285</v>
      </c>
      <c r="D96" s="111" t="s">
        <v>359</v>
      </c>
      <c r="E96" t="s">
        <v>285</v>
      </c>
      <c r="F96" s="28">
        <v>2</v>
      </c>
      <c r="G96" s="107"/>
      <c r="H96" s="108"/>
      <c r="I96" s="109"/>
      <c r="J96" s="1"/>
      <c r="K96" s="4"/>
      <c r="L96" s="21"/>
      <c r="M96" s="21"/>
      <c r="N96" s="1"/>
      <c r="O96" s="28"/>
      <c r="P96" s="27"/>
      <c r="Q96" s="27"/>
    </row>
    <row r="97" spans="1:18" x14ac:dyDescent="0.2">
      <c r="A97" s="27" t="s">
        <v>262</v>
      </c>
      <c r="B97" s="111" t="s">
        <v>336</v>
      </c>
      <c r="C97" s="112" t="s">
        <v>286</v>
      </c>
      <c r="D97" s="111" t="s">
        <v>334</v>
      </c>
      <c r="E97" t="s">
        <v>286</v>
      </c>
      <c r="F97" s="28">
        <v>5</v>
      </c>
      <c r="G97" s="107"/>
      <c r="H97" s="108"/>
      <c r="I97" s="109"/>
      <c r="J97" s="1"/>
      <c r="K97" s="4"/>
      <c r="L97" s="21"/>
      <c r="M97" s="21"/>
      <c r="N97" s="1"/>
      <c r="O97" s="28"/>
      <c r="P97" s="27"/>
      <c r="Q97" s="27"/>
    </row>
    <row r="98" spans="1:18" x14ac:dyDescent="0.2">
      <c r="A98" s="118" t="s">
        <v>376</v>
      </c>
      <c r="B98" s="116" t="s">
        <v>369</v>
      </c>
      <c r="C98" s="27" t="s">
        <v>287</v>
      </c>
      <c r="D98" s="111" t="s">
        <v>354</v>
      </c>
      <c r="E98" s="111" t="s">
        <v>287</v>
      </c>
      <c r="F98" s="28">
        <v>11</v>
      </c>
      <c r="G98" s="107"/>
      <c r="H98" s="108"/>
      <c r="I98" s="109"/>
      <c r="J98" s="1"/>
      <c r="K98" s="4"/>
      <c r="L98" s="21"/>
      <c r="M98" s="21"/>
      <c r="N98" s="1"/>
      <c r="O98" s="28"/>
      <c r="P98" s="27"/>
      <c r="Q98" s="27"/>
    </row>
    <row r="99" spans="1:18" x14ac:dyDescent="0.2">
      <c r="A99" s="115" t="s">
        <v>377</v>
      </c>
      <c r="B99" s="116" t="s">
        <v>357</v>
      </c>
      <c r="C99" s="112" t="s">
        <v>288</v>
      </c>
      <c r="D99" s="111" t="s">
        <v>359</v>
      </c>
      <c r="E99" t="s">
        <v>288</v>
      </c>
      <c r="F99" s="28">
        <v>2</v>
      </c>
      <c r="G99" s="107"/>
      <c r="H99" s="108"/>
      <c r="I99" s="109"/>
      <c r="J99" s="1"/>
      <c r="K99" s="4"/>
      <c r="L99" s="21"/>
      <c r="M99" s="21"/>
      <c r="N99" s="1"/>
      <c r="O99" s="28"/>
      <c r="P99" s="27"/>
      <c r="Q99" s="27"/>
    </row>
    <row r="100" spans="1:18" x14ac:dyDescent="0.2">
      <c r="A100" s="27" t="s">
        <v>273</v>
      </c>
      <c r="B100" s="111" t="s">
        <v>336</v>
      </c>
      <c r="C100" s="27" t="s">
        <v>289</v>
      </c>
      <c r="D100" s="111" t="s">
        <v>336</v>
      </c>
      <c r="E100" s="111" t="s">
        <v>289</v>
      </c>
      <c r="F100" s="28">
        <v>9</v>
      </c>
      <c r="G100" s="107"/>
      <c r="H100" s="108"/>
      <c r="I100" s="109"/>
      <c r="J100" s="1"/>
      <c r="K100" s="4"/>
      <c r="L100" s="21"/>
      <c r="M100" s="21"/>
      <c r="N100" s="1"/>
      <c r="O100" s="28"/>
      <c r="P100" s="27"/>
      <c r="Q100" s="27"/>
    </row>
    <row r="101" spans="1:18" x14ac:dyDescent="0.2">
      <c r="A101" s="113" t="s">
        <v>274</v>
      </c>
      <c r="B101" s="111" t="s">
        <v>369</v>
      </c>
      <c r="C101" s="27" t="s">
        <v>290</v>
      </c>
      <c r="D101" s="111" t="s">
        <v>354</v>
      </c>
      <c r="E101" s="111" t="s">
        <v>290</v>
      </c>
      <c r="F101" s="28">
        <v>11</v>
      </c>
      <c r="G101" s="107"/>
      <c r="H101" s="108"/>
      <c r="I101" s="109"/>
      <c r="J101" s="1"/>
      <c r="K101" s="4"/>
      <c r="L101" s="21"/>
      <c r="M101" s="21"/>
      <c r="N101" s="1"/>
      <c r="O101" s="28"/>
      <c r="P101" s="27"/>
      <c r="Q101" s="27"/>
    </row>
    <row r="102" spans="1:18" x14ac:dyDescent="0.2">
      <c r="A102" s="112" t="s">
        <v>275</v>
      </c>
      <c r="B102" s="111" t="s">
        <v>359</v>
      </c>
      <c r="C102" s="27" t="s">
        <v>291</v>
      </c>
      <c r="D102" s="111" t="s">
        <v>355</v>
      </c>
      <c r="E102" s="123" t="s">
        <v>291</v>
      </c>
      <c r="F102" s="28">
        <v>4</v>
      </c>
      <c r="G102" s="107"/>
      <c r="H102" s="108" t="s">
        <v>421</v>
      </c>
      <c r="I102" s="109"/>
      <c r="J102" s="4" t="s">
        <v>426</v>
      </c>
      <c r="K102" s="4"/>
      <c r="L102" s="21"/>
      <c r="M102" s="21"/>
      <c r="N102" s="1"/>
      <c r="O102" s="28"/>
      <c r="P102" s="27"/>
      <c r="Q102" s="27"/>
    </row>
    <row r="103" spans="1:18" x14ac:dyDescent="0.2">
      <c r="A103" s="27" t="s">
        <v>276</v>
      </c>
      <c r="B103" s="111" t="s">
        <v>359</v>
      </c>
      <c r="C103" s="27" t="s">
        <v>292</v>
      </c>
      <c r="D103" s="111" t="s">
        <v>335</v>
      </c>
      <c r="E103" s="111" t="s">
        <v>292</v>
      </c>
      <c r="F103" s="28">
        <v>10</v>
      </c>
      <c r="G103" s="107"/>
      <c r="H103" s="108"/>
      <c r="I103" s="109"/>
      <c r="J103" s="1"/>
      <c r="K103" s="4"/>
      <c r="L103" s="21"/>
      <c r="M103" s="21"/>
      <c r="N103" s="1"/>
      <c r="O103" s="28"/>
      <c r="P103" s="27"/>
      <c r="Q103" s="27"/>
    </row>
    <row r="104" spans="1:18" x14ac:dyDescent="0.2">
      <c r="A104" s="27" t="s">
        <v>436</v>
      </c>
      <c r="B104" s="111" t="s">
        <v>357</v>
      </c>
      <c r="C104" s="27" t="s">
        <v>228</v>
      </c>
      <c r="D104" s="111" t="s">
        <v>355</v>
      </c>
      <c r="E104" s="111" t="s">
        <v>228</v>
      </c>
      <c r="F104" s="28">
        <v>4</v>
      </c>
      <c r="G104" s="107"/>
      <c r="H104" s="108"/>
      <c r="I104" s="109"/>
      <c r="J104" s="1"/>
      <c r="K104" s="4"/>
      <c r="L104" s="21"/>
      <c r="M104" s="21"/>
      <c r="N104" s="1"/>
      <c r="O104" s="28"/>
      <c r="P104" s="27"/>
      <c r="Q104" s="27"/>
    </row>
    <row r="105" spans="1:18" x14ac:dyDescent="0.2">
      <c r="A105" s="27" t="s">
        <v>277</v>
      </c>
      <c r="B105" s="111" t="s">
        <v>355</v>
      </c>
      <c r="C105" s="27" t="s">
        <v>229</v>
      </c>
      <c r="D105" s="111" t="s">
        <v>335</v>
      </c>
      <c r="E105" s="111" t="s">
        <v>229</v>
      </c>
      <c r="F105" s="28">
        <v>10</v>
      </c>
      <c r="G105" s="107"/>
      <c r="H105" s="108"/>
      <c r="I105" s="109"/>
      <c r="J105" s="1"/>
      <c r="K105" s="4"/>
      <c r="L105" s="21"/>
      <c r="M105" s="21"/>
      <c r="N105" s="1"/>
      <c r="O105" s="28"/>
      <c r="P105" s="27"/>
      <c r="Q105" s="27"/>
    </row>
    <row r="106" spans="1:18" x14ac:dyDescent="0.2">
      <c r="A106" s="27" t="s">
        <v>278</v>
      </c>
      <c r="B106" s="111" t="s">
        <v>355</v>
      </c>
      <c r="C106" s="27" t="s">
        <v>230</v>
      </c>
      <c r="D106" s="111" t="s">
        <v>333</v>
      </c>
      <c r="E106" s="111" t="s">
        <v>230</v>
      </c>
      <c r="F106" s="28">
        <v>8</v>
      </c>
      <c r="G106" s="107"/>
      <c r="H106" s="108"/>
      <c r="I106" s="109"/>
      <c r="J106" s="1" t="s">
        <v>428</v>
      </c>
      <c r="K106" s="4"/>
      <c r="L106" s="21"/>
      <c r="M106" s="21"/>
      <c r="N106" s="1"/>
      <c r="O106" s="28"/>
      <c r="P106" s="27"/>
      <c r="Q106" s="27"/>
      <c r="R106" s="27" t="s">
        <v>433</v>
      </c>
    </row>
    <row r="107" spans="1:18" x14ac:dyDescent="0.2">
      <c r="A107" s="113" t="s">
        <v>378</v>
      </c>
      <c r="B107" s="111" t="s">
        <v>369</v>
      </c>
      <c r="C107" s="27" t="s">
        <v>231</v>
      </c>
      <c r="D107" s="111" t="s">
        <v>232</v>
      </c>
      <c r="E107" s="123" t="s">
        <v>231</v>
      </c>
      <c r="F107" s="28">
        <v>1</v>
      </c>
      <c r="G107" s="107"/>
      <c r="H107" s="108"/>
      <c r="I107" s="109" t="s">
        <v>421</v>
      </c>
      <c r="J107" s="1" t="s">
        <v>427</v>
      </c>
      <c r="K107" s="4"/>
      <c r="L107" s="21"/>
      <c r="M107" s="21"/>
      <c r="N107" s="1"/>
      <c r="O107" s="28"/>
      <c r="P107" s="27"/>
      <c r="Q107" s="27"/>
      <c r="R107" s="27" t="s">
        <v>436</v>
      </c>
    </row>
    <row r="108" spans="1:18" x14ac:dyDescent="0.2">
      <c r="A108" s="115" t="s">
        <v>379</v>
      </c>
      <c r="B108" s="116" t="s">
        <v>232</v>
      </c>
      <c r="C108" s="27" t="s">
        <v>233</v>
      </c>
      <c r="D108" s="111" t="s">
        <v>232</v>
      </c>
      <c r="E108" s="111" t="s">
        <v>233</v>
      </c>
      <c r="F108" s="28">
        <v>1</v>
      </c>
      <c r="G108" s="107"/>
      <c r="H108" s="108"/>
      <c r="I108" s="109"/>
      <c r="J108" s="1" t="s">
        <v>429</v>
      </c>
      <c r="K108" s="4"/>
      <c r="L108" s="21"/>
      <c r="M108" s="21"/>
      <c r="N108" s="1"/>
      <c r="O108" s="28"/>
      <c r="P108" s="27"/>
      <c r="Q108" s="27"/>
    </row>
    <row r="109" spans="1:18" x14ac:dyDescent="0.2">
      <c r="A109" s="113" t="s">
        <v>279</v>
      </c>
      <c r="B109" s="111" t="s">
        <v>369</v>
      </c>
      <c r="C109" s="27" t="s">
        <v>234</v>
      </c>
      <c r="D109" s="111" t="s">
        <v>355</v>
      </c>
      <c r="E109" s="111" t="s">
        <v>234</v>
      </c>
      <c r="F109" s="28">
        <v>4</v>
      </c>
      <c r="G109" s="107"/>
      <c r="H109" s="108"/>
      <c r="I109" s="109"/>
      <c r="J109" s="21"/>
      <c r="K109" s="4"/>
      <c r="L109" s="21"/>
      <c r="M109" s="21"/>
      <c r="N109" s="1"/>
      <c r="O109" s="28"/>
      <c r="P109" s="27"/>
      <c r="Q109" s="27"/>
    </row>
    <row r="110" spans="1:18" x14ac:dyDescent="0.2">
      <c r="A110" s="115" t="s">
        <v>380</v>
      </c>
      <c r="B110" s="116" t="s">
        <v>333</v>
      </c>
      <c r="C110" s="27" t="s">
        <v>338</v>
      </c>
      <c r="D110" s="111" t="s">
        <v>355</v>
      </c>
      <c r="E110" s="111" t="s">
        <v>338</v>
      </c>
      <c r="F110" s="28">
        <v>4</v>
      </c>
      <c r="G110" s="107"/>
      <c r="H110" s="108"/>
      <c r="I110" s="109"/>
      <c r="J110" s="1"/>
      <c r="K110" s="4"/>
      <c r="L110" s="21"/>
      <c r="M110" s="21"/>
      <c r="N110" s="1"/>
      <c r="O110" s="28"/>
      <c r="P110" s="27"/>
      <c r="Q110" s="27"/>
    </row>
    <row r="111" spans="1:18" x14ac:dyDescent="0.2">
      <c r="A111" s="27" t="s">
        <v>280</v>
      </c>
      <c r="B111" s="111" t="s">
        <v>363</v>
      </c>
      <c r="C111" s="27" t="s">
        <v>236</v>
      </c>
      <c r="D111" s="111" t="s">
        <v>354</v>
      </c>
      <c r="E111" s="111" t="s">
        <v>236</v>
      </c>
      <c r="F111" s="28">
        <v>8</v>
      </c>
      <c r="G111" s="107"/>
      <c r="H111" s="108"/>
      <c r="I111" s="109"/>
      <c r="J111" s="21"/>
      <c r="K111" s="4"/>
      <c r="L111" s="21"/>
      <c r="M111" s="21"/>
      <c r="N111" s="1"/>
      <c r="O111" s="28"/>
      <c r="P111" s="27"/>
      <c r="Q111" s="27"/>
    </row>
    <row r="112" spans="1:18" x14ac:dyDescent="0.2">
      <c r="A112" s="115" t="s">
        <v>381</v>
      </c>
      <c r="B112" s="116" t="s">
        <v>335</v>
      </c>
      <c r="C112" s="27" t="s">
        <v>238</v>
      </c>
      <c r="D112" s="111" t="s">
        <v>336</v>
      </c>
      <c r="E112" s="111" t="s">
        <v>238</v>
      </c>
      <c r="F112" s="28">
        <v>9</v>
      </c>
      <c r="G112" s="107"/>
      <c r="H112" s="108"/>
      <c r="I112" s="109"/>
      <c r="J112" s="1"/>
      <c r="K112" s="4"/>
      <c r="L112" s="21"/>
      <c r="M112" s="21"/>
      <c r="N112" s="1"/>
      <c r="O112" s="28"/>
      <c r="P112" s="27"/>
      <c r="Q112" s="27"/>
    </row>
    <row r="113" spans="1:17" x14ac:dyDescent="0.2">
      <c r="A113" s="27" t="s">
        <v>402</v>
      </c>
      <c r="B113" s="111" t="s">
        <v>335</v>
      </c>
      <c r="C113" s="114" t="s">
        <v>239</v>
      </c>
      <c r="D113" s="111" t="s">
        <v>369</v>
      </c>
      <c r="E113" t="s">
        <v>239</v>
      </c>
      <c r="F113" s="28">
        <v>3</v>
      </c>
      <c r="G113" s="107"/>
      <c r="H113" s="108"/>
      <c r="I113" s="109"/>
      <c r="J113" s="1"/>
      <c r="K113" s="4"/>
      <c r="L113" s="21"/>
      <c r="M113" s="21"/>
      <c r="N113" s="1"/>
      <c r="O113" s="28"/>
      <c r="P113" s="27"/>
      <c r="Q113" s="27"/>
    </row>
    <row r="114" spans="1:17" x14ac:dyDescent="0.2">
      <c r="A114" s="115" t="s">
        <v>382</v>
      </c>
      <c r="B114" s="116" t="s">
        <v>363</v>
      </c>
      <c r="C114" s="27" t="s">
        <v>241</v>
      </c>
      <c r="D114" s="111" t="s">
        <v>335</v>
      </c>
      <c r="E114" s="111" t="s">
        <v>241</v>
      </c>
      <c r="F114" s="28">
        <v>10</v>
      </c>
      <c r="G114" s="107"/>
      <c r="H114" s="108"/>
      <c r="I114" s="109"/>
      <c r="J114" s="1"/>
      <c r="K114" s="4"/>
      <c r="L114" s="21"/>
      <c r="M114" s="21"/>
      <c r="N114" s="1"/>
      <c r="O114" s="28"/>
      <c r="P114" s="27"/>
      <c r="Q114" s="27"/>
    </row>
    <row r="115" spans="1:17" x14ac:dyDescent="0.2">
      <c r="A115" s="27" t="s">
        <v>281</v>
      </c>
      <c r="B115" s="111" t="s">
        <v>354</v>
      </c>
      <c r="C115" s="115"/>
      <c r="D115" s="116"/>
      <c r="E115" s="106">
        <f>COUNTA(E24:E114)</f>
        <v>91</v>
      </c>
      <c r="G115" s="4">
        <f>$E$115-COUNTA(G24:G114)</f>
        <v>91</v>
      </c>
      <c r="H115" s="4">
        <f t="shared" ref="H115:I115" si="0">$E$115-COUNTA(H24:H114)</f>
        <v>88</v>
      </c>
      <c r="I115" s="4">
        <f t="shared" si="0"/>
        <v>86</v>
      </c>
      <c r="J115" s="1"/>
      <c r="K115" s="4"/>
      <c r="L115" s="21"/>
      <c r="M115" s="21"/>
      <c r="O115" s="21"/>
      <c r="P115" s="27"/>
      <c r="Q115" s="27"/>
    </row>
    <row r="116" spans="1:17" x14ac:dyDescent="0.2">
      <c r="A116" s="117" t="s">
        <v>282</v>
      </c>
      <c r="B116" s="116" t="s">
        <v>334</v>
      </c>
      <c r="C116" s="115"/>
      <c r="D116" s="116"/>
      <c r="G116" s="1"/>
      <c r="H116" s="4"/>
      <c r="I116" s="21"/>
      <c r="J116" s="1"/>
      <c r="K116" s="4"/>
      <c r="L116" s="21"/>
      <c r="M116" s="21"/>
      <c r="O116" s="21"/>
      <c r="P116" s="27"/>
      <c r="Q116" s="27"/>
    </row>
    <row r="117" spans="1:17" x14ac:dyDescent="0.2">
      <c r="A117" s="27" t="s">
        <v>284</v>
      </c>
      <c r="B117" s="111" t="s">
        <v>363</v>
      </c>
      <c r="C117" s="117"/>
      <c r="D117" s="116"/>
      <c r="G117" s="1"/>
      <c r="H117" s="4"/>
      <c r="I117" s="21"/>
      <c r="J117" s="1"/>
      <c r="K117" s="4"/>
      <c r="L117" s="21"/>
      <c r="M117" s="21"/>
      <c r="O117" s="21"/>
      <c r="P117" s="27"/>
      <c r="Q117" s="27"/>
    </row>
    <row r="118" spans="1:17" x14ac:dyDescent="0.2">
      <c r="A118" s="27" t="s">
        <v>283</v>
      </c>
      <c r="B118" s="111" t="s">
        <v>333</v>
      </c>
      <c r="C118" s="115"/>
      <c r="D118" s="116"/>
      <c r="G118" s="1"/>
      <c r="H118" s="4"/>
      <c r="I118" s="21"/>
      <c r="J118" s="1"/>
      <c r="K118" s="4"/>
      <c r="L118" s="21"/>
      <c r="M118" s="21"/>
      <c r="O118" s="21"/>
      <c r="P118" s="27"/>
      <c r="Q118" s="27"/>
    </row>
    <row r="119" spans="1:17" x14ac:dyDescent="0.2">
      <c r="A119" s="115" t="s">
        <v>383</v>
      </c>
      <c r="B119" s="116" t="s">
        <v>355</v>
      </c>
      <c r="C119" s="115"/>
      <c r="D119" s="116"/>
      <c r="G119" s="1"/>
      <c r="H119" s="4"/>
      <c r="I119" s="21"/>
      <c r="J119" s="1"/>
      <c r="K119" s="4"/>
      <c r="L119" s="21"/>
      <c r="M119" s="21"/>
      <c r="O119" s="21"/>
      <c r="P119" s="27"/>
      <c r="Q119" s="27"/>
    </row>
    <row r="120" spans="1:17" x14ac:dyDescent="0.2">
      <c r="A120" s="115" t="s">
        <v>384</v>
      </c>
      <c r="B120" s="116" t="s">
        <v>232</v>
      </c>
      <c r="C120" s="115"/>
      <c r="D120" s="116"/>
      <c r="G120" s="1"/>
      <c r="H120" s="4"/>
      <c r="I120" s="21"/>
      <c r="J120" s="1"/>
      <c r="K120" s="4"/>
      <c r="L120" s="21"/>
      <c r="M120" s="21"/>
      <c r="O120" s="21"/>
      <c r="P120" s="27"/>
      <c r="Q120" s="27"/>
    </row>
    <row r="121" spans="1:17" x14ac:dyDescent="0.2">
      <c r="A121" s="115" t="s">
        <v>385</v>
      </c>
      <c r="B121" s="116" t="s">
        <v>359</v>
      </c>
      <c r="C121" s="115"/>
      <c r="D121" s="116"/>
      <c r="G121" s="1"/>
      <c r="H121" s="4"/>
      <c r="I121" s="21"/>
      <c r="J121" s="1"/>
      <c r="K121" s="4"/>
      <c r="L121" s="21"/>
      <c r="M121" s="21"/>
      <c r="O121" s="21"/>
      <c r="P121" s="27"/>
      <c r="Q121" s="27"/>
    </row>
    <row r="122" spans="1:17" x14ac:dyDescent="0.2">
      <c r="A122" s="115" t="s">
        <v>386</v>
      </c>
      <c r="B122" s="116" t="s">
        <v>363</v>
      </c>
      <c r="C122" s="115"/>
      <c r="D122" s="116"/>
      <c r="G122" s="1"/>
      <c r="H122" s="4"/>
      <c r="I122" s="21"/>
      <c r="J122" s="1"/>
      <c r="K122" s="4"/>
      <c r="L122" s="21"/>
      <c r="M122" s="21"/>
      <c r="O122" s="21"/>
      <c r="P122" s="27"/>
      <c r="Q122" s="27"/>
    </row>
    <row r="123" spans="1:17" x14ac:dyDescent="0.2">
      <c r="A123" s="115" t="s">
        <v>387</v>
      </c>
      <c r="B123" s="116" t="s">
        <v>334</v>
      </c>
      <c r="C123" s="115"/>
      <c r="D123" s="116"/>
      <c r="G123" s="1"/>
      <c r="H123" s="4"/>
      <c r="I123" s="21"/>
      <c r="J123" s="1"/>
      <c r="K123" s="4"/>
      <c r="L123" s="21"/>
      <c r="M123" s="21"/>
      <c r="O123" s="21"/>
      <c r="P123" s="27"/>
      <c r="Q123" s="27"/>
    </row>
    <row r="124" spans="1:17" x14ac:dyDescent="0.2">
      <c r="A124" s="112" t="s">
        <v>285</v>
      </c>
      <c r="B124" s="111" t="s">
        <v>359</v>
      </c>
      <c r="C124" s="117"/>
      <c r="D124" s="116"/>
      <c r="G124" s="1"/>
      <c r="H124" s="4"/>
      <c r="I124" s="21"/>
      <c r="J124" s="1"/>
      <c r="K124" s="4"/>
      <c r="L124" s="21"/>
      <c r="M124" s="21"/>
      <c r="O124" s="21"/>
      <c r="P124" s="27"/>
      <c r="Q124" s="27"/>
    </row>
    <row r="125" spans="1:17" x14ac:dyDescent="0.2">
      <c r="A125" s="112" t="s">
        <v>286</v>
      </c>
      <c r="B125" s="111" t="s">
        <v>334</v>
      </c>
      <c r="C125" s="115"/>
      <c r="D125" s="116"/>
      <c r="G125" s="1"/>
      <c r="H125" s="4"/>
      <c r="I125" s="21"/>
      <c r="J125" s="1"/>
      <c r="K125" s="4"/>
      <c r="L125" s="21"/>
      <c r="M125" s="21"/>
      <c r="O125" s="21"/>
      <c r="P125" s="27"/>
      <c r="Q125" s="27"/>
    </row>
    <row r="126" spans="1:17" x14ac:dyDescent="0.2">
      <c r="A126" s="115" t="s">
        <v>388</v>
      </c>
      <c r="B126" s="116" t="s">
        <v>333</v>
      </c>
      <c r="C126" s="115"/>
      <c r="D126" s="116"/>
      <c r="G126" s="1"/>
      <c r="H126" s="4"/>
      <c r="I126" s="21"/>
      <c r="J126" s="1"/>
      <c r="K126" s="4"/>
      <c r="L126" s="21"/>
      <c r="M126" s="21"/>
      <c r="O126" s="21"/>
      <c r="P126" s="27"/>
      <c r="Q126" s="27"/>
    </row>
    <row r="127" spans="1:17" x14ac:dyDescent="0.2">
      <c r="A127" s="27" t="s">
        <v>287</v>
      </c>
      <c r="B127" s="111" t="s">
        <v>354</v>
      </c>
      <c r="C127" s="118"/>
      <c r="D127" s="116"/>
      <c r="G127" s="1"/>
      <c r="H127" s="4"/>
      <c r="I127" s="21"/>
      <c r="J127" s="1"/>
      <c r="K127" s="4"/>
      <c r="L127" s="21"/>
      <c r="M127" s="21"/>
      <c r="O127" s="21"/>
      <c r="P127" s="27"/>
      <c r="Q127" s="27"/>
    </row>
    <row r="128" spans="1:17" x14ac:dyDescent="0.2">
      <c r="A128" s="112" t="s">
        <v>288</v>
      </c>
      <c r="B128" s="111" t="s">
        <v>359</v>
      </c>
      <c r="C128" s="115"/>
      <c r="D128" s="116"/>
      <c r="G128" s="1"/>
      <c r="H128" s="4"/>
      <c r="I128" s="21"/>
      <c r="J128" s="1"/>
      <c r="K128" s="4"/>
      <c r="L128" s="21"/>
      <c r="M128" s="21"/>
      <c r="O128" s="21"/>
      <c r="P128" s="27"/>
      <c r="Q128" s="27"/>
    </row>
    <row r="129" spans="1:17" x14ac:dyDescent="0.2">
      <c r="A129" s="27" t="s">
        <v>289</v>
      </c>
      <c r="B129" s="111" t="s">
        <v>336</v>
      </c>
      <c r="C129" s="115"/>
      <c r="D129" s="116"/>
      <c r="G129" s="1"/>
      <c r="H129" s="4"/>
      <c r="I129" s="21"/>
      <c r="J129" s="1"/>
      <c r="K129" s="4"/>
      <c r="L129" s="21"/>
      <c r="M129" s="21"/>
      <c r="O129" s="21"/>
      <c r="P129" s="27"/>
      <c r="Q129" s="27"/>
    </row>
    <row r="130" spans="1:17" x14ac:dyDescent="0.2">
      <c r="A130" s="27" t="s">
        <v>290</v>
      </c>
      <c r="B130" s="111" t="s">
        <v>354</v>
      </c>
      <c r="C130" s="118"/>
      <c r="D130" s="116"/>
      <c r="G130" s="21"/>
      <c r="H130" s="4"/>
      <c r="I130" s="21"/>
      <c r="J130" s="1"/>
      <c r="K130" s="4"/>
      <c r="L130" s="21"/>
      <c r="M130" s="21"/>
      <c r="O130" s="21"/>
      <c r="P130" s="27"/>
      <c r="Q130" s="27"/>
    </row>
    <row r="131" spans="1:17" x14ac:dyDescent="0.2">
      <c r="A131" s="115" t="s">
        <v>389</v>
      </c>
      <c r="B131" s="116" t="s">
        <v>333</v>
      </c>
      <c r="C131" s="115"/>
      <c r="D131" s="116"/>
      <c r="G131" s="1"/>
      <c r="H131" s="4"/>
      <c r="I131" s="21"/>
      <c r="J131" s="1"/>
      <c r="K131" s="4"/>
      <c r="L131" s="21"/>
      <c r="M131" s="21"/>
      <c r="O131" s="21"/>
      <c r="P131" s="27"/>
      <c r="Q131" s="27"/>
    </row>
    <row r="132" spans="1:17" x14ac:dyDescent="0.2">
      <c r="A132" s="115" t="s">
        <v>390</v>
      </c>
      <c r="B132" s="116" t="s">
        <v>333</v>
      </c>
      <c r="C132" s="115"/>
      <c r="D132" s="116"/>
      <c r="G132" s="1"/>
      <c r="H132" s="4"/>
      <c r="I132" s="21"/>
      <c r="J132" s="1"/>
      <c r="K132" s="4"/>
      <c r="L132" s="21"/>
      <c r="M132" s="21"/>
      <c r="O132" s="21"/>
      <c r="P132" s="27"/>
      <c r="Q132" s="27"/>
    </row>
    <row r="133" spans="1:17" x14ac:dyDescent="0.2">
      <c r="A133" s="27" t="s">
        <v>291</v>
      </c>
      <c r="B133" s="111" t="s">
        <v>355</v>
      </c>
      <c r="C133" s="115"/>
      <c r="D133" s="116"/>
      <c r="G133" s="1"/>
      <c r="H133" s="4"/>
      <c r="I133" s="21"/>
      <c r="J133" s="1"/>
      <c r="K133" s="4"/>
      <c r="L133" s="21"/>
      <c r="M133" s="21"/>
      <c r="O133" s="21"/>
      <c r="P133" s="27"/>
      <c r="Q133" s="27"/>
    </row>
    <row r="134" spans="1:17" x14ac:dyDescent="0.2">
      <c r="A134" s="27" t="s">
        <v>292</v>
      </c>
      <c r="B134" s="111" t="s">
        <v>335</v>
      </c>
      <c r="C134" s="115"/>
      <c r="D134" s="116"/>
      <c r="G134" s="1"/>
      <c r="H134" s="4"/>
      <c r="I134" s="21"/>
      <c r="J134" s="1"/>
      <c r="K134" s="4"/>
      <c r="L134" s="21"/>
      <c r="M134" s="21"/>
      <c r="O134" s="21"/>
      <c r="P134" s="27"/>
      <c r="Q134" s="27"/>
    </row>
    <row r="135" spans="1:17" x14ac:dyDescent="0.2">
      <c r="A135" s="115" t="s">
        <v>391</v>
      </c>
      <c r="B135" s="116" t="s">
        <v>355</v>
      </c>
      <c r="C135" s="115"/>
      <c r="D135" s="116"/>
      <c r="G135" s="1"/>
      <c r="H135" s="4"/>
      <c r="I135" s="21"/>
      <c r="J135" s="1"/>
      <c r="K135" s="4"/>
      <c r="L135" s="21"/>
      <c r="M135" s="21"/>
      <c r="O135" s="21"/>
      <c r="P135" s="27"/>
      <c r="Q135" s="27"/>
    </row>
    <row r="136" spans="1:17" x14ac:dyDescent="0.2">
      <c r="A136" s="27" t="s">
        <v>228</v>
      </c>
      <c r="B136" s="111" t="s">
        <v>355</v>
      </c>
      <c r="C136" s="117"/>
      <c r="D136" s="116"/>
      <c r="G136" s="1"/>
      <c r="H136" s="4"/>
      <c r="I136" s="21"/>
      <c r="J136" s="1"/>
      <c r="K136" s="4"/>
      <c r="L136" s="21"/>
      <c r="M136" s="21"/>
      <c r="O136" s="21"/>
      <c r="P136" s="27"/>
      <c r="Q136" s="27"/>
    </row>
    <row r="137" spans="1:17" x14ac:dyDescent="0.2">
      <c r="A137" s="27" t="s">
        <v>229</v>
      </c>
      <c r="B137" s="111" t="s">
        <v>335</v>
      </c>
      <c r="C137" s="115"/>
      <c r="D137" s="116"/>
      <c r="G137" s="1"/>
      <c r="H137" s="4"/>
      <c r="I137" s="21"/>
      <c r="J137" s="1"/>
      <c r="K137" s="4"/>
      <c r="L137" s="21"/>
      <c r="M137" s="21"/>
      <c r="O137" s="21"/>
      <c r="P137" s="27"/>
      <c r="Q137" s="27"/>
    </row>
    <row r="138" spans="1:17" x14ac:dyDescent="0.2">
      <c r="A138" s="27" t="s">
        <v>230</v>
      </c>
      <c r="B138" s="111" t="s">
        <v>333</v>
      </c>
      <c r="C138" s="115"/>
      <c r="D138" s="116"/>
      <c r="G138" s="1"/>
      <c r="H138" s="4"/>
      <c r="I138" s="21"/>
      <c r="J138" s="1"/>
      <c r="K138" s="4"/>
      <c r="L138" s="21"/>
      <c r="M138" s="21"/>
      <c r="O138" s="21"/>
      <c r="P138" s="27"/>
      <c r="Q138" s="27"/>
    </row>
    <row r="139" spans="1:17" x14ac:dyDescent="0.2">
      <c r="A139" s="115" t="s">
        <v>392</v>
      </c>
      <c r="B139" s="116" t="s">
        <v>334</v>
      </c>
      <c r="C139" s="115"/>
      <c r="D139" s="116"/>
      <c r="G139" s="1"/>
      <c r="H139" s="4"/>
      <c r="I139" s="21"/>
      <c r="J139" s="1"/>
      <c r="K139" s="4"/>
      <c r="L139" s="21"/>
      <c r="M139" s="21"/>
      <c r="O139" s="21"/>
      <c r="P139" s="27"/>
      <c r="Q139" s="27"/>
    </row>
    <row r="140" spans="1:17" x14ac:dyDescent="0.2">
      <c r="A140" s="27" t="s">
        <v>231</v>
      </c>
      <c r="B140" s="111" t="s">
        <v>232</v>
      </c>
      <c r="C140" s="115"/>
      <c r="D140" s="116"/>
      <c r="G140" s="1"/>
      <c r="H140" s="4"/>
      <c r="I140" s="21"/>
      <c r="J140" s="1"/>
      <c r="K140" s="4"/>
      <c r="L140" s="21"/>
      <c r="M140" s="21"/>
      <c r="O140" s="21"/>
      <c r="P140" s="27"/>
      <c r="Q140" s="27"/>
    </row>
    <row r="141" spans="1:17" x14ac:dyDescent="0.2">
      <c r="A141" s="27" t="s">
        <v>233</v>
      </c>
      <c r="B141" s="111" t="s">
        <v>232</v>
      </c>
      <c r="C141" s="115"/>
      <c r="D141" s="116"/>
      <c r="G141" s="1"/>
      <c r="H141" s="4"/>
      <c r="I141" s="21"/>
      <c r="J141" s="1"/>
      <c r="K141" s="4"/>
      <c r="L141" s="21"/>
      <c r="M141" s="21"/>
      <c r="O141" s="21"/>
      <c r="P141" s="27"/>
      <c r="Q141" s="27"/>
    </row>
    <row r="142" spans="1:17" x14ac:dyDescent="0.2">
      <c r="A142" s="115" t="s">
        <v>393</v>
      </c>
      <c r="B142" s="116" t="s">
        <v>232</v>
      </c>
      <c r="C142" s="115"/>
      <c r="D142" s="116"/>
      <c r="G142" s="1"/>
      <c r="H142" s="4"/>
      <c r="I142" s="21"/>
      <c r="J142" s="1"/>
      <c r="K142" s="4"/>
      <c r="L142" s="21"/>
      <c r="M142" s="21"/>
      <c r="O142" s="21"/>
      <c r="P142" s="27"/>
      <c r="Q142" s="27"/>
    </row>
    <row r="143" spans="1:17" x14ac:dyDescent="0.2">
      <c r="A143" s="27" t="s">
        <v>234</v>
      </c>
      <c r="B143" s="111" t="s">
        <v>355</v>
      </c>
      <c r="C143" s="115"/>
      <c r="D143" s="116"/>
      <c r="G143" s="1"/>
      <c r="H143" s="4"/>
      <c r="I143" s="21"/>
      <c r="J143" s="1"/>
      <c r="K143" s="4"/>
      <c r="L143" s="21"/>
      <c r="M143" s="21"/>
      <c r="O143" s="21"/>
      <c r="P143" s="27"/>
      <c r="Q143" s="27"/>
    </row>
    <row r="144" spans="1:17" x14ac:dyDescent="0.2">
      <c r="A144" s="27" t="s">
        <v>338</v>
      </c>
      <c r="B144" s="111" t="s">
        <v>355</v>
      </c>
      <c r="C144" s="115"/>
      <c r="D144" s="116"/>
      <c r="G144" s="1"/>
      <c r="H144" s="4"/>
      <c r="I144" s="21"/>
      <c r="J144" s="21"/>
      <c r="K144" s="4"/>
      <c r="L144" s="21"/>
      <c r="M144" s="21"/>
      <c r="O144" s="21"/>
      <c r="P144" s="27"/>
      <c r="Q144" s="27"/>
    </row>
    <row r="145" spans="1:17" x14ac:dyDescent="0.2">
      <c r="A145" s="115" t="s">
        <v>394</v>
      </c>
      <c r="B145" s="116" t="s">
        <v>359</v>
      </c>
      <c r="C145" s="115"/>
      <c r="D145" s="116"/>
      <c r="G145" s="1"/>
      <c r="H145" s="4"/>
      <c r="I145" s="21"/>
      <c r="J145" s="1"/>
      <c r="K145" s="4"/>
      <c r="L145" s="21"/>
      <c r="M145" s="21"/>
      <c r="O145" s="21"/>
      <c r="P145" s="27"/>
      <c r="Q145" s="27"/>
    </row>
    <row r="146" spans="1:17" x14ac:dyDescent="0.2">
      <c r="A146" s="27" t="s">
        <v>236</v>
      </c>
      <c r="B146" s="111" t="s">
        <v>354</v>
      </c>
      <c r="C146" s="115"/>
      <c r="D146" s="116"/>
      <c r="G146" s="1"/>
      <c r="H146" s="4"/>
      <c r="I146" s="21"/>
      <c r="J146" s="1"/>
      <c r="K146" s="4"/>
      <c r="L146" s="21"/>
      <c r="M146" s="21"/>
      <c r="O146" s="21"/>
      <c r="P146" s="27"/>
      <c r="Q146" s="27"/>
    </row>
    <row r="147" spans="1:17" x14ac:dyDescent="0.2">
      <c r="A147" s="27" t="s">
        <v>238</v>
      </c>
      <c r="B147" s="111" t="s">
        <v>336</v>
      </c>
      <c r="C147" s="115"/>
      <c r="D147" s="116"/>
      <c r="G147" s="1"/>
      <c r="H147" s="4"/>
      <c r="I147" s="21"/>
      <c r="J147" s="1"/>
      <c r="K147" s="4"/>
      <c r="L147" s="21"/>
      <c r="M147" s="21"/>
      <c r="O147" s="21"/>
      <c r="P147" s="27"/>
      <c r="Q147" s="27"/>
    </row>
    <row r="148" spans="1:17" x14ac:dyDescent="0.2">
      <c r="A148" s="114" t="s">
        <v>239</v>
      </c>
      <c r="B148" s="111" t="s">
        <v>369</v>
      </c>
      <c r="C148" s="115"/>
      <c r="D148" s="116"/>
      <c r="G148" s="1"/>
      <c r="H148" s="4"/>
      <c r="I148" s="21"/>
      <c r="J148" s="1"/>
      <c r="K148" s="4"/>
      <c r="L148" s="21"/>
      <c r="M148" s="21"/>
      <c r="O148" s="21"/>
      <c r="P148" s="27"/>
      <c r="Q148" s="27"/>
    </row>
    <row r="149" spans="1:17" x14ac:dyDescent="0.2">
      <c r="A149" s="27" t="s">
        <v>241</v>
      </c>
      <c r="B149" s="111" t="s">
        <v>335</v>
      </c>
      <c r="G149" s="21"/>
      <c r="H149" s="4"/>
      <c r="I149" s="21"/>
      <c r="J149" s="21"/>
      <c r="K149" s="4"/>
      <c r="L149" s="21"/>
      <c r="M149" s="21"/>
      <c r="O149" s="21"/>
      <c r="P149" s="27"/>
      <c r="Q149" s="27"/>
    </row>
    <row r="150" spans="1:17" x14ac:dyDescent="0.2">
      <c r="A150">
        <f>COUNTA(A24:A149)</f>
        <v>126</v>
      </c>
      <c r="G150" s="21"/>
      <c r="H150" s="21"/>
      <c r="I150" s="21"/>
      <c r="J150" s="21"/>
      <c r="K150" s="4"/>
      <c r="L150" s="21"/>
      <c r="M150" s="21"/>
      <c r="O150" s="21"/>
      <c r="P150" s="27"/>
      <c r="Q150" s="27"/>
    </row>
    <row r="151" spans="1:17" x14ac:dyDescent="0.2">
      <c r="G151" s="21"/>
      <c r="H151" s="21"/>
      <c r="I151" s="21"/>
      <c r="J151" s="21"/>
      <c r="K151" s="21"/>
      <c r="L151" s="21"/>
      <c r="M151" s="21"/>
      <c r="O151" s="21"/>
      <c r="P151" s="27"/>
      <c r="Q151" s="27"/>
    </row>
    <row r="152" spans="1:17" x14ac:dyDescent="0.2">
      <c r="G152" s="21"/>
      <c r="H152" s="21"/>
      <c r="I152" s="21"/>
      <c r="J152" s="21"/>
      <c r="K152" s="21"/>
      <c r="L152" s="21"/>
      <c r="M152" s="21"/>
      <c r="O152" s="21"/>
      <c r="P152" s="27"/>
      <c r="Q152" s="27"/>
    </row>
    <row r="153" spans="1:17" x14ac:dyDescent="0.2">
      <c r="G153" s="21"/>
      <c r="H153" s="21"/>
      <c r="I153" s="21"/>
      <c r="J153" s="21"/>
      <c r="K153" s="21"/>
      <c r="L153" s="21"/>
      <c r="M153" s="21"/>
      <c r="O153" s="21"/>
      <c r="P153" s="21"/>
      <c r="Q153" s="21"/>
    </row>
    <row r="154" spans="1:17" x14ac:dyDescent="0.2">
      <c r="G154" s="21"/>
      <c r="H154" s="21"/>
      <c r="I154" s="21"/>
      <c r="J154" s="21"/>
      <c r="K154" s="21"/>
      <c r="L154" s="21"/>
      <c r="M154" s="21"/>
      <c r="O154" s="21"/>
      <c r="P154" s="21"/>
      <c r="Q154" s="21"/>
    </row>
    <row r="155" spans="1:17" x14ac:dyDescent="0.2">
      <c r="G155" s="21"/>
      <c r="H155" s="21"/>
      <c r="I155" s="21"/>
      <c r="J155" s="21"/>
      <c r="K155" s="21"/>
      <c r="L155" s="21"/>
      <c r="M155" s="21"/>
      <c r="O155" s="21"/>
      <c r="P155" s="21"/>
      <c r="Q155" s="21"/>
    </row>
    <row r="156" spans="1:17" x14ac:dyDescent="0.2">
      <c r="G156" s="21"/>
      <c r="H156" s="21"/>
      <c r="I156" s="21"/>
      <c r="J156" s="21"/>
      <c r="K156" s="21"/>
      <c r="L156" s="21"/>
      <c r="M156" s="21"/>
      <c r="O156" s="21"/>
      <c r="P156" s="21"/>
      <c r="Q156" s="21"/>
    </row>
    <row r="157" spans="1:17" x14ac:dyDescent="0.2">
      <c r="E157" s="21"/>
      <c r="G157" s="21"/>
      <c r="H157" s="21"/>
      <c r="I157" s="21"/>
      <c r="J157" s="21"/>
      <c r="K157" s="21"/>
      <c r="L157" s="21"/>
      <c r="M157" s="21"/>
      <c r="O157" s="21"/>
      <c r="P157" s="21"/>
      <c r="Q157" s="21"/>
    </row>
    <row r="158" spans="1:17" x14ac:dyDescent="0.2">
      <c r="D158" s="21"/>
      <c r="E158" s="21"/>
      <c r="G158" s="21"/>
      <c r="H158" s="21"/>
      <c r="I158" s="21"/>
      <c r="J158" s="21"/>
      <c r="K158" s="21"/>
      <c r="L158" s="21"/>
      <c r="M158" s="21"/>
      <c r="O158" s="21"/>
    </row>
    <row r="159" spans="1:17" x14ac:dyDescent="0.2">
      <c r="D159" s="21"/>
      <c r="E159" s="21"/>
      <c r="G159" s="21"/>
      <c r="H159" s="21"/>
      <c r="I159" s="21"/>
      <c r="J159" s="21"/>
      <c r="K159" s="21"/>
      <c r="L159" s="21"/>
      <c r="M159" s="21"/>
      <c r="O159" s="21"/>
    </row>
    <row r="160" spans="1:17" x14ac:dyDescent="0.2">
      <c r="D160" s="21"/>
      <c r="E160" s="21"/>
      <c r="G160" s="21"/>
      <c r="H160" s="21"/>
      <c r="I160" s="21"/>
      <c r="J160" s="21"/>
      <c r="K160" s="21"/>
      <c r="L160" s="21"/>
      <c r="M160" s="21"/>
      <c r="O160" s="21"/>
    </row>
    <row r="161" spans="4:15" x14ac:dyDescent="0.2">
      <c r="D161" s="21"/>
      <c r="E161" s="21"/>
      <c r="G161" s="21"/>
      <c r="H161" s="21"/>
      <c r="I161" s="21"/>
      <c r="J161" s="21"/>
      <c r="K161" s="21"/>
      <c r="L161" s="21"/>
      <c r="M161" s="21"/>
      <c r="O161" s="21"/>
    </row>
    <row r="162" spans="4:15" x14ac:dyDescent="0.2">
      <c r="D162" s="21"/>
      <c r="E162" s="21"/>
      <c r="G162" s="21"/>
      <c r="H162" s="21"/>
      <c r="I162" s="21"/>
      <c r="J162" s="21"/>
      <c r="K162" s="21"/>
      <c r="L162" s="21"/>
      <c r="M162" s="21"/>
      <c r="O162" s="21"/>
    </row>
    <row r="163" spans="4:15" x14ac:dyDescent="0.2">
      <c r="D163" s="21"/>
      <c r="E163" s="21"/>
      <c r="G163" s="21"/>
      <c r="H163" s="21"/>
      <c r="I163" s="21"/>
      <c r="J163" s="21"/>
      <c r="K163" s="21"/>
      <c r="L163" s="21"/>
      <c r="M163" s="21"/>
      <c r="O163" s="21"/>
    </row>
    <row r="164" spans="4:15" x14ac:dyDescent="0.2">
      <c r="D164" s="21"/>
      <c r="E164" s="21"/>
      <c r="G164" s="21"/>
      <c r="H164" s="21"/>
      <c r="I164" s="21"/>
      <c r="J164" s="21"/>
      <c r="K164" s="21"/>
      <c r="L164" s="21"/>
      <c r="M164" s="21"/>
      <c r="O164" s="21"/>
    </row>
    <row r="165" spans="4:15" x14ac:dyDescent="0.2">
      <c r="D165" s="21"/>
      <c r="E165" s="21"/>
      <c r="G165" s="21"/>
      <c r="H165" s="21"/>
      <c r="I165" s="21"/>
      <c r="J165" s="21"/>
      <c r="K165" s="21"/>
      <c r="L165" s="21"/>
      <c r="M165" s="21"/>
      <c r="O165" s="21"/>
    </row>
    <row r="166" spans="4:15" x14ac:dyDescent="0.2">
      <c r="D166" s="21"/>
      <c r="E166" s="21"/>
      <c r="G166" s="21"/>
      <c r="H166" s="21"/>
      <c r="I166" s="21"/>
      <c r="J166" s="21"/>
      <c r="K166" s="21"/>
      <c r="L166" s="21"/>
      <c r="M166" s="21"/>
      <c r="O166" s="21"/>
    </row>
    <row r="167" spans="4:15" x14ac:dyDescent="0.2">
      <c r="D167" s="21"/>
      <c r="E167" s="21"/>
      <c r="G167" s="21"/>
      <c r="H167" s="21"/>
      <c r="I167" s="21"/>
      <c r="J167" s="21"/>
      <c r="K167" s="21"/>
      <c r="L167" s="21"/>
      <c r="M167" s="21"/>
      <c r="O167" s="21"/>
    </row>
    <row r="168" spans="4:15" x14ac:dyDescent="0.2">
      <c r="D168" s="21"/>
      <c r="E168" s="21"/>
      <c r="G168" s="21"/>
      <c r="H168" s="21"/>
      <c r="I168" s="21"/>
      <c r="J168" s="21"/>
      <c r="K168" s="21"/>
      <c r="L168" s="21"/>
      <c r="M168" s="21"/>
      <c r="O168" s="21"/>
    </row>
    <row r="169" spans="4:15" x14ac:dyDescent="0.2">
      <c r="D169" s="21"/>
      <c r="E169" s="21"/>
      <c r="G169" s="21"/>
      <c r="H169" s="21"/>
      <c r="I169" s="21"/>
      <c r="J169" s="21"/>
      <c r="K169" s="21"/>
      <c r="L169" s="21"/>
      <c r="M169" s="21"/>
      <c r="O169" s="21"/>
    </row>
    <row r="170" spans="4:15" x14ac:dyDescent="0.2">
      <c r="D170" s="21"/>
      <c r="E170" s="21"/>
      <c r="G170" s="21"/>
      <c r="H170" s="21"/>
      <c r="I170" s="21"/>
      <c r="J170" s="21"/>
      <c r="K170" s="21"/>
      <c r="L170" s="21"/>
      <c r="M170" s="21"/>
      <c r="O170" s="21"/>
    </row>
    <row r="171" spans="4:15" x14ac:dyDescent="0.2">
      <c r="D171" s="21"/>
      <c r="E171" s="21"/>
      <c r="G171" s="21"/>
      <c r="H171" s="21"/>
      <c r="I171" s="21"/>
      <c r="J171" s="21"/>
      <c r="K171" s="21"/>
      <c r="L171" s="21"/>
      <c r="M171" s="21"/>
      <c r="O171" s="21"/>
    </row>
    <row r="172" spans="4:15" x14ac:dyDescent="0.2">
      <c r="D172" s="21"/>
      <c r="E172" s="21"/>
      <c r="G172" s="21"/>
      <c r="H172" s="21"/>
      <c r="I172" s="21"/>
      <c r="J172" s="21"/>
      <c r="K172" s="21"/>
      <c r="L172" s="21"/>
      <c r="M172" s="21"/>
      <c r="O172" s="21"/>
    </row>
    <row r="173" spans="4:15" x14ac:dyDescent="0.2">
      <c r="D173" s="21"/>
      <c r="E173" s="21"/>
      <c r="G173" s="21"/>
      <c r="H173" s="21"/>
      <c r="I173" s="21"/>
      <c r="J173" s="21"/>
      <c r="K173" s="21"/>
      <c r="L173" s="21"/>
      <c r="M173" s="21"/>
      <c r="O173" s="21"/>
    </row>
    <row r="174" spans="4:15" x14ac:dyDescent="0.2">
      <c r="D174" s="21"/>
      <c r="E174" s="21"/>
      <c r="G174" s="21"/>
      <c r="H174" s="21"/>
      <c r="I174" s="21"/>
      <c r="J174" s="21"/>
      <c r="K174" s="21"/>
      <c r="L174" s="21"/>
      <c r="M174" s="21"/>
      <c r="O174" s="21"/>
    </row>
    <row r="175" spans="4:15" x14ac:dyDescent="0.2">
      <c r="D175" s="21"/>
      <c r="E175" s="21"/>
      <c r="G175" s="21"/>
      <c r="H175" s="21"/>
      <c r="I175" s="21"/>
      <c r="J175" s="21"/>
      <c r="K175" s="21"/>
      <c r="L175" s="21"/>
      <c r="M175" s="21"/>
      <c r="O175" s="21"/>
    </row>
    <row r="176" spans="4:15" x14ac:dyDescent="0.2">
      <c r="G176" s="21"/>
      <c r="H176" s="21"/>
      <c r="I176" s="21"/>
      <c r="J176" s="21"/>
      <c r="K176" s="21"/>
      <c r="L176" s="21"/>
      <c r="M176" s="21"/>
    </row>
    <row r="177" spans="12:13" x14ac:dyDescent="0.2">
      <c r="L177" s="21"/>
      <c r="M177" s="21"/>
    </row>
  </sheetData>
  <sortState ref="C24:J114">
    <sortCondition ref="C24:C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Russell</cp:lastModifiedBy>
  <dcterms:created xsi:type="dcterms:W3CDTF">2017-10-03T17:07:31Z</dcterms:created>
  <dcterms:modified xsi:type="dcterms:W3CDTF">2018-07-01T16:50:17Z</dcterms:modified>
</cp:coreProperties>
</file>