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iles.russell/Desktop/Thesis Data/Final Data CSVs/"/>
    </mc:Choice>
  </mc:AlternateContent>
  <xr:revisionPtr revIDLastSave="0" documentId="8_{3ABAECC4-B861-FF4A-8B9D-8DBD72D721EA}" xr6:coauthVersionLast="34" xr6:coauthVersionMax="34" xr10:uidLastSave="{00000000-0000-0000-0000-000000000000}"/>
  <bookViews>
    <workbookView xWindow="0" yWindow="460" windowWidth="28800" windowHeight="17540" tabRatio="500" activeTab="4" xr2:uid="{00000000-000D-0000-FFFF-FFFF00000000}"/>
  </bookViews>
  <sheets>
    <sheet name="NOTES" sheetId="5" r:id="rId1"/>
    <sheet name="California" sheetId="3" r:id="rId2"/>
    <sheet name="Illinois" sheetId="4" r:id="rId3"/>
    <sheet name="Texas" sheetId="2" r:id="rId4"/>
    <sheet name="Corrected" sheetId="1" r:id="rId5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3" i="5" l="1"/>
  <c r="E120" i="5"/>
  <c r="J120" i="5" s="1"/>
  <c r="I120" i="5"/>
  <c r="H120" i="5"/>
  <c r="H100" i="1"/>
  <c r="I100" i="1"/>
  <c r="J100" i="1"/>
  <c r="K79" i="1"/>
  <c r="K100" i="1" s="1"/>
  <c r="L100" i="1"/>
  <c r="M100" i="1"/>
  <c r="N100" i="1"/>
  <c r="O79" i="1"/>
  <c r="O100" i="1" s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79" i="1"/>
  <c r="AF100" i="1" s="1"/>
  <c r="AG79" i="1"/>
  <c r="AG100" i="1" s="1"/>
  <c r="AH79" i="1"/>
  <c r="AH100" i="1" s="1"/>
  <c r="AI79" i="1"/>
  <c r="AI100" i="1" s="1"/>
  <c r="AJ59" i="1"/>
  <c r="AJ81" i="1"/>
  <c r="AK100" i="1"/>
  <c r="AL59" i="1"/>
  <c r="AL81" i="1"/>
  <c r="AM100" i="1"/>
  <c r="AN59" i="1"/>
  <c r="AN81" i="1"/>
  <c r="AN102" i="1" s="1"/>
  <c r="AO100" i="1"/>
  <c r="AP59" i="1"/>
  <c r="AP100" i="1" s="1"/>
  <c r="AP81" i="1"/>
  <c r="AP102" i="1" s="1"/>
  <c r="AQ100" i="1"/>
  <c r="AR59" i="1"/>
  <c r="AR81" i="1"/>
  <c r="AR102" i="1" s="1"/>
  <c r="AS100" i="1"/>
  <c r="AT59" i="1"/>
  <c r="AT100" i="1" s="1"/>
  <c r="AT81" i="1"/>
  <c r="AU100" i="1"/>
  <c r="AV59" i="1"/>
  <c r="AV81" i="1"/>
  <c r="AW100" i="1"/>
  <c r="AX59" i="1"/>
  <c r="AX81" i="1"/>
  <c r="AY100" i="1"/>
  <c r="AZ79" i="1"/>
  <c r="AZ100" i="1" s="1"/>
  <c r="BA79" i="1"/>
  <c r="BA100" i="1" s="1"/>
  <c r="BC79" i="1"/>
  <c r="BC100" i="1" s="1"/>
  <c r="BD100" i="1"/>
  <c r="BE79" i="1"/>
  <c r="BE100" i="1" s="1"/>
  <c r="BF79" i="1"/>
  <c r="BF100" i="1"/>
  <c r="BG79" i="1"/>
  <c r="BG100" i="1" s="1"/>
  <c r="BH33" i="1"/>
  <c r="BH64" i="1"/>
  <c r="BI79" i="1"/>
  <c r="BI100" i="1"/>
  <c r="BK79" i="1"/>
  <c r="BK100" i="1" s="1"/>
  <c r="BL79" i="1"/>
  <c r="BL100" i="1" s="1"/>
  <c r="BM79" i="1"/>
  <c r="BM103" i="1" s="1"/>
  <c r="BM100" i="1"/>
  <c r="BN33" i="1"/>
  <c r="BN64" i="1"/>
  <c r="BO79" i="1"/>
  <c r="BO100" i="1" s="1"/>
  <c r="BQ79" i="1"/>
  <c r="BQ100" i="1" s="1"/>
  <c r="BR79" i="1"/>
  <c r="BR100" i="1" s="1"/>
  <c r="BS79" i="1"/>
  <c r="BS100" i="1" s="1"/>
  <c r="BT33" i="1"/>
  <c r="BT64" i="1"/>
  <c r="BU79" i="1"/>
  <c r="BU100" i="1" s="1"/>
  <c r="BW64" i="1"/>
  <c r="BX64" i="1"/>
  <c r="BY64" i="1"/>
  <c r="BZ33" i="1"/>
  <c r="CA64" i="1"/>
  <c r="CB64" i="1"/>
  <c r="CC79" i="1"/>
  <c r="CC100" i="1" s="1"/>
  <c r="CD79" i="1"/>
  <c r="CD100" i="1" s="1"/>
  <c r="CE79" i="1"/>
  <c r="CE100" i="1" s="1"/>
  <c r="CF33" i="1"/>
  <c r="CF64" i="1"/>
  <c r="CG79" i="1"/>
  <c r="CG100" i="1" s="1"/>
  <c r="CI79" i="1"/>
  <c r="CI100" i="1" s="1"/>
  <c r="CJ79" i="1"/>
  <c r="CJ101" i="1" s="1"/>
  <c r="CJ100" i="1"/>
  <c r="CK79" i="1"/>
  <c r="CK100" i="1" s="1"/>
  <c r="CL33" i="1"/>
  <c r="CL64" i="1"/>
  <c r="CM79" i="1"/>
  <c r="CM100" i="1" s="1"/>
  <c r="CO33" i="1"/>
  <c r="CO64" i="1"/>
  <c r="CO79" i="1"/>
  <c r="CP33" i="1"/>
  <c r="CP64" i="1"/>
  <c r="CP79" i="1"/>
  <c r="CQ33" i="1"/>
  <c r="CQ64" i="1"/>
  <c r="CQ79" i="1"/>
  <c r="CS79" i="1"/>
  <c r="CU100" i="1"/>
  <c r="CV100" i="1"/>
  <c r="CW100" i="1"/>
  <c r="CX33" i="1"/>
  <c r="CX100" i="1" s="1"/>
  <c r="CY100" i="1"/>
  <c r="CZ100" i="1"/>
  <c r="DA79" i="1"/>
  <c r="DA101" i="1" s="1"/>
  <c r="DB79" i="1"/>
  <c r="DB100" i="1"/>
  <c r="DC79" i="1"/>
  <c r="DC100" i="1" s="1"/>
  <c r="DD20" i="1"/>
  <c r="DD33" i="1"/>
  <c r="DD64" i="1"/>
  <c r="DE79" i="1"/>
  <c r="DE100" i="1" s="1"/>
  <c r="DG100" i="1"/>
  <c r="DH100" i="1"/>
  <c r="DI100" i="1"/>
  <c r="DJ77" i="1"/>
  <c r="DJ100" i="1" s="1"/>
  <c r="DJ89" i="1"/>
  <c r="DK100" i="1"/>
  <c r="DL100" i="1"/>
  <c r="DM79" i="1"/>
  <c r="DM100" i="1" s="1"/>
  <c r="DN79" i="1"/>
  <c r="DN100" i="1" s="1"/>
  <c r="DO79" i="1"/>
  <c r="DO100" i="1" s="1"/>
  <c r="DP20" i="1"/>
  <c r="DP77" i="1"/>
  <c r="DP92" i="1"/>
  <c r="DQ79" i="1"/>
  <c r="DQ100" i="1" s="1"/>
  <c r="DS79" i="1"/>
  <c r="DS100" i="1" s="1"/>
  <c r="DT79" i="1"/>
  <c r="DT100" i="1" s="1"/>
  <c r="DU79" i="1"/>
  <c r="DU100" i="1" s="1"/>
  <c r="DV20" i="1"/>
  <c r="DV33" i="1"/>
  <c r="DV64" i="1"/>
  <c r="DV77" i="1"/>
  <c r="DV89" i="1"/>
  <c r="DV92" i="1"/>
  <c r="DW79" i="1"/>
  <c r="DW100" i="1" s="1"/>
  <c r="DY79" i="1"/>
  <c r="DY100" i="1" s="1"/>
  <c r="DZ79" i="1"/>
  <c r="DZ100" i="1" s="1"/>
  <c r="EA79" i="1"/>
  <c r="EA100" i="1" s="1"/>
  <c r="EB20" i="1"/>
  <c r="EB33" i="1"/>
  <c r="EB64" i="1"/>
  <c r="EB77" i="1"/>
  <c r="EB89" i="1"/>
  <c r="EB92" i="1"/>
  <c r="EC79" i="1"/>
  <c r="EC100" i="1" s="1"/>
  <c r="EE79" i="1"/>
  <c r="EE100" i="1" s="1"/>
  <c r="EF79" i="1"/>
  <c r="EF100" i="1" s="1"/>
  <c r="EG79" i="1"/>
  <c r="EG100" i="1" s="1"/>
  <c r="EH20" i="1"/>
  <c r="EH33" i="1"/>
  <c r="EH64" i="1"/>
  <c r="EH77" i="1"/>
  <c r="EH89" i="1"/>
  <c r="EH92" i="1"/>
  <c r="EI79" i="1"/>
  <c r="EI100" i="1" s="1"/>
  <c r="EK79" i="1"/>
  <c r="EK100" i="1" s="1"/>
  <c r="EL79" i="1"/>
  <c r="EL100" i="1" s="1"/>
  <c r="EM79" i="1"/>
  <c r="EM100" i="1" s="1"/>
  <c r="EN20" i="1"/>
  <c r="EN33" i="1"/>
  <c r="EN64" i="1"/>
  <c r="EN77" i="1"/>
  <c r="EN89" i="1"/>
  <c r="EN92" i="1"/>
  <c r="EO79" i="1"/>
  <c r="EO100" i="1" s="1"/>
  <c r="EQ79" i="1"/>
  <c r="EQ100" i="1" s="1"/>
  <c r="ER79" i="1"/>
  <c r="ER100" i="1" s="1"/>
  <c r="ES79" i="1"/>
  <c r="ES100" i="1" s="1"/>
  <c r="ET33" i="1"/>
  <c r="ET64" i="1"/>
  <c r="ET89" i="1"/>
  <c r="ET92" i="1"/>
  <c r="EU79" i="1"/>
  <c r="EU100" i="1" s="1"/>
  <c r="EW79" i="1"/>
  <c r="EW100" i="1" s="1"/>
  <c r="EX79" i="1"/>
  <c r="EX100" i="1" s="1"/>
  <c r="EY79" i="1"/>
  <c r="EY100" i="1" s="1"/>
  <c r="EZ33" i="1"/>
  <c r="EZ64" i="1"/>
  <c r="EZ89" i="1"/>
  <c r="EZ92" i="1"/>
  <c r="FA79" i="1"/>
  <c r="FA100" i="1" s="1"/>
  <c r="FC79" i="1"/>
  <c r="FC100" i="1" s="1"/>
  <c r="FD79" i="1"/>
  <c r="FD100" i="1" s="1"/>
  <c r="FE79" i="1"/>
  <c r="FE100" i="1" s="1"/>
  <c r="FF20" i="1"/>
  <c r="FF33" i="1"/>
  <c r="FF64" i="1"/>
  <c r="FF77" i="1"/>
  <c r="FF89" i="1"/>
  <c r="FF92" i="1"/>
  <c r="FG79" i="1"/>
  <c r="FG100" i="1" s="1"/>
  <c r="FI79" i="1"/>
  <c r="FI100" i="1" s="1"/>
  <c r="FJ79" i="1"/>
  <c r="FJ100" i="1" s="1"/>
  <c r="FK79" i="1"/>
  <c r="FK100" i="1"/>
  <c r="FL64" i="1"/>
  <c r="FL89" i="1"/>
  <c r="FL92" i="1"/>
  <c r="FM79" i="1"/>
  <c r="FM100" i="1" s="1"/>
  <c r="FO100" i="1"/>
  <c r="FP100" i="1"/>
  <c r="FQ100" i="1"/>
  <c r="FR64" i="1"/>
  <c r="FR89" i="1"/>
  <c r="FS100" i="1"/>
  <c r="FT100" i="1"/>
  <c r="FU79" i="1"/>
  <c r="FU100" i="1" s="1"/>
  <c r="FV79" i="1"/>
  <c r="FV100" i="1" s="1"/>
  <c r="FW79" i="1"/>
  <c r="FW100" i="1" s="1"/>
  <c r="FX9" i="1"/>
  <c r="FX20" i="1"/>
  <c r="FX33" i="1"/>
  <c r="FX64" i="1"/>
  <c r="FX89" i="1"/>
  <c r="FX92" i="1"/>
  <c r="FY79" i="1"/>
  <c r="FY100" i="1" s="1"/>
  <c r="GA79" i="1"/>
  <c r="GA100" i="1" s="1"/>
  <c r="GB79" i="1"/>
  <c r="GB100" i="1" s="1"/>
  <c r="GC79" i="1"/>
  <c r="GC100" i="1" s="1"/>
  <c r="GD9" i="1"/>
  <c r="GD20" i="1"/>
  <c r="GD33" i="1"/>
  <c r="GD64" i="1"/>
  <c r="GD70" i="1"/>
  <c r="GD77" i="1"/>
  <c r="GD89" i="1"/>
  <c r="GD92" i="1"/>
  <c r="GE79" i="1"/>
  <c r="GE100" i="1" s="1"/>
  <c r="GG79" i="1"/>
  <c r="GG100" i="1" s="1"/>
  <c r="GH79" i="1"/>
  <c r="GH100" i="1" s="1"/>
  <c r="GI79" i="1"/>
  <c r="GI100" i="1" s="1"/>
  <c r="GJ9" i="1"/>
  <c r="GJ20" i="1"/>
  <c r="GJ33" i="1"/>
  <c r="GJ64" i="1"/>
  <c r="GJ70" i="1"/>
  <c r="GJ77" i="1"/>
  <c r="GJ89" i="1"/>
  <c r="GJ92" i="1"/>
  <c r="GK79" i="1"/>
  <c r="GK100" i="1" s="1"/>
  <c r="GP9" i="1"/>
  <c r="GP20" i="1"/>
  <c r="GP33" i="1"/>
  <c r="GP64" i="1"/>
  <c r="GP70" i="1"/>
  <c r="GP77" i="1"/>
  <c r="GP89" i="1"/>
  <c r="GP92" i="1"/>
  <c r="GS79" i="1"/>
  <c r="GS100" i="1" s="1"/>
  <c r="GT79" i="1"/>
  <c r="GT100" i="1" s="1"/>
  <c r="GU79" i="1"/>
  <c r="GU100" i="1" s="1"/>
  <c r="GV79" i="1"/>
  <c r="GV100" i="1" s="1"/>
  <c r="GW79" i="1"/>
  <c r="GW100" i="1" s="1"/>
  <c r="HB9" i="1"/>
  <c r="HB20" i="1"/>
  <c r="HB33" i="1"/>
  <c r="HB64" i="1"/>
  <c r="HB70" i="1"/>
  <c r="HB77" i="1"/>
  <c r="HB89" i="1"/>
  <c r="HB92" i="1"/>
  <c r="H101" i="1"/>
  <c r="I101" i="1"/>
  <c r="J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J101" i="1"/>
  <c r="AK101" i="1"/>
  <c r="AM101" i="1"/>
  <c r="AO101" i="1"/>
  <c r="AQ101" i="1"/>
  <c r="AS101" i="1"/>
  <c r="AU101" i="1"/>
  <c r="AV101" i="1"/>
  <c r="AW101" i="1"/>
  <c r="AY101" i="1"/>
  <c r="AZ101" i="1"/>
  <c r="BA101" i="1"/>
  <c r="BD101" i="1"/>
  <c r="BF101" i="1"/>
  <c r="BI101" i="1"/>
  <c r="BO101" i="1"/>
  <c r="BS101" i="1"/>
  <c r="BU101" i="1"/>
  <c r="CC101" i="1"/>
  <c r="CD101" i="1"/>
  <c r="CE101" i="1"/>
  <c r="CI101" i="1"/>
  <c r="CU101" i="1"/>
  <c r="CV101" i="1"/>
  <c r="CW101" i="1"/>
  <c r="CX101" i="1"/>
  <c r="CY101" i="1"/>
  <c r="CZ101" i="1"/>
  <c r="DB101" i="1"/>
  <c r="DG101" i="1"/>
  <c r="DH101" i="1"/>
  <c r="DI101" i="1"/>
  <c r="DK101" i="1"/>
  <c r="DL101" i="1"/>
  <c r="DQ101" i="1"/>
  <c r="DS101" i="1"/>
  <c r="DU101" i="1"/>
  <c r="DW101" i="1"/>
  <c r="EA101" i="1"/>
  <c r="EG101" i="1"/>
  <c r="EI101" i="1"/>
  <c r="EK101" i="1"/>
  <c r="EO101" i="1"/>
  <c r="ER101" i="1"/>
  <c r="FC101" i="1"/>
  <c r="FD101" i="1"/>
  <c r="FE101" i="1"/>
  <c r="FG101" i="1"/>
  <c r="FK101" i="1"/>
  <c r="FM101" i="1"/>
  <c r="FO101" i="1"/>
  <c r="FP101" i="1"/>
  <c r="FQ101" i="1"/>
  <c r="FS101" i="1"/>
  <c r="FT101" i="1"/>
  <c r="FU101" i="1"/>
  <c r="GB101" i="1"/>
  <c r="GH101" i="1"/>
  <c r="GI101" i="1"/>
  <c r="GT101" i="1"/>
  <c r="H102" i="1"/>
  <c r="I102" i="1"/>
  <c r="J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J102" i="1"/>
  <c r="AK102" i="1"/>
  <c r="AM102" i="1"/>
  <c r="AO102" i="1"/>
  <c r="AQ102" i="1"/>
  <c r="AS102" i="1"/>
  <c r="AU102" i="1"/>
  <c r="AV102" i="1"/>
  <c r="AW102" i="1"/>
  <c r="AY102" i="1"/>
  <c r="AZ102" i="1"/>
  <c r="BA102" i="1"/>
  <c r="BC102" i="1"/>
  <c r="BD102" i="1"/>
  <c r="BF102" i="1"/>
  <c r="BI102" i="1"/>
  <c r="BL102" i="1"/>
  <c r="BM102" i="1"/>
  <c r="BO102" i="1"/>
  <c r="BQ102" i="1"/>
  <c r="BS102" i="1"/>
  <c r="BU102" i="1"/>
  <c r="CD102" i="1"/>
  <c r="CI102" i="1"/>
  <c r="CJ102" i="1"/>
  <c r="CU102" i="1"/>
  <c r="CV102" i="1"/>
  <c r="CW102" i="1"/>
  <c r="CY102" i="1"/>
  <c r="CZ102" i="1"/>
  <c r="DB102" i="1"/>
  <c r="DG102" i="1"/>
  <c r="DH102" i="1"/>
  <c r="DI102" i="1"/>
  <c r="DK102" i="1"/>
  <c r="DL102" i="1"/>
  <c r="DN102" i="1"/>
  <c r="DQ102" i="1"/>
  <c r="DS102" i="1"/>
  <c r="DU102" i="1"/>
  <c r="DW102" i="1"/>
  <c r="EA102" i="1"/>
  <c r="EE102" i="1"/>
  <c r="EG102" i="1"/>
  <c r="EI102" i="1"/>
  <c r="EK102" i="1"/>
  <c r="EO102" i="1"/>
  <c r="EQ102" i="1"/>
  <c r="FC102" i="1"/>
  <c r="FD102" i="1"/>
  <c r="FG102" i="1"/>
  <c r="FK102" i="1"/>
  <c r="FM102" i="1"/>
  <c r="FO102" i="1"/>
  <c r="FP102" i="1"/>
  <c r="FQ102" i="1"/>
  <c r="FS102" i="1"/>
  <c r="FT102" i="1"/>
  <c r="FU102" i="1"/>
  <c r="FW102" i="1"/>
  <c r="FY102" i="1"/>
  <c r="GB102" i="1"/>
  <c r="GH102" i="1"/>
  <c r="GI102" i="1"/>
  <c r="GT102" i="1"/>
  <c r="H103" i="1"/>
  <c r="I103" i="1"/>
  <c r="J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J103" i="1"/>
  <c r="AK103" i="1"/>
  <c r="AM103" i="1"/>
  <c r="AO103" i="1"/>
  <c r="AQ103" i="1"/>
  <c r="AR103" i="1"/>
  <c r="AS103" i="1"/>
  <c r="AU103" i="1"/>
  <c r="AV103" i="1"/>
  <c r="AW103" i="1"/>
  <c r="AY103" i="1"/>
  <c r="AZ103" i="1"/>
  <c r="BA103" i="1"/>
  <c r="BC103" i="1"/>
  <c r="BD103" i="1"/>
  <c r="BF103" i="1"/>
  <c r="BI103" i="1"/>
  <c r="BK103" i="1"/>
  <c r="BL103" i="1"/>
  <c r="BO103" i="1"/>
  <c r="BQ103" i="1"/>
  <c r="BR103" i="1"/>
  <c r="BS103" i="1"/>
  <c r="BU103" i="1"/>
  <c r="CC103" i="1"/>
  <c r="CD103" i="1"/>
  <c r="CE103" i="1"/>
  <c r="CI103" i="1"/>
  <c r="CJ103" i="1"/>
  <c r="CK103" i="1"/>
  <c r="CO103" i="1"/>
  <c r="CQ103" i="1"/>
  <c r="CU103" i="1"/>
  <c r="CV103" i="1"/>
  <c r="CW103" i="1"/>
  <c r="CX103" i="1"/>
  <c r="CY103" i="1"/>
  <c r="CZ103" i="1"/>
  <c r="DA103" i="1"/>
  <c r="DB103" i="1"/>
  <c r="DC103" i="1"/>
  <c r="DG103" i="1"/>
  <c r="DH103" i="1"/>
  <c r="DI103" i="1"/>
  <c r="DJ103" i="1"/>
  <c r="DK103" i="1"/>
  <c r="DL103" i="1"/>
  <c r="DN103" i="1"/>
  <c r="DO103" i="1"/>
  <c r="DQ103" i="1"/>
  <c r="DS103" i="1"/>
  <c r="DT103" i="1"/>
  <c r="DU103" i="1"/>
  <c r="DW103" i="1"/>
  <c r="DZ103" i="1"/>
  <c r="EA103" i="1"/>
  <c r="EC103" i="1"/>
  <c r="EE103" i="1"/>
  <c r="EG103" i="1"/>
  <c r="EI103" i="1"/>
  <c r="EK103" i="1"/>
  <c r="EL103" i="1"/>
  <c r="EO103" i="1"/>
  <c r="EQ103" i="1"/>
  <c r="ER103" i="1"/>
  <c r="ES103" i="1"/>
  <c r="EU103" i="1"/>
  <c r="EW103" i="1"/>
  <c r="EY103" i="1"/>
  <c r="FA103" i="1"/>
  <c r="FC103" i="1"/>
  <c r="FD103" i="1"/>
  <c r="FE103" i="1"/>
  <c r="FG103" i="1"/>
  <c r="FJ103" i="1"/>
  <c r="FK103" i="1"/>
  <c r="FM103" i="1"/>
  <c r="FO103" i="1"/>
  <c r="FP103" i="1"/>
  <c r="FQ103" i="1"/>
  <c r="FR103" i="1"/>
  <c r="FS103" i="1"/>
  <c r="FT103" i="1"/>
  <c r="FU103" i="1"/>
  <c r="FV103" i="1"/>
  <c r="FW103" i="1"/>
  <c r="FY103" i="1"/>
  <c r="GA103" i="1"/>
  <c r="GB103" i="1"/>
  <c r="GC103" i="1"/>
  <c r="GE103" i="1"/>
  <c r="GG103" i="1"/>
  <c r="GH103" i="1"/>
  <c r="GI103" i="1"/>
  <c r="GK103" i="1"/>
  <c r="GS103" i="1"/>
  <c r="GT103" i="1"/>
  <c r="GU103" i="1"/>
  <c r="GV103" i="1"/>
  <c r="GW103" i="1"/>
  <c r="H104" i="1"/>
  <c r="I104" i="1"/>
  <c r="J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H104" i="1"/>
  <c r="AI104" i="1"/>
  <c r="AJ104" i="1"/>
  <c r="AK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C104" i="1"/>
  <c r="BD104" i="1"/>
  <c r="BE104" i="1"/>
  <c r="BF104" i="1"/>
  <c r="BG104" i="1"/>
  <c r="BI104" i="1"/>
  <c r="BK104" i="1"/>
  <c r="BL104" i="1"/>
  <c r="BM104" i="1"/>
  <c r="BO104" i="1"/>
  <c r="BQ104" i="1"/>
  <c r="BR104" i="1"/>
  <c r="BS104" i="1"/>
  <c r="BU104" i="1"/>
  <c r="CC104" i="1"/>
  <c r="CD104" i="1"/>
  <c r="CE104" i="1"/>
  <c r="CG104" i="1"/>
  <c r="CI104" i="1"/>
  <c r="CJ104" i="1"/>
  <c r="CK104" i="1"/>
  <c r="CM104" i="1"/>
  <c r="CO104" i="1"/>
  <c r="CP104" i="1"/>
  <c r="CQ104" i="1"/>
  <c r="CU104" i="1"/>
  <c r="CV104" i="1"/>
  <c r="CW104" i="1"/>
  <c r="CX104" i="1"/>
  <c r="CY104" i="1"/>
  <c r="CZ104" i="1"/>
  <c r="DA104" i="1"/>
  <c r="DB104" i="1"/>
  <c r="DC104" i="1"/>
  <c r="DE104" i="1"/>
  <c r="DG104" i="1"/>
  <c r="DH104" i="1"/>
  <c r="DI104" i="1"/>
  <c r="DJ104" i="1"/>
  <c r="DK104" i="1"/>
  <c r="DL104" i="1"/>
  <c r="DM104" i="1"/>
  <c r="DN104" i="1"/>
  <c r="DO104" i="1"/>
  <c r="DQ104" i="1"/>
  <c r="DS104" i="1"/>
  <c r="DT104" i="1"/>
  <c r="DU104" i="1"/>
  <c r="DW104" i="1"/>
  <c r="DY104" i="1"/>
  <c r="DZ104" i="1"/>
  <c r="EA104" i="1"/>
  <c r="EC104" i="1"/>
  <c r="EE104" i="1"/>
  <c r="EF104" i="1"/>
  <c r="EG104" i="1"/>
  <c r="EI104" i="1"/>
  <c r="EK104" i="1"/>
  <c r="EL104" i="1"/>
  <c r="EM104" i="1"/>
  <c r="EO104" i="1"/>
  <c r="EQ104" i="1"/>
  <c r="ER104" i="1"/>
  <c r="ES104" i="1"/>
  <c r="EU104" i="1"/>
  <c r="EW104" i="1"/>
  <c r="EX104" i="1"/>
  <c r="EY104" i="1"/>
  <c r="FA104" i="1"/>
  <c r="FC104" i="1"/>
  <c r="FD104" i="1"/>
  <c r="FE104" i="1"/>
  <c r="FG104" i="1"/>
  <c r="FI104" i="1"/>
  <c r="FJ104" i="1"/>
  <c r="FK104" i="1"/>
  <c r="FM104" i="1"/>
  <c r="FO104" i="1"/>
  <c r="FP104" i="1"/>
  <c r="FQ104" i="1"/>
  <c r="FR104" i="1"/>
  <c r="FS104" i="1"/>
  <c r="FT104" i="1"/>
  <c r="FU104" i="1"/>
  <c r="FV104" i="1"/>
  <c r="FW104" i="1"/>
  <c r="FY104" i="1"/>
  <c r="GA104" i="1"/>
  <c r="GB104" i="1"/>
  <c r="GC104" i="1"/>
  <c r="GE104" i="1"/>
  <c r="GG104" i="1"/>
  <c r="GH104" i="1"/>
  <c r="GI104" i="1"/>
  <c r="GK104" i="1"/>
  <c r="GS104" i="1"/>
  <c r="GT104" i="1"/>
  <c r="GU104" i="1"/>
  <c r="GV104" i="1"/>
  <c r="GW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C105" i="1"/>
  <c r="BD105" i="1"/>
  <c r="BE105" i="1"/>
  <c r="BF105" i="1"/>
  <c r="BG105" i="1"/>
  <c r="BI105" i="1"/>
  <c r="BK105" i="1"/>
  <c r="BL105" i="1"/>
  <c r="BM105" i="1"/>
  <c r="BO105" i="1"/>
  <c r="BQ105" i="1"/>
  <c r="BR105" i="1"/>
  <c r="BS105" i="1"/>
  <c r="BU105" i="1"/>
  <c r="CC105" i="1"/>
  <c r="CD105" i="1"/>
  <c r="CE105" i="1"/>
  <c r="CG105" i="1"/>
  <c r="CI105" i="1"/>
  <c r="CJ105" i="1"/>
  <c r="CK105" i="1"/>
  <c r="CM105" i="1"/>
  <c r="CO105" i="1"/>
  <c r="CP105" i="1"/>
  <c r="CQ105" i="1"/>
  <c r="CU105" i="1"/>
  <c r="CV105" i="1"/>
  <c r="CW105" i="1"/>
  <c r="CX105" i="1"/>
  <c r="CY105" i="1"/>
  <c r="CZ105" i="1"/>
  <c r="DA105" i="1"/>
  <c r="DB105" i="1"/>
  <c r="DC105" i="1"/>
  <c r="DE105" i="1"/>
  <c r="DG105" i="1"/>
  <c r="DH105" i="1"/>
  <c r="DI105" i="1"/>
  <c r="DJ105" i="1"/>
  <c r="DK105" i="1"/>
  <c r="DL105" i="1"/>
  <c r="DM105" i="1"/>
  <c r="DN105" i="1"/>
  <c r="DO105" i="1"/>
  <c r="DQ105" i="1"/>
  <c r="DS105" i="1"/>
  <c r="DT105" i="1"/>
  <c r="DU105" i="1"/>
  <c r="DW105" i="1"/>
  <c r="DY105" i="1"/>
  <c r="DZ105" i="1"/>
  <c r="EA105" i="1"/>
  <c r="EC105" i="1"/>
  <c r="EE105" i="1"/>
  <c r="EF105" i="1"/>
  <c r="EG105" i="1"/>
  <c r="EI105" i="1"/>
  <c r="EK105" i="1"/>
  <c r="EL105" i="1"/>
  <c r="EM105" i="1"/>
  <c r="EO105" i="1"/>
  <c r="EQ105" i="1"/>
  <c r="ER105" i="1"/>
  <c r="ES105" i="1"/>
  <c r="EU105" i="1"/>
  <c r="EW105" i="1"/>
  <c r="EX105" i="1"/>
  <c r="EY105" i="1"/>
  <c r="FA105" i="1"/>
  <c r="FC105" i="1"/>
  <c r="FD105" i="1"/>
  <c r="FE105" i="1"/>
  <c r="FG105" i="1"/>
  <c r="FI105" i="1"/>
  <c r="FJ105" i="1"/>
  <c r="FK105" i="1"/>
  <c r="FM105" i="1"/>
  <c r="FO105" i="1"/>
  <c r="FP105" i="1"/>
  <c r="FQ105" i="1"/>
  <c r="FR105" i="1"/>
  <c r="FS105" i="1"/>
  <c r="FT105" i="1"/>
  <c r="FU105" i="1"/>
  <c r="FV105" i="1"/>
  <c r="FW105" i="1"/>
  <c r="FY105" i="1"/>
  <c r="GA105" i="1"/>
  <c r="GB105" i="1"/>
  <c r="GC105" i="1"/>
  <c r="GE105" i="1"/>
  <c r="GG105" i="1"/>
  <c r="GH105" i="1"/>
  <c r="GI105" i="1"/>
  <c r="GK105" i="1"/>
  <c r="GS105" i="1"/>
  <c r="GT105" i="1"/>
  <c r="GU105" i="1"/>
  <c r="GV105" i="1"/>
  <c r="GW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C106" i="1"/>
  <c r="BD106" i="1"/>
  <c r="BE106" i="1"/>
  <c r="BF106" i="1"/>
  <c r="BG106" i="1"/>
  <c r="BI106" i="1"/>
  <c r="BK106" i="1"/>
  <c r="BL106" i="1"/>
  <c r="BM106" i="1"/>
  <c r="BO106" i="1"/>
  <c r="BQ106" i="1"/>
  <c r="BR106" i="1"/>
  <c r="BS106" i="1"/>
  <c r="BU106" i="1"/>
  <c r="CC106" i="1"/>
  <c r="CD106" i="1"/>
  <c r="CE106" i="1"/>
  <c r="CG106" i="1"/>
  <c r="CI106" i="1"/>
  <c r="CJ106" i="1"/>
  <c r="CK106" i="1"/>
  <c r="CM106" i="1"/>
  <c r="CO106" i="1"/>
  <c r="CP106" i="1"/>
  <c r="CQ106" i="1"/>
  <c r="CU106" i="1"/>
  <c r="CV106" i="1"/>
  <c r="CW106" i="1"/>
  <c r="CX106" i="1"/>
  <c r="CY106" i="1"/>
  <c r="CZ106" i="1"/>
  <c r="DA106" i="1"/>
  <c r="DB106" i="1"/>
  <c r="DC106" i="1"/>
  <c r="DE106" i="1"/>
  <c r="DG106" i="1"/>
  <c r="DH106" i="1"/>
  <c r="DI106" i="1"/>
  <c r="DJ106" i="1"/>
  <c r="DK106" i="1"/>
  <c r="DL106" i="1"/>
  <c r="DM106" i="1"/>
  <c r="DN106" i="1"/>
  <c r="DO106" i="1"/>
  <c r="DQ106" i="1"/>
  <c r="DS106" i="1"/>
  <c r="DT106" i="1"/>
  <c r="DU106" i="1"/>
  <c r="DW106" i="1"/>
  <c r="DY106" i="1"/>
  <c r="DZ106" i="1"/>
  <c r="EA106" i="1"/>
  <c r="EC106" i="1"/>
  <c r="EE106" i="1"/>
  <c r="EF106" i="1"/>
  <c r="EG106" i="1"/>
  <c r="EI106" i="1"/>
  <c r="EK106" i="1"/>
  <c r="EL106" i="1"/>
  <c r="EM106" i="1"/>
  <c r="EO106" i="1"/>
  <c r="EQ106" i="1"/>
  <c r="ER106" i="1"/>
  <c r="ES106" i="1"/>
  <c r="EU106" i="1"/>
  <c r="EW106" i="1"/>
  <c r="EX106" i="1"/>
  <c r="EY106" i="1"/>
  <c r="FA106" i="1"/>
  <c r="FC106" i="1"/>
  <c r="FD106" i="1"/>
  <c r="FE106" i="1"/>
  <c r="FG106" i="1"/>
  <c r="FI106" i="1"/>
  <c r="FJ106" i="1"/>
  <c r="FK106" i="1"/>
  <c r="FM106" i="1"/>
  <c r="FO106" i="1"/>
  <c r="FP106" i="1"/>
  <c r="FQ106" i="1"/>
  <c r="FR106" i="1"/>
  <c r="FS106" i="1"/>
  <c r="FT106" i="1"/>
  <c r="FU106" i="1"/>
  <c r="FV106" i="1"/>
  <c r="FW106" i="1"/>
  <c r="FY106" i="1"/>
  <c r="GA106" i="1"/>
  <c r="GB106" i="1"/>
  <c r="GC106" i="1"/>
  <c r="GE106" i="1"/>
  <c r="GG106" i="1"/>
  <c r="GH106" i="1"/>
  <c r="GI106" i="1"/>
  <c r="GK106" i="1"/>
  <c r="GS106" i="1"/>
  <c r="GT106" i="1"/>
  <c r="GU106" i="1"/>
  <c r="GV106" i="1"/>
  <c r="GW106" i="1"/>
  <c r="G106" i="1"/>
  <c r="G105" i="1"/>
  <c r="G104" i="1"/>
  <c r="G103" i="1"/>
  <c r="G101" i="1"/>
  <c r="G100" i="1"/>
  <c r="G102" i="1"/>
  <c r="A98" i="1"/>
  <c r="HT3" i="1"/>
  <c r="HU3" i="1" s="1"/>
  <c r="HT4" i="1"/>
  <c r="HU4" i="1" s="1"/>
  <c r="HT5" i="1"/>
  <c r="HU5" i="1" s="1"/>
  <c r="HT6" i="1"/>
  <c r="HU6" i="1" s="1"/>
  <c r="HT7" i="1"/>
  <c r="HU7" i="1" s="1"/>
  <c r="HT8" i="1"/>
  <c r="HU8" i="1" s="1"/>
  <c r="HT9" i="1"/>
  <c r="HU9" i="1" s="1"/>
  <c r="HT10" i="1"/>
  <c r="HU10" i="1" s="1"/>
  <c r="HT11" i="1"/>
  <c r="HU11" i="1" s="1"/>
  <c r="HT12" i="1"/>
  <c r="HU12" i="1" s="1"/>
  <c r="HT13" i="1"/>
  <c r="HU13" i="1" s="1"/>
  <c r="HT14" i="1"/>
  <c r="HU14" i="1" s="1"/>
  <c r="HT15" i="1"/>
  <c r="HU15" i="1" s="1"/>
  <c r="HT16" i="1"/>
  <c r="HU16" i="1" s="1"/>
  <c r="HT17" i="1"/>
  <c r="HU17" i="1" s="1"/>
  <c r="HT18" i="1"/>
  <c r="HU18" i="1" s="1"/>
  <c r="HT19" i="1"/>
  <c r="HU19" i="1" s="1"/>
  <c r="HT20" i="1"/>
  <c r="HU20" i="1" s="1"/>
  <c r="HT21" i="1"/>
  <c r="HU21" i="1" s="1"/>
  <c r="HT22" i="1"/>
  <c r="HU22" i="1" s="1"/>
  <c r="HT23" i="1"/>
  <c r="HU23" i="1" s="1"/>
  <c r="HT24" i="1"/>
  <c r="HU24" i="1" s="1"/>
  <c r="HT25" i="1"/>
  <c r="HU25" i="1" s="1"/>
  <c r="HT26" i="1"/>
  <c r="HU26" i="1" s="1"/>
  <c r="HT27" i="1"/>
  <c r="HU27" i="1" s="1"/>
  <c r="HT28" i="1"/>
  <c r="HU28" i="1" s="1"/>
  <c r="HT29" i="1"/>
  <c r="HU29" i="1" s="1"/>
  <c r="HT30" i="1"/>
  <c r="HU30" i="1" s="1"/>
  <c r="HT31" i="1"/>
  <c r="HU31" i="1" s="1"/>
  <c r="HT32" i="1"/>
  <c r="HU32" i="1" s="1"/>
  <c r="HT33" i="1"/>
  <c r="HU33" i="1" s="1"/>
  <c r="HT34" i="1"/>
  <c r="HU34" i="1" s="1"/>
  <c r="HT35" i="1"/>
  <c r="HU35" i="1" s="1"/>
  <c r="HT36" i="1"/>
  <c r="HU36" i="1" s="1"/>
  <c r="HT37" i="1"/>
  <c r="HU37" i="1" s="1"/>
  <c r="HT38" i="1"/>
  <c r="HU38" i="1" s="1"/>
  <c r="HT39" i="1"/>
  <c r="HU39" i="1" s="1"/>
  <c r="HT40" i="1"/>
  <c r="HU40" i="1" s="1"/>
  <c r="HT41" i="1"/>
  <c r="HU41" i="1" s="1"/>
  <c r="HT42" i="1"/>
  <c r="HU42" i="1" s="1"/>
  <c r="HT43" i="1"/>
  <c r="HU43" i="1" s="1"/>
  <c r="HT44" i="1"/>
  <c r="HU44" i="1" s="1"/>
  <c r="HT45" i="1"/>
  <c r="HU45" i="1" s="1"/>
  <c r="HT46" i="1"/>
  <c r="HU46" i="1" s="1"/>
  <c r="HT47" i="1"/>
  <c r="HU47" i="1" s="1"/>
  <c r="HT48" i="1"/>
  <c r="HU48" i="1" s="1"/>
  <c r="HT49" i="1"/>
  <c r="HU49" i="1" s="1"/>
  <c r="HT50" i="1"/>
  <c r="HU50" i="1" s="1"/>
  <c r="HT51" i="1"/>
  <c r="HU51" i="1" s="1"/>
  <c r="HT52" i="1"/>
  <c r="HU52" i="1" s="1"/>
  <c r="HT53" i="1"/>
  <c r="HU53" i="1" s="1"/>
  <c r="HT54" i="1"/>
  <c r="HU54" i="1" s="1"/>
  <c r="HT55" i="1"/>
  <c r="HU55" i="1" s="1"/>
  <c r="HT56" i="1"/>
  <c r="HU56" i="1" s="1"/>
  <c r="HT57" i="1"/>
  <c r="HU57" i="1" s="1"/>
  <c r="HT58" i="1"/>
  <c r="HU58" i="1" s="1"/>
  <c r="HT59" i="1"/>
  <c r="HU59" i="1" s="1"/>
  <c r="HT60" i="1"/>
  <c r="HU60" i="1" s="1"/>
  <c r="HT61" i="1"/>
  <c r="HU61" i="1" s="1"/>
  <c r="HT62" i="1"/>
  <c r="HU62" i="1" s="1"/>
  <c r="HT63" i="1"/>
  <c r="HU63" i="1" s="1"/>
  <c r="HT64" i="1"/>
  <c r="HU64" i="1" s="1"/>
  <c r="HT65" i="1"/>
  <c r="HU65" i="1" s="1"/>
  <c r="HT66" i="1"/>
  <c r="HU66" i="1" s="1"/>
  <c r="HT67" i="1"/>
  <c r="HU67" i="1" s="1"/>
  <c r="HT68" i="1"/>
  <c r="HU68" i="1" s="1"/>
  <c r="HT69" i="1"/>
  <c r="HU69" i="1" s="1"/>
  <c r="HT70" i="1"/>
  <c r="HU70" i="1" s="1"/>
  <c r="HT71" i="1"/>
  <c r="HU71" i="1" s="1"/>
  <c r="HT72" i="1"/>
  <c r="HU72" i="1" s="1"/>
  <c r="HT73" i="1"/>
  <c r="HU73" i="1" s="1"/>
  <c r="HT74" i="1"/>
  <c r="HU74" i="1" s="1"/>
  <c r="HT75" i="1"/>
  <c r="HU75" i="1" s="1"/>
  <c r="HT76" i="1"/>
  <c r="HU76" i="1" s="1"/>
  <c r="HT77" i="1"/>
  <c r="HU77" i="1" s="1"/>
  <c r="HT78" i="1"/>
  <c r="HU78" i="1" s="1"/>
  <c r="HT79" i="1"/>
  <c r="HU79" i="1" s="1"/>
  <c r="HT80" i="1"/>
  <c r="HU80" i="1" s="1"/>
  <c r="HT81" i="1"/>
  <c r="HU81" i="1" s="1"/>
  <c r="HT82" i="1"/>
  <c r="HU82" i="1" s="1"/>
  <c r="HT83" i="1"/>
  <c r="HU83" i="1" s="1"/>
  <c r="HT84" i="1"/>
  <c r="HU84" i="1" s="1"/>
  <c r="HT85" i="1"/>
  <c r="HU85" i="1" s="1"/>
  <c r="HT86" i="1"/>
  <c r="HU86" i="1" s="1"/>
  <c r="HT87" i="1"/>
  <c r="HU87" i="1" s="1"/>
  <c r="HT88" i="1"/>
  <c r="HU88" i="1" s="1"/>
  <c r="HT89" i="1"/>
  <c r="HU89" i="1" s="1"/>
  <c r="HT90" i="1"/>
  <c r="HU90" i="1" s="1"/>
  <c r="HT91" i="1"/>
  <c r="HU91" i="1" s="1"/>
  <c r="HT92" i="1"/>
  <c r="HU92" i="1" s="1"/>
  <c r="HT93" i="1"/>
  <c r="HU93" i="1" s="1"/>
  <c r="HT94" i="1"/>
  <c r="HU94" i="1" s="1"/>
  <c r="HT95" i="1"/>
  <c r="HU95" i="1" s="1"/>
  <c r="HT96" i="1"/>
  <c r="HU96" i="1" s="1"/>
  <c r="HT97" i="1"/>
  <c r="HU97" i="1" s="1"/>
  <c r="JR66" i="1"/>
  <c r="JS66" i="1" s="1"/>
  <c r="KB60" i="1"/>
  <c r="KC60" i="1" s="1"/>
  <c r="KB66" i="1"/>
  <c r="KC66" i="1" s="1"/>
  <c r="KB64" i="1"/>
  <c r="KC64" i="1" s="1"/>
  <c r="KB70" i="1"/>
  <c r="KC70" i="1" s="1"/>
  <c r="KB89" i="1"/>
  <c r="KC89" i="1" s="1"/>
  <c r="KB92" i="1"/>
  <c r="KC92" i="1" s="1"/>
  <c r="KB94" i="1"/>
  <c r="KC94" i="1" s="1"/>
  <c r="KB3" i="1"/>
  <c r="KC3" i="1" s="1"/>
  <c r="KB4" i="1"/>
  <c r="KC4" i="1" s="1"/>
  <c r="KB5" i="1"/>
  <c r="KC5" i="1" s="1"/>
  <c r="KB6" i="1"/>
  <c r="KC6" i="1" s="1"/>
  <c r="KB7" i="1"/>
  <c r="KC7" i="1" s="1"/>
  <c r="KB8" i="1"/>
  <c r="KC8" i="1" s="1"/>
  <c r="KB9" i="1"/>
  <c r="KC9" i="1" s="1"/>
  <c r="KB10" i="1"/>
  <c r="KC10" i="1" s="1"/>
  <c r="KB11" i="1"/>
  <c r="KC11" i="1" s="1"/>
  <c r="KB12" i="1"/>
  <c r="KC12" i="1" s="1"/>
  <c r="KB13" i="1"/>
  <c r="KC13" i="1" s="1"/>
  <c r="KB14" i="1"/>
  <c r="KC14" i="1" s="1"/>
  <c r="KB15" i="1"/>
  <c r="KC15" i="1" s="1"/>
  <c r="KB16" i="1"/>
  <c r="KC16" i="1" s="1"/>
  <c r="KB17" i="1"/>
  <c r="KC17" i="1" s="1"/>
  <c r="KB18" i="1"/>
  <c r="KC18" i="1" s="1"/>
  <c r="KB19" i="1"/>
  <c r="KC19" i="1"/>
  <c r="KB20" i="1"/>
  <c r="KC20" i="1" s="1"/>
  <c r="KB21" i="1"/>
  <c r="KC21" i="1" s="1"/>
  <c r="KB22" i="1"/>
  <c r="KC22" i="1" s="1"/>
  <c r="KB23" i="1"/>
  <c r="KC23" i="1" s="1"/>
  <c r="KB24" i="1"/>
  <c r="KC24" i="1" s="1"/>
  <c r="KB25" i="1"/>
  <c r="KC25" i="1" s="1"/>
  <c r="KB26" i="1"/>
  <c r="KC26" i="1" s="1"/>
  <c r="KB27" i="1"/>
  <c r="KC27" i="1" s="1"/>
  <c r="KB28" i="1"/>
  <c r="KC28" i="1" s="1"/>
  <c r="KB29" i="1"/>
  <c r="KC29" i="1" s="1"/>
  <c r="KB30" i="1"/>
  <c r="KC30" i="1" s="1"/>
  <c r="KB31" i="1"/>
  <c r="KC31" i="1" s="1"/>
  <c r="KB32" i="1"/>
  <c r="KC32" i="1" s="1"/>
  <c r="KB33" i="1"/>
  <c r="KC33" i="1" s="1"/>
  <c r="KB34" i="1"/>
  <c r="KC34" i="1" s="1"/>
  <c r="KB35" i="1"/>
  <c r="KC35" i="1" s="1"/>
  <c r="KB36" i="1"/>
  <c r="KC36" i="1" s="1"/>
  <c r="KB37" i="1"/>
  <c r="KC37" i="1" s="1"/>
  <c r="KB38" i="1"/>
  <c r="KC38" i="1" s="1"/>
  <c r="KB39" i="1"/>
  <c r="KC39" i="1" s="1"/>
  <c r="KB40" i="1"/>
  <c r="KC40" i="1" s="1"/>
  <c r="KB41" i="1"/>
  <c r="KC41" i="1" s="1"/>
  <c r="KB42" i="1"/>
  <c r="KC42" i="1" s="1"/>
  <c r="KB43" i="1"/>
  <c r="KC43" i="1" s="1"/>
  <c r="KB44" i="1"/>
  <c r="KC44" i="1" s="1"/>
  <c r="KB45" i="1"/>
  <c r="KC45" i="1" s="1"/>
  <c r="KB46" i="1"/>
  <c r="KC46" i="1" s="1"/>
  <c r="KB47" i="1"/>
  <c r="KC47" i="1" s="1"/>
  <c r="KB48" i="1"/>
  <c r="KC48" i="1" s="1"/>
  <c r="KB49" i="1"/>
  <c r="KC49" i="1" s="1"/>
  <c r="KB50" i="1"/>
  <c r="KC50" i="1" s="1"/>
  <c r="KB51" i="1"/>
  <c r="KC51" i="1" s="1"/>
  <c r="KB52" i="1"/>
  <c r="KC52" i="1" s="1"/>
  <c r="KB53" i="1"/>
  <c r="KC53" i="1" s="1"/>
  <c r="KB54" i="1"/>
  <c r="KC54" i="1" s="1"/>
  <c r="KB55" i="1"/>
  <c r="KC55" i="1"/>
  <c r="KB56" i="1"/>
  <c r="KC56" i="1" s="1"/>
  <c r="KB57" i="1"/>
  <c r="KC57" i="1" s="1"/>
  <c r="KB58" i="1"/>
  <c r="KC58" i="1" s="1"/>
  <c r="KB59" i="1"/>
  <c r="KC59" i="1" s="1"/>
  <c r="KB61" i="1"/>
  <c r="KC61" i="1" s="1"/>
  <c r="KB62" i="1"/>
  <c r="KC62" i="1" s="1"/>
  <c r="KB63" i="1"/>
  <c r="KC63" i="1" s="1"/>
  <c r="KB65" i="1"/>
  <c r="KC65" i="1" s="1"/>
  <c r="KB67" i="1"/>
  <c r="KC67" i="1" s="1"/>
  <c r="KB68" i="1"/>
  <c r="KC68" i="1" s="1"/>
  <c r="KB69" i="1"/>
  <c r="KC69" i="1" s="1"/>
  <c r="KB71" i="1"/>
  <c r="KC71" i="1" s="1"/>
  <c r="KB72" i="1"/>
  <c r="KC72" i="1" s="1"/>
  <c r="KB73" i="1"/>
  <c r="KC73" i="1"/>
  <c r="KB74" i="1"/>
  <c r="KC74" i="1" s="1"/>
  <c r="KB75" i="1"/>
  <c r="KC75" i="1" s="1"/>
  <c r="KB76" i="1"/>
  <c r="KC76" i="1" s="1"/>
  <c r="KB77" i="1"/>
  <c r="KC77" i="1" s="1"/>
  <c r="KB78" i="1"/>
  <c r="KC78" i="1" s="1"/>
  <c r="KB80" i="1"/>
  <c r="KC80" i="1" s="1"/>
  <c r="KB81" i="1"/>
  <c r="KC81" i="1" s="1"/>
  <c r="KB82" i="1"/>
  <c r="KC82" i="1" s="1"/>
  <c r="KB83" i="1"/>
  <c r="KC83" i="1" s="1"/>
  <c r="KB84" i="1"/>
  <c r="KC84" i="1" s="1"/>
  <c r="KB85" i="1"/>
  <c r="KC85" i="1" s="1"/>
  <c r="KB86" i="1"/>
  <c r="KC86" i="1" s="1"/>
  <c r="KB87" i="1"/>
  <c r="KC87" i="1" s="1"/>
  <c r="KB88" i="1"/>
  <c r="KC88" i="1" s="1"/>
  <c r="KB90" i="1"/>
  <c r="KC90" i="1" s="1"/>
  <c r="KB91" i="1"/>
  <c r="KC91" i="1" s="1"/>
  <c r="KB93" i="1"/>
  <c r="KC93" i="1" s="1"/>
  <c r="KB95" i="1"/>
  <c r="KC95" i="1" s="1"/>
  <c r="KB96" i="1"/>
  <c r="KC96" i="1" s="1"/>
  <c r="KB97" i="1"/>
  <c r="KC97" i="1" s="1"/>
  <c r="JZ60" i="1"/>
  <c r="KA60" i="1" s="1"/>
  <c r="JZ66" i="1"/>
  <c r="KA66" i="1" s="1"/>
  <c r="JZ67" i="1"/>
  <c r="KA67" i="1" s="1"/>
  <c r="JZ68" i="1"/>
  <c r="KA68" i="1" s="1"/>
  <c r="JZ69" i="1"/>
  <c r="KA69" i="1" s="1"/>
  <c r="JZ70" i="1"/>
  <c r="KA70" i="1" s="1"/>
  <c r="JZ71" i="1"/>
  <c r="KA71" i="1" s="1"/>
  <c r="JZ24" i="1"/>
  <c r="KA24" i="1" s="1"/>
  <c r="JZ64" i="1"/>
  <c r="KA64" i="1" s="1"/>
  <c r="JZ89" i="1"/>
  <c r="KA89" i="1" s="1"/>
  <c r="JZ92" i="1"/>
  <c r="KA92" i="1" s="1"/>
  <c r="JZ94" i="1"/>
  <c r="KA94" i="1" s="1"/>
  <c r="JZ3" i="1"/>
  <c r="KA3" i="1" s="1"/>
  <c r="JZ4" i="1"/>
  <c r="KA4" i="1" s="1"/>
  <c r="JZ5" i="1"/>
  <c r="KA5" i="1" s="1"/>
  <c r="JZ6" i="1"/>
  <c r="KA6" i="1" s="1"/>
  <c r="JZ7" i="1"/>
  <c r="KA7" i="1" s="1"/>
  <c r="JZ8" i="1"/>
  <c r="KA8" i="1" s="1"/>
  <c r="JZ9" i="1"/>
  <c r="KA9" i="1" s="1"/>
  <c r="JZ10" i="1"/>
  <c r="KA10" i="1" s="1"/>
  <c r="JZ11" i="1"/>
  <c r="KA11" i="1" s="1"/>
  <c r="JZ12" i="1"/>
  <c r="KA12" i="1" s="1"/>
  <c r="JZ13" i="1"/>
  <c r="KA13" i="1" s="1"/>
  <c r="JZ14" i="1"/>
  <c r="KA14" i="1" s="1"/>
  <c r="JZ15" i="1"/>
  <c r="KA15" i="1" s="1"/>
  <c r="JZ16" i="1"/>
  <c r="KA16" i="1" s="1"/>
  <c r="JZ17" i="1"/>
  <c r="KA17" i="1"/>
  <c r="JZ18" i="1"/>
  <c r="KA18" i="1" s="1"/>
  <c r="JZ19" i="1"/>
  <c r="KA19" i="1" s="1"/>
  <c r="JZ20" i="1"/>
  <c r="KA20" i="1" s="1"/>
  <c r="JZ21" i="1"/>
  <c r="KA21" i="1" s="1"/>
  <c r="JZ22" i="1"/>
  <c r="KA22" i="1" s="1"/>
  <c r="JZ23" i="1"/>
  <c r="KA23" i="1" s="1"/>
  <c r="JZ25" i="1"/>
  <c r="KA25" i="1"/>
  <c r="JZ26" i="1"/>
  <c r="KA26" i="1" s="1"/>
  <c r="JZ27" i="1"/>
  <c r="KA27" i="1" s="1"/>
  <c r="JZ28" i="1"/>
  <c r="KA28" i="1" s="1"/>
  <c r="JZ29" i="1"/>
  <c r="KA29" i="1" s="1"/>
  <c r="JZ30" i="1"/>
  <c r="KA30" i="1" s="1"/>
  <c r="JZ31" i="1"/>
  <c r="KA31" i="1" s="1"/>
  <c r="JZ32" i="1"/>
  <c r="KA32" i="1" s="1"/>
  <c r="JZ33" i="1"/>
  <c r="KA33" i="1" s="1"/>
  <c r="JZ34" i="1"/>
  <c r="KA34" i="1" s="1"/>
  <c r="JZ35" i="1"/>
  <c r="KA35" i="1" s="1"/>
  <c r="JZ36" i="1"/>
  <c r="KA36" i="1" s="1"/>
  <c r="JZ37" i="1"/>
  <c r="KA37" i="1"/>
  <c r="JZ38" i="1"/>
  <c r="KA38" i="1" s="1"/>
  <c r="JZ39" i="1"/>
  <c r="KA39" i="1" s="1"/>
  <c r="JZ40" i="1"/>
  <c r="KA40" i="1" s="1"/>
  <c r="JZ41" i="1"/>
  <c r="KA41" i="1" s="1"/>
  <c r="JZ42" i="1"/>
  <c r="KA42" i="1" s="1"/>
  <c r="JZ43" i="1"/>
  <c r="KA43" i="1" s="1"/>
  <c r="JZ44" i="1"/>
  <c r="KA44" i="1" s="1"/>
  <c r="JZ45" i="1"/>
  <c r="KA45" i="1" s="1"/>
  <c r="JZ46" i="1"/>
  <c r="KA46" i="1" s="1"/>
  <c r="JZ47" i="1"/>
  <c r="KA47" i="1" s="1"/>
  <c r="JZ48" i="1"/>
  <c r="KA48" i="1" s="1"/>
  <c r="JZ49" i="1"/>
  <c r="KA49" i="1" s="1"/>
  <c r="JZ50" i="1"/>
  <c r="KA50" i="1" s="1"/>
  <c r="JZ51" i="1"/>
  <c r="KA51" i="1" s="1"/>
  <c r="JZ52" i="1"/>
  <c r="KA52" i="1" s="1"/>
  <c r="JZ53" i="1"/>
  <c r="KA53" i="1" s="1"/>
  <c r="JZ54" i="1"/>
  <c r="KA54" i="1" s="1"/>
  <c r="JZ55" i="1"/>
  <c r="KA55" i="1" s="1"/>
  <c r="JZ56" i="1"/>
  <c r="KA56" i="1" s="1"/>
  <c r="JZ57" i="1"/>
  <c r="KA57" i="1" s="1"/>
  <c r="JZ58" i="1"/>
  <c r="KA58" i="1" s="1"/>
  <c r="JZ59" i="1"/>
  <c r="KA59" i="1" s="1"/>
  <c r="JZ61" i="1"/>
  <c r="KA61" i="1" s="1"/>
  <c r="JZ62" i="1"/>
  <c r="KA62" i="1" s="1"/>
  <c r="JZ63" i="1"/>
  <c r="KA63" i="1" s="1"/>
  <c r="JZ65" i="1"/>
  <c r="KA65" i="1" s="1"/>
  <c r="JZ72" i="1"/>
  <c r="KA72" i="1" s="1"/>
  <c r="JZ73" i="1"/>
  <c r="KA73" i="1" s="1"/>
  <c r="JZ74" i="1"/>
  <c r="KA74" i="1" s="1"/>
  <c r="JZ75" i="1"/>
  <c r="KA75" i="1" s="1"/>
  <c r="JZ76" i="1"/>
  <c r="KA76" i="1" s="1"/>
  <c r="JZ77" i="1"/>
  <c r="KA77" i="1" s="1"/>
  <c r="JZ78" i="1"/>
  <c r="KA78" i="1" s="1"/>
  <c r="JZ79" i="1"/>
  <c r="JZ80" i="1"/>
  <c r="KA80" i="1" s="1"/>
  <c r="JZ81" i="1"/>
  <c r="KA81" i="1" s="1"/>
  <c r="JZ82" i="1"/>
  <c r="KA82" i="1" s="1"/>
  <c r="JZ83" i="1"/>
  <c r="KA83" i="1" s="1"/>
  <c r="JZ84" i="1"/>
  <c r="KA84" i="1" s="1"/>
  <c r="JZ85" i="1"/>
  <c r="KA85" i="1" s="1"/>
  <c r="JZ86" i="1"/>
  <c r="KA86" i="1" s="1"/>
  <c r="JZ87" i="1"/>
  <c r="KA87" i="1" s="1"/>
  <c r="JZ88" i="1"/>
  <c r="KA88" i="1" s="1"/>
  <c r="JZ90" i="1"/>
  <c r="KA90" i="1" s="1"/>
  <c r="JZ91" i="1"/>
  <c r="KA91" i="1" s="1"/>
  <c r="JZ93" i="1"/>
  <c r="KA93" i="1" s="1"/>
  <c r="JZ95" i="1"/>
  <c r="KA95" i="1" s="1"/>
  <c r="JZ96" i="1"/>
  <c r="KA96" i="1" s="1"/>
  <c r="JZ97" i="1"/>
  <c r="KA97" i="1" s="1"/>
  <c r="JX60" i="1"/>
  <c r="JY60" i="1" s="1"/>
  <c r="JX66" i="1"/>
  <c r="JY66" i="1" s="1"/>
  <c r="JX64" i="1"/>
  <c r="JY64" i="1" s="1"/>
  <c r="JX70" i="1"/>
  <c r="JY70" i="1" s="1"/>
  <c r="JX89" i="1"/>
  <c r="JY89" i="1" s="1"/>
  <c r="JX92" i="1"/>
  <c r="JY92" i="1" s="1"/>
  <c r="JX3" i="1"/>
  <c r="JY3" i="1" s="1"/>
  <c r="JX4" i="1"/>
  <c r="JY4" i="1" s="1"/>
  <c r="JX5" i="1"/>
  <c r="JY5" i="1" s="1"/>
  <c r="JX6" i="1"/>
  <c r="JY6" i="1" s="1"/>
  <c r="JX7" i="1"/>
  <c r="JY7" i="1" s="1"/>
  <c r="JX8" i="1"/>
  <c r="JY8" i="1" s="1"/>
  <c r="JX9" i="1"/>
  <c r="JY9" i="1" s="1"/>
  <c r="JX10" i="1"/>
  <c r="JY10" i="1" s="1"/>
  <c r="JX11" i="1"/>
  <c r="JY11" i="1" s="1"/>
  <c r="JX12" i="1"/>
  <c r="JY12" i="1" s="1"/>
  <c r="JX13" i="1"/>
  <c r="JY13" i="1" s="1"/>
  <c r="JX14" i="1"/>
  <c r="JY14" i="1" s="1"/>
  <c r="JX15" i="1"/>
  <c r="JY15" i="1" s="1"/>
  <c r="JX16" i="1"/>
  <c r="JY16" i="1" s="1"/>
  <c r="JX17" i="1"/>
  <c r="JY17" i="1" s="1"/>
  <c r="JX18" i="1"/>
  <c r="JY18" i="1" s="1"/>
  <c r="JX19" i="1"/>
  <c r="JY19" i="1" s="1"/>
  <c r="JX20" i="1"/>
  <c r="JY20" i="1" s="1"/>
  <c r="JX21" i="1"/>
  <c r="JY21" i="1" s="1"/>
  <c r="JX22" i="1"/>
  <c r="JY22" i="1" s="1"/>
  <c r="JX23" i="1"/>
  <c r="JY23" i="1" s="1"/>
  <c r="JX24" i="1"/>
  <c r="JY24" i="1" s="1"/>
  <c r="JX25" i="1"/>
  <c r="JY25" i="1" s="1"/>
  <c r="JX26" i="1"/>
  <c r="JY26" i="1" s="1"/>
  <c r="JX27" i="1"/>
  <c r="JY27" i="1" s="1"/>
  <c r="JX28" i="1"/>
  <c r="JY28" i="1" s="1"/>
  <c r="JX29" i="1"/>
  <c r="JY29" i="1" s="1"/>
  <c r="JX30" i="1"/>
  <c r="JY30" i="1" s="1"/>
  <c r="JX31" i="1"/>
  <c r="JY31" i="1" s="1"/>
  <c r="JX32" i="1"/>
  <c r="JY32" i="1" s="1"/>
  <c r="JX33" i="1"/>
  <c r="JY33" i="1" s="1"/>
  <c r="JX34" i="1"/>
  <c r="JY34" i="1" s="1"/>
  <c r="JX35" i="1"/>
  <c r="JY35" i="1" s="1"/>
  <c r="JX36" i="1"/>
  <c r="JY36" i="1" s="1"/>
  <c r="JX37" i="1"/>
  <c r="JY37" i="1" s="1"/>
  <c r="JX38" i="1"/>
  <c r="JY38" i="1" s="1"/>
  <c r="JX39" i="1"/>
  <c r="JY39" i="1" s="1"/>
  <c r="JX40" i="1"/>
  <c r="JY40" i="1" s="1"/>
  <c r="JX41" i="1"/>
  <c r="JY41" i="1" s="1"/>
  <c r="JX42" i="1"/>
  <c r="JY42" i="1" s="1"/>
  <c r="JX43" i="1"/>
  <c r="JY43" i="1" s="1"/>
  <c r="JX44" i="1"/>
  <c r="JY44" i="1" s="1"/>
  <c r="JX45" i="1"/>
  <c r="JY45" i="1" s="1"/>
  <c r="JX46" i="1"/>
  <c r="JY46" i="1" s="1"/>
  <c r="JX47" i="1"/>
  <c r="JY47" i="1" s="1"/>
  <c r="JX48" i="1"/>
  <c r="JY48" i="1" s="1"/>
  <c r="JX49" i="1"/>
  <c r="JY49" i="1" s="1"/>
  <c r="JX50" i="1"/>
  <c r="JY50" i="1" s="1"/>
  <c r="JX51" i="1"/>
  <c r="JY51" i="1" s="1"/>
  <c r="JX52" i="1"/>
  <c r="JY52" i="1" s="1"/>
  <c r="JX53" i="1"/>
  <c r="JY53" i="1" s="1"/>
  <c r="JX54" i="1"/>
  <c r="JY54" i="1" s="1"/>
  <c r="JX55" i="1"/>
  <c r="JY55" i="1" s="1"/>
  <c r="JX56" i="1"/>
  <c r="JY56" i="1" s="1"/>
  <c r="JX57" i="1"/>
  <c r="JY57" i="1" s="1"/>
  <c r="JX58" i="1"/>
  <c r="JY58" i="1" s="1"/>
  <c r="JX59" i="1"/>
  <c r="JY59" i="1" s="1"/>
  <c r="JX61" i="1"/>
  <c r="JY61" i="1" s="1"/>
  <c r="JX62" i="1"/>
  <c r="JY62" i="1" s="1"/>
  <c r="JX63" i="1"/>
  <c r="JY63" i="1" s="1"/>
  <c r="JX65" i="1"/>
  <c r="JY65" i="1" s="1"/>
  <c r="JX67" i="1"/>
  <c r="JY67" i="1" s="1"/>
  <c r="JX68" i="1"/>
  <c r="JY68" i="1" s="1"/>
  <c r="JX69" i="1"/>
  <c r="JY69" i="1" s="1"/>
  <c r="JX71" i="1"/>
  <c r="JY71" i="1" s="1"/>
  <c r="JX72" i="1"/>
  <c r="JY72" i="1" s="1"/>
  <c r="JX73" i="1"/>
  <c r="JY73" i="1" s="1"/>
  <c r="JX74" i="1"/>
  <c r="JY74" i="1" s="1"/>
  <c r="JX75" i="1"/>
  <c r="JY75" i="1" s="1"/>
  <c r="JX76" i="1"/>
  <c r="JY76" i="1" s="1"/>
  <c r="JX77" i="1"/>
  <c r="JY77" i="1" s="1"/>
  <c r="JX78" i="1"/>
  <c r="JY78" i="1" s="1"/>
  <c r="JX80" i="1"/>
  <c r="JY80" i="1" s="1"/>
  <c r="JX81" i="1"/>
  <c r="JY81" i="1" s="1"/>
  <c r="JX82" i="1"/>
  <c r="JY82" i="1" s="1"/>
  <c r="JX83" i="1"/>
  <c r="JY83" i="1" s="1"/>
  <c r="JX84" i="1"/>
  <c r="JY84" i="1" s="1"/>
  <c r="JX85" i="1"/>
  <c r="JY85" i="1" s="1"/>
  <c r="JX86" i="1"/>
  <c r="JY86" i="1" s="1"/>
  <c r="JX87" i="1"/>
  <c r="JY87" i="1" s="1"/>
  <c r="JX88" i="1"/>
  <c r="JY88" i="1" s="1"/>
  <c r="JX90" i="1"/>
  <c r="JY90" i="1" s="1"/>
  <c r="JX91" i="1"/>
  <c r="JY91" i="1" s="1"/>
  <c r="JX93" i="1"/>
  <c r="JY93" i="1" s="1"/>
  <c r="JX94" i="1"/>
  <c r="JY94" i="1" s="1"/>
  <c r="JX95" i="1"/>
  <c r="JY95" i="1" s="1"/>
  <c r="JX96" i="1"/>
  <c r="JY96" i="1" s="1"/>
  <c r="JX97" i="1"/>
  <c r="JY97" i="1" s="1"/>
  <c r="JV60" i="1"/>
  <c r="JW60" i="1" s="1"/>
  <c r="JV66" i="1"/>
  <c r="JW66" i="1" s="1"/>
  <c r="JV64" i="1"/>
  <c r="JW64" i="1" s="1"/>
  <c r="JV70" i="1"/>
  <c r="JW70" i="1" s="1"/>
  <c r="JV89" i="1"/>
  <c r="JW89" i="1" s="1"/>
  <c r="JV92" i="1"/>
  <c r="JW92" i="1" s="1"/>
  <c r="JV3" i="1"/>
  <c r="JW3" i="1" s="1"/>
  <c r="JV4" i="1"/>
  <c r="JW4" i="1" s="1"/>
  <c r="JV5" i="1"/>
  <c r="JW5" i="1" s="1"/>
  <c r="JV6" i="1"/>
  <c r="JW6" i="1" s="1"/>
  <c r="JV7" i="1"/>
  <c r="JW7" i="1" s="1"/>
  <c r="JV8" i="1"/>
  <c r="JW8" i="1" s="1"/>
  <c r="JV9" i="1"/>
  <c r="JW9" i="1" s="1"/>
  <c r="JV10" i="1"/>
  <c r="JW10" i="1" s="1"/>
  <c r="JV11" i="1"/>
  <c r="JW11" i="1" s="1"/>
  <c r="JV12" i="1"/>
  <c r="JW12" i="1" s="1"/>
  <c r="JV13" i="1"/>
  <c r="JW13" i="1" s="1"/>
  <c r="JV14" i="1"/>
  <c r="JW14" i="1" s="1"/>
  <c r="JV15" i="1"/>
  <c r="JW15" i="1" s="1"/>
  <c r="JV16" i="1"/>
  <c r="JW16" i="1" s="1"/>
  <c r="JV17" i="1"/>
  <c r="JW17" i="1" s="1"/>
  <c r="JV18" i="1"/>
  <c r="JW18" i="1" s="1"/>
  <c r="JV19" i="1"/>
  <c r="JW19" i="1" s="1"/>
  <c r="JV20" i="1"/>
  <c r="JW20" i="1" s="1"/>
  <c r="JV21" i="1"/>
  <c r="JW21" i="1" s="1"/>
  <c r="JV22" i="1"/>
  <c r="JW22" i="1" s="1"/>
  <c r="JV23" i="1"/>
  <c r="JW23" i="1" s="1"/>
  <c r="JV24" i="1"/>
  <c r="JW24" i="1" s="1"/>
  <c r="JV25" i="1"/>
  <c r="JW25" i="1" s="1"/>
  <c r="JV26" i="1"/>
  <c r="JW26" i="1" s="1"/>
  <c r="JV27" i="1"/>
  <c r="JW27" i="1" s="1"/>
  <c r="JV28" i="1"/>
  <c r="JW28" i="1" s="1"/>
  <c r="JV29" i="1"/>
  <c r="JW29" i="1" s="1"/>
  <c r="JV30" i="1"/>
  <c r="JW30" i="1" s="1"/>
  <c r="JV31" i="1"/>
  <c r="JW31" i="1" s="1"/>
  <c r="JV32" i="1"/>
  <c r="JW32" i="1" s="1"/>
  <c r="JV33" i="1"/>
  <c r="JW33" i="1" s="1"/>
  <c r="JV34" i="1"/>
  <c r="JW34" i="1" s="1"/>
  <c r="JV35" i="1"/>
  <c r="JW35" i="1" s="1"/>
  <c r="JV36" i="1"/>
  <c r="JW36" i="1" s="1"/>
  <c r="JV37" i="1"/>
  <c r="JW37" i="1" s="1"/>
  <c r="JV38" i="1"/>
  <c r="JW38" i="1" s="1"/>
  <c r="JV39" i="1"/>
  <c r="JW39" i="1"/>
  <c r="JV40" i="1"/>
  <c r="JW40" i="1" s="1"/>
  <c r="JV41" i="1"/>
  <c r="JW41" i="1" s="1"/>
  <c r="JV42" i="1"/>
  <c r="JW42" i="1" s="1"/>
  <c r="JV43" i="1"/>
  <c r="JW43" i="1" s="1"/>
  <c r="JV44" i="1"/>
  <c r="JW44" i="1" s="1"/>
  <c r="JV45" i="1"/>
  <c r="JW45" i="1"/>
  <c r="JV46" i="1"/>
  <c r="JW46" i="1" s="1"/>
  <c r="JV47" i="1"/>
  <c r="JW47" i="1" s="1"/>
  <c r="JV48" i="1"/>
  <c r="JW48" i="1" s="1"/>
  <c r="JV49" i="1"/>
  <c r="JW49" i="1" s="1"/>
  <c r="JV50" i="1"/>
  <c r="JW50" i="1" s="1"/>
  <c r="JV51" i="1"/>
  <c r="JW51" i="1" s="1"/>
  <c r="JV52" i="1"/>
  <c r="JW52" i="1" s="1"/>
  <c r="JV53" i="1"/>
  <c r="JW53" i="1" s="1"/>
  <c r="JV54" i="1"/>
  <c r="JW54" i="1" s="1"/>
  <c r="JV55" i="1"/>
  <c r="JW55" i="1" s="1"/>
  <c r="JV56" i="1"/>
  <c r="JW56" i="1" s="1"/>
  <c r="JV57" i="1"/>
  <c r="JW57" i="1" s="1"/>
  <c r="JV58" i="1"/>
  <c r="JW58" i="1" s="1"/>
  <c r="JV59" i="1"/>
  <c r="JW59" i="1" s="1"/>
  <c r="JV61" i="1"/>
  <c r="JW61" i="1" s="1"/>
  <c r="JV62" i="1"/>
  <c r="JW62" i="1" s="1"/>
  <c r="JV63" i="1"/>
  <c r="JW63" i="1" s="1"/>
  <c r="JV65" i="1"/>
  <c r="JW65" i="1" s="1"/>
  <c r="JV67" i="1"/>
  <c r="JW67" i="1" s="1"/>
  <c r="JV68" i="1"/>
  <c r="JW68" i="1" s="1"/>
  <c r="JV69" i="1"/>
  <c r="JW69" i="1" s="1"/>
  <c r="JV71" i="1"/>
  <c r="JW71" i="1" s="1"/>
  <c r="JV72" i="1"/>
  <c r="JW72" i="1" s="1"/>
  <c r="JV73" i="1"/>
  <c r="JW73" i="1" s="1"/>
  <c r="JV74" i="1"/>
  <c r="JW74" i="1" s="1"/>
  <c r="JV75" i="1"/>
  <c r="JW75" i="1" s="1"/>
  <c r="JV76" i="1"/>
  <c r="JW76" i="1" s="1"/>
  <c r="JV77" i="1"/>
  <c r="JW77" i="1" s="1"/>
  <c r="JV78" i="1"/>
  <c r="JW78" i="1" s="1"/>
  <c r="JV80" i="1"/>
  <c r="JW80" i="1" s="1"/>
  <c r="JV81" i="1"/>
  <c r="JW81" i="1" s="1"/>
  <c r="JV82" i="1"/>
  <c r="JW82" i="1" s="1"/>
  <c r="JV83" i="1"/>
  <c r="JW83" i="1" s="1"/>
  <c r="JV84" i="1"/>
  <c r="JW84" i="1" s="1"/>
  <c r="JV85" i="1"/>
  <c r="JW85" i="1" s="1"/>
  <c r="JV86" i="1"/>
  <c r="JW86" i="1" s="1"/>
  <c r="JV87" i="1"/>
  <c r="JW87" i="1" s="1"/>
  <c r="JV88" i="1"/>
  <c r="JW88" i="1" s="1"/>
  <c r="JV90" i="1"/>
  <c r="JW90" i="1" s="1"/>
  <c r="JV91" i="1"/>
  <c r="JW91" i="1" s="1"/>
  <c r="JV93" i="1"/>
  <c r="JW93" i="1" s="1"/>
  <c r="JV94" i="1"/>
  <c r="JW94" i="1" s="1"/>
  <c r="JV95" i="1"/>
  <c r="JW95" i="1" s="1"/>
  <c r="JV96" i="1"/>
  <c r="JW96" i="1" s="1"/>
  <c r="JV97" i="1"/>
  <c r="JW97" i="1" s="1"/>
  <c r="JT60" i="1"/>
  <c r="JU60" i="1" s="1"/>
  <c r="JT66" i="1"/>
  <c r="JU66" i="1" s="1"/>
  <c r="JT64" i="1"/>
  <c r="JU64" i="1" s="1"/>
  <c r="JT70" i="1"/>
  <c r="JU70" i="1" s="1"/>
  <c r="JT89" i="1"/>
  <c r="JU89" i="1" s="1"/>
  <c r="JT92" i="1"/>
  <c r="JU92" i="1" s="1"/>
  <c r="JT3" i="1"/>
  <c r="JU3" i="1" s="1"/>
  <c r="JT4" i="1"/>
  <c r="JU4" i="1" s="1"/>
  <c r="JT5" i="1"/>
  <c r="JU5" i="1" s="1"/>
  <c r="JT6" i="1"/>
  <c r="JU6" i="1" s="1"/>
  <c r="JT7" i="1"/>
  <c r="JU7" i="1" s="1"/>
  <c r="JT8" i="1"/>
  <c r="JU8" i="1" s="1"/>
  <c r="JT9" i="1"/>
  <c r="JU9" i="1" s="1"/>
  <c r="JT10" i="1"/>
  <c r="JU10" i="1" s="1"/>
  <c r="JT11" i="1"/>
  <c r="JU11" i="1" s="1"/>
  <c r="JT12" i="1"/>
  <c r="JU12" i="1" s="1"/>
  <c r="JT13" i="1"/>
  <c r="JU13" i="1" s="1"/>
  <c r="JT14" i="1"/>
  <c r="JU14" i="1" s="1"/>
  <c r="JT15" i="1"/>
  <c r="JU15" i="1" s="1"/>
  <c r="JT16" i="1"/>
  <c r="JU16" i="1" s="1"/>
  <c r="JT17" i="1"/>
  <c r="JU17" i="1" s="1"/>
  <c r="JT18" i="1"/>
  <c r="JU18" i="1" s="1"/>
  <c r="JT19" i="1"/>
  <c r="JU19" i="1" s="1"/>
  <c r="JT20" i="1"/>
  <c r="JU20" i="1" s="1"/>
  <c r="JT21" i="1"/>
  <c r="JU21" i="1" s="1"/>
  <c r="JT22" i="1"/>
  <c r="JU22" i="1" s="1"/>
  <c r="JT23" i="1"/>
  <c r="JU23" i="1" s="1"/>
  <c r="JT24" i="1"/>
  <c r="JU24" i="1" s="1"/>
  <c r="JT25" i="1"/>
  <c r="JU25" i="1" s="1"/>
  <c r="JT26" i="1"/>
  <c r="JU26" i="1" s="1"/>
  <c r="JT27" i="1"/>
  <c r="JU27" i="1" s="1"/>
  <c r="JT28" i="1"/>
  <c r="JU28" i="1" s="1"/>
  <c r="JT29" i="1"/>
  <c r="JU29" i="1" s="1"/>
  <c r="JT30" i="1"/>
  <c r="JU30" i="1" s="1"/>
  <c r="JT31" i="1"/>
  <c r="JU31" i="1" s="1"/>
  <c r="JT32" i="1"/>
  <c r="JU32" i="1" s="1"/>
  <c r="JT33" i="1"/>
  <c r="JU33" i="1" s="1"/>
  <c r="JT34" i="1"/>
  <c r="JU34" i="1" s="1"/>
  <c r="JT35" i="1"/>
  <c r="JU35" i="1" s="1"/>
  <c r="JT36" i="1"/>
  <c r="JU36" i="1" s="1"/>
  <c r="JT37" i="1"/>
  <c r="JU37" i="1" s="1"/>
  <c r="JT38" i="1"/>
  <c r="JU38" i="1" s="1"/>
  <c r="JT39" i="1"/>
  <c r="JU39" i="1" s="1"/>
  <c r="JT40" i="1"/>
  <c r="JU40" i="1" s="1"/>
  <c r="JT41" i="1"/>
  <c r="JU41" i="1" s="1"/>
  <c r="JT42" i="1"/>
  <c r="JU42" i="1" s="1"/>
  <c r="JT43" i="1"/>
  <c r="JU43" i="1" s="1"/>
  <c r="JT44" i="1"/>
  <c r="JU44" i="1" s="1"/>
  <c r="JT45" i="1"/>
  <c r="JU45" i="1" s="1"/>
  <c r="JT46" i="1"/>
  <c r="JU46" i="1" s="1"/>
  <c r="JT47" i="1"/>
  <c r="JU47" i="1" s="1"/>
  <c r="JT48" i="1"/>
  <c r="JU48" i="1" s="1"/>
  <c r="JT49" i="1"/>
  <c r="JU49" i="1" s="1"/>
  <c r="JT50" i="1"/>
  <c r="JU50" i="1" s="1"/>
  <c r="JT51" i="1"/>
  <c r="JU51" i="1" s="1"/>
  <c r="JT52" i="1"/>
  <c r="JU52" i="1" s="1"/>
  <c r="JT53" i="1"/>
  <c r="JU53" i="1" s="1"/>
  <c r="JT54" i="1"/>
  <c r="JU54" i="1" s="1"/>
  <c r="JT55" i="1"/>
  <c r="JU55" i="1" s="1"/>
  <c r="JT56" i="1"/>
  <c r="JU56" i="1" s="1"/>
  <c r="JT57" i="1"/>
  <c r="JU57" i="1" s="1"/>
  <c r="JT58" i="1"/>
  <c r="JU58" i="1" s="1"/>
  <c r="JT59" i="1"/>
  <c r="JU59" i="1" s="1"/>
  <c r="JT61" i="1"/>
  <c r="JU61" i="1" s="1"/>
  <c r="JT62" i="1"/>
  <c r="JU62" i="1" s="1"/>
  <c r="JT63" i="1"/>
  <c r="JU63" i="1" s="1"/>
  <c r="JT65" i="1"/>
  <c r="JU65" i="1" s="1"/>
  <c r="JT67" i="1"/>
  <c r="JU67" i="1" s="1"/>
  <c r="JT68" i="1"/>
  <c r="JU68" i="1" s="1"/>
  <c r="JT69" i="1"/>
  <c r="JU69" i="1" s="1"/>
  <c r="JT71" i="1"/>
  <c r="JU71" i="1" s="1"/>
  <c r="JT72" i="1"/>
  <c r="JU72" i="1" s="1"/>
  <c r="JT73" i="1"/>
  <c r="JU73" i="1" s="1"/>
  <c r="JT74" i="1"/>
  <c r="JU74" i="1" s="1"/>
  <c r="JT75" i="1"/>
  <c r="JU75" i="1" s="1"/>
  <c r="JT76" i="1"/>
  <c r="JU76" i="1" s="1"/>
  <c r="JT77" i="1"/>
  <c r="JU77" i="1" s="1"/>
  <c r="JT78" i="1"/>
  <c r="JU78" i="1" s="1"/>
  <c r="JT80" i="1"/>
  <c r="JU80" i="1" s="1"/>
  <c r="JT81" i="1"/>
  <c r="JU81" i="1" s="1"/>
  <c r="JT82" i="1"/>
  <c r="JU82" i="1" s="1"/>
  <c r="JT83" i="1"/>
  <c r="JU83" i="1" s="1"/>
  <c r="JT84" i="1"/>
  <c r="JU84" i="1" s="1"/>
  <c r="JT85" i="1"/>
  <c r="JU85" i="1" s="1"/>
  <c r="JT86" i="1"/>
  <c r="JU86" i="1" s="1"/>
  <c r="JT87" i="1"/>
  <c r="JU87" i="1" s="1"/>
  <c r="JT88" i="1"/>
  <c r="JU88" i="1" s="1"/>
  <c r="JT90" i="1"/>
  <c r="JU90" i="1" s="1"/>
  <c r="JT91" i="1"/>
  <c r="JU91" i="1" s="1"/>
  <c r="JT93" i="1"/>
  <c r="JU93" i="1" s="1"/>
  <c r="JT94" i="1"/>
  <c r="JU94" i="1" s="1"/>
  <c r="JT95" i="1"/>
  <c r="JU95" i="1" s="1"/>
  <c r="JT96" i="1"/>
  <c r="JU96" i="1" s="1"/>
  <c r="JT97" i="1"/>
  <c r="JU97" i="1" s="1"/>
  <c r="JR60" i="1"/>
  <c r="JS60" i="1" s="1"/>
  <c r="JR65" i="1"/>
  <c r="JS65" i="1" s="1"/>
  <c r="JR64" i="1"/>
  <c r="JS64" i="1" s="1"/>
  <c r="JR89" i="1"/>
  <c r="JS89" i="1" s="1"/>
  <c r="JR92" i="1"/>
  <c r="JS92" i="1" s="1"/>
  <c r="JR3" i="1"/>
  <c r="JS3" i="1" s="1"/>
  <c r="JR4" i="1"/>
  <c r="JS4" i="1" s="1"/>
  <c r="JR5" i="1"/>
  <c r="JS5" i="1" s="1"/>
  <c r="JR6" i="1"/>
  <c r="JS6" i="1" s="1"/>
  <c r="JR7" i="1"/>
  <c r="JS7" i="1" s="1"/>
  <c r="JR8" i="1"/>
  <c r="JS8" i="1" s="1"/>
  <c r="JR9" i="1"/>
  <c r="JS9" i="1" s="1"/>
  <c r="JR10" i="1"/>
  <c r="JS10" i="1" s="1"/>
  <c r="JR11" i="1"/>
  <c r="JS11" i="1" s="1"/>
  <c r="JR12" i="1"/>
  <c r="JS12" i="1" s="1"/>
  <c r="JR13" i="1"/>
  <c r="JS13" i="1" s="1"/>
  <c r="JR14" i="1"/>
  <c r="JS14" i="1" s="1"/>
  <c r="JR15" i="1"/>
  <c r="JS15" i="1" s="1"/>
  <c r="JR16" i="1"/>
  <c r="JS16" i="1" s="1"/>
  <c r="JR17" i="1"/>
  <c r="JS17" i="1" s="1"/>
  <c r="JR18" i="1"/>
  <c r="JS18" i="1" s="1"/>
  <c r="JR19" i="1"/>
  <c r="JS19" i="1" s="1"/>
  <c r="JR20" i="1"/>
  <c r="JS20" i="1" s="1"/>
  <c r="JR21" i="1"/>
  <c r="JS21" i="1" s="1"/>
  <c r="JR22" i="1"/>
  <c r="JS22" i="1" s="1"/>
  <c r="JR23" i="1"/>
  <c r="JS23" i="1" s="1"/>
  <c r="JR24" i="1"/>
  <c r="JS24" i="1" s="1"/>
  <c r="JR25" i="1"/>
  <c r="JS25" i="1" s="1"/>
  <c r="JR26" i="1"/>
  <c r="JS26" i="1" s="1"/>
  <c r="JR27" i="1"/>
  <c r="JS27" i="1" s="1"/>
  <c r="JR28" i="1"/>
  <c r="JS28" i="1" s="1"/>
  <c r="JR29" i="1"/>
  <c r="JS29" i="1" s="1"/>
  <c r="JR30" i="1"/>
  <c r="JS30" i="1" s="1"/>
  <c r="JR31" i="1"/>
  <c r="JS31" i="1" s="1"/>
  <c r="JR32" i="1"/>
  <c r="JS32" i="1" s="1"/>
  <c r="JR33" i="1"/>
  <c r="JS33" i="1" s="1"/>
  <c r="JR34" i="1"/>
  <c r="JS34" i="1" s="1"/>
  <c r="JR35" i="1"/>
  <c r="JS35" i="1" s="1"/>
  <c r="JR36" i="1"/>
  <c r="JS36" i="1" s="1"/>
  <c r="JR37" i="1"/>
  <c r="JS37" i="1" s="1"/>
  <c r="JR38" i="1"/>
  <c r="JS38" i="1" s="1"/>
  <c r="JR39" i="1"/>
  <c r="JS39" i="1" s="1"/>
  <c r="JR40" i="1"/>
  <c r="JS40" i="1" s="1"/>
  <c r="JR41" i="1"/>
  <c r="JS41" i="1" s="1"/>
  <c r="JR42" i="1"/>
  <c r="JS42" i="1" s="1"/>
  <c r="JR43" i="1"/>
  <c r="JS43" i="1" s="1"/>
  <c r="JR44" i="1"/>
  <c r="JS44" i="1" s="1"/>
  <c r="JR45" i="1"/>
  <c r="JS45" i="1" s="1"/>
  <c r="JR46" i="1"/>
  <c r="JS46" i="1" s="1"/>
  <c r="JR47" i="1"/>
  <c r="JS47" i="1" s="1"/>
  <c r="JR48" i="1"/>
  <c r="JS48" i="1" s="1"/>
  <c r="JR49" i="1"/>
  <c r="JS49" i="1" s="1"/>
  <c r="JR50" i="1"/>
  <c r="JS50" i="1" s="1"/>
  <c r="JR51" i="1"/>
  <c r="JS51" i="1" s="1"/>
  <c r="JR52" i="1"/>
  <c r="JS52" i="1" s="1"/>
  <c r="JR53" i="1"/>
  <c r="JS53" i="1" s="1"/>
  <c r="JR54" i="1"/>
  <c r="JS54" i="1" s="1"/>
  <c r="JR55" i="1"/>
  <c r="JS55" i="1" s="1"/>
  <c r="JR56" i="1"/>
  <c r="JS56" i="1" s="1"/>
  <c r="JR57" i="1"/>
  <c r="JS57" i="1" s="1"/>
  <c r="JR58" i="1"/>
  <c r="JS58" i="1" s="1"/>
  <c r="JR59" i="1"/>
  <c r="JS59" i="1" s="1"/>
  <c r="JR61" i="1"/>
  <c r="JS61" i="1" s="1"/>
  <c r="JR62" i="1"/>
  <c r="JS62" i="1" s="1"/>
  <c r="JR63" i="1"/>
  <c r="JS63" i="1" s="1"/>
  <c r="JR67" i="1"/>
  <c r="JS67" i="1" s="1"/>
  <c r="JR68" i="1"/>
  <c r="JS68" i="1" s="1"/>
  <c r="JR69" i="1"/>
  <c r="JS69" i="1" s="1"/>
  <c r="JR70" i="1"/>
  <c r="JS70" i="1" s="1"/>
  <c r="JR71" i="1"/>
  <c r="JS71" i="1" s="1"/>
  <c r="JR72" i="1"/>
  <c r="JS72" i="1" s="1"/>
  <c r="JR73" i="1"/>
  <c r="JS73" i="1" s="1"/>
  <c r="JR74" i="1"/>
  <c r="JS74" i="1" s="1"/>
  <c r="JR75" i="1"/>
  <c r="JS75" i="1" s="1"/>
  <c r="JR76" i="1"/>
  <c r="JS76" i="1" s="1"/>
  <c r="JR77" i="1"/>
  <c r="JS77" i="1" s="1"/>
  <c r="JR78" i="1"/>
  <c r="JS78" i="1" s="1"/>
  <c r="JR80" i="1"/>
  <c r="JS80" i="1" s="1"/>
  <c r="JR81" i="1"/>
  <c r="JS81" i="1" s="1"/>
  <c r="JR82" i="1"/>
  <c r="JS82" i="1" s="1"/>
  <c r="JR83" i="1"/>
  <c r="JS83" i="1" s="1"/>
  <c r="JR84" i="1"/>
  <c r="JS84" i="1" s="1"/>
  <c r="JR85" i="1"/>
  <c r="JS85" i="1" s="1"/>
  <c r="JR86" i="1"/>
  <c r="JS86" i="1" s="1"/>
  <c r="JR87" i="1"/>
  <c r="JS87" i="1" s="1"/>
  <c r="JR88" i="1"/>
  <c r="JS88" i="1" s="1"/>
  <c r="JR90" i="1"/>
  <c r="JS90" i="1" s="1"/>
  <c r="JR91" i="1"/>
  <c r="JS91" i="1" s="1"/>
  <c r="JR93" i="1"/>
  <c r="JS93" i="1" s="1"/>
  <c r="JR94" i="1"/>
  <c r="JS94" i="1" s="1"/>
  <c r="JR95" i="1"/>
  <c r="JS95" i="1" s="1"/>
  <c r="JR96" i="1"/>
  <c r="JS96" i="1" s="1"/>
  <c r="JR97" i="1"/>
  <c r="JS97" i="1" s="1"/>
  <c r="JP60" i="1"/>
  <c r="JQ60" i="1" s="1"/>
  <c r="JP66" i="1"/>
  <c r="JQ66" i="1" s="1"/>
  <c r="JP64" i="1"/>
  <c r="JQ64" i="1" s="1"/>
  <c r="JP89" i="1"/>
  <c r="JQ89" i="1" s="1"/>
  <c r="JP92" i="1"/>
  <c r="JQ92" i="1" s="1"/>
  <c r="JP3" i="1"/>
  <c r="JQ3" i="1" s="1"/>
  <c r="JP4" i="1"/>
  <c r="JQ4" i="1" s="1"/>
  <c r="JP5" i="1"/>
  <c r="JQ5" i="1" s="1"/>
  <c r="JP6" i="1"/>
  <c r="JQ6" i="1" s="1"/>
  <c r="JP7" i="1"/>
  <c r="JQ7" i="1" s="1"/>
  <c r="JP8" i="1"/>
  <c r="JQ8" i="1" s="1"/>
  <c r="JP9" i="1"/>
  <c r="JQ9" i="1" s="1"/>
  <c r="JP10" i="1"/>
  <c r="JQ10" i="1" s="1"/>
  <c r="JP11" i="1"/>
  <c r="JQ11" i="1" s="1"/>
  <c r="JP12" i="1"/>
  <c r="JQ12" i="1" s="1"/>
  <c r="JP13" i="1"/>
  <c r="JQ13" i="1" s="1"/>
  <c r="JP14" i="1"/>
  <c r="JQ14" i="1" s="1"/>
  <c r="JP15" i="1"/>
  <c r="JQ15" i="1" s="1"/>
  <c r="JP16" i="1"/>
  <c r="JQ16" i="1" s="1"/>
  <c r="JP17" i="1"/>
  <c r="JQ17" i="1" s="1"/>
  <c r="JP18" i="1"/>
  <c r="JQ18" i="1" s="1"/>
  <c r="JP19" i="1"/>
  <c r="JQ19" i="1" s="1"/>
  <c r="JP20" i="1"/>
  <c r="JQ20" i="1" s="1"/>
  <c r="JP21" i="1"/>
  <c r="JQ21" i="1" s="1"/>
  <c r="JP22" i="1"/>
  <c r="JQ22" i="1" s="1"/>
  <c r="JP23" i="1"/>
  <c r="JQ23" i="1" s="1"/>
  <c r="JP24" i="1"/>
  <c r="JQ24" i="1" s="1"/>
  <c r="JP25" i="1"/>
  <c r="JQ25" i="1" s="1"/>
  <c r="JP26" i="1"/>
  <c r="JQ26" i="1" s="1"/>
  <c r="JP27" i="1"/>
  <c r="JQ27" i="1" s="1"/>
  <c r="JP28" i="1"/>
  <c r="JQ28" i="1" s="1"/>
  <c r="JP29" i="1"/>
  <c r="JQ29" i="1" s="1"/>
  <c r="JP30" i="1"/>
  <c r="JQ30" i="1" s="1"/>
  <c r="JP31" i="1"/>
  <c r="JQ31" i="1" s="1"/>
  <c r="JP32" i="1"/>
  <c r="JQ32" i="1" s="1"/>
  <c r="JP33" i="1"/>
  <c r="JQ33" i="1" s="1"/>
  <c r="JP34" i="1"/>
  <c r="JQ34" i="1" s="1"/>
  <c r="JP35" i="1"/>
  <c r="JQ35" i="1" s="1"/>
  <c r="JP36" i="1"/>
  <c r="JQ36" i="1" s="1"/>
  <c r="JP37" i="1"/>
  <c r="JQ37" i="1" s="1"/>
  <c r="JP38" i="1"/>
  <c r="JQ38" i="1" s="1"/>
  <c r="JP39" i="1"/>
  <c r="JQ39" i="1" s="1"/>
  <c r="JP40" i="1"/>
  <c r="JQ40" i="1" s="1"/>
  <c r="JP41" i="1"/>
  <c r="JQ41" i="1" s="1"/>
  <c r="JP42" i="1"/>
  <c r="JQ42" i="1" s="1"/>
  <c r="JP43" i="1"/>
  <c r="JQ43" i="1" s="1"/>
  <c r="JP44" i="1"/>
  <c r="JQ44" i="1" s="1"/>
  <c r="JP45" i="1"/>
  <c r="JQ45" i="1" s="1"/>
  <c r="JP46" i="1"/>
  <c r="JQ46" i="1" s="1"/>
  <c r="JP47" i="1"/>
  <c r="JQ47" i="1" s="1"/>
  <c r="JP48" i="1"/>
  <c r="JQ48" i="1" s="1"/>
  <c r="JP49" i="1"/>
  <c r="JQ49" i="1" s="1"/>
  <c r="JP50" i="1"/>
  <c r="JQ50" i="1" s="1"/>
  <c r="JP51" i="1"/>
  <c r="JQ51" i="1" s="1"/>
  <c r="JP52" i="1"/>
  <c r="JQ52" i="1" s="1"/>
  <c r="JP53" i="1"/>
  <c r="JQ53" i="1" s="1"/>
  <c r="JP54" i="1"/>
  <c r="JQ54" i="1" s="1"/>
  <c r="JP55" i="1"/>
  <c r="JQ55" i="1" s="1"/>
  <c r="JP56" i="1"/>
  <c r="JQ56" i="1" s="1"/>
  <c r="JP57" i="1"/>
  <c r="JQ57" i="1" s="1"/>
  <c r="JP58" i="1"/>
  <c r="JQ58" i="1" s="1"/>
  <c r="JP59" i="1"/>
  <c r="JQ59" i="1" s="1"/>
  <c r="JP61" i="1"/>
  <c r="JQ61" i="1" s="1"/>
  <c r="JP62" i="1"/>
  <c r="JQ62" i="1" s="1"/>
  <c r="JP63" i="1"/>
  <c r="JQ63" i="1" s="1"/>
  <c r="JP65" i="1"/>
  <c r="JQ65" i="1" s="1"/>
  <c r="JP67" i="1"/>
  <c r="JQ67" i="1" s="1"/>
  <c r="JP68" i="1"/>
  <c r="JQ68" i="1" s="1"/>
  <c r="JP69" i="1"/>
  <c r="JQ69" i="1" s="1"/>
  <c r="JP70" i="1"/>
  <c r="JQ70" i="1" s="1"/>
  <c r="JP71" i="1"/>
  <c r="JQ71" i="1" s="1"/>
  <c r="JP72" i="1"/>
  <c r="JQ72" i="1" s="1"/>
  <c r="JP73" i="1"/>
  <c r="JQ73" i="1" s="1"/>
  <c r="JP74" i="1"/>
  <c r="JQ74" i="1" s="1"/>
  <c r="JP75" i="1"/>
  <c r="JQ75" i="1" s="1"/>
  <c r="JP76" i="1"/>
  <c r="JQ76" i="1" s="1"/>
  <c r="JP77" i="1"/>
  <c r="JQ77" i="1" s="1"/>
  <c r="JP78" i="1"/>
  <c r="JQ78" i="1" s="1"/>
  <c r="JP79" i="1"/>
  <c r="JQ79" i="1" s="1"/>
  <c r="JP80" i="1"/>
  <c r="JQ80" i="1" s="1"/>
  <c r="JP81" i="1"/>
  <c r="JQ81" i="1" s="1"/>
  <c r="JP82" i="1"/>
  <c r="JQ82" i="1" s="1"/>
  <c r="JP83" i="1"/>
  <c r="JQ83" i="1" s="1"/>
  <c r="JP84" i="1"/>
  <c r="JQ84" i="1" s="1"/>
  <c r="JP85" i="1"/>
  <c r="JQ85" i="1" s="1"/>
  <c r="JP86" i="1"/>
  <c r="JQ86" i="1" s="1"/>
  <c r="JP87" i="1"/>
  <c r="JQ87" i="1" s="1"/>
  <c r="JP88" i="1"/>
  <c r="JQ88" i="1" s="1"/>
  <c r="JP90" i="1"/>
  <c r="JQ90" i="1" s="1"/>
  <c r="JP91" i="1"/>
  <c r="JQ91" i="1" s="1"/>
  <c r="JP93" i="1"/>
  <c r="JQ93" i="1" s="1"/>
  <c r="JP94" i="1"/>
  <c r="JQ94" i="1" s="1"/>
  <c r="JP95" i="1"/>
  <c r="JQ95" i="1" s="1"/>
  <c r="JP96" i="1"/>
  <c r="JQ96" i="1" s="1"/>
  <c r="JP97" i="1"/>
  <c r="JQ97" i="1" s="1"/>
  <c r="JN60" i="1"/>
  <c r="JO60" i="1" s="1"/>
  <c r="JN66" i="1"/>
  <c r="JO66" i="1" s="1"/>
  <c r="JN65" i="1"/>
  <c r="JO65" i="1" s="1"/>
  <c r="JN67" i="1"/>
  <c r="JO67" i="1" s="1"/>
  <c r="JN68" i="1"/>
  <c r="JO68" i="1" s="1"/>
  <c r="JN69" i="1"/>
  <c r="JO69" i="1" s="1"/>
  <c r="JN70" i="1"/>
  <c r="JO70" i="1" s="1"/>
  <c r="JN71" i="1"/>
  <c r="JO71" i="1" s="1"/>
  <c r="JN72" i="1"/>
  <c r="JO72" i="1" s="1"/>
  <c r="JN73" i="1"/>
  <c r="JO73" i="1" s="1"/>
  <c r="JN74" i="1"/>
  <c r="JO74" i="1" s="1"/>
  <c r="JN75" i="1"/>
  <c r="JO75" i="1" s="1"/>
  <c r="JN76" i="1"/>
  <c r="JO76" i="1" s="1"/>
  <c r="JN77" i="1"/>
  <c r="JO77" i="1" s="1"/>
  <c r="JN78" i="1"/>
  <c r="JO78" i="1" s="1"/>
  <c r="JN80" i="1"/>
  <c r="JO80" i="1" s="1"/>
  <c r="JN81" i="1"/>
  <c r="JO81" i="1" s="1"/>
  <c r="JN82" i="1"/>
  <c r="JO82" i="1" s="1"/>
  <c r="JN83" i="1"/>
  <c r="JO83" i="1" s="1"/>
  <c r="JN84" i="1"/>
  <c r="JO84" i="1" s="1"/>
  <c r="JN85" i="1"/>
  <c r="JO85" i="1" s="1"/>
  <c r="JN86" i="1"/>
  <c r="JO86" i="1" s="1"/>
  <c r="JN87" i="1"/>
  <c r="JO87" i="1" s="1"/>
  <c r="JN88" i="1"/>
  <c r="JO88" i="1" s="1"/>
  <c r="JN89" i="1"/>
  <c r="JO89" i="1" s="1"/>
  <c r="JN90" i="1"/>
  <c r="JO90" i="1" s="1"/>
  <c r="JN91" i="1"/>
  <c r="JO91" i="1" s="1"/>
  <c r="JN92" i="1"/>
  <c r="JO92" i="1" s="1"/>
  <c r="JN93" i="1"/>
  <c r="JO93" i="1" s="1"/>
  <c r="JN94" i="1"/>
  <c r="JO94" i="1" s="1"/>
  <c r="JN95" i="1"/>
  <c r="JO95" i="1" s="1"/>
  <c r="JN96" i="1"/>
  <c r="JO96" i="1" s="1"/>
  <c r="JN97" i="1"/>
  <c r="JO97" i="1" s="1"/>
  <c r="JN64" i="1"/>
  <c r="JO64" i="1" s="1"/>
  <c r="JN3" i="1"/>
  <c r="JO3" i="1" s="1"/>
  <c r="JN4" i="1"/>
  <c r="JO4" i="1" s="1"/>
  <c r="JN5" i="1"/>
  <c r="JO5" i="1" s="1"/>
  <c r="JN6" i="1"/>
  <c r="JO6" i="1" s="1"/>
  <c r="JN7" i="1"/>
  <c r="JO7" i="1" s="1"/>
  <c r="JN8" i="1"/>
  <c r="JO8" i="1" s="1"/>
  <c r="JN9" i="1"/>
  <c r="JO9" i="1" s="1"/>
  <c r="JN10" i="1"/>
  <c r="JO10" i="1" s="1"/>
  <c r="JN11" i="1"/>
  <c r="JO11" i="1" s="1"/>
  <c r="JN12" i="1"/>
  <c r="JO12" i="1" s="1"/>
  <c r="JN13" i="1"/>
  <c r="JO13" i="1" s="1"/>
  <c r="JN14" i="1"/>
  <c r="JO14" i="1" s="1"/>
  <c r="JN15" i="1"/>
  <c r="JO15" i="1" s="1"/>
  <c r="JN16" i="1"/>
  <c r="JO16" i="1" s="1"/>
  <c r="JN17" i="1"/>
  <c r="JO17" i="1" s="1"/>
  <c r="JN18" i="1"/>
  <c r="JO18" i="1" s="1"/>
  <c r="JN19" i="1"/>
  <c r="JO19" i="1"/>
  <c r="JN20" i="1"/>
  <c r="JO20" i="1" s="1"/>
  <c r="JN21" i="1"/>
  <c r="JO21" i="1" s="1"/>
  <c r="JN22" i="1"/>
  <c r="JO22" i="1" s="1"/>
  <c r="JN23" i="1"/>
  <c r="JO23" i="1" s="1"/>
  <c r="JN24" i="1"/>
  <c r="JO24" i="1" s="1"/>
  <c r="JN25" i="1"/>
  <c r="JO25" i="1" s="1"/>
  <c r="JN26" i="1"/>
  <c r="JO26" i="1" s="1"/>
  <c r="JN27" i="1"/>
  <c r="JO27" i="1" s="1"/>
  <c r="JN28" i="1"/>
  <c r="JO28" i="1" s="1"/>
  <c r="JN29" i="1"/>
  <c r="JO29" i="1" s="1"/>
  <c r="JN30" i="1"/>
  <c r="JO30" i="1" s="1"/>
  <c r="JN31" i="1"/>
  <c r="JO31" i="1" s="1"/>
  <c r="JN32" i="1"/>
  <c r="JO32" i="1" s="1"/>
  <c r="JN33" i="1"/>
  <c r="JO33" i="1" s="1"/>
  <c r="JN34" i="1"/>
  <c r="JO34" i="1" s="1"/>
  <c r="JN35" i="1"/>
  <c r="JO35" i="1" s="1"/>
  <c r="JN36" i="1"/>
  <c r="JO36" i="1" s="1"/>
  <c r="JN37" i="1"/>
  <c r="JO37" i="1" s="1"/>
  <c r="JN38" i="1"/>
  <c r="JO38" i="1" s="1"/>
  <c r="JN39" i="1"/>
  <c r="JO39" i="1" s="1"/>
  <c r="JN40" i="1"/>
  <c r="JO40" i="1" s="1"/>
  <c r="JN41" i="1"/>
  <c r="JO41" i="1" s="1"/>
  <c r="JN42" i="1"/>
  <c r="JO42" i="1" s="1"/>
  <c r="JN43" i="1"/>
  <c r="JO43" i="1" s="1"/>
  <c r="JN44" i="1"/>
  <c r="JO44" i="1" s="1"/>
  <c r="JN45" i="1"/>
  <c r="JO45" i="1" s="1"/>
  <c r="JN46" i="1"/>
  <c r="JO46" i="1" s="1"/>
  <c r="JN47" i="1"/>
  <c r="JO47" i="1" s="1"/>
  <c r="JN48" i="1"/>
  <c r="JO48" i="1" s="1"/>
  <c r="JN49" i="1"/>
  <c r="JO49" i="1" s="1"/>
  <c r="JN50" i="1"/>
  <c r="JO50" i="1" s="1"/>
  <c r="JN51" i="1"/>
  <c r="JO51" i="1" s="1"/>
  <c r="JN52" i="1"/>
  <c r="JO52" i="1" s="1"/>
  <c r="JN53" i="1"/>
  <c r="JO53" i="1" s="1"/>
  <c r="JN54" i="1"/>
  <c r="JO54" i="1" s="1"/>
  <c r="JN55" i="1"/>
  <c r="JO55" i="1" s="1"/>
  <c r="JN56" i="1"/>
  <c r="JO56" i="1" s="1"/>
  <c r="JN57" i="1"/>
  <c r="JO57" i="1" s="1"/>
  <c r="JN58" i="1"/>
  <c r="JO58" i="1" s="1"/>
  <c r="JN59" i="1"/>
  <c r="JO59" i="1" s="1"/>
  <c r="JN61" i="1"/>
  <c r="JO61" i="1" s="1"/>
  <c r="JN62" i="1"/>
  <c r="JO62" i="1" s="1"/>
  <c r="JN63" i="1"/>
  <c r="JO63" i="1" s="1"/>
  <c r="JL60" i="1"/>
  <c r="JM60" i="1" s="1"/>
  <c r="JL66" i="1"/>
  <c r="JM66" i="1" s="1"/>
  <c r="JL64" i="1"/>
  <c r="JM64" i="1" s="1"/>
  <c r="JL89" i="1"/>
  <c r="JM89" i="1" s="1"/>
  <c r="JL92" i="1"/>
  <c r="JM92" i="1" s="1"/>
  <c r="JL3" i="1"/>
  <c r="JM3" i="1" s="1"/>
  <c r="JL4" i="1"/>
  <c r="JM4" i="1" s="1"/>
  <c r="JL5" i="1"/>
  <c r="JM5" i="1" s="1"/>
  <c r="JL6" i="1"/>
  <c r="JM6" i="1" s="1"/>
  <c r="JL7" i="1"/>
  <c r="JM7" i="1" s="1"/>
  <c r="JL8" i="1"/>
  <c r="JM8" i="1" s="1"/>
  <c r="JL9" i="1"/>
  <c r="JM9" i="1" s="1"/>
  <c r="JL10" i="1"/>
  <c r="JM10" i="1" s="1"/>
  <c r="JL11" i="1"/>
  <c r="JM11" i="1" s="1"/>
  <c r="JL12" i="1"/>
  <c r="JM12" i="1" s="1"/>
  <c r="JL13" i="1"/>
  <c r="JM13" i="1" s="1"/>
  <c r="JL14" i="1"/>
  <c r="JM14" i="1" s="1"/>
  <c r="JL15" i="1"/>
  <c r="JM15" i="1" s="1"/>
  <c r="JL16" i="1"/>
  <c r="JM16" i="1" s="1"/>
  <c r="JL17" i="1"/>
  <c r="JM17" i="1" s="1"/>
  <c r="JL18" i="1"/>
  <c r="JM18" i="1" s="1"/>
  <c r="JL19" i="1"/>
  <c r="JM19" i="1" s="1"/>
  <c r="JL20" i="1"/>
  <c r="JM20" i="1" s="1"/>
  <c r="JL21" i="1"/>
  <c r="JM21" i="1" s="1"/>
  <c r="JL22" i="1"/>
  <c r="JM22" i="1" s="1"/>
  <c r="JL23" i="1"/>
  <c r="JM23" i="1" s="1"/>
  <c r="JL24" i="1"/>
  <c r="JM24" i="1" s="1"/>
  <c r="JL25" i="1"/>
  <c r="JM25" i="1" s="1"/>
  <c r="JL26" i="1"/>
  <c r="JM26" i="1" s="1"/>
  <c r="JL27" i="1"/>
  <c r="JM27" i="1" s="1"/>
  <c r="JL28" i="1"/>
  <c r="JM28" i="1" s="1"/>
  <c r="JL29" i="1"/>
  <c r="JM29" i="1" s="1"/>
  <c r="JL30" i="1"/>
  <c r="JM30" i="1" s="1"/>
  <c r="JL31" i="1"/>
  <c r="JM31" i="1" s="1"/>
  <c r="JL32" i="1"/>
  <c r="JM32" i="1" s="1"/>
  <c r="JL33" i="1"/>
  <c r="JM33" i="1" s="1"/>
  <c r="JL34" i="1"/>
  <c r="JM34" i="1" s="1"/>
  <c r="JL35" i="1"/>
  <c r="JM35" i="1" s="1"/>
  <c r="JL36" i="1"/>
  <c r="JM36" i="1" s="1"/>
  <c r="JL37" i="1"/>
  <c r="JM37" i="1" s="1"/>
  <c r="JL38" i="1"/>
  <c r="JM38" i="1" s="1"/>
  <c r="JL39" i="1"/>
  <c r="JM39" i="1" s="1"/>
  <c r="JL40" i="1"/>
  <c r="JM40" i="1" s="1"/>
  <c r="JL41" i="1"/>
  <c r="JM41" i="1" s="1"/>
  <c r="JL42" i="1"/>
  <c r="JM42" i="1" s="1"/>
  <c r="JL43" i="1"/>
  <c r="JM43" i="1" s="1"/>
  <c r="JL44" i="1"/>
  <c r="JM44" i="1" s="1"/>
  <c r="JL45" i="1"/>
  <c r="JM45" i="1" s="1"/>
  <c r="JL46" i="1"/>
  <c r="JM46" i="1" s="1"/>
  <c r="JL47" i="1"/>
  <c r="JM47" i="1" s="1"/>
  <c r="JL48" i="1"/>
  <c r="JM48" i="1" s="1"/>
  <c r="JL49" i="1"/>
  <c r="JM49" i="1" s="1"/>
  <c r="JL50" i="1"/>
  <c r="JM50" i="1" s="1"/>
  <c r="JL51" i="1"/>
  <c r="JM51" i="1" s="1"/>
  <c r="JL52" i="1"/>
  <c r="JM52" i="1" s="1"/>
  <c r="JL53" i="1"/>
  <c r="JM53" i="1" s="1"/>
  <c r="JL54" i="1"/>
  <c r="JM54" i="1" s="1"/>
  <c r="JL55" i="1"/>
  <c r="JM55" i="1" s="1"/>
  <c r="JL56" i="1"/>
  <c r="JM56" i="1" s="1"/>
  <c r="JL57" i="1"/>
  <c r="JM57" i="1" s="1"/>
  <c r="JL58" i="1"/>
  <c r="JM58" i="1" s="1"/>
  <c r="JL59" i="1"/>
  <c r="JM59" i="1" s="1"/>
  <c r="JL61" i="1"/>
  <c r="JM61" i="1" s="1"/>
  <c r="JL62" i="1"/>
  <c r="JM62" i="1" s="1"/>
  <c r="JL63" i="1"/>
  <c r="JM63" i="1" s="1"/>
  <c r="JL65" i="1"/>
  <c r="JM65" i="1" s="1"/>
  <c r="JL67" i="1"/>
  <c r="JM67" i="1" s="1"/>
  <c r="JL68" i="1"/>
  <c r="JM68" i="1" s="1"/>
  <c r="JL69" i="1"/>
  <c r="JM69" i="1" s="1"/>
  <c r="JL70" i="1"/>
  <c r="JM70" i="1" s="1"/>
  <c r="JL71" i="1"/>
  <c r="JM71" i="1" s="1"/>
  <c r="JL72" i="1"/>
  <c r="JM72" i="1" s="1"/>
  <c r="JL73" i="1"/>
  <c r="JM73" i="1" s="1"/>
  <c r="JL74" i="1"/>
  <c r="JM74" i="1" s="1"/>
  <c r="JL75" i="1"/>
  <c r="JM75" i="1" s="1"/>
  <c r="JL76" i="1"/>
  <c r="JM76" i="1" s="1"/>
  <c r="JL77" i="1"/>
  <c r="JM77" i="1" s="1"/>
  <c r="JL78" i="1"/>
  <c r="JM78" i="1" s="1"/>
  <c r="JL80" i="1"/>
  <c r="JM80" i="1" s="1"/>
  <c r="JL81" i="1"/>
  <c r="JM81" i="1" s="1"/>
  <c r="JL82" i="1"/>
  <c r="JM82" i="1" s="1"/>
  <c r="JL83" i="1"/>
  <c r="JM83" i="1" s="1"/>
  <c r="JL84" i="1"/>
  <c r="JM84" i="1" s="1"/>
  <c r="JL85" i="1"/>
  <c r="JM85" i="1" s="1"/>
  <c r="JL86" i="1"/>
  <c r="JM86" i="1" s="1"/>
  <c r="JL87" i="1"/>
  <c r="JM87" i="1" s="1"/>
  <c r="JL88" i="1"/>
  <c r="JM88" i="1" s="1"/>
  <c r="JL90" i="1"/>
  <c r="JM90" i="1" s="1"/>
  <c r="JL91" i="1"/>
  <c r="JM91" i="1" s="1"/>
  <c r="JL93" i="1"/>
  <c r="JM93" i="1" s="1"/>
  <c r="JL94" i="1"/>
  <c r="JM94" i="1" s="1"/>
  <c r="JL95" i="1"/>
  <c r="JM95" i="1" s="1"/>
  <c r="JL96" i="1"/>
  <c r="JM96" i="1" s="1"/>
  <c r="JL97" i="1"/>
  <c r="JM97" i="1" s="1"/>
  <c r="JJ60" i="1"/>
  <c r="JK60" i="1" s="1"/>
  <c r="JJ66" i="1"/>
  <c r="JK66" i="1" s="1"/>
  <c r="JJ64" i="1"/>
  <c r="JK64" i="1" s="1"/>
  <c r="JJ89" i="1"/>
  <c r="JK89" i="1" s="1"/>
  <c r="JJ92" i="1"/>
  <c r="JK92" i="1" s="1"/>
  <c r="JJ3" i="1"/>
  <c r="JK3" i="1" s="1"/>
  <c r="JJ4" i="1"/>
  <c r="JK4" i="1" s="1"/>
  <c r="JJ5" i="1"/>
  <c r="JK5" i="1" s="1"/>
  <c r="JJ6" i="1"/>
  <c r="JK6" i="1" s="1"/>
  <c r="JJ7" i="1"/>
  <c r="JK7" i="1" s="1"/>
  <c r="JJ8" i="1"/>
  <c r="JK8" i="1" s="1"/>
  <c r="JJ9" i="1"/>
  <c r="JK9" i="1" s="1"/>
  <c r="JJ10" i="1"/>
  <c r="JK10" i="1" s="1"/>
  <c r="JJ11" i="1"/>
  <c r="JK11" i="1" s="1"/>
  <c r="JJ12" i="1"/>
  <c r="JK12" i="1" s="1"/>
  <c r="JJ13" i="1"/>
  <c r="JK13" i="1" s="1"/>
  <c r="JJ14" i="1"/>
  <c r="JK14" i="1" s="1"/>
  <c r="JJ15" i="1"/>
  <c r="JK15" i="1" s="1"/>
  <c r="JJ16" i="1"/>
  <c r="JK16" i="1" s="1"/>
  <c r="JJ17" i="1"/>
  <c r="JK17" i="1" s="1"/>
  <c r="JJ18" i="1"/>
  <c r="JK18" i="1" s="1"/>
  <c r="JJ19" i="1"/>
  <c r="JK19" i="1" s="1"/>
  <c r="JJ20" i="1"/>
  <c r="JK20" i="1" s="1"/>
  <c r="JJ21" i="1"/>
  <c r="JK21" i="1" s="1"/>
  <c r="JJ22" i="1"/>
  <c r="JK22" i="1" s="1"/>
  <c r="JJ23" i="1"/>
  <c r="JK23" i="1" s="1"/>
  <c r="JJ24" i="1"/>
  <c r="JK24" i="1" s="1"/>
  <c r="JJ25" i="1"/>
  <c r="JK25" i="1" s="1"/>
  <c r="JJ26" i="1"/>
  <c r="JK26" i="1" s="1"/>
  <c r="JJ27" i="1"/>
  <c r="JK27" i="1" s="1"/>
  <c r="JJ28" i="1"/>
  <c r="JK28" i="1" s="1"/>
  <c r="JJ29" i="1"/>
  <c r="JK29" i="1" s="1"/>
  <c r="JJ30" i="1"/>
  <c r="JK30" i="1" s="1"/>
  <c r="JJ31" i="1"/>
  <c r="JK31" i="1" s="1"/>
  <c r="JJ32" i="1"/>
  <c r="JK32" i="1" s="1"/>
  <c r="JJ33" i="1"/>
  <c r="JK33" i="1" s="1"/>
  <c r="JJ34" i="1"/>
  <c r="JK34" i="1" s="1"/>
  <c r="JJ35" i="1"/>
  <c r="JK35" i="1" s="1"/>
  <c r="JJ36" i="1"/>
  <c r="JK36" i="1" s="1"/>
  <c r="JJ37" i="1"/>
  <c r="JK37" i="1" s="1"/>
  <c r="JJ38" i="1"/>
  <c r="JK38" i="1" s="1"/>
  <c r="JJ39" i="1"/>
  <c r="JK39" i="1" s="1"/>
  <c r="JJ40" i="1"/>
  <c r="JK40" i="1" s="1"/>
  <c r="JJ41" i="1"/>
  <c r="JK41" i="1" s="1"/>
  <c r="JJ42" i="1"/>
  <c r="JK42" i="1" s="1"/>
  <c r="JJ43" i="1"/>
  <c r="JK43" i="1" s="1"/>
  <c r="JJ44" i="1"/>
  <c r="JK44" i="1" s="1"/>
  <c r="JJ45" i="1"/>
  <c r="JK45" i="1" s="1"/>
  <c r="JJ46" i="1"/>
  <c r="JK46" i="1"/>
  <c r="JJ47" i="1"/>
  <c r="JK47" i="1" s="1"/>
  <c r="JJ48" i="1"/>
  <c r="JK48" i="1" s="1"/>
  <c r="JJ49" i="1"/>
  <c r="JK49" i="1" s="1"/>
  <c r="JJ50" i="1"/>
  <c r="JK50" i="1" s="1"/>
  <c r="JJ51" i="1"/>
  <c r="JK51" i="1" s="1"/>
  <c r="JJ52" i="1"/>
  <c r="JK52" i="1"/>
  <c r="JJ53" i="1"/>
  <c r="JK53" i="1" s="1"/>
  <c r="JJ54" i="1"/>
  <c r="JK54" i="1" s="1"/>
  <c r="JJ55" i="1"/>
  <c r="JK55" i="1" s="1"/>
  <c r="JJ56" i="1"/>
  <c r="JK56" i="1" s="1"/>
  <c r="JJ57" i="1"/>
  <c r="JK57" i="1" s="1"/>
  <c r="JJ58" i="1"/>
  <c r="JK58" i="1" s="1"/>
  <c r="JJ59" i="1"/>
  <c r="JK59" i="1" s="1"/>
  <c r="JJ61" i="1"/>
  <c r="JK61" i="1" s="1"/>
  <c r="JJ62" i="1"/>
  <c r="JK62" i="1" s="1"/>
  <c r="JJ63" i="1"/>
  <c r="JK63" i="1" s="1"/>
  <c r="JJ65" i="1"/>
  <c r="JK65" i="1" s="1"/>
  <c r="JJ67" i="1"/>
  <c r="JK67" i="1" s="1"/>
  <c r="JJ68" i="1"/>
  <c r="JK68" i="1" s="1"/>
  <c r="JJ69" i="1"/>
  <c r="JK69" i="1" s="1"/>
  <c r="JJ70" i="1"/>
  <c r="JK70" i="1" s="1"/>
  <c r="JJ71" i="1"/>
  <c r="JK71" i="1" s="1"/>
  <c r="JJ72" i="1"/>
  <c r="JK72" i="1" s="1"/>
  <c r="JJ73" i="1"/>
  <c r="JK73" i="1" s="1"/>
  <c r="JJ74" i="1"/>
  <c r="JK74" i="1" s="1"/>
  <c r="JJ75" i="1"/>
  <c r="JK75" i="1" s="1"/>
  <c r="JJ76" i="1"/>
  <c r="JK76" i="1" s="1"/>
  <c r="JJ77" i="1"/>
  <c r="JK77" i="1" s="1"/>
  <c r="JJ78" i="1"/>
  <c r="JK78" i="1" s="1"/>
  <c r="JJ80" i="1"/>
  <c r="JK80" i="1" s="1"/>
  <c r="JJ81" i="1"/>
  <c r="JK81" i="1" s="1"/>
  <c r="JJ82" i="1"/>
  <c r="JK82" i="1" s="1"/>
  <c r="JJ83" i="1"/>
  <c r="JK83" i="1" s="1"/>
  <c r="JJ84" i="1"/>
  <c r="JK84" i="1" s="1"/>
  <c r="JJ85" i="1"/>
  <c r="JK85" i="1" s="1"/>
  <c r="JJ86" i="1"/>
  <c r="JK86" i="1" s="1"/>
  <c r="JJ87" i="1"/>
  <c r="JK87" i="1" s="1"/>
  <c r="JJ88" i="1"/>
  <c r="JK88" i="1" s="1"/>
  <c r="JJ90" i="1"/>
  <c r="JK90" i="1" s="1"/>
  <c r="JJ91" i="1"/>
  <c r="JK91" i="1" s="1"/>
  <c r="JJ93" i="1"/>
  <c r="JK93" i="1" s="1"/>
  <c r="JJ94" i="1"/>
  <c r="JK94" i="1" s="1"/>
  <c r="JJ95" i="1"/>
  <c r="JK95" i="1" s="1"/>
  <c r="JJ96" i="1"/>
  <c r="JK96" i="1" s="1"/>
  <c r="JJ97" i="1"/>
  <c r="JK97" i="1" s="1"/>
  <c r="JH60" i="1"/>
  <c r="JI60" i="1" s="1"/>
  <c r="JH66" i="1"/>
  <c r="JI66" i="1" s="1"/>
  <c r="JH64" i="1"/>
  <c r="JI64" i="1" s="1"/>
  <c r="JH89" i="1"/>
  <c r="JI89" i="1" s="1"/>
  <c r="JH92" i="1"/>
  <c r="JI92" i="1" s="1"/>
  <c r="JH3" i="1"/>
  <c r="JI3" i="1" s="1"/>
  <c r="JH4" i="1"/>
  <c r="JI4" i="1" s="1"/>
  <c r="JH5" i="1"/>
  <c r="JI5" i="1" s="1"/>
  <c r="JH6" i="1"/>
  <c r="JI6" i="1" s="1"/>
  <c r="JH7" i="1"/>
  <c r="JI7" i="1" s="1"/>
  <c r="JH8" i="1"/>
  <c r="JI8" i="1" s="1"/>
  <c r="JH9" i="1"/>
  <c r="JI9" i="1" s="1"/>
  <c r="JH10" i="1"/>
  <c r="JI10" i="1" s="1"/>
  <c r="JH11" i="1"/>
  <c r="JI11" i="1" s="1"/>
  <c r="JH12" i="1"/>
  <c r="JI12" i="1" s="1"/>
  <c r="JH13" i="1"/>
  <c r="JI13" i="1" s="1"/>
  <c r="JH14" i="1"/>
  <c r="JI14" i="1" s="1"/>
  <c r="JH15" i="1"/>
  <c r="JI15" i="1" s="1"/>
  <c r="JH16" i="1"/>
  <c r="JI16" i="1" s="1"/>
  <c r="JH17" i="1"/>
  <c r="JI17" i="1" s="1"/>
  <c r="JH18" i="1"/>
  <c r="JI18" i="1" s="1"/>
  <c r="JH19" i="1"/>
  <c r="JI19" i="1" s="1"/>
  <c r="JH20" i="1"/>
  <c r="JI20" i="1" s="1"/>
  <c r="JH21" i="1"/>
  <c r="JI21" i="1" s="1"/>
  <c r="JH22" i="1"/>
  <c r="JI22" i="1" s="1"/>
  <c r="JH23" i="1"/>
  <c r="JI23" i="1" s="1"/>
  <c r="JH24" i="1"/>
  <c r="JI24" i="1" s="1"/>
  <c r="JH25" i="1"/>
  <c r="JI25" i="1" s="1"/>
  <c r="JH26" i="1"/>
  <c r="JI26" i="1" s="1"/>
  <c r="JH27" i="1"/>
  <c r="JI27" i="1" s="1"/>
  <c r="JH28" i="1"/>
  <c r="JI28" i="1" s="1"/>
  <c r="JH29" i="1"/>
  <c r="JI29" i="1" s="1"/>
  <c r="JH30" i="1"/>
  <c r="JI30" i="1" s="1"/>
  <c r="JH31" i="1"/>
  <c r="JI31" i="1" s="1"/>
  <c r="JH32" i="1"/>
  <c r="JI32" i="1" s="1"/>
  <c r="JH33" i="1"/>
  <c r="JI33" i="1" s="1"/>
  <c r="JH34" i="1"/>
  <c r="JI34" i="1" s="1"/>
  <c r="JH35" i="1"/>
  <c r="JI35" i="1" s="1"/>
  <c r="JH36" i="1"/>
  <c r="JI36" i="1" s="1"/>
  <c r="JH37" i="1"/>
  <c r="JI37" i="1" s="1"/>
  <c r="JH38" i="1"/>
  <c r="JI38" i="1" s="1"/>
  <c r="JH39" i="1"/>
  <c r="JI39" i="1" s="1"/>
  <c r="JH40" i="1"/>
  <c r="JI40" i="1" s="1"/>
  <c r="JH41" i="1"/>
  <c r="JI41" i="1" s="1"/>
  <c r="JH42" i="1"/>
  <c r="JI42" i="1" s="1"/>
  <c r="JH43" i="1"/>
  <c r="JI43" i="1" s="1"/>
  <c r="JH44" i="1"/>
  <c r="JI44" i="1" s="1"/>
  <c r="JH45" i="1"/>
  <c r="JI45" i="1" s="1"/>
  <c r="JH46" i="1"/>
  <c r="JI46" i="1" s="1"/>
  <c r="JH47" i="1"/>
  <c r="JI47" i="1" s="1"/>
  <c r="JH48" i="1"/>
  <c r="JI48" i="1" s="1"/>
  <c r="JH49" i="1"/>
  <c r="JI49" i="1" s="1"/>
  <c r="JH50" i="1"/>
  <c r="JI50" i="1" s="1"/>
  <c r="JH51" i="1"/>
  <c r="JI51" i="1" s="1"/>
  <c r="JH52" i="1"/>
  <c r="JI52" i="1" s="1"/>
  <c r="JH53" i="1"/>
  <c r="JI53" i="1" s="1"/>
  <c r="JH54" i="1"/>
  <c r="JI54" i="1" s="1"/>
  <c r="JH55" i="1"/>
  <c r="JI55" i="1" s="1"/>
  <c r="JH56" i="1"/>
  <c r="JI56" i="1" s="1"/>
  <c r="JH57" i="1"/>
  <c r="JI57" i="1" s="1"/>
  <c r="JH58" i="1"/>
  <c r="JI58" i="1" s="1"/>
  <c r="JH59" i="1"/>
  <c r="JI59" i="1" s="1"/>
  <c r="JH61" i="1"/>
  <c r="JI61" i="1" s="1"/>
  <c r="JH62" i="1"/>
  <c r="JI62" i="1" s="1"/>
  <c r="JH63" i="1"/>
  <c r="JI63" i="1" s="1"/>
  <c r="JH65" i="1"/>
  <c r="JI65" i="1" s="1"/>
  <c r="JH67" i="1"/>
  <c r="JI67" i="1" s="1"/>
  <c r="JH68" i="1"/>
  <c r="JI68" i="1" s="1"/>
  <c r="JH69" i="1"/>
  <c r="JI69" i="1" s="1"/>
  <c r="JH70" i="1"/>
  <c r="JI70" i="1" s="1"/>
  <c r="JH71" i="1"/>
  <c r="JI71" i="1" s="1"/>
  <c r="JH72" i="1"/>
  <c r="JI72" i="1" s="1"/>
  <c r="JH73" i="1"/>
  <c r="JI73" i="1" s="1"/>
  <c r="JH74" i="1"/>
  <c r="JI74" i="1" s="1"/>
  <c r="JH75" i="1"/>
  <c r="JI75" i="1" s="1"/>
  <c r="JH76" i="1"/>
  <c r="JI76" i="1" s="1"/>
  <c r="JH77" i="1"/>
  <c r="JI77" i="1" s="1"/>
  <c r="JH78" i="1"/>
  <c r="JI78" i="1" s="1"/>
  <c r="JH80" i="1"/>
  <c r="JI80" i="1" s="1"/>
  <c r="JH81" i="1"/>
  <c r="JI81" i="1" s="1"/>
  <c r="JH82" i="1"/>
  <c r="JI82" i="1" s="1"/>
  <c r="JH83" i="1"/>
  <c r="JI83" i="1" s="1"/>
  <c r="JH84" i="1"/>
  <c r="JI84" i="1" s="1"/>
  <c r="JH85" i="1"/>
  <c r="JI85" i="1" s="1"/>
  <c r="JH86" i="1"/>
  <c r="JI86" i="1" s="1"/>
  <c r="JH87" i="1"/>
  <c r="JI87" i="1" s="1"/>
  <c r="JH88" i="1"/>
  <c r="JI88" i="1" s="1"/>
  <c r="JH90" i="1"/>
  <c r="JI90" i="1" s="1"/>
  <c r="JH91" i="1"/>
  <c r="JI91" i="1" s="1"/>
  <c r="JH93" i="1"/>
  <c r="JI93" i="1" s="1"/>
  <c r="JH94" i="1"/>
  <c r="JI94" i="1" s="1"/>
  <c r="JH95" i="1"/>
  <c r="JI95" i="1" s="1"/>
  <c r="JH96" i="1"/>
  <c r="JI96" i="1" s="1"/>
  <c r="JH97" i="1"/>
  <c r="JI97" i="1" s="1"/>
  <c r="JF60" i="1"/>
  <c r="JG60" i="1" s="1"/>
  <c r="JF66" i="1"/>
  <c r="JG66" i="1" s="1"/>
  <c r="JF64" i="1"/>
  <c r="JG64" i="1" s="1"/>
  <c r="JF89" i="1"/>
  <c r="JG89" i="1" s="1"/>
  <c r="JF92" i="1"/>
  <c r="JG92" i="1" s="1"/>
  <c r="JF3" i="1"/>
  <c r="JG3" i="1" s="1"/>
  <c r="JF4" i="1"/>
  <c r="JG4" i="1" s="1"/>
  <c r="JF5" i="1"/>
  <c r="JG5" i="1" s="1"/>
  <c r="JF6" i="1"/>
  <c r="JG6" i="1" s="1"/>
  <c r="JF7" i="1"/>
  <c r="JG7" i="1" s="1"/>
  <c r="JF8" i="1"/>
  <c r="JG8" i="1" s="1"/>
  <c r="JF9" i="1"/>
  <c r="JG9" i="1" s="1"/>
  <c r="JF10" i="1"/>
  <c r="JG10" i="1" s="1"/>
  <c r="JF11" i="1"/>
  <c r="JG11" i="1" s="1"/>
  <c r="JF12" i="1"/>
  <c r="JG12" i="1" s="1"/>
  <c r="JF13" i="1"/>
  <c r="JG13" i="1" s="1"/>
  <c r="JF14" i="1"/>
  <c r="JG14" i="1" s="1"/>
  <c r="JF15" i="1"/>
  <c r="JG15" i="1" s="1"/>
  <c r="JF16" i="1"/>
  <c r="JG16" i="1" s="1"/>
  <c r="JF17" i="1"/>
  <c r="JG17" i="1" s="1"/>
  <c r="JF18" i="1"/>
  <c r="JG18" i="1" s="1"/>
  <c r="JF19" i="1"/>
  <c r="JG19" i="1" s="1"/>
  <c r="JF20" i="1"/>
  <c r="JG20" i="1" s="1"/>
  <c r="JF21" i="1"/>
  <c r="JG21" i="1" s="1"/>
  <c r="JF22" i="1"/>
  <c r="JG22" i="1" s="1"/>
  <c r="JF23" i="1"/>
  <c r="JG23" i="1" s="1"/>
  <c r="JF24" i="1"/>
  <c r="JG24" i="1" s="1"/>
  <c r="JF25" i="1"/>
  <c r="JG25" i="1" s="1"/>
  <c r="JF26" i="1"/>
  <c r="JG26" i="1" s="1"/>
  <c r="JF27" i="1"/>
  <c r="JG27" i="1" s="1"/>
  <c r="JF28" i="1"/>
  <c r="JG28" i="1" s="1"/>
  <c r="JF29" i="1"/>
  <c r="JG29" i="1" s="1"/>
  <c r="JF30" i="1"/>
  <c r="JG30" i="1" s="1"/>
  <c r="JF31" i="1"/>
  <c r="JG31" i="1" s="1"/>
  <c r="JF32" i="1"/>
  <c r="JG32" i="1" s="1"/>
  <c r="JF33" i="1"/>
  <c r="JG33" i="1" s="1"/>
  <c r="JF34" i="1"/>
  <c r="JG34" i="1" s="1"/>
  <c r="JF35" i="1"/>
  <c r="JG35" i="1" s="1"/>
  <c r="JF36" i="1"/>
  <c r="JG36" i="1" s="1"/>
  <c r="JF37" i="1"/>
  <c r="JG37" i="1" s="1"/>
  <c r="JF38" i="1"/>
  <c r="JG38" i="1" s="1"/>
  <c r="JF39" i="1"/>
  <c r="JG39" i="1" s="1"/>
  <c r="JF40" i="1"/>
  <c r="JG40" i="1" s="1"/>
  <c r="JF41" i="1"/>
  <c r="JG41" i="1" s="1"/>
  <c r="JF42" i="1"/>
  <c r="JG42" i="1" s="1"/>
  <c r="JF43" i="1"/>
  <c r="JG43" i="1" s="1"/>
  <c r="JF44" i="1"/>
  <c r="JG44" i="1" s="1"/>
  <c r="JF45" i="1"/>
  <c r="JG45" i="1" s="1"/>
  <c r="JF46" i="1"/>
  <c r="JG46" i="1" s="1"/>
  <c r="JF47" i="1"/>
  <c r="JG47" i="1" s="1"/>
  <c r="JF48" i="1"/>
  <c r="JG48" i="1" s="1"/>
  <c r="JF49" i="1"/>
  <c r="JG49" i="1" s="1"/>
  <c r="JF50" i="1"/>
  <c r="JG50" i="1" s="1"/>
  <c r="JF51" i="1"/>
  <c r="JG51" i="1" s="1"/>
  <c r="JF52" i="1"/>
  <c r="JG52" i="1" s="1"/>
  <c r="JF53" i="1"/>
  <c r="JG53" i="1" s="1"/>
  <c r="JF54" i="1"/>
  <c r="JG54" i="1" s="1"/>
  <c r="JF55" i="1"/>
  <c r="JG55" i="1" s="1"/>
  <c r="JF56" i="1"/>
  <c r="JG56" i="1" s="1"/>
  <c r="JF57" i="1"/>
  <c r="JG57" i="1" s="1"/>
  <c r="JF58" i="1"/>
  <c r="JG58" i="1" s="1"/>
  <c r="JF59" i="1"/>
  <c r="JG59" i="1" s="1"/>
  <c r="JF61" i="1"/>
  <c r="JG61" i="1" s="1"/>
  <c r="JF62" i="1"/>
  <c r="JG62" i="1" s="1"/>
  <c r="JF63" i="1"/>
  <c r="JG63" i="1" s="1"/>
  <c r="JF65" i="1"/>
  <c r="JG65" i="1" s="1"/>
  <c r="JF67" i="1"/>
  <c r="JG67" i="1" s="1"/>
  <c r="JF68" i="1"/>
  <c r="JG68" i="1" s="1"/>
  <c r="JF69" i="1"/>
  <c r="JG69" i="1" s="1"/>
  <c r="JF70" i="1"/>
  <c r="JG70" i="1" s="1"/>
  <c r="JF71" i="1"/>
  <c r="JG71" i="1" s="1"/>
  <c r="JF72" i="1"/>
  <c r="JG72" i="1" s="1"/>
  <c r="JF73" i="1"/>
  <c r="JG73" i="1" s="1"/>
  <c r="JF74" i="1"/>
  <c r="JG74" i="1" s="1"/>
  <c r="JF75" i="1"/>
  <c r="JG75" i="1" s="1"/>
  <c r="JF76" i="1"/>
  <c r="JG76" i="1" s="1"/>
  <c r="JF77" i="1"/>
  <c r="JG77" i="1" s="1"/>
  <c r="JF78" i="1"/>
  <c r="JG78" i="1" s="1"/>
  <c r="JF80" i="1"/>
  <c r="JG80" i="1" s="1"/>
  <c r="JF81" i="1"/>
  <c r="JG81" i="1" s="1"/>
  <c r="JF82" i="1"/>
  <c r="JG82" i="1" s="1"/>
  <c r="JF83" i="1"/>
  <c r="JG83" i="1" s="1"/>
  <c r="JF84" i="1"/>
  <c r="JG84" i="1" s="1"/>
  <c r="JF85" i="1"/>
  <c r="JG85" i="1" s="1"/>
  <c r="JF86" i="1"/>
  <c r="JG86" i="1" s="1"/>
  <c r="JF87" i="1"/>
  <c r="JG87" i="1" s="1"/>
  <c r="JF88" i="1"/>
  <c r="JG88" i="1" s="1"/>
  <c r="JF90" i="1"/>
  <c r="JG90" i="1" s="1"/>
  <c r="JF91" i="1"/>
  <c r="JG91" i="1" s="1"/>
  <c r="JF93" i="1"/>
  <c r="JG93" i="1" s="1"/>
  <c r="JF94" i="1"/>
  <c r="JG94" i="1" s="1"/>
  <c r="JF95" i="1"/>
  <c r="JG95" i="1" s="1"/>
  <c r="JF96" i="1"/>
  <c r="JG96" i="1" s="1"/>
  <c r="JF97" i="1"/>
  <c r="JG97" i="1" s="1"/>
  <c r="JD60" i="1"/>
  <c r="JE60" i="1" s="1"/>
  <c r="JD66" i="1"/>
  <c r="JE66" i="1" s="1"/>
  <c r="JD64" i="1"/>
  <c r="JE64" i="1" s="1"/>
  <c r="JD89" i="1"/>
  <c r="JE89" i="1" s="1"/>
  <c r="JD92" i="1"/>
  <c r="JE92" i="1" s="1"/>
  <c r="JD3" i="1"/>
  <c r="JE3" i="1" s="1"/>
  <c r="JD4" i="1"/>
  <c r="JE4" i="1" s="1"/>
  <c r="JD5" i="1"/>
  <c r="JE5" i="1" s="1"/>
  <c r="JD6" i="1"/>
  <c r="JE6" i="1" s="1"/>
  <c r="JD7" i="1"/>
  <c r="JE7" i="1" s="1"/>
  <c r="JD8" i="1"/>
  <c r="JE8" i="1" s="1"/>
  <c r="JD9" i="1"/>
  <c r="JE9" i="1" s="1"/>
  <c r="JD10" i="1"/>
  <c r="JE10" i="1" s="1"/>
  <c r="JD11" i="1"/>
  <c r="JE11" i="1" s="1"/>
  <c r="JD12" i="1"/>
  <c r="JE12" i="1" s="1"/>
  <c r="JD13" i="1"/>
  <c r="JE13" i="1" s="1"/>
  <c r="JD14" i="1"/>
  <c r="JE14" i="1" s="1"/>
  <c r="JD15" i="1"/>
  <c r="JE15" i="1" s="1"/>
  <c r="JD16" i="1"/>
  <c r="JE16" i="1" s="1"/>
  <c r="JD17" i="1"/>
  <c r="JE17" i="1" s="1"/>
  <c r="JD18" i="1"/>
  <c r="JE18" i="1" s="1"/>
  <c r="JD19" i="1"/>
  <c r="JE19" i="1" s="1"/>
  <c r="JD20" i="1"/>
  <c r="JE20" i="1" s="1"/>
  <c r="JD21" i="1"/>
  <c r="JE21" i="1" s="1"/>
  <c r="JD22" i="1"/>
  <c r="JE22" i="1" s="1"/>
  <c r="JD23" i="1"/>
  <c r="JE23" i="1" s="1"/>
  <c r="JD24" i="1"/>
  <c r="JE24" i="1" s="1"/>
  <c r="JD25" i="1"/>
  <c r="JE25" i="1" s="1"/>
  <c r="JD26" i="1"/>
  <c r="JE26" i="1" s="1"/>
  <c r="JD27" i="1"/>
  <c r="JE27" i="1" s="1"/>
  <c r="JD28" i="1"/>
  <c r="JE28" i="1" s="1"/>
  <c r="JD29" i="1"/>
  <c r="JE29" i="1" s="1"/>
  <c r="JD30" i="1"/>
  <c r="JE30" i="1" s="1"/>
  <c r="JD31" i="1"/>
  <c r="JE31" i="1" s="1"/>
  <c r="JD32" i="1"/>
  <c r="JE32" i="1" s="1"/>
  <c r="JD33" i="1"/>
  <c r="JE33" i="1" s="1"/>
  <c r="JD34" i="1"/>
  <c r="JE34" i="1" s="1"/>
  <c r="JD35" i="1"/>
  <c r="JE35" i="1" s="1"/>
  <c r="JD36" i="1"/>
  <c r="JE36" i="1" s="1"/>
  <c r="JD37" i="1"/>
  <c r="JE37" i="1" s="1"/>
  <c r="JD38" i="1"/>
  <c r="JE38" i="1" s="1"/>
  <c r="JD39" i="1"/>
  <c r="JE39" i="1" s="1"/>
  <c r="JD40" i="1"/>
  <c r="JE40" i="1" s="1"/>
  <c r="JD41" i="1"/>
  <c r="JE41" i="1" s="1"/>
  <c r="JD42" i="1"/>
  <c r="JE42" i="1" s="1"/>
  <c r="JD43" i="1"/>
  <c r="JE43" i="1" s="1"/>
  <c r="JD44" i="1"/>
  <c r="JE44" i="1" s="1"/>
  <c r="JD45" i="1"/>
  <c r="JE45" i="1" s="1"/>
  <c r="JD46" i="1"/>
  <c r="JE46" i="1" s="1"/>
  <c r="JD47" i="1"/>
  <c r="JE47" i="1" s="1"/>
  <c r="JD48" i="1"/>
  <c r="JE48" i="1" s="1"/>
  <c r="JD49" i="1"/>
  <c r="JE49" i="1" s="1"/>
  <c r="JD50" i="1"/>
  <c r="JE50" i="1" s="1"/>
  <c r="JD51" i="1"/>
  <c r="JE51" i="1" s="1"/>
  <c r="JD52" i="1"/>
  <c r="JE52" i="1" s="1"/>
  <c r="JD53" i="1"/>
  <c r="JE53" i="1" s="1"/>
  <c r="JD54" i="1"/>
  <c r="JE54" i="1" s="1"/>
  <c r="JD55" i="1"/>
  <c r="JE55" i="1" s="1"/>
  <c r="JD56" i="1"/>
  <c r="JE56" i="1" s="1"/>
  <c r="JD57" i="1"/>
  <c r="JE57" i="1" s="1"/>
  <c r="JD58" i="1"/>
  <c r="JE58" i="1" s="1"/>
  <c r="JD59" i="1"/>
  <c r="JE59" i="1" s="1"/>
  <c r="JD61" i="1"/>
  <c r="JE61" i="1" s="1"/>
  <c r="JD62" i="1"/>
  <c r="JE62" i="1" s="1"/>
  <c r="JD63" i="1"/>
  <c r="JE63" i="1" s="1"/>
  <c r="JD65" i="1"/>
  <c r="JE65" i="1" s="1"/>
  <c r="JD67" i="1"/>
  <c r="JE67" i="1" s="1"/>
  <c r="JD68" i="1"/>
  <c r="JE68" i="1" s="1"/>
  <c r="JD69" i="1"/>
  <c r="JE69" i="1" s="1"/>
  <c r="JD70" i="1"/>
  <c r="JE70" i="1" s="1"/>
  <c r="JD71" i="1"/>
  <c r="JE71" i="1" s="1"/>
  <c r="JD72" i="1"/>
  <c r="JE72" i="1" s="1"/>
  <c r="JD73" i="1"/>
  <c r="JE73" i="1" s="1"/>
  <c r="JD74" i="1"/>
  <c r="JE74" i="1" s="1"/>
  <c r="JD75" i="1"/>
  <c r="JE75" i="1" s="1"/>
  <c r="JD76" i="1"/>
  <c r="JE76" i="1" s="1"/>
  <c r="JD77" i="1"/>
  <c r="JE77" i="1" s="1"/>
  <c r="JD78" i="1"/>
  <c r="JE78" i="1" s="1"/>
  <c r="JD80" i="1"/>
  <c r="JE80" i="1" s="1"/>
  <c r="JD81" i="1"/>
  <c r="JE81" i="1" s="1"/>
  <c r="JD82" i="1"/>
  <c r="JE82" i="1" s="1"/>
  <c r="JD83" i="1"/>
  <c r="JE83" i="1" s="1"/>
  <c r="JD84" i="1"/>
  <c r="JE84" i="1" s="1"/>
  <c r="JD85" i="1"/>
  <c r="JE85" i="1" s="1"/>
  <c r="JD86" i="1"/>
  <c r="JE86" i="1" s="1"/>
  <c r="JD87" i="1"/>
  <c r="JE87" i="1" s="1"/>
  <c r="JD88" i="1"/>
  <c r="JE88" i="1" s="1"/>
  <c r="JD90" i="1"/>
  <c r="JE90" i="1" s="1"/>
  <c r="JD91" i="1"/>
  <c r="JE91" i="1" s="1"/>
  <c r="JD93" i="1"/>
  <c r="JE93" i="1" s="1"/>
  <c r="JD94" i="1"/>
  <c r="JE94" i="1" s="1"/>
  <c r="JD95" i="1"/>
  <c r="JE95" i="1" s="1"/>
  <c r="JD96" i="1"/>
  <c r="JE96" i="1" s="1"/>
  <c r="JD97" i="1"/>
  <c r="JE97" i="1" s="1"/>
  <c r="JB60" i="1"/>
  <c r="JC60" i="1" s="1"/>
  <c r="JB66" i="1"/>
  <c r="JC66" i="1" s="1"/>
  <c r="JB64" i="1"/>
  <c r="JC64" i="1" s="1"/>
  <c r="JB89" i="1"/>
  <c r="JC89" i="1" s="1"/>
  <c r="JB92" i="1"/>
  <c r="JC92" i="1" s="1"/>
  <c r="JB24" i="1"/>
  <c r="JC24" i="1" s="1"/>
  <c r="JB3" i="1"/>
  <c r="JC3" i="1" s="1"/>
  <c r="JB4" i="1"/>
  <c r="JC4" i="1" s="1"/>
  <c r="JB5" i="1"/>
  <c r="JC5" i="1" s="1"/>
  <c r="JB6" i="1"/>
  <c r="JC6" i="1" s="1"/>
  <c r="JB7" i="1"/>
  <c r="JC7" i="1" s="1"/>
  <c r="JB8" i="1"/>
  <c r="JC8" i="1" s="1"/>
  <c r="JB9" i="1"/>
  <c r="JC9" i="1" s="1"/>
  <c r="JB10" i="1"/>
  <c r="JC10" i="1" s="1"/>
  <c r="JB11" i="1"/>
  <c r="JC11" i="1" s="1"/>
  <c r="JB12" i="1"/>
  <c r="JC12" i="1" s="1"/>
  <c r="JB13" i="1"/>
  <c r="JC13" i="1" s="1"/>
  <c r="JB14" i="1"/>
  <c r="JC14" i="1" s="1"/>
  <c r="JB15" i="1"/>
  <c r="JC15" i="1" s="1"/>
  <c r="JB16" i="1"/>
  <c r="JC16" i="1" s="1"/>
  <c r="JB17" i="1"/>
  <c r="JC17" i="1" s="1"/>
  <c r="JB18" i="1"/>
  <c r="JC18" i="1" s="1"/>
  <c r="JB19" i="1"/>
  <c r="JC19" i="1" s="1"/>
  <c r="JB20" i="1"/>
  <c r="JC20" i="1" s="1"/>
  <c r="JB21" i="1"/>
  <c r="JC21" i="1" s="1"/>
  <c r="JB22" i="1"/>
  <c r="JC22" i="1" s="1"/>
  <c r="JB23" i="1"/>
  <c r="JC23" i="1" s="1"/>
  <c r="JB25" i="1"/>
  <c r="JC25" i="1" s="1"/>
  <c r="JB26" i="1"/>
  <c r="JC26" i="1" s="1"/>
  <c r="JB27" i="1"/>
  <c r="JC27" i="1" s="1"/>
  <c r="JB28" i="1"/>
  <c r="JC28" i="1" s="1"/>
  <c r="JB29" i="1"/>
  <c r="JC29" i="1" s="1"/>
  <c r="JB30" i="1"/>
  <c r="JC30" i="1" s="1"/>
  <c r="JB31" i="1"/>
  <c r="JC31" i="1" s="1"/>
  <c r="JB32" i="1"/>
  <c r="JC32" i="1" s="1"/>
  <c r="JB33" i="1"/>
  <c r="JC33" i="1" s="1"/>
  <c r="JB34" i="1"/>
  <c r="JC34" i="1" s="1"/>
  <c r="JB35" i="1"/>
  <c r="JC35" i="1" s="1"/>
  <c r="JB36" i="1"/>
  <c r="JC36" i="1" s="1"/>
  <c r="JB37" i="1"/>
  <c r="JC37" i="1" s="1"/>
  <c r="JB38" i="1"/>
  <c r="JC38" i="1" s="1"/>
  <c r="JB39" i="1"/>
  <c r="JC39" i="1" s="1"/>
  <c r="JB40" i="1"/>
  <c r="JC40" i="1" s="1"/>
  <c r="JB41" i="1"/>
  <c r="JC41" i="1" s="1"/>
  <c r="JB42" i="1"/>
  <c r="JC42" i="1" s="1"/>
  <c r="JB43" i="1"/>
  <c r="JC43" i="1" s="1"/>
  <c r="JB44" i="1"/>
  <c r="JC44" i="1" s="1"/>
  <c r="JB45" i="1"/>
  <c r="JC45" i="1" s="1"/>
  <c r="JB46" i="1"/>
  <c r="JC46" i="1" s="1"/>
  <c r="JB47" i="1"/>
  <c r="JC47" i="1" s="1"/>
  <c r="JB48" i="1"/>
  <c r="JC48" i="1" s="1"/>
  <c r="JB49" i="1"/>
  <c r="JC49" i="1" s="1"/>
  <c r="JB50" i="1"/>
  <c r="JC50" i="1" s="1"/>
  <c r="JB51" i="1"/>
  <c r="JC51" i="1" s="1"/>
  <c r="JB52" i="1"/>
  <c r="JC52" i="1" s="1"/>
  <c r="JB53" i="1"/>
  <c r="JC53" i="1" s="1"/>
  <c r="JB54" i="1"/>
  <c r="JC54" i="1" s="1"/>
  <c r="JB55" i="1"/>
  <c r="JC55" i="1" s="1"/>
  <c r="JB56" i="1"/>
  <c r="JC56" i="1" s="1"/>
  <c r="JB57" i="1"/>
  <c r="JC57" i="1" s="1"/>
  <c r="JB58" i="1"/>
  <c r="JC58" i="1" s="1"/>
  <c r="JB59" i="1"/>
  <c r="JC59" i="1" s="1"/>
  <c r="JB61" i="1"/>
  <c r="JC61" i="1" s="1"/>
  <c r="JB62" i="1"/>
  <c r="JC62" i="1" s="1"/>
  <c r="JB63" i="1"/>
  <c r="JC63" i="1" s="1"/>
  <c r="JB65" i="1"/>
  <c r="JC65" i="1" s="1"/>
  <c r="JB67" i="1"/>
  <c r="JC67" i="1" s="1"/>
  <c r="JB68" i="1"/>
  <c r="JC68" i="1" s="1"/>
  <c r="JB69" i="1"/>
  <c r="JC69" i="1" s="1"/>
  <c r="JB70" i="1"/>
  <c r="JC70" i="1" s="1"/>
  <c r="JB71" i="1"/>
  <c r="JC71" i="1" s="1"/>
  <c r="JB72" i="1"/>
  <c r="JC72" i="1" s="1"/>
  <c r="JB73" i="1"/>
  <c r="JC73" i="1" s="1"/>
  <c r="JB74" i="1"/>
  <c r="JC74" i="1" s="1"/>
  <c r="JB75" i="1"/>
  <c r="JC75" i="1" s="1"/>
  <c r="JB76" i="1"/>
  <c r="JC76" i="1" s="1"/>
  <c r="JB77" i="1"/>
  <c r="JC77" i="1"/>
  <c r="JB78" i="1"/>
  <c r="JC78" i="1" s="1"/>
  <c r="JB80" i="1"/>
  <c r="JC80" i="1" s="1"/>
  <c r="JB81" i="1"/>
  <c r="JC81" i="1" s="1"/>
  <c r="JB82" i="1"/>
  <c r="JC82" i="1" s="1"/>
  <c r="JB83" i="1"/>
  <c r="JC83" i="1" s="1"/>
  <c r="JB84" i="1"/>
  <c r="JC84" i="1" s="1"/>
  <c r="JB85" i="1"/>
  <c r="JC85" i="1" s="1"/>
  <c r="JB86" i="1"/>
  <c r="JC86" i="1" s="1"/>
  <c r="JB87" i="1"/>
  <c r="JC87" i="1" s="1"/>
  <c r="JB88" i="1"/>
  <c r="JC88" i="1" s="1"/>
  <c r="JB90" i="1"/>
  <c r="JC90" i="1" s="1"/>
  <c r="JB91" i="1"/>
  <c r="JC91" i="1" s="1"/>
  <c r="JB93" i="1"/>
  <c r="JC93" i="1" s="1"/>
  <c r="JB94" i="1"/>
  <c r="JC94" i="1" s="1"/>
  <c r="JB95" i="1"/>
  <c r="JC95" i="1" s="1"/>
  <c r="JB96" i="1"/>
  <c r="JC96" i="1" s="1"/>
  <c r="JB97" i="1"/>
  <c r="JC97" i="1" s="1"/>
  <c r="IZ60" i="1"/>
  <c r="JA60" i="1" s="1"/>
  <c r="IZ66" i="1"/>
  <c r="JA66" i="1" s="1"/>
  <c r="IZ64" i="1"/>
  <c r="JA64" i="1"/>
  <c r="IZ89" i="1"/>
  <c r="JA89" i="1" s="1"/>
  <c r="IZ92" i="1"/>
  <c r="JA92" i="1" s="1"/>
  <c r="IZ3" i="1"/>
  <c r="JA3" i="1" s="1"/>
  <c r="IZ4" i="1"/>
  <c r="JA4" i="1" s="1"/>
  <c r="IZ5" i="1"/>
  <c r="JA5" i="1" s="1"/>
  <c r="IZ6" i="1"/>
  <c r="JA6" i="1" s="1"/>
  <c r="IZ7" i="1"/>
  <c r="JA7" i="1" s="1"/>
  <c r="IZ8" i="1"/>
  <c r="JA8" i="1" s="1"/>
  <c r="IZ9" i="1"/>
  <c r="JA9" i="1" s="1"/>
  <c r="IZ10" i="1"/>
  <c r="JA10" i="1" s="1"/>
  <c r="IZ11" i="1"/>
  <c r="JA11" i="1" s="1"/>
  <c r="IZ12" i="1"/>
  <c r="JA12" i="1" s="1"/>
  <c r="IZ13" i="1"/>
  <c r="JA13" i="1" s="1"/>
  <c r="IZ14" i="1"/>
  <c r="JA14" i="1" s="1"/>
  <c r="IZ15" i="1"/>
  <c r="JA15" i="1" s="1"/>
  <c r="IZ16" i="1"/>
  <c r="JA16" i="1" s="1"/>
  <c r="IZ17" i="1"/>
  <c r="JA17" i="1" s="1"/>
  <c r="IZ18" i="1"/>
  <c r="JA18" i="1" s="1"/>
  <c r="IZ19" i="1"/>
  <c r="JA19" i="1" s="1"/>
  <c r="IZ20" i="1"/>
  <c r="JA20" i="1" s="1"/>
  <c r="IZ21" i="1"/>
  <c r="JA21" i="1" s="1"/>
  <c r="IZ22" i="1"/>
  <c r="JA22" i="1" s="1"/>
  <c r="IZ23" i="1"/>
  <c r="JA23" i="1" s="1"/>
  <c r="IZ24" i="1"/>
  <c r="JA24" i="1" s="1"/>
  <c r="IZ25" i="1"/>
  <c r="JA25" i="1" s="1"/>
  <c r="IZ26" i="1"/>
  <c r="JA26" i="1" s="1"/>
  <c r="IZ27" i="1"/>
  <c r="JA27" i="1" s="1"/>
  <c r="IZ28" i="1"/>
  <c r="JA28" i="1" s="1"/>
  <c r="IZ29" i="1"/>
  <c r="JA29" i="1" s="1"/>
  <c r="IZ30" i="1"/>
  <c r="JA30" i="1" s="1"/>
  <c r="IZ31" i="1"/>
  <c r="JA31" i="1" s="1"/>
  <c r="IZ32" i="1"/>
  <c r="JA32" i="1" s="1"/>
  <c r="IZ33" i="1"/>
  <c r="JA33" i="1" s="1"/>
  <c r="IZ34" i="1"/>
  <c r="JA34" i="1" s="1"/>
  <c r="IZ35" i="1"/>
  <c r="JA35" i="1" s="1"/>
  <c r="IZ36" i="1"/>
  <c r="JA36" i="1" s="1"/>
  <c r="IZ37" i="1"/>
  <c r="JA37" i="1" s="1"/>
  <c r="IZ38" i="1"/>
  <c r="JA38" i="1" s="1"/>
  <c r="IZ39" i="1"/>
  <c r="JA39" i="1" s="1"/>
  <c r="IZ40" i="1"/>
  <c r="JA40" i="1" s="1"/>
  <c r="IZ41" i="1"/>
  <c r="JA41" i="1" s="1"/>
  <c r="IZ42" i="1"/>
  <c r="JA42" i="1" s="1"/>
  <c r="IZ43" i="1"/>
  <c r="JA43" i="1" s="1"/>
  <c r="IZ44" i="1"/>
  <c r="JA44" i="1" s="1"/>
  <c r="IZ45" i="1"/>
  <c r="JA45" i="1" s="1"/>
  <c r="IZ46" i="1"/>
  <c r="JA46" i="1" s="1"/>
  <c r="IZ47" i="1"/>
  <c r="JA47" i="1" s="1"/>
  <c r="IZ48" i="1"/>
  <c r="JA48" i="1" s="1"/>
  <c r="IZ49" i="1"/>
  <c r="JA49" i="1" s="1"/>
  <c r="IZ50" i="1"/>
  <c r="JA50" i="1" s="1"/>
  <c r="IZ51" i="1"/>
  <c r="JA51" i="1" s="1"/>
  <c r="IZ52" i="1"/>
  <c r="JA52" i="1" s="1"/>
  <c r="IZ53" i="1"/>
  <c r="JA53" i="1" s="1"/>
  <c r="IZ54" i="1"/>
  <c r="JA54" i="1" s="1"/>
  <c r="IZ55" i="1"/>
  <c r="JA55" i="1" s="1"/>
  <c r="IZ56" i="1"/>
  <c r="JA56" i="1" s="1"/>
  <c r="IZ57" i="1"/>
  <c r="JA57" i="1" s="1"/>
  <c r="IZ58" i="1"/>
  <c r="JA58" i="1" s="1"/>
  <c r="IZ59" i="1"/>
  <c r="JA59" i="1" s="1"/>
  <c r="IZ61" i="1"/>
  <c r="JA61" i="1" s="1"/>
  <c r="IZ62" i="1"/>
  <c r="JA62" i="1" s="1"/>
  <c r="IZ63" i="1"/>
  <c r="JA63" i="1" s="1"/>
  <c r="IZ65" i="1"/>
  <c r="JA65" i="1" s="1"/>
  <c r="IZ67" i="1"/>
  <c r="JA67" i="1" s="1"/>
  <c r="IZ68" i="1"/>
  <c r="JA68" i="1" s="1"/>
  <c r="IZ69" i="1"/>
  <c r="JA69" i="1" s="1"/>
  <c r="IZ70" i="1"/>
  <c r="JA70" i="1" s="1"/>
  <c r="IZ71" i="1"/>
  <c r="JA71" i="1" s="1"/>
  <c r="IZ72" i="1"/>
  <c r="JA72" i="1" s="1"/>
  <c r="IZ73" i="1"/>
  <c r="JA73" i="1" s="1"/>
  <c r="IZ74" i="1"/>
  <c r="JA74" i="1" s="1"/>
  <c r="IZ75" i="1"/>
  <c r="JA75" i="1" s="1"/>
  <c r="IZ76" i="1"/>
  <c r="JA76" i="1" s="1"/>
  <c r="IZ77" i="1"/>
  <c r="JA77" i="1" s="1"/>
  <c r="IZ78" i="1"/>
  <c r="JA78" i="1" s="1"/>
  <c r="IZ80" i="1"/>
  <c r="JA80" i="1" s="1"/>
  <c r="IZ81" i="1"/>
  <c r="JA81" i="1" s="1"/>
  <c r="IZ82" i="1"/>
  <c r="JA82" i="1" s="1"/>
  <c r="IZ83" i="1"/>
  <c r="JA83" i="1" s="1"/>
  <c r="IZ84" i="1"/>
  <c r="JA84" i="1" s="1"/>
  <c r="IZ85" i="1"/>
  <c r="JA85" i="1" s="1"/>
  <c r="IZ86" i="1"/>
  <c r="JA86" i="1" s="1"/>
  <c r="IZ87" i="1"/>
  <c r="JA87" i="1" s="1"/>
  <c r="IZ88" i="1"/>
  <c r="JA88" i="1" s="1"/>
  <c r="IZ90" i="1"/>
  <c r="JA90" i="1" s="1"/>
  <c r="IZ91" i="1"/>
  <c r="JA91" i="1" s="1"/>
  <c r="IZ93" i="1"/>
  <c r="JA93" i="1" s="1"/>
  <c r="IZ94" i="1"/>
  <c r="JA94" i="1" s="1"/>
  <c r="IZ95" i="1"/>
  <c r="JA95" i="1" s="1"/>
  <c r="IZ96" i="1"/>
  <c r="JA96" i="1" s="1"/>
  <c r="IZ97" i="1"/>
  <c r="JA97" i="1" s="1"/>
  <c r="IX60" i="1"/>
  <c r="IY60" i="1" s="1"/>
  <c r="IX66" i="1"/>
  <c r="IY66" i="1" s="1"/>
  <c r="IX64" i="1"/>
  <c r="IY64" i="1" s="1"/>
  <c r="IX89" i="1"/>
  <c r="IY89" i="1" s="1"/>
  <c r="IX92" i="1"/>
  <c r="IY92" i="1" s="1"/>
  <c r="IX3" i="1"/>
  <c r="IY3" i="1" s="1"/>
  <c r="IX4" i="1"/>
  <c r="IY4" i="1" s="1"/>
  <c r="IX5" i="1"/>
  <c r="IY5" i="1" s="1"/>
  <c r="IX6" i="1"/>
  <c r="IY6" i="1" s="1"/>
  <c r="IX7" i="1"/>
  <c r="IY7" i="1" s="1"/>
  <c r="IX8" i="1"/>
  <c r="IY8" i="1" s="1"/>
  <c r="IX9" i="1"/>
  <c r="IY9" i="1" s="1"/>
  <c r="IX10" i="1"/>
  <c r="IY10" i="1" s="1"/>
  <c r="IX11" i="1"/>
  <c r="IY11" i="1" s="1"/>
  <c r="IX12" i="1"/>
  <c r="IY12" i="1" s="1"/>
  <c r="IX13" i="1"/>
  <c r="IY13" i="1" s="1"/>
  <c r="IX14" i="1"/>
  <c r="IY14" i="1" s="1"/>
  <c r="IX15" i="1"/>
  <c r="IY15" i="1"/>
  <c r="IX16" i="1"/>
  <c r="IY16" i="1"/>
  <c r="IX17" i="1"/>
  <c r="IY17" i="1" s="1"/>
  <c r="IX18" i="1"/>
  <c r="IY18" i="1" s="1"/>
  <c r="IX19" i="1"/>
  <c r="IY19" i="1" s="1"/>
  <c r="IX20" i="1"/>
  <c r="IY20" i="1" s="1"/>
  <c r="IX21" i="1"/>
  <c r="IY21" i="1" s="1"/>
  <c r="IX22" i="1"/>
  <c r="IY22" i="1" s="1"/>
  <c r="IX23" i="1"/>
  <c r="IY23" i="1"/>
  <c r="IX24" i="1"/>
  <c r="IY24" i="1" s="1"/>
  <c r="IX25" i="1"/>
  <c r="IY25" i="1" s="1"/>
  <c r="IX26" i="1"/>
  <c r="IY26" i="1" s="1"/>
  <c r="IX27" i="1"/>
  <c r="IY27" i="1" s="1"/>
  <c r="IX28" i="1"/>
  <c r="IY28" i="1"/>
  <c r="IX29" i="1"/>
  <c r="IY29" i="1"/>
  <c r="IX30" i="1"/>
  <c r="IY30" i="1" s="1"/>
  <c r="IX31" i="1"/>
  <c r="IY31" i="1" s="1"/>
  <c r="IX32" i="1"/>
  <c r="IY32" i="1" s="1"/>
  <c r="IX33" i="1"/>
  <c r="IY33" i="1" s="1"/>
  <c r="IX34" i="1"/>
  <c r="IY34" i="1" s="1"/>
  <c r="IX35" i="1"/>
  <c r="IY35" i="1" s="1"/>
  <c r="IX36" i="1"/>
  <c r="IY36" i="1" s="1"/>
  <c r="IX37" i="1"/>
  <c r="IY37" i="1" s="1"/>
  <c r="IX38" i="1"/>
  <c r="IY38" i="1" s="1"/>
  <c r="IX39" i="1"/>
  <c r="IY39" i="1" s="1"/>
  <c r="IX40" i="1"/>
  <c r="IY40" i="1" s="1"/>
  <c r="IX41" i="1"/>
  <c r="IY41" i="1" s="1"/>
  <c r="IX42" i="1"/>
  <c r="IY42" i="1" s="1"/>
  <c r="IX43" i="1"/>
  <c r="IY43" i="1" s="1"/>
  <c r="IX44" i="1"/>
  <c r="IY44" i="1" s="1"/>
  <c r="IX45" i="1"/>
  <c r="IY45" i="1" s="1"/>
  <c r="IX46" i="1"/>
  <c r="IY46" i="1" s="1"/>
  <c r="IX47" i="1"/>
  <c r="IY47" i="1" s="1"/>
  <c r="IX48" i="1"/>
  <c r="IY48" i="1" s="1"/>
  <c r="IX49" i="1"/>
  <c r="IY49" i="1" s="1"/>
  <c r="IX50" i="1"/>
  <c r="IY50" i="1" s="1"/>
  <c r="IX51" i="1"/>
  <c r="IY51" i="1" s="1"/>
  <c r="IX52" i="1"/>
  <c r="IY52" i="1" s="1"/>
  <c r="IX53" i="1"/>
  <c r="IY53" i="1" s="1"/>
  <c r="IX54" i="1"/>
  <c r="IY54" i="1" s="1"/>
  <c r="IX55" i="1"/>
  <c r="IY55" i="1" s="1"/>
  <c r="IX56" i="1"/>
  <c r="IY56" i="1" s="1"/>
  <c r="IX57" i="1"/>
  <c r="IY57" i="1" s="1"/>
  <c r="IX58" i="1"/>
  <c r="IY58" i="1" s="1"/>
  <c r="IX59" i="1"/>
  <c r="IY59" i="1" s="1"/>
  <c r="IX61" i="1"/>
  <c r="IY61" i="1" s="1"/>
  <c r="IX62" i="1"/>
  <c r="IY62" i="1" s="1"/>
  <c r="IX63" i="1"/>
  <c r="IY63" i="1" s="1"/>
  <c r="IX65" i="1"/>
  <c r="IY65" i="1" s="1"/>
  <c r="IX67" i="1"/>
  <c r="IY67" i="1" s="1"/>
  <c r="IX68" i="1"/>
  <c r="IY68" i="1" s="1"/>
  <c r="IX69" i="1"/>
  <c r="IY69" i="1" s="1"/>
  <c r="IX70" i="1"/>
  <c r="IY70" i="1" s="1"/>
  <c r="IX71" i="1"/>
  <c r="IY71" i="1" s="1"/>
  <c r="IX72" i="1"/>
  <c r="IY72" i="1" s="1"/>
  <c r="IX73" i="1"/>
  <c r="IY73" i="1" s="1"/>
  <c r="IX74" i="1"/>
  <c r="IY74" i="1" s="1"/>
  <c r="IX75" i="1"/>
  <c r="IY75" i="1" s="1"/>
  <c r="IX76" i="1"/>
  <c r="IY76" i="1" s="1"/>
  <c r="IX77" i="1"/>
  <c r="IY77" i="1" s="1"/>
  <c r="IX78" i="1"/>
  <c r="IY78" i="1" s="1"/>
  <c r="IX80" i="1"/>
  <c r="IY80" i="1" s="1"/>
  <c r="IX81" i="1"/>
  <c r="IY81" i="1" s="1"/>
  <c r="IX82" i="1"/>
  <c r="IY82" i="1" s="1"/>
  <c r="IX83" i="1"/>
  <c r="IY83" i="1" s="1"/>
  <c r="IX84" i="1"/>
  <c r="IY84" i="1" s="1"/>
  <c r="IX85" i="1"/>
  <c r="IY85" i="1" s="1"/>
  <c r="IX86" i="1"/>
  <c r="IY86" i="1" s="1"/>
  <c r="IX87" i="1"/>
  <c r="IY87" i="1" s="1"/>
  <c r="IX88" i="1"/>
  <c r="IY88" i="1" s="1"/>
  <c r="IX90" i="1"/>
  <c r="IY90" i="1" s="1"/>
  <c r="IX91" i="1"/>
  <c r="IY91" i="1" s="1"/>
  <c r="IX93" i="1"/>
  <c r="IY93" i="1" s="1"/>
  <c r="IX94" i="1"/>
  <c r="IY94" i="1" s="1"/>
  <c r="IX95" i="1"/>
  <c r="IY95" i="1" s="1"/>
  <c r="IX96" i="1"/>
  <c r="IY96" i="1" s="1"/>
  <c r="IX97" i="1"/>
  <c r="IY97" i="1" s="1"/>
  <c r="IV60" i="1"/>
  <c r="IW60" i="1" s="1"/>
  <c r="IV66" i="1"/>
  <c r="IW66" i="1" s="1"/>
  <c r="IV64" i="1"/>
  <c r="IW64" i="1" s="1"/>
  <c r="IV89" i="1"/>
  <c r="IW89" i="1" s="1"/>
  <c r="IV92" i="1"/>
  <c r="IW92" i="1" s="1"/>
  <c r="IV3" i="1"/>
  <c r="IW3" i="1" s="1"/>
  <c r="IV4" i="1"/>
  <c r="IW4" i="1" s="1"/>
  <c r="IV5" i="1"/>
  <c r="IW5" i="1" s="1"/>
  <c r="IV6" i="1"/>
  <c r="IW6" i="1" s="1"/>
  <c r="IV7" i="1"/>
  <c r="IW7" i="1" s="1"/>
  <c r="IV8" i="1"/>
  <c r="IW8" i="1" s="1"/>
  <c r="IV9" i="1"/>
  <c r="IW9" i="1" s="1"/>
  <c r="IV10" i="1"/>
  <c r="IW10" i="1" s="1"/>
  <c r="IV11" i="1"/>
  <c r="IW11" i="1" s="1"/>
  <c r="IV12" i="1"/>
  <c r="IW12" i="1" s="1"/>
  <c r="IV13" i="1"/>
  <c r="IW13" i="1" s="1"/>
  <c r="IV14" i="1"/>
  <c r="IW14" i="1" s="1"/>
  <c r="IV15" i="1"/>
  <c r="IW15" i="1" s="1"/>
  <c r="IV16" i="1"/>
  <c r="IW16" i="1" s="1"/>
  <c r="IV17" i="1"/>
  <c r="IW17" i="1" s="1"/>
  <c r="IV18" i="1"/>
  <c r="IW18" i="1" s="1"/>
  <c r="IV19" i="1"/>
  <c r="IW19" i="1" s="1"/>
  <c r="IV20" i="1"/>
  <c r="IW20" i="1" s="1"/>
  <c r="IV21" i="1"/>
  <c r="IW21" i="1" s="1"/>
  <c r="IV22" i="1"/>
  <c r="IW22" i="1" s="1"/>
  <c r="IV23" i="1"/>
  <c r="IW23" i="1" s="1"/>
  <c r="IV24" i="1"/>
  <c r="IW24" i="1" s="1"/>
  <c r="IV25" i="1"/>
  <c r="IW25" i="1" s="1"/>
  <c r="IV26" i="1"/>
  <c r="IW26" i="1" s="1"/>
  <c r="IV27" i="1"/>
  <c r="IW27" i="1" s="1"/>
  <c r="IV28" i="1"/>
  <c r="IW28" i="1" s="1"/>
  <c r="IV29" i="1"/>
  <c r="IW29" i="1" s="1"/>
  <c r="IV30" i="1"/>
  <c r="IW30" i="1" s="1"/>
  <c r="IV31" i="1"/>
  <c r="IW31" i="1" s="1"/>
  <c r="IV32" i="1"/>
  <c r="IW32" i="1" s="1"/>
  <c r="IV33" i="1"/>
  <c r="IW33" i="1" s="1"/>
  <c r="IV34" i="1"/>
  <c r="IW34" i="1" s="1"/>
  <c r="IV35" i="1"/>
  <c r="IW35" i="1" s="1"/>
  <c r="IV36" i="1"/>
  <c r="IW36" i="1" s="1"/>
  <c r="IV37" i="1"/>
  <c r="IW37" i="1" s="1"/>
  <c r="IV38" i="1"/>
  <c r="IW38" i="1" s="1"/>
  <c r="IV39" i="1"/>
  <c r="IW39" i="1" s="1"/>
  <c r="IV40" i="1"/>
  <c r="IW40" i="1" s="1"/>
  <c r="IV41" i="1"/>
  <c r="IW41" i="1" s="1"/>
  <c r="IV42" i="1"/>
  <c r="IW42" i="1" s="1"/>
  <c r="IV43" i="1"/>
  <c r="IW43" i="1" s="1"/>
  <c r="IV44" i="1"/>
  <c r="IW44" i="1" s="1"/>
  <c r="IV45" i="1"/>
  <c r="IW45" i="1" s="1"/>
  <c r="IV46" i="1"/>
  <c r="IW46" i="1" s="1"/>
  <c r="IV47" i="1"/>
  <c r="IW47" i="1" s="1"/>
  <c r="IV48" i="1"/>
  <c r="IW48" i="1" s="1"/>
  <c r="IV49" i="1"/>
  <c r="IW49" i="1" s="1"/>
  <c r="IV50" i="1"/>
  <c r="IW50" i="1" s="1"/>
  <c r="IV51" i="1"/>
  <c r="IW51" i="1" s="1"/>
  <c r="IV52" i="1"/>
  <c r="IW52" i="1" s="1"/>
  <c r="IV53" i="1"/>
  <c r="IW53" i="1" s="1"/>
  <c r="IV54" i="1"/>
  <c r="IW54" i="1" s="1"/>
  <c r="IV55" i="1"/>
  <c r="IW55" i="1" s="1"/>
  <c r="IV56" i="1"/>
  <c r="IW56" i="1" s="1"/>
  <c r="IV57" i="1"/>
  <c r="IW57" i="1" s="1"/>
  <c r="IV58" i="1"/>
  <c r="IW58" i="1" s="1"/>
  <c r="IV59" i="1"/>
  <c r="IW59" i="1" s="1"/>
  <c r="IV61" i="1"/>
  <c r="IW61" i="1" s="1"/>
  <c r="IV62" i="1"/>
  <c r="IW62" i="1" s="1"/>
  <c r="IV63" i="1"/>
  <c r="IW63" i="1" s="1"/>
  <c r="IV65" i="1"/>
  <c r="IW65" i="1" s="1"/>
  <c r="IV67" i="1"/>
  <c r="IW67" i="1" s="1"/>
  <c r="IV68" i="1"/>
  <c r="IW68" i="1" s="1"/>
  <c r="IV69" i="1"/>
  <c r="IW69" i="1" s="1"/>
  <c r="IV70" i="1"/>
  <c r="IW70" i="1" s="1"/>
  <c r="IV71" i="1"/>
  <c r="IW71" i="1" s="1"/>
  <c r="IV72" i="1"/>
  <c r="IW72" i="1" s="1"/>
  <c r="IV73" i="1"/>
  <c r="IW73" i="1" s="1"/>
  <c r="IV74" i="1"/>
  <c r="IW74" i="1" s="1"/>
  <c r="IV75" i="1"/>
  <c r="IW75" i="1" s="1"/>
  <c r="IV76" i="1"/>
  <c r="IW76" i="1" s="1"/>
  <c r="IV77" i="1"/>
  <c r="IW77" i="1" s="1"/>
  <c r="IV78" i="1"/>
  <c r="IW78" i="1" s="1"/>
  <c r="IV79" i="1"/>
  <c r="IW79" i="1" s="1"/>
  <c r="IV80" i="1"/>
  <c r="IW80" i="1" s="1"/>
  <c r="IV81" i="1"/>
  <c r="IW81" i="1" s="1"/>
  <c r="IV82" i="1"/>
  <c r="IW82" i="1" s="1"/>
  <c r="IV83" i="1"/>
  <c r="IW83" i="1" s="1"/>
  <c r="IV84" i="1"/>
  <c r="IW84" i="1" s="1"/>
  <c r="IV85" i="1"/>
  <c r="IW85" i="1" s="1"/>
  <c r="IV86" i="1"/>
  <c r="IW86" i="1" s="1"/>
  <c r="IV87" i="1"/>
  <c r="IW87" i="1" s="1"/>
  <c r="IV88" i="1"/>
  <c r="IW88" i="1" s="1"/>
  <c r="IV90" i="1"/>
  <c r="IW90" i="1" s="1"/>
  <c r="IV91" i="1"/>
  <c r="IW91" i="1" s="1"/>
  <c r="IV93" i="1"/>
  <c r="IW93" i="1" s="1"/>
  <c r="IV94" i="1"/>
  <c r="IW94" i="1" s="1"/>
  <c r="IV95" i="1"/>
  <c r="IW95" i="1" s="1"/>
  <c r="IV96" i="1"/>
  <c r="IW96" i="1" s="1"/>
  <c r="IV97" i="1"/>
  <c r="IW97" i="1" s="1"/>
  <c r="IT60" i="1"/>
  <c r="IU60" i="1" s="1"/>
  <c r="IT66" i="1"/>
  <c r="IU66" i="1" s="1"/>
  <c r="IT64" i="1"/>
  <c r="IU64" i="1" s="1"/>
  <c r="IT3" i="1"/>
  <c r="IU3" i="1" s="1"/>
  <c r="IT4" i="1"/>
  <c r="IU4" i="1" s="1"/>
  <c r="IT5" i="1"/>
  <c r="IU5" i="1" s="1"/>
  <c r="IT6" i="1"/>
  <c r="IU6" i="1" s="1"/>
  <c r="IT7" i="1"/>
  <c r="IU7" i="1" s="1"/>
  <c r="IT8" i="1"/>
  <c r="IU8" i="1"/>
  <c r="IT9" i="1"/>
  <c r="IU9" i="1" s="1"/>
  <c r="IT10" i="1"/>
  <c r="IU10" i="1" s="1"/>
  <c r="IT11" i="1"/>
  <c r="IU11" i="1" s="1"/>
  <c r="IT12" i="1"/>
  <c r="IU12" i="1" s="1"/>
  <c r="IT13" i="1"/>
  <c r="IU13" i="1" s="1"/>
  <c r="IT14" i="1"/>
  <c r="IU14" i="1" s="1"/>
  <c r="IT15" i="1"/>
  <c r="IU15" i="1"/>
  <c r="IT16" i="1"/>
  <c r="IU16" i="1" s="1"/>
  <c r="IT17" i="1"/>
  <c r="IU17" i="1" s="1"/>
  <c r="IT18" i="1"/>
  <c r="IU18" i="1" s="1"/>
  <c r="IT19" i="1"/>
  <c r="IU19" i="1"/>
  <c r="IT20" i="1"/>
  <c r="IU20" i="1" s="1"/>
  <c r="IT21" i="1"/>
  <c r="IU21" i="1" s="1"/>
  <c r="IT22" i="1"/>
  <c r="IU22" i="1" s="1"/>
  <c r="IT23" i="1"/>
  <c r="IU23" i="1" s="1"/>
  <c r="IT24" i="1"/>
  <c r="IU24" i="1" s="1"/>
  <c r="IT25" i="1"/>
  <c r="IU25" i="1" s="1"/>
  <c r="IT26" i="1"/>
  <c r="IU26" i="1" s="1"/>
  <c r="IT27" i="1"/>
  <c r="IU27" i="1" s="1"/>
  <c r="IT28" i="1"/>
  <c r="IU28" i="1" s="1"/>
  <c r="IT29" i="1"/>
  <c r="IU29" i="1" s="1"/>
  <c r="IT30" i="1"/>
  <c r="IU30" i="1" s="1"/>
  <c r="IT31" i="1"/>
  <c r="IU31" i="1" s="1"/>
  <c r="IT32" i="1"/>
  <c r="IU32" i="1" s="1"/>
  <c r="IT33" i="1"/>
  <c r="IU33" i="1" s="1"/>
  <c r="IT34" i="1"/>
  <c r="IU34" i="1" s="1"/>
  <c r="IT35" i="1"/>
  <c r="IU35" i="1" s="1"/>
  <c r="IT36" i="1"/>
  <c r="IU36" i="1" s="1"/>
  <c r="IT37" i="1"/>
  <c r="IU37" i="1" s="1"/>
  <c r="IT38" i="1"/>
  <c r="IU38" i="1" s="1"/>
  <c r="IT39" i="1"/>
  <c r="IU39" i="1" s="1"/>
  <c r="IT40" i="1"/>
  <c r="IU40" i="1"/>
  <c r="IT41" i="1"/>
  <c r="IU41" i="1" s="1"/>
  <c r="IT42" i="1"/>
  <c r="IU42" i="1" s="1"/>
  <c r="IT43" i="1"/>
  <c r="IU43" i="1" s="1"/>
  <c r="IT44" i="1"/>
  <c r="IU44" i="1" s="1"/>
  <c r="IT45" i="1"/>
  <c r="IU45" i="1" s="1"/>
  <c r="IT46" i="1"/>
  <c r="IU46" i="1" s="1"/>
  <c r="IT47" i="1"/>
  <c r="IU47" i="1" s="1"/>
  <c r="IT48" i="1"/>
  <c r="IU48" i="1" s="1"/>
  <c r="IT49" i="1"/>
  <c r="IU49" i="1" s="1"/>
  <c r="IT50" i="1"/>
  <c r="IU50" i="1" s="1"/>
  <c r="IT51" i="1"/>
  <c r="IU51" i="1" s="1"/>
  <c r="IT52" i="1"/>
  <c r="IU52" i="1" s="1"/>
  <c r="IT53" i="1"/>
  <c r="IU53" i="1" s="1"/>
  <c r="IT54" i="1"/>
  <c r="IU54" i="1" s="1"/>
  <c r="IT55" i="1"/>
  <c r="IU55" i="1" s="1"/>
  <c r="IT56" i="1"/>
  <c r="IU56" i="1" s="1"/>
  <c r="IT57" i="1"/>
  <c r="IU57" i="1" s="1"/>
  <c r="IT58" i="1"/>
  <c r="IU58" i="1" s="1"/>
  <c r="IT59" i="1"/>
  <c r="IU59" i="1" s="1"/>
  <c r="IT61" i="1"/>
  <c r="IU61" i="1" s="1"/>
  <c r="IT62" i="1"/>
  <c r="IU62" i="1" s="1"/>
  <c r="IT63" i="1"/>
  <c r="IU63" i="1" s="1"/>
  <c r="IT65" i="1"/>
  <c r="IU65" i="1"/>
  <c r="IT67" i="1"/>
  <c r="IU67" i="1" s="1"/>
  <c r="IT68" i="1"/>
  <c r="IU68" i="1" s="1"/>
  <c r="IT69" i="1"/>
  <c r="IU69" i="1" s="1"/>
  <c r="IT70" i="1"/>
  <c r="IU70" i="1" s="1"/>
  <c r="IT71" i="1"/>
  <c r="IU71" i="1" s="1"/>
  <c r="IT72" i="1"/>
  <c r="IU72" i="1" s="1"/>
  <c r="IT73" i="1"/>
  <c r="IU73" i="1" s="1"/>
  <c r="IT74" i="1"/>
  <c r="IU74" i="1" s="1"/>
  <c r="IT75" i="1"/>
  <c r="IU75" i="1" s="1"/>
  <c r="IT76" i="1"/>
  <c r="IU76" i="1" s="1"/>
  <c r="IT77" i="1"/>
  <c r="IU77" i="1" s="1"/>
  <c r="IT78" i="1"/>
  <c r="IU78" i="1" s="1"/>
  <c r="IT80" i="1"/>
  <c r="IU80" i="1" s="1"/>
  <c r="IT81" i="1"/>
  <c r="IU81" i="1" s="1"/>
  <c r="IT82" i="1"/>
  <c r="IU82" i="1" s="1"/>
  <c r="IT83" i="1"/>
  <c r="IU83" i="1" s="1"/>
  <c r="IT84" i="1"/>
  <c r="IU84" i="1" s="1"/>
  <c r="IT85" i="1"/>
  <c r="IU85" i="1" s="1"/>
  <c r="IT86" i="1"/>
  <c r="IU86" i="1" s="1"/>
  <c r="IT87" i="1"/>
  <c r="IU87" i="1" s="1"/>
  <c r="IT88" i="1"/>
  <c r="IU88" i="1" s="1"/>
  <c r="IT89" i="1"/>
  <c r="IU89" i="1" s="1"/>
  <c r="IT90" i="1"/>
  <c r="IU90" i="1" s="1"/>
  <c r="IT91" i="1"/>
  <c r="IU91" i="1" s="1"/>
  <c r="IT92" i="1"/>
  <c r="IU92" i="1" s="1"/>
  <c r="IT93" i="1"/>
  <c r="IU93" i="1" s="1"/>
  <c r="IT94" i="1"/>
  <c r="IU94" i="1" s="1"/>
  <c r="IT95" i="1"/>
  <c r="IU95" i="1"/>
  <c r="IT96" i="1"/>
  <c r="IU96" i="1" s="1"/>
  <c r="IT97" i="1"/>
  <c r="IU97" i="1" s="1"/>
  <c r="IR60" i="1"/>
  <c r="IS60" i="1" s="1"/>
  <c r="IR66" i="1"/>
  <c r="IS66" i="1" s="1"/>
  <c r="IR64" i="1"/>
  <c r="IS64" i="1" s="1"/>
  <c r="IR3" i="1"/>
  <c r="IS3" i="1" s="1"/>
  <c r="IR4" i="1"/>
  <c r="IS4" i="1" s="1"/>
  <c r="IR5" i="1"/>
  <c r="IS5" i="1" s="1"/>
  <c r="IR6" i="1"/>
  <c r="IS6" i="1" s="1"/>
  <c r="IR7" i="1"/>
  <c r="IS7" i="1" s="1"/>
  <c r="IR8" i="1"/>
  <c r="IS8" i="1" s="1"/>
  <c r="IR9" i="1"/>
  <c r="IS9" i="1" s="1"/>
  <c r="IR10" i="1"/>
  <c r="IS10" i="1" s="1"/>
  <c r="IR11" i="1"/>
  <c r="IS11" i="1" s="1"/>
  <c r="IR12" i="1"/>
  <c r="IS12" i="1" s="1"/>
  <c r="IR13" i="1"/>
  <c r="IS13" i="1" s="1"/>
  <c r="IR14" i="1"/>
  <c r="IS14" i="1" s="1"/>
  <c r="IR15" i="1"/>
  <c r="IS15" i="1" s="1"/>
  <c r="IR16" i="1"/>
  <c r="IS16" i="1" s="1"/>
  <c r="IR17" i="1"/>
  <c r="IS17" i="1" s="1"/>
  <c r="IR18" i="1"/>
  <c r="IS18" i="1" s="1"/>
  <c r="IR19" i="1"/>
  <c r="IS19" i="1" s="1"/>
  <c r="IR20" i="1"/>
  <c r="IS20" i="1" s="1"/>
  <c r="IR21" i="1"/>
  <c r="IS21" i="1" s="1"/>
  <c r="IR22" i="1"/>
  <c r="IS22" i="1" s="1"/>
  <c r="IR23" i="1"/>
  <c r="IS23" i="1" s="1"/>
  <c r="IR24" i="1"/>
  <c r="IS24" i="1" s="1"/>
  <c r="IR25" i="1"/>
  <c r="IS25" i="1" s="1"/>
  <c r="IR26" i="1"/>
  <c r="IS26" i="1" s="1"/>
  <c r="IR27" i="1"/>
  <c r="IS27" i="1" s="1"/>
  <c r="IR28" i="1"/>
  <c r="IS28" i="1" s="1"/>
  <c r="IR29" i="1"/>
  <c r="IS29" i="1" s="1"/>
  <c r="IR30" i="1"/>
  <c r="IS30" i="1" s="1"/>
  <c r="IR31" i="1"/>
  <c r="IS31" i="1" s="1"/>
  <c r="IR32" i="1"/>
  <c r="IS32" i="1" s="1"/>
  <c r="IR33" i="1"/>
  <c r="IS33" i="1" s="1"/>
  <c r="IR34" i="1"/>
  <c r="IS34" i="1" s="1"/>
  <c r="IR35" i="1"/>
  <c r="IS35" i="1" s="1"/>
  <c r="IR36" i="1"/>
  <c r="IS36" i="1" s="1"/>
  <c r="IR37" i="1"/>
  <c r="IS37" i="1" s="1"/>
  <c r="IR38" i="1"/>
  <c r="IS38" i="1" s="1"/>
  <c r="IR39" i="1"/>
  <c r="IS39" i="1" s="1"/>
  <c r="IR40" i="1"/>
  <c r="IS40" i="1" s="1"/>
  <c r="IR41" i="1"/>
  <c r="IS41" i="1" s="1"/>
  <c r="IR42" i="1"/>
  <c r="IS42" i="1" s="1"/>
  <c r="IR43" i="1"/>
  <c r="IS43" i="1" s="1"/>
  <c r="IR44" i="1"/>
  <c r="IS44" i="1" s="1"/>
  <c r="IR45" i="1"/>
  <c r="IS45" i="1" s="1"/>
  <c r="IR46" i="1"/>
  <c r="IS46" i="1" s="1"/>
  <c r="IR47" i="1"/>
  <c r="IS47" i="1" s="1"/>
  <c r="IR48" i="1"/>
  <c r="IS48" i="1" s="1"/>
  <c r="IR49" i="1"/>
  <c r="IS49" i="1" s="1"/>
  <c r="IR50" i="1"/>
  <c r="IS50" i="1" s="1"/>
  <c r="IR51" i="1"/>
  <c r="IS51" i="1" s="1"/>
  <c r="IR52" i="1"/>
  <c r="IS52" i="1" s="1"/>
  <c r="IR53" i="1"/>
  <c r="IS53" i="1" s="1"/>
  <c r="IR54" i="1"/>
  <c r="IS54" i="1" s="1"/>
  <c r="IR55" i="1"/>
  <c r="IS55" i="1" s="1"/>
  <c r="IR56" i="1"/>
  <c r="IS56" i="1" s="1"/>
  <c r="IR57" i="1"/>
  <c r="IS57" i="1" s="1"/>
  <c r="IR58" i="1"/>
  <c r="IS58" i="1" s="1"/>
  <c r="IR59" i="1"/>
  <c r="IS59" i="1" s="1"/>
  <c r="IR61" i="1"/>
  <c r="IS61" i="1" s="1"/>
  <c r="IR62" i="1"/>
  <c r="IS62" i="1" s="1"/>
  <c r="IR63" i="1"/>
  <c r="IS63" i="1" s="1"/>
  <c r="IR65" i="1"/>
  <c r="IS65" i="1" s="1"/>
  <c r="IR67" i="1"/>
  <c r="IS67" i="1" s="1"/>
  <c r="IR68" i="1"/>
  <c r="IS68" i="1" s="1"/>
  <c r="IR69" i="1"/>
  <c r="IS69" i="1" s="1"/>
  <c r="IR70" i="1"/>
  <c r="IS70" i="1" s="1"/>
  <c r="IR71" i="1"/>
  <c r="IS71" i="1" s="1"/>
  <c r="IR72" i="1"/>
  <c r="IS72" i="1" s="1"/>
  <c r="IR73" i="1"/>
  <c r="IS73" i="1" s="1"/>
  <c r="IR74" i="1"/>
  <c r="IS74" i="1" s="1"/>
  <c r="IR75" i="1"/>
  <c r="IS75" i="1" s="1"/>
  <c r="IR76" i="1"/>
  <c r="IS76" i="1" s="1"/>
  <c r="IR77" i="1"/>
  <c r="IS77" i="1" s="1"/>
  <c r="IR78" i="1"/>
  <c r="IS78" i="1" s="1"/>
  <c r="IR79" i="1"/>
  <c r="IS79" i="1" s="1"/>
  <c r="IR80" i="1"/>
  <c r="IS80" i="1" s="1"/>
  <c r="IR81" i="1"/>
  <c r="IS81" i="1" s="1"/>
  <c r="IR82" i="1"/>
  <c r="IS82" i="1" s="1"/>
  <c r="IR83" i="1"/>
  <c r="IS83" i="1" s="1"/>
  <c r="IR84" i="1"/>
  <c r="IS84" i="1" s="1"/>
  <c r="IR85" i="1"/>
  <c r="IS85" i="1" s="1"/>
  <c r="IR86" i="1"/>
  <c r="IS86" i="1" s="1"/>
  <c r="IR87" i="1"/>
  <c r="IS87" i="1" s="1"/>
  <c r="IR88" i="1"/>
  <c r="IS88" i="1" s="1"/>
  <c r="IR89" i="1"/>
  <c r="IS89" i="1" s="1"/>
  <c r="IR90" i="1"/>
  <c r="IS90" i="1" s="1"/>
  <c r="IR91" i="1"/>
  <c r="IS91" i="1" s="1"/>
  <c r="IR92" i="1"/>
  <c r="IS92" i="1" s="1"/>
  <c r="IR93" i="1"/>
  <c r="IS93" i="1" s="1"/>
  <c r="IR94" i="1"/>
  <c r="IS94" i="1" s="1"/>
  <c r="IR95" i="1"/>
  <c r="IS95" i="1" s="1"/>
  <c r="IR96" i="1"/>
  <c r="IS96" i="1" s="1"/>
  <c r="IR97" i="1"/>
  <c r="IS97" i="1" s="1"/>
  <c r="IP60" i="1"/>
  <c r="IQ60" i="1" s="1"/>
  <c r="IP66" i="1"/>
  <c r="IQ66" i="1" s="1"/>
  <c r="IP3" i="1"/>
  <c r="IQ3" i="1" s="1"/>
  <c r="IP4" i="1"/>
  <c r="IQ4" i="1" s="1"/>
  <c r="IP5" i="1"/>
  <c r="IQ5" i="1" s="1"/>
  <c r="IP6" i="1"/>
  <c r="IQ6" i="1" s="1"/>
  <c r="IP7" i="1"/>
  <c r="IQ7" i="1" s="1"/>
  <c r="IP8" i="1"/>
  <c r="IQ8" i="1" s="1"/>
  <c r="IP9" i="1"/>
  <c r="IQ9" i="1" s="1"/>
  <c r="IP10" i="1"/>
  <c r="IQ10" i="1" s="1"/>
  <c r="IP11" i="1"/>
  <c r="IQ11" i="1" s="1"/>
  <c r="IP12" i="1"/>
  <c r="IQ12" i="1" s="1"/>
  <c r="IP13" i="1"/>
  <c r="IQ13" i="1"/>
  <c r="IP14" i="1"/>
  <c r="IQ14" i="1" s="1"/>
  <c r="IP15" i="1"/>
  <c r="IQ15" i="1" s="1"/>
  <c r="IP16" i="1"/>
  <c r="IQ16" i="1" s="1"/>
  <c r="IP17" i="1"/>
  <c r="IQ17" i="1" s="1"/>
  <c r="IP18" i="1"/>
  <c r="IQ18" i="1" s="1"/>
  <c r="IP19" i="1"/>
  <c r="IQ19" i="1" s="1"/>
  <c r="IP20" i="1"/>
  <c r="IQ20" i="1" s="1"/>
  <c r="IP21" i="1"/>
  <c r="IQ21" i="1" s="1"/>
  <c r="IP22" i="1"/>
  <c r="IQ22" i="1" s="1"/>
  <c r="IP23" i="1"/>
  <c r="IQ23" i="1" s="1"/>
  <c r="IP24" i="1"/>
  <c r="IQ24" i="1" s="1"/>
  <c r="IP25" i="1"/>
  <c r="IQ25" i="1" s="1"/>
  <c r="IP26" i="1"/>
  <c r="IQ26" i="1" s="1"/>
  <c r="IP27" i="1"/>
  <c r="IQ27" i="1" s="1"/>
  <c r="IP28" i="1"/>
  <c r="IQ28" i="1" s="1"/>
  <c r="IP29" i="1"/>
  <c r="IQ29" i="1" s="1"/>
  <c r="IP30" i="1"/>
  <c r="IQ30" i="1" s="1"/>
  <c r="IP31" i="1"/>
  <c r="IQ31" i="1" s="1"/>
  <c r="IP32" i="1"/>
  <c r="IQ32" i="1" s="1"/>
  <c r="IP34" i="1"/>
  <c r="IQ34" i="1" s="1"/>
  <c r="IP35" i="1"/>
  <c r="IQ35" i="1" s="1"/>
  <c r="IP36" i="1"/>
  <c r="IQ36" i="1" s="1"/>
  <c r="IP37" i="1"/>
  <c r="IQ37" i="1" s="1"/>
  <c r="IP38" i="1"/>
  <c r="IQ38" i="1" s="1"/>
  <c r="IP39" i="1"/>
  <c r="IQ39" i="1" s="1"/>
  <c r="IP40" i="1"/>
  <c r="IQ40" i="1" s="1"/>
  <c r="IP41" i="1"/>
  <c r="IQ41" i="1" s="1"/>
  <c r="IP42" i="1"/>
  <c r="IQ42" i="1" s="1"/>
  <c r="IP43" i="1"/>
  <c r="IQ43" i="1"/>
  <c r="IP44" i="1"/>
  <c r="IQ44" i="1" s="1"/>
  <c r="IP45" i="1"/>
  <c r="IQ45" i="1" s="1"/>
  <c r="IP46" i="1"/>
  <c r="IQ46" i="1" s="1"/>
  <c r="IP47" i="1"/>
  <c r="IQ47" i="1" s="1"/>
  <c r="IP48" i="1"/>
  <c r="IQ48" i="1" s="1"/>
  <c r="IP49" i="1"/>
  <c r="IQ49" i="1" s="1"/>
  <c r="IP50" i="1"/>
  <c r="IQ50" i="1" s="1"/>
  <c r="IP51" i="1"/>
  <c r="IQ51" i="1" s="1"/>
  <c r="IP52" i="1"/>
  <c r="IQ52" i="1" s="1"/>
  <c r="IP53" i="1"/>
  <c r="IQ53" i="1" s="1"/>
  <c r="IP54" i="1"/>
  <c r="IQ54" i="1" s="1"/>
  <c r="IP55" i="1"/>
  <c r="IQ55" i="1" s="1"/>
  <c r="IP56" i="1"/>
  <c r="IQ56" i="1" s="1"/>
  <c r="IP57" i="1"/>
  <c r="IQ57" i="1" s="1"/>
  <c r="IP58" i="1"/>
  <c r="IQ58" i="1" s="1"/>
  <c r="IP59" i="1"/>
  <c r="IQ59" i="1" s="1"/>
  <c r="IP61" i="1"/>
  <c r="IQ61" i="1" s="1"/>
  <c r="IP62" i="1"/>
  <c r="IQ62" i="1" s="1"/>
  <c r="IP63" i="1"/>
  <c r="IQ63" i="1" s="1"/>
  <c r="IP65" i="1"/>
  <c r="IQ65" i="1" s="1"/>
  <c r="IP67" i="1"/>
  <c r="IQ67" i="1" s="1"/>
  <c r="IP68" i="1"/>
  <c r="IQ68" i="1" s="1"/>
  <c r="IP69" i="1"/>
  <c r="IQ69" i="1" s="1"/>
  <c r="IP70" i="1"/>
  <c r="IQ70" i="1" s="1"/>
  <c r="IP71" i="1"/>
  <c r="IQ71" i="1" s="1"/>
  <c r="IP72" i="1"/>
  <c r="IQ72" i="1" s="1"/>
  <c r="IP73" i="1"/>
  <c r="IQ73" i="1" s="1"/>
  <c r="IP74" i="1"/>
  <c r="IQ74" i="1" s="1"/>
  <c r="IP75" i="1"/>
  <c r="IQ75" i="1" s="1"/>
  <c r="IP76" i="1"/>
  <c r="IQ76" i="1" s="1"/>
  <c r="IP77" i="1"/>
  <c r="IQ77" i="1" s="1"/>
  <c r="IP78" i="1"/>
  <c r="IQ78" i="1" s="1"/>
  <c r="IP80" i="1"/>
  <c r="IQ80" i="1" s="1"/>
  <c r="IP81" i="1"/>
  <c r="IQ81" i="1" s="1"/>
  <c r="IP82" i="1"/>
  <c r="IQ82" i="1" s="1"/>
  <c r="IP83" i="1"/>
  <c r="IQ83" i="1" s="1"/>
  <c r="IP84" i="1"/>
  <c r="IQ84" i="1" s="1"/>
  <c r="IP85" i="1"/>
  <c r="IQ85" i="1" s="1"/>
  <c r="IP86" i="1"/>
  <c r="IQ86" i="1" s="1"/>
  <c r="IP87" i="1"/>
  <c r="IQ87" i="1" s="1"/>
  <c r="IP88" i="1"/>
  <c r="IQ88" i="1" s="1"/>
  <c r="IP89" i="1"/>
  <c r="IQ89" i="1" s="1"/>
  <c r="IP90" i="1"/>
  <c r="IQ90" i="1" s="1"/>
  <c r="IP91" i="1"/>
  <c r="IQ91" i="1" s="1"/>
  <c r="IP92" i="1"/>
  <c r="IQ92" i="1" s="1"/>
  <c r="IP93" i="1"/>
  <c r="IQ93" i="1" s="1"/>
  <c r="IP94" i="1"/>
  <c r="IQ94" i="1" s="1"/>
  <c r="IP95" i="1"/>
  <c r="IQ95" i="1" s="1"/>
  <c r="IP96" i="1"/>
  <c r="IQ96" i="1" s="1"/>
  <c r="IP97" i="1"/>
  <c r="IQ97" i="1" s="1"/>
  <c r="IN60" i="1"/>
  <c r="IO60" i="1" s="1"/>
  <c r="IN66" i="1"/>
  <c r="IO66" i="1" s="1"/>
  <c r="IN64" i="1"/>
  <c r="IO64" i="1" s="1"/>
  <c r="IN3" i="1"/>
  <c r="IO3" i="1" s="1"/>
  <c r="IN4" i="1"/>
  <c r="IO4" i="1" s="1"/>
  <c r="IN5" i="1"/>
  <c r="IO5" i="1" s="1"/>
  <c r="IN6" i="1"/>
  <c r="IO6" i="1" s="1"/>
  <c r="IN7" i="1"/>
  <c r="IO7" i="1" s="1"/>
  <c r="IN8" i="1"/>
  <c r="IO8" i="1" s="1"/>
  <c r="IN9" i="1"/>
  <c r="IO9" i="1" s="1"/>
  <c r="IN10" i="1"/>
  <c r="IO10" i="1" s="1"/>
  <c r="IN11" i="1"/>
  <c r="IO11" i="1" s="1"/>
  <c r="IN12" i="1"/>
  <c r="IO12" i="1" s="1"/>
  <c r="IN13" i="1"/>
  <c r="IO13" i="1" s="1"/>
  <c r="IN14" i="1"/>
  <c r="IO14" i="1" s="1"/>
  <c r="IN15" i="1"/>
  <c r="IO15" i="1" s="1"/>
  <c r="IN16" i="1"/>
  <c r="IO16" i="1" s="1"/>
  <c r="IN17" i="1"/>
  <c r="IO17" i="1" s="1"/>
  <c r="IN18" i="1"/>
  <c r="IO18" i="1" s="1"/>
  <c r="IN19" i="1"/>
  <c r="IO19" i="1" s="1"/>
  <c r="IN20" i="1"/>
  <c r="IO20" i="1" s="1"/>
  <c r="IN21" i="1"/>
  <c r="IO21" i="1" s="1"/>
  <c r="IN22" i="1"/>
  <c r="IO22" i="1" s="1"/>
  <c r="IN23" i="1"/>
  <c r="IO23" i="1" s="1"/>
  <c r="IN24" i="1"/>
  <c r="IO24" i="1" s="1"/>
  <c r="IN25" i="1"/>
  <c r="IO25" i="1" s="1"/>
  <c r="IN26" i="1"/>
  <c r="IO26" i="1" s="1"/>
  <c r="IN27" i="1"/>
  <c r="IO27" i="1" s="1"/>
  <c r="IN28" i="1"/>
  <c r="IO28" i="1" s="1"/>
  <c r="IN29" i="1"/>
  <c r="IO29" i="1" s="1"/>
  <c r="IN30" i="1"/>
  <c r="IO30" i="1" s="1"/>
  <c r="IN31" i="1"/>
  <c r="IO31" i="1" s="1"/>
  <c r="IN32" i="1"/>
  <c r="IO32" i="1"/>
  <c r="IN33" i="1"/>
  <c r="IO33" i="1" s="1"/>
  <c r="IN34" i="1"/>
  <c r="IO34" i="1" s="1"/>
  <c r="IN35" i="1"/>
  <c r="IO35" i="1" s="1"/>
  <c r="IN36" i="1"/>
  <c r="IO36" i="1" s="1"/>
  <c r="IN37" i="1"/>
  <c r="IO37" i="1" s="1"/>
  <c r="IN38" i="1"/>
  <c r="IO38" i="1" s="1"/>
  <c r="IN39" i="1"/>
  <c r="IO39" i="1" s="1"/>
  <c r="IN40" i="1"/>
  <c r="IO40" i="1" s="1"/>
  <c r="IN41" i="1"/>
  <c r="IO41" i="1" s="1"/>
  <c r="IN42" i="1"/>
  <c r="IO42" i="1" s="1"/>
  <c r="IN43" i="1"/>
  <c r="IO43" i="1" s="1"/>
  <c r="IN44" i="1"/>
  <c r="IO44" i="1" s="1"/>
  <c r="IN45" i="1"/>
  <c r="IO45" i="1" s="1"/>
  <c r="IN46" i="1"/>
  <c r="IO46" i="1" s="1"/>
  <c r="IN47" i="1"/>
  <c r="IO47" i="1" s="1"/>
  <c r="IN48" i="1"/>
  <c r="IO48" i="1" s="1"/>
  <c r="IN49" i="1"/>
  <c r="IO49" i="1" s="1"/>
  <c r="IN50" i="1"/>
  <c r="IO50" i="1" s="1"/>
  <c r="IN51" i="1"/>
  <c r="IO51" i="1" s="1"/>
  <c r="IN52" i="1"/>
  <c r="IO52" i="1" s="1"/>
  <c r="IN53" i="1"/>
  <c r="IO53" i="1" s="1"/>
  <c r="IN54" i="1"/>
  <c r="IO54" i="1" s="1"/>
  <c r="IN55" i="1"/>
  <c r="IO55" i="1" s="1"/>
  <c r="IN56" i="1"/>
  <c r="IO56" i="1" s="1"/>
  <c r="IN57" i="1"/>
  <c r="IO57" i="1" s="1"/>
  <c r="IN58" i="1"/>
  <c r="IO58" i="1" s="1"/>
  <c r="IN59" i="1"/>
  <c r="IO59" i="1" s="1"/>
  <c r="IN61" i="1"/>
  <c r="IO61" i="1"/>
  <c r="IN62" i="1"/>
  <c r="IO62" i="1" s="1"/>
  <c r="IN63" i="1"/>
  <c r="IO63" i="1" s="1"/>
  <c r="IN65" i="1"/>
  <c r="IO65" i="1" s="1"/>
  <c r="IN67" i="1"/>
  <c r="IO67" i="1" s="1"/>
  <c r="IN68" i="1"/>
  <c r="IO68" i="1"/>
  <c r="IN69" i="1"/>
  <c r="IO69" i="1" s="1"/>
  <c r="IN70" i="1"/>
  <c r="IO70" i="1" s="1"/>
  <c r="IN71" i="1"/>
  <c r="IO71" i="1" s="1"/>
  <c r="IN72" i="1"/>
  <c r="IO72" i="1" s="1"/>
  <c r="IN73" i="1"/>
  <c r="IO73" i="1" s="1"/>
  <c r="IN74" i="1"/>
  <c r="IO74" i="1" s="1"/>
  <c r="IN75" i="1"/>
  <c r="IO75" i="1"/>
  <c r="IN76" i="1"/>
  <c r="IO76" i="1" s="1"/>
  <c r="IN77" i="1"/>
  <c r="IO77" i="1" s="1"/>
  <c r="IN78" i="1"/>
  <c r="IO78" i="1" s="1"/>
  <c r="IN80" i="1"/>
  <c r="IO80" i="1" s="1"/>
  <c r="IN81" i="1"/>
  <c r="IO81" i="1" s="1"/>
  <c r="IN82" i="1"/>
  <c r="IO82" i="1" s="1"/>
  <c r="IN83" i="1"/>
  <c r="IO83" i="1"/>
  <c r="IN84" i="1"/>
  <c r="IO84" i="1" s="1"/>
  <c r="IN85" i="1"/>
  <c r="IO85" i="1" s="1"/>
  <c r="IN86" i="1"/>
  <c r="IO86" i="1" s="1"/>
  <c r="IN87" i="1"/>
  <c r="IO87" i="1" s="1"/>
  <c r="IN88" i="1"/>
  <c r="IO88" i="1" s="1"/>
  <c r="IN89" i="1"/>
  <c r="IO89" i="1" s="1"/>
  <c r="IN90" i="1"/>
  <c r="IO90" i="1" s="1"/>
  <c r="IN91" i="1"/>
  <c r="IO91" i="1" s="1"/>
  <c r="IN92" i="1"/>
  <c r="IO92" i="1" s="1"/>
  <c r="IN93" i="1"/>
  <c r="IO93" i="1" s="1"/>
  <c r="IN94" i="1"/>
  <c r="IO94" i="1" s="1"/>
  <c r="IN95" i="1"/>
  <c r="IO95" i="1" s="1"/>
  <c r="IN96" i="1"/>
  <c r="IO96" i="1" s="1"/>
  <c r="IN97" i="1"/>
  <c r="IO97" i="1" s="1"/>
  <c r="IL60" i="1"/>
  <c r="IM60" i="1" s="1"/>
  <c r="IL66" i="1"/>
  <c r="IM66" i="1" s="1"/>
  <c r="IL64" i="1"/>
  <c r="IM64" i="1" s="1"/>
  <c r="IL3" i="1"/>
  <c r="IM3" i="1" s="1"/>
  <c r="IL4" i="1"/>
  <c r="IM4" i="1" s="1"/>
  <c r="IL5" i="1"/>
  <c r="IM5" i="1" s="1"/>
  <c r="IL6" i="1"/>
  <c r="IM6" i="1" s="1"/>
  <c r="IL7" i="1"/>
  <c r="IM7" i="1" s="1"/>
  <c r="IL8" i="1"/>
  <c r="IM8" i="1" s="1"/>
  <c r="IL9" i="1"/>
  <c r="IM9" i="1" s="1"/>
  <c r="IL10" i="1"/>
  <c r="IM10" i="1" s="1"/>
  <c r="IL11" i="1"/>
  <c r="IM11" i="1" s="1"/>
  <c r="IL12" i="1"/>
  <c r="IM12" i="1" s="1"/>
  <c r="IL13" i="1"/>
  <c r="IM13" i="1" s="1"/>
  <c r="IL14" i="1"/>
  <c r="IM14" i="1" s="1"/>
  <c r="IL15" i="1"/>
  <c r="IM15" i="1" s="1"/>
  <c r="IL16" i="1"/>
  <c r="IM16" i="1" s="1"/>
  <c r="IL17" i="1"/>
  <c r="IM17" i="1" s="1"/>
  <c r="IL18" i="1"/>
  <c r="IM18" i="1" s="1"/>
  <c r="IL19" i="1"/>
  <c r="IM19" i="1" s="1"/>
  <c r="IL20" i="1"/>
  <c r="IM20" i="1" s="1"/>
  <c r="IL21" i="1"/>
  <c r="IM21" i="1" s="1"/>
  <c r="IL22" i="1"/>
  <c r="IM22" i="1" s="1"/>
  <c r="IL23" i="1"/>
  <c r="IM23" i="1" s="1"/>
  <c r="IL24" i="1"/>
  <c r="IM24" i="1" s="1"/>
  <c r="IL25" i="1"/>
  <c r="IM25" i="1" s="1"/>
  <c r="IL26" i="1"/>
  <c r="IM26" i="1" s="1"/>
  <c r="IL27" i="1"/>
  <c r="IM27" i="1" s="1"/>
  <c r="IL28" i="1"/>
  <c r="IM28" i="1"/>
  <c r="IL29" i="1"/>
  <c r="IM29" i="1" s="1"/>
  <c r="IL30" i="1"/>
  <c r="IM30" i="1" s="1"/>
  <c r="IL31" i="1"/>
  <c r="IM31" i="1" s="1"/>
  <c r="IL32" i="1"/>
  <c r="IM32" i="1" s="1"/>
  <c r="IL33" i="1"/>
  <c r="IM33" i="1" s="1"/>
  <c r="IL34" i="1"/>
  <c r="IM34" i="1" s="1"/>
  <c r="IL35" i="1"/>
  <c r="IM35" i="1" s="1"/>
  <c r="IL36" i="1"/>
  <c r="IM36" i="1" s="1"/>
  <c r="IL37" i="1"/>
  <c r="IM37" i="1" s="1"/>
  <c r="IL38" i="1"/>
  <c r="IM38" i="1" s="1"/>
  <c r="IL39" i="1"/>
  <c r="IM39" i="1" s="1"/>
  <c r="IL40" i="1"/>
  <c r="IM40" i="1" s="1"/>
  <c r="IL41" i="1"/>
  <c r="IM41" i="1" s="1"/>
  <c r="IL42" i="1"/>
  <c r="IM42" i="1" s="1"/>
  <c r="IL43" i="1"/>
  <c r="IM43" i="1" s="1"/>
  <c r="IL44" i="1"/>
  <c r="IM44" i="1" s="1"/>
  <c r="IL45" i="1"/>
  <c r="IM45" i="1" s="1"/>
  <c r="IL46" i="1"/>
  <c r="IM46" i="1" s="1"/>
  <c r="IL47" i="1"/>
  <c r="IM47" i="1" s="1"/>
  <c r="IL48" i="1"/>
  <c r="IM48" i="1" s="1"/>
  <c r="IL49" i="1"/>
  <c r="IM49" i="1" s="1"/>
  <c r="IL50" i="1"/>
  <c r="IM50" i="1" s="1"/>
  <c r="IL51" i="1"/>
  <c r="IM51" i="1" s="1"/>
  <c r="IL52" i="1"/>
  <c r="IM52" i="1" s="1"/>
  <c r="IL53" i="1"/>
  <c r="IM53" i="1" s="1"/>
  <c r="IL54" i="1"/>
  <c r="IM54" i="1" s="1"/>
  <c r="IL55" i="1"/>
  <c r="IM55" i="1" s="1"/>
  <c r="IL56" i="1"/>
  <c r="IM56" i="1" s="1"/>
  <c r="IL57" i="1"/>
  <c r="IM57" i="1" s="1"/>
  <c r="IL58" i="1"/>
  <c r="IM58" i="1" s="1"/>
  <c r="IL59" i="1"/>
  <c r="IM59" i="1" s="1"/>
  <c r="IL61" i="1"/>
  <c r="IM61" i="1" s="1"/>
  <c r="IL62" i="1"/>
  <c r="IM62" i="1" s="1"/>
  <c r="IL63" i="1"/>
  <c r="IM63" i="1" s="1"/>
  <c r="IL65" i="1"/>
  <c r="IM65" i="1" s="1"/>
  <c r="IL67" i="1"/>
  <c r="IM67" i="1" s="1"/>
  <c r="IL68" i="1"/>
  <c r="IM68" i="1" s="1"/>
  <c r="IL69" i="1"/>
  <c r="IM69" i="1" s="1"/>
  <c r="IL70" i="1"/>
  <c r="IM70" i="1" s="1"/>
  <c r="IL71" i="1"/>
  <c r="IM71" i="1" s="1"/>
  <c r="IL72" i="1"/>
  <c r="IM72" i="1" s="1"/>
  <c r="IL73" i="1"/>
  <c r="IM73" i="1" s="1"/>
  <c r="IL74" i="1"/>
  <c r="IM74" i="1" s="1"/>
  <c r="IL75" i="1"/>
  <c r="IM75" i="1" s="1"/>
  <c r="IL76" i="1"/>
  <c r="IM76" i="1" s="1"/>
  <c r="IL77" i="1"/>
  <c r="IM77" i="1" s="1"/>
  <c r="IL78" i="1"/>
  <c r="IM78" i="1" s="1"/>
  <c r="IL80" i="1"/>
  <c r="IM80" i="1" s="1"/>
  <c r="IL81" i="1"/>
  <c r="IM81" i="1" s="1"/>
  <c r="IL82" i="1"/>
  <c r="IM82" i="1" s="1"/>
  <c r="IL83" i="1"/>
  <c r="IM83" i="1" s="1"/>
  <c r="IL84" i="1"/>
  <c r="IM84" i="1" s="1"/>
  <c r="IL85" i="1"/>
  <c r="IM85" i="1" s="1"/>
  <c r="IL86" i="1"/>
  <c r="IM86" i="1" s="1"/>
  <c r="IL87" i="1"/>
  <c r="IM87" i="1" s="1"/>
  <c r="IL88" i="1"/>
  <c r="IM88" i="1" s="1"/>
  <c r="IL89" i="1"/>
  <c r="IM89" i="1" s="1"/>
  <c r="IL90" i="1"/>
  <c r="IM90" i="1" s="1"/>
  <c r="IL91" i="1"/>
  <c r="IM91" i="1" s="1"/>
  <c r="IL92" i="1"/>
  <c r="IM92" i="1" s="1"/>
  <c r="IL93" i="1"/>
  <c r="IM93" i="1" s="1"/>
  <c r="IL94" i="1"/>
  <c r="IM94" i="1" s="1"/>
  <c r="IL95" i="1"/>
  <c r="IM95" i="1" s="1"/>
  <c r="IL96" i="1"/>
  <c r="IM96" i="1" s="1"/>
  <c r="IL97" i="1"/>
  <c r="IM97" i="1" s="1"/>
  <c r="IJ60" i="1"/>
  <c r="IK60" i="1" s="1"/>
  <c r="IJ66" i="1"/>
  <c r="IK66" i="1" s="1"/>
  <c r="IJ64" i="1"/>
  <c r="IK64" i="1" s="1"/>
  <c r="IJ40" i="1"/>
  <c r="IK40" i="1" s="1"/>
  <c r="IJ3" i="1"/>
  <c r="IK3" i="1" s="1"/>
  <c r="IJ4" i="1"/>
  <c r="IK4" i="1" s="1"/>
  <c r="IJ5" i="1"/>
  <c r="IK5" i="1" s="1"/>
  <c r="IJ6" i="1"/>
  <c r="IK6" i="1" s="1"/>
  <c r="IJ7" i="1"/>
  <c r="IK7" i="1" s="1"/>
  <c r="IJ8" i="1"/>
  <c r="IK8" i="1" s="1"/>
  <c r="IJ9" i="1"/>
  <c r="IK9" i="1" s="1"/>
  <c r="IJ10" i="1"/>
  <c r="IK10" i="1" s="1"/>
  <c r="IJ11" i="1"/>
  <c r="IK11" i="1" s="1"/>
  <c r="IJ12" i="1"/>
  <c r="IK12" i="1" s="1"/>
  <c r="IJ13" i="1"/>
  <c r="IK13" i="1" s="1"/>
  <c r="IJ14" i="1"/>
  <c r="IK14" i="1" s="1"/>
  <c r="IJ15" i="1"/>
  <c r="IK15" i="1" s="1"/>
  <c r="IJ16" i="1"/>
  <c r="IK16" i="1" s="1"/>
  <c r="IJ17" i="1"/>
  <c r="IK17" i="1" s="1"/>
  <c r="IJ18" i="1"/>
  <c r="IK18" i="1" s="1"/>
  <c r="IJ19" i="1"/>
  <c r="IK19" i="1" s="1"/>
  <c r="IJ20" i="1"/>
  <c r="IK20" i="1" s="1"/>
  <c r="IJ21" i="1"/>
  <c r="IK21" i="1" s="1"/>
  <c r="IJ22" i="1"/>
  <c r="IK22" i="1" s="1"/>
  <c r="IJ23" i="1"/>
  <c r="IK23" i="1" s="1"/>
  <c r="IJ24" i="1"/>
  <c r="IK24" i="1" s="1"/>
  <c r="IJ25" i="1"/>
  <c r="IK25" i="1" s="1"/>
  <c r="IJ26" i="1"/>
  <c r="IK26" i="1" s="1"/>
  <c r="IJ27" i="1"/>
  <c r="IK27" i="1" s="1"/>
  <c r="IJ28" i="1"/>
  <c r="IK28" i="1" s="1"/>
  <c r="IJ29" i="1"/>
  <c r="IK29" i="1" s="1"/>
  <c r="IJ30" i="1"/>
  <c r="IK30" i="1" s="1"/>
  <c r="IJ31" i="1"/>
  <c r="IK31" i="1" s="1"/>
  <c r="IJ32" i="1"/>
  <c r="IK32" i="1" s="1"/>
  <c r="IJ33" i="1"/>
  <c r="IK33" i="1" s="1"/>
  <c r="IJ34" i="1"/>
  <c r="IK34" i="1" s="1"/>
  <c r="IJ35" i="1"/>
  <c r="IK35" i="1" s="1"/>
  <c r="IJ36" i="1"/>
  <c r="IK36" i="1" s="1"/>
  <c r="IJ37" i="1"/>
  <c r="IK37" i="1" s="1"/>
  <c r="IJ38" i="1"/>
  <c r="IK38" i="1" s="1"/>
  <c r="IJ39" i="1"/>
  <c r="IK39" i="1" s="1"/>
  <c r="IJ41" i="1"/>
  <c r="IK41" i="1"/>
  <c r="IJ42" i="1"/>
  <c r="IK42" i="1" s="1"/>
  <c r="IJ43" i="1"/>
  <c r="IK43" i="1" s="1"/>
  <c r="IJ44" i="1"/>
  <c r="IK44" i="1" s="1"/>
  <c r="IJ45" i="1"/>
  <c r="IK45" i="1" s="1"/>
  <c r="IJ46" i="1"/>
  <c r="IK46" i="1" s="1"/>
  <c r="IJ47" i="1"/>
  <c r="IK47" i="1" s="1"/>
  <c r="IJ48" i="1"/>
  <c r="IK48" i="1" s="1"/>
  <c r="IJ49" i="1"/>
  <c r="IK49" i="1" s="1"/>
  <c r="IJ50" i="1"/>
  <c r="IK50" i="1"/>
  <c r="IJ51" i="1"/>
  <c r="IK51" i="1" s="1"/>
  <c r="IJ52" i="1"/>
  <c r="IK52" i="1" s="1"/>
  <c r="IJ53" i="1"/>
  <c r="IK53" i="1" s="1"/>
  <c r="IJ54" i="1"/>
  <c r="IK54" i="1" s="1"/>
  <c r="IJ55" i="1"/>
  <c r="IK55" i="1" s="1"/>
  <c r="IJ56" i="1"/>
  <c r="IK56" i="1" s="1"/>
  <c r="IJ57" i="1"/>
  <c r="IK57" i="1" s="1"/>
  <c r="IJ58" i="1"/>
  <c r="IK58" i="1" s="1"/>
  <c r="IJ59" i="1"/>
  <c r="IK59" i="1" s="1"/>
  <c r="IJ61" i="1"/>
  <c r="IK61" i="1" s="1"/>
  <c r="IJ62" i="1"/>
  <c r="IK62" i="1" s="1"/>
  <c r="IJ63" i="1"/>
  <c r="IK63" i="1" s="1"/>
  <c r="IJ65" i="1"/>
  <c r="IK65" i="1" s="1"/>
  <c r="IJ67" i="1"/>
  <c r="IK67" i="1" s="1"/>
  <c r="IJ68" i="1"/>
  <c r="IK68" i="1" s="1"/>
  <c r="IJ69" i="1"/>
  <c r="IK69" i="1" s="1"/>
  <c r="IJ70" i="1"/>
  <c r="IK70" i="1" s="1"/>
  <c r="IJ71" i="1"/>
  <c r="IK71" i="1" s="1"/>
  <c r="IJ72" i="1"/>
  <c r="IK72" i="1" s="1"/>
  <c r="IJ73" i="1"/>
  <c r="IK73" i="1" s="1"/>
  <c r="IJ74" i="1"/>
  <c r="IK74" i="1" s="1"/>
  <c r="IJ75" i="1"/>
  <c r="IK75" i="1" s="1"/>
  <c r="IJ76" i="1"/>
  <c r="IK76" i="1" s="1"/>
  <c r="IJ77" i="1"/>
  <c r="IK77" i="1" s="1"/>
  <c r="IJ78" i="1"/>
  <c r="IK78" i="1" s="1"/>
  <c r="IJ80" i="1"/>
  <c r="IK80" i="1" s="1"/>
  <c r="IJ81" i="1"/>
  <c r="IK81" i="1"/>
  <c r="IJ82" i="1"/>
  <c r="IK82" i="1" s="1"/>
  <c r="IJ83" i="1"/>
  <c r="IK83" i="1" s="1"/>
  <c r="IJ84" i="1"/>
  <c r="IK84" i="1" s="1"/>
  <c r="IJ85" i="1"/>
  <c r="IK85" i="1" s="1"/>
  <c r="IJ86" i="1"/>
  <c r="IK86" i="1" s="1"/>
  <c r="IJ87" i="1"/>
  <c r="IK87" i="1" s="1"/>
  <c r="IJ88" i="1"/>
  <c r="IK88" i="1" s="1"/>
  <c r="IJ89" i="1"/>
  <c r="IK89" i="1" s="1"/>
  <c r="IJ90" i="1"/>
  <c r="IK90" i="1" s="1"/>
  <c r="IJ91" i="1"/>
  <c r="IK91" i="1" s="1"/>
  <c r="IJ92" i="1"/>
  <c r="IK92" i="1" s="1"/>
  <c r="IJ93" i="1"/>
  <c r="IK93" i="1" s="1"/>
  <c r="IJ94" i="1"/>
  <c r="IK94" i="1" s="1"/>
  <c r="IJ95" i="1"/>
  <c r="IK95" i="1" s="1"/>
  <c r="IJ96" i="1"/>
  <c r="IK96" i="1" s="1"/>
  <c r="IJ97" i="1"/>
  <c r="IK97" i="1" s="1"/>
  <c r="IH60" i="1"/>
  <c r="II60" i="1" s="1"/>
  <c r="IH66" i="1"/>
  <c r="II66" i="1" s="1"/>
  <c r="IH64" i="1"/>
  <c r="II64" i="1" s="1"/>
  <c r="IH3" i="1"/>
  <c r="II3" i="1" s="1"/>
  <c r="IH4" i="1"/>
  <c r="II4" i="1" s="1"/>
  <c r="IH5" i="1"/>
  <c r="II5" i="1" s="1"/>
  <c r="IH6" i="1"/>
  <c r="II6" i="1" s="1"/>
  <c r="IH7" i="1"/>
  <c r="II7" i="1" s="1"/>
  <c r="IH8" i="1"/>
  <c r="II8" i="1" s="1"/>
  <c r="IH9" i="1"/>
  <c r="II9" i="1" s="1"/>
  <c r="IH10" i="1"/>
  <c r="II10" i="1" s="1"/>
  <c r="IH11" i="1"/>
  <c r="II11" i="1" s="1"/>
  <c r="IH12" i="1"/>
  <c r="II12" i="1" s="1"/>
  <c r="IH13" i="1"/>
  <c r="II13" i="1" s="1"/>
  <c r="IH14" i="1"/>
  <c r="II14" i="1" s="1"/>
  <c r="IH15" i="1"/>
  <c r="II15" i="1" s="1"/>
  <c r="IH16" i="1"/>
  <c r="II16" i="1" s="1"/>
  <c r="IH17" i="1"/>
  <c r="II17" i="1" s="1"/>
  <c r="IH18" i="1"/>
  <c r="II18" i="1" s="1"/>
  <c r="IH19" i="1"/>
  <c r="II19" i="1" s="1"/>
  <c r="IH20" i="1"/>
  <c r="II20" i="1" s="1"/>
  <c r="IH21" i="1"/>
  <c r="II21" i="1" s="1"/>
  <c r="IH22" i="1"/>
  <c r="II22" i="1" s="1"/>
  <c r="IH23" i="1"/>
  <c r="II23" i="1" s="1"/>
  <c r="IH24" i="1"/>
  <c r="II24" i="1"/>
  <c r="IH25" i="1"/>
  <c r="II25" i="1" s="1"/>
  <c r="IH26" i="1"/>
  <c r="II26" i="1" s="1"/>
  <c r="IH27" i="1"/>
  <c r="II27" i="1" s="1"/>
  <c r="IH28" i="1"/>
  <c r="II28" i="1" s="1"/>
  <c r="IH29" i="1"/>
  <c r="II29" i="1" s="1"/>
  <c r="IH30" i="1"/>
  <c r="II30" i="1" s="1"/>
  <c r="IH31" i="1"/>
  <c r="II31" i="1" s="1"/>
  <c r="IH32" i="1"/>
  <c r="II32" i="1" s="1"/>
  <c r="IH33" i="1"/>
  <c r="II33" i="1" s="1"/>
  <c r="IH34" i="1"/>
  <c r="II34" i="1" s="1"/>
  <c r="IH35" i="1"/>
  <c r="II35" i="1" s="1"/>
  <c r="IH36" i="1"/>
  <c r="II36" i="1" s="1"/>
  <c r="IH37" i="1"/>
  <c r="II37" i="1" s="1"/>
  <c r="IH38" i="1"/>
  <c r="II38" i="1" s="1"/>
  <c r="IH39" i="1"/>
  <c r="II39" i="1" s="1"/>
  <c r="IH40" i="1"/>
  <c r="II40" i="1" s="1"/>
  <c r="IH41" i="1"/>
  <c r="II41" i="1" s="1"/>
  <c r="IH42" i="1"/>
  <c r="II42" i="1" s="1"/>
  <c r="IH43" i="1"/>
  <c r="II43" i="1" s="1"/>
  <c r="IH44" i="1"/>
  <c r="II44" i="1" s="1"/>
  <c r="IH45" i="1"/>
  <c r="II45" i="1" s="1"/>
  <c r="IH46" i="1"/>
  <c r="II46" i="1" s="1"/>
  <c r="IH47" i="1"/>
  <c r="II47" i="1" s="1"/>
  <c r="IH48" i="1"/>
  <c r="II48" i="1" s="1"/>
  <c r="IH49" i="1"/>
  <c r="II49" i="1" s="1"/>
  <c r="IH50" i="1"/>
  <c r="II50" i="1" s="1"/>
  <c r="IH51" i="1"/>
  <c r="II51" i="1" s="1"/>
  <c r="IH52" i="1"/>
  <c r="II52" i="1"/>
  <c r="IH53" i="1"/>
  <c r="II53" i="1" s="1"/>
  <c r="IH54" i="1"/>
  <c r="II54" i="1" s="1"/>
  <c r="IH55" i="1"/>
  <c r="II55" i="1" s="1"/>
  <c r="IH56" i="1"/>
  <c r="II56" i="1"/>
  <c r="IH57" i="1"/>
  <c r="II57" i="1" s="1"/>
  <c r="IH58" i="1"/>
  <c r="II58" i="1" s="1"/>
  <c r="IH59" i="1"/>
  <c r="II59" i="1" s="1"/>
  <c r="IH61" i="1"/>
  <c r="II61" i="1"/>
  <c r="IH62" i="1"/>
  <c r="II62" i="1" s="1"/>
  <c r="IH63" i="1"/>
  <c r="II63" i="1"/>
  <c r="IH65" i="1"/>
  <c r="II65" i="1" s="1"/>
  <c r="IH67" i="1"/>
  <c r="II67" i="1" s="1"/>
  <c r="IH68" i="1"/>
  <c r="II68" i="1" s="1"/>
  <c r="IH69" i="1"/>
  <c r="II69" i="1" s="1"/>
  <c r="IH70" i="1"/>
  <c r="II70" i="1" s="1"/>
  <c r="IH71" i="1"/>
  <c r="II71" i="1" s="1"/>
  <c r="IH72" i="1"/>
  <c r="II72" i="1" s="1"/>
  <c r="IH73" i="1"/>
  <c r="II73" i="1" s="1"/>
  <c r="IH74" i="1"/>
  <c r="II74" i="1" s="1"/>
  <c r="IH75" i="1"/>
  <c r="II75" i="1" s="1"/>
  <c r="IH76" i="1"/>
  <c r="II76" i="1" s="1"/>
  <c r="IH77" i="1"/>
  <c r="II77" i="1" s="1"/>
  <c r="IH78" i="1"/>
  <c r="II78" i="1" s="1"/>
  <c r="IH80" i="1"/>
  <c r="II80" i="1" s="1"/>
  <c r="IH81" i="1"/>
  <c r="II81" i="1"/>
  <c r="IH82" i="1"/>
  <c r="II82" i="1" s="1"/>
  <c r="IH83" i="1"/>
  <c r="II83" i="1"/>
  <c r="IH84" i="1"/>
  <c r="II84" i="1" s="1"/>
  <c r="IH85" i="1"/>
  <c r="II85" i="1" s="1"/>
  <c r="IH86" i="1"/>
  <c r="II86" i="1" s="1"/>
  <c r="IH87" i="1"/>
  <c r="II87" i="1"/>
  <c r="IH88" i="1"/>
  <c r="II88" i="1" s="1"/>
  <c r="IH89" i="1"/>
  <c r="II89" i="1" s="1"/>
  <c r="IH90" i="1"/>
  <c r="II90" i="1" s="1"/>
  <c r="IH91" i="1"/>
  <c r="II91" i="1" s="1"/>
  <c r="IH92" i="1"/>
  <c r="II92" i="1" s="1"/>
  <c r="IH93" i="1"/>
  <c r="II93" i="1" s="1"/>
  <c r="IH94" i="1"/>
  <c r="II94" i="1" s="1"/>
  <c r="IH95" i="1"/>
  <c r="II95" i="1" s="1"/>
  <c r="IH96" i="1"/>
  <c r="II96" i="1" s="1"/>
  <c r="IH97" i="1"/>
  <c r="II97" i="1" s="1"/>
  <c r="IF60" i="1"/>
  <c r="IG60" i="1" s="1"/>
  <c r="IF66" i="1"/>
  <c r="IG66" i="1" s="1"/>
  <c r="IF67" i="1"/>
  <c r="IG67" i="1" s="1"/>
  <c r="IF64" i="1"/>
  <c r="IG64" i="1" s="1"/>
  <c r="IF3" i="1"/>
  <c r="IG3" i="1" s="1"/>
  <c r="IF4" i="1"/>
  <c r="IG4" i="1" s="1"/>
  <c r="IF5" i="1"/>
  <c r="IG5" i="1" s="1"/>
  <c r="IF6" i="1"/>
  <c r="IG6" i="1" s="1"/>
  <c r="IF7" i="1"/>
  <c r="IG7" i="1" s="1"/>
  <c r="IF8" i="1"/>
  <c r="IG8" i="1" s="1"/>
  <c r="IF9" i="1"/>
  <c r="IG9" i="1" s="1"/>
  <c r="IF10" i="1"/>
  <c r="IG10" i="1" s="1"/>
  <c r="IF11" i="1"/>
  <c r="IG11" i="1" s="1"/>
  <c r="IF12" i="1"/>
  <c r="IG12" i="1" s="1"/>
  <c r="IF13" i="1"/>
  <c r="IG13" i="1" s="1"/>
  <c r="IF14" i="1"/>
  <c r="IG14" i="1" s="1"/>
  <c r="IF15" i="1"/>
  <c r="IG15" i="1" s="1"/>
  <c r="IF16" i="1"/>
  <c r="IG16" i="1" s="1"/>
  <c r="IF17" i="1"/>
  <c r="IG17" i="1" s="1"/>
  <c r="IF18" i="1"/>
  <c r="IG18" i="1" s="1"/>
  <c r="IF19" i="1"/>
  <c r="IG19" i="1" s="1"/>
  <c r="IF20" i="1"/>
  <c r="IG20" i="1" s="1"/>
  <c r="IF21" i="1"/>
  <c r="IG21" i="1" s="1"/>
  <c r="IF22" i="1"/>
  <c r="IG22" i="1" s="1"/>
  <c r="IF23" i="1"/>
  <c r="IG23" i="1" s="1"/>
  <c r="IF24" i="1"/>
  <c r="IG24" i="1" s="1"/>
  <c r="IF25" i="1"/>
  <c r="IG25" i="1" s="1"/>
  <c r="IF26" i="1"/>
  <c r="IG26" i="1"/>
  <c r="IF27" i="1"/>
  <c r="IG27" i="1" s="1"/>
  <c r="IF28" i="1"/>
  <c r="IG28" i="1" s="1"/>
  <c r="IF29" i="1"/>
  <c r="IG29" i="1" s="1"/>
  <c r="IF30" i="1"/>
  <c r="IG30" i="1" s="1"/>
  <c r="IF31" i="1"/>
  <c r="IG31" i="1" s="1"/>
  <c r="IF32" i="1"/>
  <c r="IG32" i="1" s="1"/>
  <c r="IF33" i="1"/>
  <c r="IG33" i="1" s="1"/>
  <c r="IF34" i="1"/>
  <c r="IG34" i="1" s="1"/>
  <c r="IF35" i="1"/>
  <c r="IG35" i="1" s="1"/>
  <c r="IF36" i="1"/>
  <c r="IG36" i="1" s="1"/>
  <c r="IF37" i="1"/>
  <c r="IG37" i="1" s="1"/>
  <c r="IF38" i="1"/>
  <c r="IG38" i="1" s="1"/>
  <c r="IF39" i="1"/>
  <c r="IG39" i="1" s="1"/>
  <c r="IF40" i="1"/>
  <c r="IG40" i="1" s="1"/>
  <c r="IF41" i="1"/>
  <c r="IG41" i="1" s="1"/>
  <c r="IF42" i="1"/>
  <c r="IG42" i="1" s="1"/>
  <c r="IF43" i="1"/>
  <c r="IG43" i="1" s="1"/>
  <c r="IF44" i="1"/>
  <c r="IG44" i="1" s="1"/>
  <c r="IF45" i="1"/>
  <c r="IG45" i="1" s="1"/>
  <c r="IF46" i="1"/>
  <c r="IG46" i="1" s="1"/>
  <c r="IF47" i="1"/>
  <c r="IG47" i="1" s="1"/>
  <c r="IF48" i="1"/>
  <c r="IG48" i="1" s="1"/>
  <c r="IF49" i="1"/>
  <c r="IG49" i="1" s="1"/>
  <c r="IF50" i="1"/>
  <c r="IG50" i="1" s="1"/>
  <c r="IF51" i="1"/>
  <c r="IG51" i="1" s="1"/>
  <c r="IF52" i="1"/>
  <c r="IG52" i="1" s="1"/>
  <c r="IF53" i="1"/>
  <c r="IG53" i="1" s="1"/>
  <c r="IF54" i="1"/>
  <c r="IG54" i="1" s="1"/>
  <c r="IF55" i="1"/>
  <c r="IG55" i="1" s="1"/>
  <c r="IF56" i="1"/>
  <c r="IG56" i="1" s="1"/>
  <c r="IF57" i="1"/>
  <c r="IG57" i="1" s="1"/>
  <c r="IF58" i="1"/>
  <c r="IG58" i="1" s="1"/>
  <c r="IF59" i="1"/>
  <c r="IG59" i="1" s="1"/>
  <c r="IF61" i="1"/>
  <c r="IG61" i="1" s="1"/>
  <c r="IF62" i="1"/>
  <c r="IG62" i="1" s="1"/>
  <c r="IF63" i="1"/>
  <c r="IG63" i="1" s="1"/>
  <c r="IF65" i="1"/>
  <c r="IG65" i="1" s="1"/>
  <c r="IF68" i="1"/>
  <c r="IG68" i="1" s="1"/>
  <c r="IF69" i="1"/>
  <c r="IG69" i="1" s="1"/>
  <c r="IF70" i="1"/>
  <c r="IG70" i="1" s="1"/>
  <c r="IF71" i="1"/>
  <c r="IG71" i="1" s="1"/>
  <c r="IF72" i="1"/>
  <c r="IG72" i="1" s="1"/>
  <c r="IF73" i="1"/>
  <c r="IG73" i="1" s="1"/>
  <c r="IF74" i="1"/>
  <c r="IG74" i="1" s="1"/>
  <c r="IF75" i="1"/>
  <c r="IG75" i="1" s="1"/>
  <c r="IF76" i="1"/>
  <c r="IG76" i="1" s="1"/>
  <c r="IF77" i="1"/>
  <c r="IG77" i="1" s="1"/>
  <c r="IF78" i="1"/>
  <c r="IG78" i="1" s="1"/>
  <c r="IF80" i="1"/>
  <c r="IG80" i="1" s="1"/>
  <c r="IF81" i="1"/>
  <c r="IG81" i="1" s="1"/>
  <c r="IF82" i="1"/>
  <c r="IG82" i="1" s="1"/>
  <c r="IF83" i="1"/>
  <c r="IG83" i="1" s="1"/>
  <c r="IF84" i="1"/>
  <c r="IG84" i="1" s="1"/>
  <c r="IF85" i="1"/>
  <c r="IG85" i="1" s="1"/>
  <c r="IF86" i="1"/>
  <c r="IG86" i="1" s="1"/>
  <c r="IF87" i="1"/>
  <c r="IG87" i="1" s="1"/>
  <c r="IF88" i="1"/>
  <c r="IG88" i="1" s="1"/>
  <c r="IF89" i="1"/>
  <c r="IG89" i="1" s="1"/>
  <c r="IF90" i="1"/>
  <c r="IG90" i="1" s="1"/>
  <c r="IF91" i="1"/>
  <c r="IG91" i="1" s="1"/>
  <c r="IF92" i="1"/>
  <c r="IG92" i="1" s="1"/>
  <c r="IF93" i="1"/>
  <c r="IG93" i="1" s="1"/>
  <c r="IF94" i="1"/>
  <c r="IG94" i="1" s="1"/>
  <c r="IF95" i="1"/>
  <c r="IG95" i="1" s="1"/>
  <c r="IF96" i="1"/>
  <c r="IG96" i="1" s="1"/>
  <c r="IF97" i="1"/>
  <c r="IG97" i="1"/>
  <c r="ID60" i="1"/>
  <c r="IE60" i="1" s="1"/>
  <c r="ID66" i="1"/>
  <c r="IE66" i="1" s="1"/>
  <c r="ID64" i="1"/>
  <c r="IE64" i="1" s="1"/>
  <c r="ID3" i="1"/>
  <c r="IE3" i="1" s="1"/>
  <c r="ID4" i="1"/>
  <c r="IE4" i="1" s="1"/>
  <c r="ID5" i="1"/>
  <c r="IE5" i="1" s="1"/>
  <c r="ID6" i="1"/>
  <c r="IE6" i="1" s="1"/>
  <c r="ID7" i="1"/>
  <c r="IE7" i="1" s="1"/>
  <c r="ID8" i="1"/>
  <c r="IE8" i="1" s="1"/>
  <c r="ID9" i="1"/>
  <c r="IE9" i="1" s="1"/>
  <c r="ID10" i="1"/>
  <c r="IE10" i="1" s="1"/>
  <c r="ID11" i="1"/>
  <c r="IE11" i="1" s="1"/>
  <c r="ID12" i="1"/>
  <c r="IE12" i="1" s="1"/>
  <c r="ID13" i="1"/>
  <c r="IE13" i="1" s="1"/>
  <c r="ID14" i="1"/>
  <c r="IE14" i="1" s="1"/>
  <c r="ID15" i="1"/>
  <c r="IE15" i="1" s="1"/>
  <c r="ID16" i="1"/>
  <c r="IE16" i="1" s="1"/>
  <c r="ID17" i="1"/>
  <c r="IE17" i="1" s="1"/>
  <c r="ID18" i="1"/>
  <c r="IE18" i="1" s="1"/>
  <c r="ID19" i="1"/>
  <c r="IE19" i="1" s="1"/>
  <c r="ID20" i="1"/>
  <c r="IE20" i="1" s="1"/>
  <c r="ID21" i="1"/>
  <c r="IE21" i="1" s="1"/>
  <c r="ID22" i="1"/>
  <c r="IE22" i="1" s="1"/>
  <c r="ID23" i="1"/>
  <c r="IE23" i="1" s="1"/>
  <c r="ID24" i="1"/>
  <c r="IE24" i="1" s="1"/>
  <c r="ID25" i="1"/>
  <c r="IE25" i="1" s="1"/>
  <c r="ID26" i="1"/>
  <c r="IE26" i="1" s="1"/>
  <c r="ID27" i="1"/>
  <c r="IE27" i="1" s="1"/>
  <c r="ID28" i="1"/>
  <c r="IE28" i="1" s="1"/>
  <c r="ID29" i="1"/>
  <c r="IE29" i="1" s="1"/>
  <c r="ID30" i="1"/>
  <c r="IE30" i="1" s="1"/>
  <c r="ID31" i="1"/>
  <c r="IE31" i="1" s="1"/>
  <c r="ID32" i="1"/>
  <c r="IE32" i="1" s="1"/>
  <c r="ID33" i="1"/>
  <c r="IE33" i="1" s="1"/>
  <c r="ID34" i="1"/>
  <c r="IE34" i="1" s="1"/>
  <c r="ID35" i="1"/>
  <c r="IE35" i="1" s="1"/>
  <c r="ID36" i="1"/>
  <c r="IE36" i="1" s="1"/>
  <c r="ID37" i="1"/>
  <c r="IE37" i="1" s="1"/>
  <c r="ID38" i="1"/>
  <c r="IE38" i="1" s="1"/>
  <c r="ID39" i="1"/>
  <c r="IE39" i="1" s="1"/>
  <c r="ID40" i="1"/>
  <c r="IE40" i="1" s="1"/>
  <c r="ID41" i="1"/>
  <c r="IE41" i="1" s="1"/>
  <c r="ID42" i="1"/>
  <c r="IE42" i="1" s="1"/>
  <c r="ID43" i="1"/>
  <c r="IE43" i="1" s="1"/>
  <c r="ID44" i="1"/>
  <c r="IE44" i="1" s="1"/>
  <c r="ID45" i="1"/>
  <c r="IE45" i="1" s="1"/>
  <c r="ID46" i="1"/>
  <c r="IE46" i="1" s="1"/>
  <c r="ID47" i="1"/>
  <c r="IE47" i="1"/>
  <c r="ID48" i="1"/>
  <c r="IE48" i="1" s="1"/>
  <c r="ID49" i="1"/>
  <c r="IE49" i="1" s="1"/>
  <c r="ID50" i="1"/>
  <c r="IE50" i="1" s="1"/>
  <c r="ID51" i="1"/>
  <c r="IE51" i="1" s="1"/>
  <c r="ID52" i="1"/>
  <c r="IE52" i="1" s="1"/>
  <c r="ID53" i="1"/>
  <c r="IE53" i="1" s="1"/>
  <c r="ID54" i="1"/>
  <c r="IE54" i="1" s="1"/>
  <c r="ID55" i="1"/>
  <c r="IE55" i="1" s="1"/>
  <c r="ID56" i="1"/>
  <c r="IE56" i="1" s="1"/>
  <c r="ID57" i="1"/>
  <c r="IE57" i="1" s="1"/>
  <c r="ID58" i="1"/>
  <c r="IE58" i="1" s="1"/>
  <c r="ID59" i="1"/>
  <c r="IE59" i="1" s="1"/>
  <c r="ID61" i="1"/>
  <c r="IE61" i="1" s="1"/>
  <c r="ID62" i="1"/>
  <c r="IE62" i="1" s="1"/>
  <c r="ID63" i="1"/>
  <c r="IE63" i="1" s="1"/>
  <c r="ID65" i="1"/>
  <c r="IE65" i="1" s="1"/>
  <c r="ID67" i="1"/>
  <c r="IE67" i="1" s="1"/>
  <c r="ID68" i="1"/>
  <c r="IE68" i="1" s="1"/>
  <c r="ID69" i="1"/>
  <c r="IE69" i="1" s="1"/>
  <c r="ID70" i="1"/>
  <c r="IE70" i="1" s="1"/>
  <c r="ID71" i="1"/>
  <c r="IE71" i="1" s="1"/>
  <c r="ID72" i="1"/>
  <c r="IE72" i="1" s="1"/>
  <c r="ID73" i="1"/>
  <c r="IE73" i="1" s="1"/>
  <c r="ID74" i="1"/>
  <c r="IE74" i="1" s="1"/>
  <c r="ID75" i="1"/>
  <c r="IE75" i="1" s="1"/>
  <c r="ID76" i="1"/>
  <c r="IE76" i="1" s="1"/>
  <c r="ID77" i="1"/>
  <c r="IE77" i="1" s="1"/>
  <c r="ID78" i="1"/>
  <c r="IE78" i="1" s="1"/>
  <c r="ID80" i="1"/>
  <c r="IE80" i="1" s="1"/>
  <c r="ID81" i="1"/>
  <c r="IE81" i="1" s="1"/>
  <c r="ID82" i="1"/>
  <c r="IE82" i="1" s="1"/>
  <c r="ID83" i="1"/>
  <c r="IE83" i="1" s="1"/>
  <c r="ID84" i="1"/>
  <c r="IE84" i="1" s="1"/>
  <c r="ID85" i="1"/>
  <c r="IE85" i="1" s="1"/>
  <c r="ID86" i="1"/>
  <c r="IE86" i="1" s="1"/>
  <c r="ID87" i="1"/>
  <c r="IE87" i="1" s="1"/>
  <c r="ID88" i="1"/>
  <c r="IE88" i="1" s="1"/>
  <c r="ID89" i="1"/>
  <c r="IE89" i="1" s="1"/>
  <c r="ID90" i="1"/>
  <c r="IE90" i="1" s="1"/>
  <c r="ID91" i="1"/>
  <c r="IE91" i="1" s="1"/>
  <c r="ID92" i="1"/>
  <c r="IE92" i="1" s="1"/>
  <c r="ID93" i="1"/>
  <c r="IE93" i="1" s="1"/>
  <c r="ID94" i="1"/>
  <c r="IE94" i="1" s="1"/>
  <c r="ID95" i="1"/>
  <c r="IE95" i="1" s="1"/>
  <c r="ID96" i="1"/>
  <c r="IE96" i="1" s="1"/>
  <c r="ID97" i="1"/>
  <c r="IE97" i="1" s="1"/>
  <c r="IB60" i="1"/>
  <c r="IC60" i="1" s="1"/>
  <c r="IB66" i="1"/>
  <c r="IC66" i="1" s="1"/>
  <c r="IB64" i="1"/>
  <c r="IC64" i="1" s="1"/>
  <c r="IB3" i="1"/>
  <c r="IC3" i="1" s="1"/>
  <c r="IB4" i="1"/>
  <c r="IC4" i="1" s="1"/>
  <c r="IB5" i="1"/>
  <c r="IC5" i="1" s="1"/>
  <c r="IB6" i="1"/>
  <c r="IC6" i="1" s="1"/>
  <c r="IB7" i="1"/>
  <c r="IC7" i="1" s="1"/>
  <c r="IB8" i="1"/>
  <c r="IC8" i="1" s="1"/>
  <c r="IB9" i="1"/>
  <c r="IC9" i="1" s="1"/>
  <c r="IB10" i="1"/>
  <c r="IC10" i="1" s="1"/>
  <c r="IB11" i="1"/>
  <c r="IC11" i="1" s="1"/>
  <c r="IB12" i="1"/>
  <c r="IC12" i="1" s="1"/>
  <c r="IB13" i="1"/>
  <c r="IC13" i="1" s="1"/>
  <c r="IB14" i="1"/>
  <c r="IC14" i="1" s="1"/>
  <c r="IB15" i="1"/>
  <c r="IC15" i="1"/>
  <c r="IB16" i="1"/>
  <c r="IC16" i="1" s="1"/>
  <c r="IB17" i="1"/>
  <c r="IC17" i="1" s="1"/>
  <c r="IB18" i="1"/>
  <c r="IC18" i="1" s="1"/>
  <c r="IB19" i="1"/>
  <c r="IC19" i="1" s="1"/>
  <c r="IB20" i="1"/>
  <c r="IC20" i="1" s="1"/>
  <c r="IB21" i="1"/>
  <c r="IC21" i="1" s="1"/>
  <c r="IB22" i="1"/>
  <c r="IC22" i="1" s="1"/>
  <c r="IB23" i="1"/>
  <c r="IC23" i="1" s="1"/>
  <c r="IB24" i="1"/>
  <c r="IC24" i="1" s="1"/>
  <c r="IB25" i="1"/>
  <c r="IC25" i="1" s="1"/>
  <c r="IB26" i="1"/>
  <c r="IC26" i="1" s="1"/>
  <c r="IB27" i="1"/>
  <c r="IC27" i="1" s="1"/>
  <c r="IB28" i="1"/>
  <c r="IC28" i="1" s="1"/>
  <c r="IB29" i="1"/>
  <c r="IC29" i="1" s="1"/>
  <c r="IB30" i="1"/>
  <c r="IC30" i="1" s="1"/>
  <c r="IB31" i="1"/>
  <c r="IC31" i="1" s="1"/>
  <c r="IB32" i="1"/>
  <c r="IC32" i="1" s="1"/>
  <c r="IB33" i="1"/>
  <c r="IC33" i="1" s="1"/>
  <c r="IB34" i="1"/>
  <c r="IC34" i="1" s="1"/>
  <c r="IB35" i="1"/>
  <c r="IC35" i="1" s="1"/>
  <c r="IB36" i="1"/>
  <c r="IC36" i="1" s="1"/>
  <c r="IB37" i="1"/>
  <c r="IC37" i="1" s="1"/>
  <c r="IB38" i="1"/>
  <c r="IC38" i="1" s="1"/>
  <c r="IB39" i="1"/>
  <c r="IC39" i="1" s="1"/>
  <c r="IB40" i="1"/>
  <c r="IC40" i="1" s="1"/>
  <c r="IB41" i="1"/>
  <c r="IC41" i="1" s="1"/>
  <c r="IB42" i="1"/>
  <c r="IC42" i="1" s="1"/>
  <c r="IB43" i="1"/>
  <c r="IC43" i="1" s="1"/>
  <c r="IB44" i="1"/>
  <c r="IC44" i="1" s="1"/>
  <c r="IB45" i="1"/>
  <c r="IC45" i="1" s="1"/>
  <c r="IB46" i="1"/>
  <c r="IC46" i="1" s="1"/>
  <c r="IB47" i="1"/>
  <c r="IC47" i="1" s="1"/>
  <c r="IB48" i="1"/>
  <c r="IC48" i="1" s="1"/>
  <c r="IB49" i="1"/>
  <c r="IC49" i="1" s="1"/>
  <c r="IB50" i="1"/>
  <c r="IC50" i="1" s="1"/>
  <c r="IB51" i="1"/>
  <c r="IC51" i="1" s="1"/>
  <c r="IB52" i="1"/>
  <c r="IC52" i="1" s="1"/>
  <c r="IB53" i="1"/>
  <c r="IC53" i="1" s="1"/>
  <c r="IB54" i="1"/>
  <c r="IC54" i="1" s="1"/>
  <c r="IB55" i="1"/>
  <c r="IC55" i="1" s="1"/>
  <c r="IB56" i="1"/>
  <c r="IC56" i="1" s="1"/>
  <c r="IB57" i="1"/>
  <c r="IC57" i="1" s="1"/>
  <c r="IB58" i="1"/>
  <c r="IC58" i="1" s="1"/>
  <c r="IB59" i="1"/>
  <c r="IC59" i="1" s="1"/>
  <c r="IB61" i="1"/>
  <c r="IC61" i="1" s="1"/>
  <c r="IB62" i="1"/>
  <c r="IC62" i="1" s="1"/>
  <c r="IB63" i="1"/>
  <c r="IC63" i="1" s="1"/>
  <c r="IB65" i="1"/>
  <c r="IC65" i="1" s="1"/>
  <c r="IB67" i="1"/>
  <c r="IC67" i="1" s="1"/>
  <c r="IB68" i="1"/>
  <c r="IC68" i="1" s="1"/>
  <c r="IB69" i="1"/>
  <c r="IC69" i="1" s="1"/>
  <c r="IB70" i="1"/>
  <c r="IC70" i="1" s="1"/>
  <c r="IB71" i="1"/>
  <c r="IC71" i="1" s="1"/>
  <c r="IB72" i="1"/>
  <c r="IC72" i="1" s="1"/>
  <c r="IB73" i="1"/>
  <c r="IC73" i="1" s="1"/>
  <c r="IB74" i="1"/>
  <c r="IC74" i="1" s="1"/>
  <c r="IB75" i="1"/>
  <c r="IC75" i="1" s="1"/>
  <c r="IB76" i="1"/>
  <c r="IC76" i="1" s="1"/>
  <c r="IB77" i="1"/>
  <c r="IC77" i="1" s="1"/>
  <c r="IB78" i="1"/>
  <c r="IC78" i="1" s="1"/>
  <c r="IB80" i="1"/>
  <c r="IC80" i="1" s="1"/>
  <c r="IB81" i="1"/>
  <c r="IC81" i="1" s="1"/>
  <c r="IB82" i="1"/>
  <c r="IC82" i="1" s="1"/>
  <c r="IB83" i="1"/>
  <c r="IC83" i="1" s="1"/>
  <c r="IB84" i="1"/>
  <c r="IC84" i="1" s="1"/>
  <c r="IB85" i="1"/>
  <c r="IC85" i="1" s="1"/>
  <c r="IB86" i="1"/>
  <c r="IC86" i="1" s="1"/>
  <c r="IB87" i="1"/>
  <c r="IC87" i="1" s="1"/>
  <c r="IB88" i="1"/>
  <c r="IC88" i="1" s="1"/>
  <c r="IB89" i="1"/>
  <c r="IC89" i="1" s="1"/>
  <c r="IB90" i="1"/>
  <c r="IC90" i="1" s="1"/>
  <c r="IB91" i="1"/>
  <c r="IC91" i="1" s="1"/>
  <c r="IB92" i="1"/>
  <c r="IC92" i="1" s="1"/>
  <c r="IB93" i="1"/>
  <c r="IC93" i="1" s="1"/>
  <c r="IB94" i="1"/>
  <c r="IC94" i="1" s="1"/>
  <c r="IB95" i="1"/>
  <c r="IC95" i="1" s="1"/>
  <c r="IB96" i="1"/>
  <c r="IC96" i="1" s="1"/>
  <c r="IB97" i="1"/>
  <c r="IC97" i="1" s="1"/>
  <c r="HZ60" i="1"/>
  <c r="IA60" i="1" s="1"/>
  <c r="HZ66" i="1"/>
  <c r="IA66" i="1" s="1"/>
  <c r="HZ64" i="1"/>
  <c r="IA64" i="1" s="1"/>
  <c r="HZ3" i="1"/>
  <c r="IA3" i="1" s="1"/>
  <c r="HZ4" i="1"/>
  <c r="IA4" i="1" s="1"/>
  <c r="HZ5" i="1"/>
  <c r="IA5" i="1" s="1"/>
  <c r="HZ6" i="1"/>
  <c r="IA6" i="1" s="1"/>
  <c r="HZ7" i="1"/>
  <c r="IA7" i="1" s="1"/>
  <c r="HZ8" i="1"/>
  <c r="IA8" i="1" s="1"/>
  <c r="HZ9" i="1"/>
  <c r="IA9" i="1" s="1"/>
  <c r="HZ10" i="1"/>
  <c r="IA10" i="1" s="1"/>
  <c r="HZ11" i="1"/>
  <c r="IA11" i="1" s="1"/>
  <c r="HZ12" i="1"/>
  <c r="IA12" i="1" s="1"/>
  <c r="HZ13" i="1"/>
  <c r="IA13" i="1" s="1"/>
  <c r="HZ14" i="1"/>
  <c r="IA14" i="1" s="1"/>
  <c r="HZ15" i="1"/>
  <c r="IA15" i="1" s="1"/>
  <c r="HZ16" i="1"/>
  <c r="IA16" i="1" s="1"/>
  <c r="HZ17" i="1"/>
  <c r="IA17" i="1" s="1"/>
  <c r="HZ18" i="1"/>
  <c r="IA18" i="1" s="1"/>
  <c r="HZ19" i="1"/>
  <c r="IA19" i="1" s="1"/>
  <c r="HZ20" i="1"/>
  <c r="IA20" i="1" s="1"/>
  <c r="HZ21" i="1"/>
  <c r="IA21" i="1" s="1"/>
  <c r="HZ22" i="1"/>
  <c r="IA22" i="1" s="1"/>
  <c r="HZ23" i="1"/>
  <c r="IA23" i="1" s="1"/>
  <c r="HZ24" i="1"/>
  <c r="IA24" i="1" s="1"/>
  <c r="HZ25" i="1"/>
  <c r="IA25" i="1" s="1"/>
  <c r="HZ26" i="1"/>
  <c r="IA26" i="1" s="1"/>
  <c r="HZ27" i="1"/>
  <c r="IA27" i="1" s="1"/>
  <c r="HZ28" i="1"/>
  <c r="IA28" i="1" s="1"/>
  <c r="HZ29" i="1"/>
  <c r="IA29" i="1" s="1"/>
  <c r="HZ30" i="1"/>
  <c r="IA30" i="1" s="1"/>
  <c r="HZ31" i="1"/>
  <c r="IA31" i="1" s="1"/>
  <c r="HZ32" i="1"/>
  <c r="IA32" i="1" s="1"/>
  <c r="HZ33" i="1"/>
  <c r="IA33" i="1" s="1"/>
  <c r="HZ34" i="1"/>
  <c r="IA34" i="1" s="1"/>
  <c r="HZ35" i="1"/>
  <c r="IA35" i="1" s="1"/>
  <c r="HZ36" i="1"/>
  <c r="IA36" i="1" s="1"/>
  <c r="HZ37" i="1"/>
  <c r="IA37" i="1" s="1"/>
  <c r="HZ38" i="1"/>
  <c r="IA38" i="1" s="1"/>
  <c r="HZ39" i="1"/>
  <c r="IA39" i="1" s="1"/>
  <c r="HZ40" i="1"/>
  <c r="IA40" i="1" s="1"/>
  <c r="HZ41" i="1"/>
  <c r="IA41" i="1" s="1"/>
  <c r="HZ42" i="1"/>
  <c r="IA42" i="1" s="1"/>
  <c r="HZ43" i="1"/>
  <c r="IA43" i="1" s="1"/>
  <c r="HZ44" i="1"/>
  <c r="IA44" i="1" s="1"/>
  <c r="HZ45" i="1"/>
  <c r="IA45" i="1" s="1"/>
  <c r="HZ46" i="1"/>
  <c r="IA46" i="1" s="1"/>
  <c r="HZ47" i="1"/>
  <c r="IA47" i="1" s="1"/>
  <c r="HZ48" i="1"/>
  <c r="IA48" i="1" s="1"/>
  <c r="HZ49" i="1"/>
  <c r="IA49" i="1" s="1"/>
  <c r="HZ50" i="1"/>
  <c r="IA50" i="1"/>
  <c r="HZ51" i="1"/>
  <c r="IA51" i="1" s="1"/>
  <c r="HZ52" i="1"/>
  <c r="IA52" i="1" s="1"/>
  <c r="HZ53" i="1"/>
  <c r="IA53" i="1" s="1"/>
  <c r="HZ54" i="1"/>
  <c r="IA54" i="1" s="1"/>
  <c r="HZ55" i="1"/>
  <c r="IA55" i="1" s="1"/>
  <c r="HZ56" i="1"/>
  <c r="IA56" i="1" s="1"/>
  <c r="HZ57" i="1"/>
  <c r="IA57" i="1" s="1"/>
  <c r="HZ58" i="1"/>
  <c r="IA58" i="1" s="1"/>
  <c r="HZ59" i="1"/>
  <c r="IA59" i="1" s="1"/>
  <c r="HZ61" i="1"/>
  <c r="IA61" i="1" s="1"/>
  <c r="HZ62" i="1"/>
  <c r="IA62" i="1" s="1"/>
  <c r="HZ63" i="1"/>
  <c r="IA63" i="1" s="1"/>
  <c r="HZ65" i="1"/>
  <c r="IA65" i="1" s="1"/>
  <c r="HZ67" i="1"/>
  <c r="IA67" i="1"/>
  <c r="HZ68" i="1"/>
  <c r="IA68" i="1" s="1"/>
  <c r="HZ69" i="1"/>
  <c r="IA69" i="1" s="1"/>
  <c r="HZ70" i="1"/>
  <c r="IA70" i="1" s="1"/>
  <c r="HZ71" i="1"/>
  <c r="IA71" i="1" s="1"/>
  <c r="HZ72" i="1"/>
  <c r="IA72" i="1" s="1"/>
  <c r="HZ73" i="1"/>
  <c r="IA73" i="1" s="1"/>
  <c r="HZ74" i="1"/>
  <c r="IA74" i="1" s="1"/>
  <c r="HZ75" i="1"/>
  <c r="IA75" i="1" s="1"/>
  <c r="HZ76" i="1"/>
  <c r="IA76" i="1" s="1"/>
  <c r="HZ77" i="1"/>
  <c r="IA77" i="1" s="1"/>
  <c r="HZ78" i="1"/>
  <c r="IA78" i="1" s="1"/>
  <c r="HZ80" i="1"/>
  <c r="IA80" i="1" s="1"/>
  <c r="HZ81" i="1"/>
  <c r="IA81" i="1" s="1"/>
  <c r="HZ82" i="1"/>
  <c r="IA82" i="1" s="1"/>
  <c r="HZ83" i="1"/>
  <c r="IA83" i="1" s="1"/>
  <c r="HZ84" i="1"/>
  <c r="IA84" i="1" s="1"/>
  <c r="HZ85" i="1"/>
  <c r="IA85" i="1" s="1"/>
  <c r="HZ86" i="1"/>
  <c r="IA86" i="1" s="1"/>
  <c r="HZ87" i="1"/>
  <c r="IA87" i="1" s="1"/>
  <c r="HZ88" i="1"/>
  <c r="IA88" i="1" s="1"/>
  <c r="HZ89" i="1"/>
  <c r="IA89" i="1" s="1"/>
  <c r="HZ90" i="1"/>
  <c r="IA90" i="1" s="1"/>
  <c r="HZ91" i="1"/>
  <c r="IA91" i="1" s="1"/>
  <c r="HZ92" i="1"/>
  <c r="IA92" i="1" s="1"/>
  <c r="HZ93" i="1"/>
  <c r="IA93" i="1" s="1"/>
  <c r="HZ94" i="1"/>
  <c r="IA94" i="1" s="1"/>
  <c r="HZ95" i="1"/>
  <c r="IA95" i="1" s="1"/>
  <c r="HZ96" i="1"/>
  <c r="IA96" i="1" s="1"/>
  <c r="HZ97" i="1"/>
  <c r="IA97" i="1" s="1"/>
  <c r="HX60" i="1"/>
  <c r="HY60" i="1" s="1"/>
  <c r="HX66" i="1"/>
  <c r="HY66" i="1" s="1"/>
  <c r="HX64" i="1"/>
  <c r="HY64" i="1" s="1"/>
  <c r="HX30" i="1"/>
  <c r="HY30" i="1" s="1"/>
  <c r="HX3" i="1"/>
  <c r="HY3" i="1" s="1"/>
  <c r="HX4" i="1"/>
  <c r="HY4" i="1" s="1"/>
  <c r="HX5" i="1"/>
  <c r="HY5" i="1" s="1"/>
  <c r="HX6" i="1"/>
  <c r="HY6" i="1" s="1"/>
  <c r="HX7" i="1"/>
  <c r="HY7" i="1" s="1"/>
  <c r="HX8" i="1"/>
  <c r="HY8" i="1" s="1"/>
  <c r="HX9" i="1"/>
  <c r="HY9" i="1" s="1"/>
  <c r="HX10" i="1"/>
  <c r="HY10" i="1" s="1"/>
  <c r="HX11" i="1"/>
  <c r="HY11" i="1" s="1"/>
  <c r="HX12" i="1"/>
  <c r="HY12" i="1" s="1"/>
  <c r="HX13" i="1"/>
  <c r="HY13" i="1" s="1"/>
  <c r="HX14" i="1"/>
  <c r="HY14" i="1" s="1"/>
  <c r="HX15" i="1"/>
  <c r="HY15" i="1" s="1"/>
  <c r="HX16" i="1"/>
  <c r="HY16" i="1" s="1"/>
  <c r="HX17" i="1"/>
  <c r="HY17" i="1" s="1"/>
  <c r="HX18" i="1"/>
  <c r="HY18" i="1" s="1"/>
  <c r="HX19" i="1"/>
  <c r="HY19" i="1" s="1"/>
  <c r="HX20" i="1"/>
  <c r="HY20" i="1" s="1"/>
  <c r="HX21" i="1"/>
  <c r="HY21" i="1" s="1"/>
  <c r="HX22" i="1"/>
  <c r="HY22" i="1" s="1"/>
  <c r="HX23" i="1"/>
  <c r="HY23" i="1" s="1"/>
  <c r="HX24" i="1"/>
  <c r="HY24" i="1" s="1"/>
  <c r="HX25" i="1"/>
  <c r="HY25" i="1" s="1"/>
  <c r="HX26" i="1"/>
  <c r="HY26" i="1" s="1"/>
  <c r="HX27" i="1"/>
  <c r="HY27" i="1" s="1"/>
  <c r="HX28" i="1"/>
  <c r="HY28" i="1" s="1"/>
  <c r="HX29" i="1"/>
  <c r="HY29" i="1" s="1"/>
  <c r="HX31" i="1"/>
  <c r="HY31" i="1" s="1"/>
  <c r="HX32" i="1"/>
  <c r="HY32" i="1" s="1"/>
  <c r="HX33" i="1"/>
  <c r="HY33" i="1" s="1"/>
  <c r="HX34" i="1"/>
  <c r="HX35" i="1"/>
  <c r="HY35" i="1" s="1"/>
  <c r="HX36" i="1"/>
  <c r="HY36" i="1" s="1"/>
  <c r="HX37" i="1"/>
  <c r="HY37" i="1" s="1"/>
  <c r="HX38" i="1"/>
  <c r="HY38" i="1" s="1"/>
  <c r="HX39" i="1"/>
  <c r="HY39" i="1" s="1"/>
  <c r="HX40" i="1"/>
  <c r="HY40" i="1" s="1"/>
  <c r="HX41" i="1"/>
  <c r="HY41" i="1" s="1"/>
  <c r="HX42" i="1"/>
  <c r="HY42" i="1" s="1"/>
  <c r="HX43" i="1"/>
  <c r="HY43" i="1" s="1"/>
  <c r="HX44" i="1"/>
  <c r="HY44" i="1" s="1"/>
  <c r="HX45" i="1"/>
  <c r="HY45" i="1" s="1"/>
  <c r="HX46" i="1"/>
  <c r="HY46" i="1" s="1"/>
  <c r="HX47" i="1"/>
  <c r="HY47" i="1" s="1"/>
  <c r="HX48" i="1"/>
  <c r="HY48" i="1" s="1"/>
  <c r="HX49" i="1"/>
  <c r="HY49" i="1" s="1"/>
  <c r="HX50" i="1"/>
  <c r="HY50" i="1" s="1"/>
  <c r="HX51" i="1"/>
  <c r="HY51" i="1" s="1"/>
  <c r="HX52" i="1"/>
  <c r="HY52" i="1" s="1"/>
  <c r="HX53" i="1"/>
  <c r="HY53" i="1" s="1"/>
  <c r="HX54" i="1"/>
  <c r="HY54" i="1" s="1"/>
  <c r="HX55" i="1"/>
  <c r="HY55" i="1" s="1"/>
  <c r="HX56" i="1"/>
  <c r="HY56" i="1" s="1"/>
  <c r="HX57" i="1"/>
  <c r="HY57" i="1" s="1"/>
  <c r="HX58" i="1"/>
  <c r="HY58" i="1" s="1"/>
  <c r="HX59" i="1"/>
  <c r="HY59" i="1" s="1"/>
  <c r="HX61" i="1"/>
  <c r="HY61" i="1" s="1"/>
  <c r="HX62" i="1"/>
  <c r="HY62" i="1" s="1"/>
  <c r="HX63" i="1"/>
  <c r="HY63" i="1" s="1"/>
  <c r="HX65" i="1"/>
  <c r="HY65" i="1" s="1"/>
  <c r="HX67" i="1"/>
  <c r="HY67" i="1" s="1"/>
  <c r="HX68" i="1"/>
  <c r="HY68" i="1" s="1"/>
  <c r="HX69" i="1"/>
  <c r="HY69" i="1" s="1"/>
  <c r="HX70" i="1"/>
  <c r="HY70" i="1" s="1"/>
  <c r="HX71" i="1"/>
  <c r="HY71" i="1" s="1"/>
  <c r="HX72" i="1"/>
  <c r="HY72" i="1" s="1"/>
  <c r="HX73" i="1"/>
  <c r="HY73" i="1" s="1"/>
  <c r="HX74" i="1"/>
  <c r="HY74" i="1" s="1"/>
  <c r="HX75" i="1"/>
  <c r="HY75" i="1" s="1"/>
  <c r="HX76" i="1"/>
  <c r="HY76" i="1" s="1"/>
  <c r="HX77" i="1"/>
  <c r="HY77" i="1" s="1"/>
  <c r="HX78" i="1"/>
  <c r="HY78" i="1" s="1"/>
  <c r="HX79" i="1"/>
  <c r="HX80" i="1"/>
  <c r="HY80" i="1" s="1"/>
  <c r="HX81" i="1"/>
  <c r="HY81" i="1" s="1"/>
  <c r="HX82" i="1"/>
  <c r="HY82" i="1" s="1"/>
  <c r="HX83" i="1"/>
  <c r="HY83" i="1" s="1"/>
  <c r="HX84" i="1"/>
  <c r="HY84" i="1" s="1"/>
  <c r="HX85" i="1"/>
  <c r="HY85" i="1" s="1"/>
  <c r="HX86" i="1"/>
  <c r="HY86" i="1" s="1"/>
  <c r="HX87" i="1"/>
  <c r="HY87" i="1" s="1"/>
  <c r="HX88" i="1"/>
  <c r="HY88" i="1" s="1"/>
  <c r="HX89" i="1"/>
  <c r="HY89" i="1"/>
  <c r="HX90" i="1"/>
  <c r="HY90" i="1" s="1"/>
  <c r="HX91" i="1"/>
  <c r="HY91" i="1" s="1"/>
  <c r="HX92" i="1"/>
  <c r="HY92" i="1" s="1"/>
  <c r="HX93" i="1"/>
  <c r="HY93" i="1" s="1"/>
  <c r="HX94" i="1"/>
  <c r="HY94" i="1" s="1"/>
  <c r="HX95" i="1"/>
  <c r="HY95" i="1" s="1"/>
  <c r="HX96" i="1"/>
  <c r="HY96" i="1"/>
  <c r="HX97" i="1"/>
  <c r="HY97" i="1" s="1"/>
  <c r="HV60" i="1"/>
  <c r="HW60" i="1" s="1"/>
  <c r="HV66" i="1"/>
  <c r="HW66" i="1" s="1"/>
  <c r="HV64" i="1"/>
  <c r="HW64" i="1" s="1"/>
  <c r="HV3" i="1"/>
  <c r="HW3" i="1" s="1"/>
  <c r="HV4" i="1"/>
  <c r="HW4" i="1" s="1"/>
  <c r="HV5" i="1"/>
  <c r="HW5" i="1" s="1"/>
  <c r="HV6" i="1"/>
  <c r="HW6" i="1" s="1"/>
  <c r="HV7" i="1"/>
  <c r="HW7" i="1" s="1"/>
  <c r="HV8" i="1"/>
  <c r="HW8" i="1" s="1"/>
  <c r="HV9" i="1"/>
  <c r="HW9" i="1" s="1"/>
  <c r="HV10" i="1"/>
  <c r="HW10" i="1" s="1"/>
  <c r="HV11" i="1"/>
  <c r="HW11" i="1" s="1"/>
  <c r="HV12" i="1"/>
  <c r="HW12" i="1" s="1"/>
  <c r="HV13" i="1"/>
  <c r="HW13" i="1" s="1"/>
  <c r="HV14" i="1"/>
  <c r="HW14" i="1" s="1"/>
  <c r="HV15" i="1"/>
  <c r="HW15" i="1" s="1"/>
  <c r="HV16" i="1"/>
  <c r="HW16" i="1" s="1"/>
  <c r="HV17" i="1"/>
  <c r="HW17" i="1" s="1"/>
  <c r="HV18" i="1"/>
  <c r="HW18" i="1" s="1"/>
  <c r="HV19" i="1"/>
  <c r="HW19" i="1" s="1"/>
  <c r="HV20" i="1"/>
  <c r="HW20" i="1" s="1"/>
  <c r="HV21" i="1"/>
  <c r="HW21" i="1" s="1"/>
  <c r="HV22" i="1"/>
  <c r="HW22" i="1" s="1"/>
  <c r="HV23" i="1"/>
  <c r="HW23" i="1" s="1"/>
  <c r="HV24" i="1"/>
  <c r="HW24" i="1" s="1"/>
  <c r="HV25" i="1"/>
  <c r="HW25" i="1" s="1"/>
  <c r="HV26" i="1"/>
  <c r="HW26" i="1" s="1"/>
  <c r="HV27" i="1"/>
  <c r="HW27" i="1" s="1"/>
  <c r="HV28" i="1"/>
  <c r="HW28" i="1" s="1"/>
  <c r="HV29" i="1"/>
  <c r="HW29" i="1" s="1"/>
  <c r="HV30" i="1"/>
  <c r="HW30" i="1" s="1"/>
  <c r="HV31" i="1"/>
  <c r="HW31" i="1" s="1"/>
  <c r="HV32" i="1"/>
  <c r="HW32" i="1" s="1"/>
  <c r="HV33" i="1"/>
  <c r="HW33" i="1" s="1"/>
  <c r="HV34" i="1"/>
  <c r="HW34" i="1" s="1"/>
  <c r="HV35" i="1"/>
  <c r="HW35" i="1"/>
  <c r="HV36" i="1"/>
  <c r="HW36" i="1" s="1"/>
  <c r="HV37" i="1"/>
  <c r="HW37" i="1" s="1"/>
  <c r="HV38" i="1"/>
  <c r="HW38" i="1" s="1"/>
  <c r="HV39" i="1"/>
  <c r="HW39" i="1" s="1"/>
  <c r="HV40" i="1"/>
  <c r="HW40" i="1" s="1"/>
  <c r="HV41" i="1"/>
  <c r="HW41" i="1" s="1"/>
  <c r="HV42" i="1"/>
  <c r="HW42" i="1" s="1"/>
  <c r="HV43" i="1"/>
  <c r="HW43" i="1" s="1"/>
  <c r="HV44" i="1"/>
  <c r="HW44" i="1" s="1"/>
  <c r="HV45" i="1"/>
  <c r="HW45" i="1" s="1"/>
  <c r="HV46" i="1"/>
  <c r="HW46" i="1" s="1"/>
  <c r="HV47" i="1"/>
  <c r="HW47" i="1" s="1"/>
  <c r="HV48" i="1"/>
  <c r="HW48" i="1" s="1"/>
  <c r="HV49" i="1"/>
  <c r="HW49" i="1" s="1"/>
  <c r="HV50" i="1"/>
  <c r="HW50" i="1" s="1"/>
  <c r="HV51" i="1"/>
  <c r="HW51" i="1" s="1"/>
  <c r="HV52" i="1"/>
  <c r="HW52" i="1" s="1"/>
  <c r="HV53" i="1"/>
  <c r="HW53" i="1" s="1"/>
  <c r="HV54" i="1"/>
  <c r="HW54" i="1" s="1"/>
  <c r="HV55" i="1"/>
  <c r="HW55" i="1" s="1"/>
  <c r="HV56" i="1"/>
  <c r="HW56" i="1" s="1"/>
  <c r="HV57" i="1"/>
  <c r="HW57" i="1" s="1"/>
  <c r="HV58" i="1"/>
  <c r="HW58" i="1" s="1"/>
  <c r="HV59" i="1"/>
  <c r="HW59" i="1"/>
  <c r="HV61" i="1"/>
  <c r="HW61" i="1" s="1"/>
  <c r="HV62" i="1"/>
  <c r="HW62" i="1" s="1"/>
  <c r="HV63" i="1"/>
  <c r="HW63" i="1" s="1"/>
  <c r="HV65" i="1"/>
  <c r="HW65" i="1" s="1"/>
  <c r="HV67" i="1"/>
  <c r="HW67" i="1" s="1"/>
  <c r="HV68" i="1"/>
  <c r="HW68" i="1" s="1"/>
  <c r="HV69" i="1"/>
  <c r="HW69" i="1" s="1"/>
  <c r="HV70" i="1"/>
  <c r="HW70" i="1" s="1"/>
  <c r="HV71" i="1"/>
  <c r="HW71" i="1" s="1"/>
  <c r="HV72" i="1"/>
  <c r="HW72" i="1" s="1"/>
  <c r="HV73" i="1"/>
  <c r="HW73" i="1" s="1"/>
  <c r="HV74" i="1"/>
  <c r="HW74" i="1" s="1"/>
  <c r="HV75" i="1"/>
  <c r="HW75" i="1" s="1"/>
  <c r="HV76" i="1"/>
  <c r="HW76" i="1" s="1"/>
  <c r="HV77" i="1"/>
  <c r="HW77" i="1" s="1"/>
  <c r="HV78" i="1"/>
  <c r="HW78" i="1" s="1"/>
  <c r="HV80" i="1"/>
  <c r="HW80" i="1" s="1"/>
  <c r="HV81" i="1"/>
  <c r="HW81" i="1" s="1"/>
  <c r="HV82" i="1"/>
  <c r="HW82" i="1" s="1"/>
  <c r="HV83" i="1"/>
  <c r="HW83" i="1" s="1"/>
  <c r="HV84" i="1"/>
  <c r="HW84" i="1" s="1"/>
  <c r="HV85" i="1"/>
  <c r="HW85" i="1" s="1"/>
  <c r="HV86" i="1"/>
  <c r="HW86" i="1" s="1"/>
  <c r="HV87" i="1"/>
  <c r="HW87" i="1" s="1"/>
  <c r="HV88" i="1"/>
  <c r="HW88" i="1" s="1"/>
  <c r="HV89" i="1"/>
  <c r="HW89" i="1" s="1"/>
  <c r="HV90" i="1"/>
  <c r="HW90" i="1" s="1"/>
  <c r="HV91" i="1"/>
  <c r="HW91" i="1" s="1"/>
  <c r="HV92" i="1"/>
  <c r="HW92" i="1" s="1"/>
  <c r="HV93" i="1"/>
  <c r="HW93" i="1" s="1"/>
  <c r="HV94" i="1"/>
  <c r="HW94" i="1" s="1"/>
  <c r="HV95" i="1"/>
  <c r="HW95" i="1" s="1"/>
  <c r="HV96" i="1"/>
  <c r="HW96" i="1" s="1"/>
  <c r="HV97" i="1"/>
  <c r="HW97" i="1" s="1"/>
  <c r="HR60" i="1"/>
  <c r="HS60" i="1" s="1"/>
  <c r="HR66" i="1"/>
  <c r="HS66" i="1" s="1"/>
  <c r="HR64" i="1"/>
  <c r="HS64" i="1" s="1"/>
  <c r="HR15" i="1"/>
  <c r="HS15" i="1" s="1"/>
  <c r="HR3" i="1"/>
  <c r="HS3" i="1" s="1"/>
  <c r="HR4" i="1"/>
  <c r="HS4" i="1" s="1"/>
  <c r="HR5" i="1"/>
  <c r="HS5" i="1" s="1"/>
  <c r="HR6" i="1"/>
  <c r="HS6" i="1" s="1"/>
  <c r="HR7" i="1"/>
  <c r="HS7" i="1" s="1"/>
  <c r="HR8" i="1"/>
  <c r="HS8" i="1" s="1"/>
  <c r="HR9" i="1"/>
  <c r="HS9" i="1" s="1"/>
  <c r="HR10" i="1"/>
  <c r="HS10" i="1" s="1"/>
  <c r="HR11" i="1"/>
  <c r="HS11" i="1" s="1"/>
  <c r="HR12" i="1"/>
  <c r="HS12" i="1" s="1"/>
  <c r="HR13" i="1"/>
  <c r="HS13" i="1" s="1"/>
  <c r="HR14" i="1"/>
  <c r="HS14" i="1" s="1"/>
  <c r="HR16" i="1"/>
  <c r="HS16" i="1" s="1"/>
  <c r="HR17" i="1"/>
  <c r="HS17" i="1" s="1"/>
  <c r="HR18" i="1"/>
  <c r="HS18" i="1"/>
  <c r="HR19" i="1"/>
  <c r="HS19" i="1" s="1"/>
  <c r="HR20" i="1"/>
  <c r="HS20" i="1" s="1"/>
  <c r="HR21" i="1"/>
  <c r="HS21" i="1" s="1"/>
  <c r="HR22" i="1"/>
  <c r="HS22" i="1" s="1"/>
  <c r="HR23" i="1"/>
  <c r="HS23" i="1" s="1"/>
  <c r="HR24" i="1"/>
  <c r="HS24" i="1" s="1"/>
  <c r="HR25" i="1"/>
  <c r="HS25" i="1" s="1"/>
  <c r="HR26" i="1"/>
  <c r="HS26" i="1" s="1"/>
  <c r="HR27" i="1"/>
  <c r="HS27" i="1" s="1"/>
  <c r="HR28" i="1"/>
  <c r="HS28" i="1" s="1"/>
  <c r="HR29" i="1"/>
  <c r="HS29" i="1" s="1"/>
  <c r="HR30" i="1"/>
  <c r="HS30" i="1" s="1"/>
  <c r="HR31" i="1"/>
  <c r="HS31" i="1" s="1"/>
  <c r="HR32" i="1"/>
  <c r="HS32" i="1" s="1"/>
  <c r="HR33" i="1"/>
  <c r="HS33" i="1" s="1"/>
  <c r="HR34" i="1"/>
  <c r="HS34" i="1" s="1"/>
  <c r="HR35" i="1"/>
  <c r="HS35" i="1"/>
  <c r="HR36" i="1"/>
  <c r="HS36" i="1" s="1"/>
  <c r="HR37" i="1"/>
  <c r="HS37" i="1" s="1"/>
  <c r="HR38" i="1"/>
  <c r="HS38" i="1" s="1"/>
  <c r="HR39" i="1"/>
  <c r="HS39" i="1" s="1"/>
  <c r="HR40" i="1"/>
  <c r="HS40" i="1" s="1"/>
  <c r="HR41" i="1"/>
  <c r="HS41" i="1" s="1"/>
  <c r="HR42" i="1"/>
  <c r="HS42" i="1"/>
  <c r="HR43" i="1"/>
  <c r="HS43" i="1" s="1"/>
  <c r="HR44" i="1"/>
  <c r="HS44" i="1" s="1"/>
  <c r="HR45" i="1"/>
  <c r="HS45" i="1" s="1"/>
  <c r="HR46" i="1"/>
  <c r="HS46" i="1" s="1"/>
  <c r="HR47" i="1"/>
  <c r="HS47" i="1"/>
  <c r="HR48" i="1"/>
  <c r="HS48" i="1" s="1"/>
  <c r="HR49" i="1"/>
  <c r="HS49" i="1" s="1"/>
  <c r="HR50" i="1"/>
  <c r="HS50" i="1" s="1"/>
  <c r="HR51" i="1"/>
  <c r="HS51" i="1" s="1"/>
  <c r="HR52" i="1"/>
  <c r="HS52" i="1" s="1"/>
  <c r="HR53" i="1"/>
  <c r="HS53" i="1" s="1"/>
  <c r="HR54" i="1"/>
  <c r="HS54" i="1" s="1"/>
  <c r="HR55" i="1"/>
  <c r="HS55" i="1" s="1"/>
  <c r="HR56" i="1"/>
  <c r="HS56" i="1" s="1"/>
  <c r="HR57" i="1"/>
  <c r="HS57" i="1" s="1"/>
  <c r="HR58" i="1"/>
  <c r="HS58" i="1" s="1"/>
  <c r="HR59" i="1"/>
  <c r="HS59" i="1" s="1"/>
  <c r="HR61" i="1"/>
  <c r="HS61" i="1" s="1"/>
  <c r="HR62" i="1"/>
  <c r="HS62" i="1" s="1"/>
  <c r="HR63" i="1"/>
  <c r="HS63" i="1" s="1"/>
  <c r="HR65" i="1"/>
  <c r="HS65" i="1"/>
  <c r="HR67" i="1"/>
  <c r="HS67" i="1" s="1"/>
  <c r="HR68" i="1"/>
  <c r="HS68" i="1" s="1"/>
  <c r="HR69" i="1"/>
  <c r="HS69" i="1" s="1"/>
  <c r="HR70" i="1"/>
  <c r="HS70" i="1" s="1"/>
  <c r="HR71" i="1"/>
  <c r="HS71" i="1" s="1"/>
  <c r="HR72" i="1"/>
  <c r="HS72" i="1" s="1"/>
  <c r="HR73" i="1"/>
  <c r="HS73" i="1"/>
  <c r="HR74" i="1"/>
  <c r="HS74" i="1" s="1"/>
  <c r="HR75" i="1"/>
  <c r="HS75" i="1" s="1"/>
  <c r="HR76" i="1"/>
  <c r="HS76" i="1" s="1"/>
  <c r="HR77" i="1"/>
  <c r="HS77" i="1" s="1"/>
  <c r="HR78" i="1"/>
  <c r="HS78" i="1" s="1"/>
  <c r="HR79" i="1"/>
  <c r="HS79" i="1" s="1"/>
  <c r="HR80" i="1"/>
  <c r="HS80" i="1" s="1"/>
  <c r="HR81" i="1"/>
  <c r="HS81" i="1" s="1"/>
  <c r="HR82" i="1"/>
  <c r="HS82" i="1" s="1"/>
  <c r="HR83" i="1"/>
  <c r="HS83" i="1" s="1"/>
  <c r="HR84" i="1"/>
  <c r="HS84" i="1" s="1"/>
  <c r="HR85" i="1"/>
  <c r="HS85" i="1" s="1"/>
  <c r="HR86" i="1"/>
  <c r="HS86" i="1" s="1"/>
  <c r="HR87" i="1"/>
  <c r="HS87" i="1" s="1"/>
  <c r="HR88" i="1"/>
  <c r="HS88" i="1" s="1"/>
  <c r="HR89" i="1"/>
  <c r="HS89" i="1" s="1"/>
  <c r="HR90" i="1"/>
  <c r="HS90" i="1" s="1"/>
  <c r="HR91" i="1"/>
  <c r="HS91" i="1" s="1"/>
  <c r="HR92" i="1"/>
  <c r="HS92" i="1" s="1"/>
  <c r="HR93" i="1"/>
  <c r="HS93" i="1" s="1"/>
  <c r="HR94" i="1"/>
  <c r="HS94" i="1"/>
  <c r="HR95" i="1"/>
  <c r="HS95" i="1" s="1"/>
  <c r="HR96" i="1"/>
  <c r="HS96" i="1" s="1"/>
  <c r="HR97" i="1"/>
  <c r="HS97" i="1" s="1"/>
  <c r="HP60" i="1"/>
  <c r="HQ60" i="1" s="1"/>
  <c r="HP66" i="1"/>
  <c r="HQ66" i="1" s="1"/>
  <c r="HP64" i="1"/>
  <c r="HQ64" i="1" s="1"/>
  <c r="HP3" i="1"/>
  <c r="HQ3" i="1" s="1"/>
  <c r="HP4" i="1"/>
  <c r="HQ4" i="1" s="1"/>
  <c r="HP5" i="1"/>
  <c r="HQ5" i="1" s="1"/>
  <c r="HP6" i="1"/>
  <c r="HQ6" i="1" s="1"/>
  <c r="HP7" i="1"/>
  <c r="HQ7" i="1" s="1"/>
  <c r="HP8" i="1"/>
  <c r="HQ8" i="1" s="1"/>
  <c r="HP9" i="1"/>
  <c r="HQ9" i="1" s="1"/>
  <c r="HP10" i="1"/>
  <c r="HQ10" i="1" s="1"/>
  <c r="HP11" i="1"/>
  <c r="HQ11" i="1" s="1"/>
  <c r="HP12" i="1"/>
  <c r="HQ12" i="1" s="1"/>
  <c r="HP13" i="1"/>
  <c r="HQ13" i="1" s="1"/>
  <c r="HP14" i="1"/>
  <c r="HQ14" i="1" s="1"/>
  <c r="HP15" i="1"/>
  <c r="HQ15" i="1" s="1"/>
  <c r="HP16" i="1"/>
  <c r="HQ16" i="1" s="1"/>
  <c r="HP17" i="1"/>
  <c r="HQ17" i="1" s="1"/>
  <c r="HP18" i="1"/>
  <c r="HQ18" i="1" s="1"/>
  <c r="HP19" i="1"/>
  <c r="HQ19" i="1" s="1"/>
  <c r="HP20" i="1"/>
  <c r="HQ20" i="1" s="1"/>
  <c r="HP21" i="1"/>
  <c r="HQ21" i="1" s="1"/>
  <c r="HP22" i="1"/>
  <c r="HQ22" i="1" s="1"/>
  <c r="HP23" i="1"/>
  <c r="HQ23" i="1" s="1"/>
  <c r="HP24" i="1"/>
  <c r="HQ24" i="1" s="1"/>
  <c r="HP25" i="1"/>
  <c r="HQ25" i="1" s="1"/>
  <c r="HP26" i="1"/>
  <c r="HQ26" i="1" s="1"/>
  <c r="HP27" i="1"/>
  <c r="HQ27" i="1" s="1"/>
  <c r="HP28" i="1"/>
  <c r="HQ28" i="1" s="1"/>
  <c r="HP29" i="1"/>
  <c r="HQ29" i="1" s="1"/>
  <c r="HP30" i="1"/>
  <c r="HQ30" i="1" s="1"/>
  <c r="HP31" i="1"/>
  <c r="HQ31" i="1" s="1"/>
  <c r="HP32" i="1"/>
  <c r="HQ32" i="1" s="1"/>
  <c r="HP33" i="1"/>
  <c r="HQ33" i="1" s="1"/>
  <c r="HP34" i="1"/>
  <c r="HQ34" i="1" s="1"/>
  <c r="HP35" i="1"/>
  <c r="HQ35" i="1" s="1"/>
  <c r="HP36" i="1"/>
  <c r="HQ36" i="1" s="1"/>
  <c r="HP37" i="1"/>
  <c r="HQ37" i="1" s="1"/>
  <c r="HP38" i="1"/>
  <c r="HQ38" i="1" s="1"/>
  <c r="HP39" i="1"/>
  <c r="HQ39" i="1" s="1"/>
  <c r="HP40" i="1"/>
  <c r="HQ40" i="1" s="1"/>
  <c r="HP41" i="1"/>
  <c r="HQ41" i="1" s="1"/>
  <c r="HP42" i="1"/>
  <c r="HQ42" i="1" s="1"/>
  <c r="HP43" i="1"/>
  <c r="HQ43" i="1" s="1"/>
  <c r="HP44" i="1"/>
  <c r="HQ44" i="1" s="1"/>
  <c r="HP45" i="1"/>
  <c r="HQ45" i="1" s="1"/>
  <c r="HP46" i="1"/>
  <c r="HQ46" i="1" s="1"/>
  <c r="HP47" i="1"/>
  <c r="HQ47" i="1" s="1"/>
  <c r="HP48" i="1"/>
  <c r="HQ48" i="1"/>
  <c r="HP49" i="1"/>
  <c r="HQ49" i="1" s="1"/>
  <c r="HP50" i="1"/>
  <c r="HQ50" i="1" s="1"/>
  <c r="HP51" i="1"/>
  <c r="HQ51" i="1" s="1"/>
  <c r="HP52" i="1"/>
  <c r="HQ52" i="1" s="1"/>
  <c r="HP53" i="1"/>
  <c r="HQ53" i="1" s="1"/>
  <c r="HP54" i="1"/>
  <c r="HQ54" i="1" s="1"/>
  <c r="HP55" i="1"/>
  <c r="HQ55" i="1" s="1"/>
  <c r="HP56" i="1"/>
  <c r="HQ56" i="1" s="1"/>
  <c r="HP57" i="1"/>
  <c r="HQ57" i="1" s="1"/>
  <c r="HP58" i="1"/>
  <c r="HQ58" i="1" s="1"/>
  <c r="HP59" i="1"/>
  <c r="HQ59" i="1" s="1"/>
  <c r="HP61" i="1"/>
  <c r="HQ61" i="1" s="1"/>
  <c r="HP62" i="1"/>
  <c r="HQ62" i="1" s="1"/>
  <c r="HP63" i="1"/>
  <c r="HQ63" i="1" s="1"/>
  <c r="HP65" i="1"/>
  <c r="HQ65" i="1" s="1"/>
  <c r="HP67" i="1"/>
  <c r="HQ67" i="1"/>
  <c r="HP68" i="1"/>
  <c r="HQ68" i="1" s="1"/>
  <c r="HP69" i="1"/>
  <c r="HQ69" i="1" s="1"/>
  <c r="HP70" i="1"/>
  <c r="HQ70" i="1" s="1"/>
  <c r="HP71" i="1"/>
  <c r="HQ71" i="1"/>
  <c r="HP72" i="1"/>
  <c r="HQ72" i="1" s="1"/>
  <c r="HP73" i="1"/>
  <c r="HQ73" i="1" s="1"/>
  <c r="HP74" i="1"/>
  <c r="HQ74" i="1" s="1"/>
  <c r="HP75" i="1"/>
  <c r="HQ75" i="1" s="1"/>
  <c r="HP76" i="1"/>
  <c r="HQ76" i="1" s="1"/>
  <c r="HP77" i="1"/>
  <c r="HQ77" i="1" s="1"/>
  <c r="HP78" i="1"/>
  <c r="HQ78" i="1" s="1"/>
  <c r="HP79" i="1"/>
  <c r="HQ79" i="1" s="1"/>
  <c r="HP80" i="1"/>
  <c r="HQ80" i="1" s="1"/>
  <c r="HP81" i="1"/>
  <c r="HQ81" i="1" s="1"/>
  <c r="HP82" i="1"/>
  <c r="HQ82" i="1" s="1"/>
  <c r="HP83" i="1"/>
  <c r="HQ83" i="1"/>
  <c r="HP84" i="1"/>
  <c r="HQ84" i="1" s="1"/>
  <c r="HP85" i="1"/>
  <c r="HQ85" i="1" s="1"/>
  <c r="HP86" i="1"/>
  <c r="HQ86" i="1" s="1"/>
  <c r="HP87" i="1"/>
  <c r="HQ87" i="1" s="1"/>
  <c r="HP88" i="1"/>
  <c r="HQ88" i="1" s="1"/>
  <c r="HP89" i="1"/>
  <c r="HQ89" i="1" s="1"/>
  <c r="HP90" i="1"/>
  <c r="HQ90" i="1" s="1"/>
  <c r="HP91" i="1"/>
  <c r="HQ91" i="1" s="1"/>
  <c r="HP92" i="1"/>
  <c r="HQ92" i="1" s="1"/>
  <c r="HP93" i="1"/>
  <c r="HQ93" i="1" s="1"/>
  <c r="HP94" i="1"/>
  <c r="HQ94" i="1" s="1"/>
  <c r="HP95" i="1"/>
  <c r="HQ95" i="1" s="1"/>
  <c r="HP96" i="1"/>
  <c r="HQ96" i="1" s="1"/>
  <c r="HP97" i="1"/>
  <c r="HQ97" i="1" s="1"/>
  <c r="HN60" i="1"/>
  <c r="HO60" i="1" s="1"/>
  <c r="HN66" i="1"/>
  <c r="HO66" i="1" s="1"/>
  <c r="HN64" i="1"/>
  <c r="HO64" i="1" s="1"/>
  <c r="HN3" i="1"/>
  <c r="HO3" i="1" s="1"/>
  <c r="HN4" i="1"/>
  <c r="HO4" i="1" s="1"/>
  <c r="HN5" i="1"/>
  <c r="HO5" i="1" s="1"/>
  <c r="HN6" i="1"/>
  <c r="HO6" i="1" s="1"/>
  <c r="HN7" i="1"/>
  <c r="HO7" i="1" s="1"/>
  <c r="HN8" i="1"/>
  <c r="HO8" i="1" s="1"/>
  <c r="HN9" i="1"/>
  <c r="HO9" i="1" s="1"/>
  <c r="HN10" i="1"/>
  <c r="HO10" i="1" s="1"/>
  <c r="HN11" i="1"/>
  <c r="HO11" i="1" s="1"/>
  <c r="HN12" i="1"/>
  <c r="HO12" i="1" s="1"/>
  <c r="HN13" i="1"/>
  <c r="HO13" i="1" s="1"/>
  <c r="HN14" i="1"/>
  <c r="HO14" i="1" s="1"/>
  <c r="HN15" i="1"/>
  <c r="HO15" i="1" s="1"/>
  <c r="HN16" i="1"/>
  <c r="HO16" i="1" s="1"/>
  <c r="HN17" i="1"/>
  <c r="HO17" i="1" s="1"/>
  <c r="HN18" i="1"/>
  <c r="HO18" i="1" s="1"/>
  <c r="HN19" i="1"/>
  <c r="HO19" i="1" s="1"/>
  <c r="HN20" i="1"/>
  <c r="HO20" i="1" s="1"/>
  <c r="HN21" i="1"/>
  <c r="HO21" i="1" s="1"/>
  <c r="HN22" i="1"/>
  <c r="HO22" i="1" s="1"/>
  <c r="HN23" i="1"/>
  <c r="HO23" i="1"/>
  <c r="HN24" i="1"/>
  <c r="HO24" i="1" s="1"/>
  <c r="HN25" i="1"/>
  <c r="HO25" i="1" s="1"/>
  <c r="HN26" i="1"/>
  <c r="HO26" i="1" s="1"/>
  <c r="HN27" i="1"/>
  <c r="HO27" i="1" s="1"/>
  <c r="HN28" i="1"/>
  <c r="HO28" i="1" s="1"/>
  <c r="HN29" i="1"/>
  <c r="HO29" i="1" s="1"/>
  <c r="HN30" i="1"/>
  <c r="HO30" i="1" s="1"/>
  <c r="HN31" i="1"/>
  <c r="HO31" i="1" s="1"/>
  <c r="HN32" i="1"/>
  <c r="HO32" i="1" s="1"/>
  <c r="HN33" i="1"/>
  <c r="HO33" i="1" s="1"/>
  <c r="HN34" i="1"/>
  <c r="HO34" i="1" s="1"/>
  <c r="HN35" i="1"/>
  <c r="HO35" i="1" s="1"/>
  <c r="HN36" i="1"/>
  <c r="HO36" i="1" s="1"/>
  <c r="HN37" i="1"/>
  <c r="HO37" i="1" s="1"/>
  <c r="HN38" i="1"/>
  <c r="HO38" i="1" s="1"/>
  <c r="HN39" i="1"/>
  <c r="HO39" i="1" s="1"/>
  <c r="HN40" i="1"/>
  <c r="HO40" i="1" s="1"/>
  <c r="HN41" i="1"/>
  <c r="HO41" i="1" s="1"/>
  <c r="HN42" i="1"/>
  <c r="HO42" i="1" s="1"/>
  <c r="HN43" i="1"/>
  <c r="HO43" i="1" s="1"/>
  <c r="HN44" i="1"/>
  <c r="HO44" i="1" s="1"/>
  <c r="HN45" i="1"/>
  <c r="HO45" i="1" s="1"/>
  <c r="HN46" i="1"/>
  <c r="HO46" i="1" s="1"/>
  <c r="HN47" i="1"/>
  <c r="HO47" i="1" s="1"/>
  <c r="HN48" i="1"/>
  <c r="HO48" i="1" s="1"/>
  <c r="HN49" i="1"/>
  <c r="HO49" i="1" s="1"/>
  <c r="HN50" i="1"/>
  <c r="HO50" i="1" s="1"/>
  <c r="HN51" i="1"/>
  <c r="HO51" i="1" s="1"/>
  <c r="HN52" i="1"/>
  <c r="HO52" i="1" s="1"/>
  <c r="HN53" i="1"/>
  <c r="HO53" i="1" s="1"/>
  <c r="HN54" i="1"/>
  <c r="HO54" i="1" s="1"/>
  <c r="HN55" i="1"/>
  <c r="HO55" i="1" s="1"/>
  <c r="HN56" i="1"/>
  <c r="HO56" i="1" s="1"/>
  <c r="HN57" i="1"/>
  <c r="HO57" i="1" s="1"/>
  <c r="HN58" i="1"/>
  <c r="HO58" i="1" s="1"/>
  <c r="HN59" i="1"/>
  <c r="HO59" i="1" s="1"/>
  <c r="HN61" i="1"/>
  <c r="HO61" i="1" s="1"/>
  <c r="HN62" i="1"/>
  <c r="HO62" i="1" s="1"/>
  <c r="HN63" i="1"/>
  <c r="HO63" i="1" s="1"/>
  <c r="HN65" i="1"/>
  <c r="HO65" i="1" s="1"/>
  <c r="HN67" i="1"/>
  <c r="HO67" i="1" s="1"/>
  <c r="HN68" i="1"/>
  <c r="HO68" i="1" s="1"/>
  <c r="HN69" i="1"/>
  <c r="HO69" i="1" s="1"/>
  <c r="HN70" i="1"/>
  <c r="HO70" i="1" s="1"/>
  <c r="HN71" i="1"/>
  <c r="HO71" i="1" s="1"/>
  <c r="HN72" i="1"/>
  <c r="HO72" i="1" s="1"/>
  <c r="HN73" i="1"/>
  <c r="HO73" i="1" s="1"/>
  <c r="HN74" i="1"/>
  <c r="HO74" i="1" s="1"/>
  <c r="HN75" i="1"/>
  <c r="HO75" i="1" s="1"/>
  <c r="HN76" i="1"/>
  <c r="HO76" i="1" s="1"/>
  <c r="HN77" i="1"/>
  <c r="HO77" i="1" s="1"/>
  <c r="HN78" i="1"/>
  <c r="HO78" i="1" s="1"/>
  <c r="HN79" i="1"/>
  <c r="HO79" i="1" s="1"/>
  <c r="HN80" i="1"/>
  <c r="HO80" i="1" s="1"/>
  <c r="HN81" i="1"/>
  <c r="HO81" i="1" s="1"/>
  <c r="HN82" i="1"/>
  <c r="HO82" i="1" s="1"/>
  <c r="HN83" i="1"/>
  <c r="HO83" i="1" s="1"/>
  <c r="HN84" i="1"/>
  <c r="HO84" i="1"/>
  <c r="HN85" i="1"/>
  <c r="HO85" i="1" s="1"/>
  <c r="HN86" i="1"/>
  <c r="HO86" i="1" s="1"/>
  <c r="HN87" i="1"/>
  <c r="HO87" i="1" s="1"/>
  <c r="HN88" i="1"/>
  <c r="HO88" i="1" s="1"/>
  <c r="HN89" i="1"/>
  <c r="HO89" i="1" s="1"/>
  <c r="HN90" i="1"/>
  <c r="HO90" i="1" s="1"/>
  <c r="HN91" i="1"/>
  <c r="HO91" i="1" s="1"/>
  <c r="HN92" i="1"/>
  <c r="HO92" i="1" s="1"/>
  <c r="HN93" i="1"/>
  <c r="HO93" i="1" s="1"/>
  <c r="HN94" i="1"/>
  <c r="HO94" i="1" s="1"/>
  <c r="HN95" i="1"/>
  <c r="HO95" i="1" s="1"/>
  <c r="HN96" i="1"/>
  <c r="HO96" i="1" s="1"/>
  <c r="HN97" i="1"/>
  <c r="HO97" i="1" s="1"/>
  <c r="HL60" i="1"/>
  <c r="HM60" i="1" s="1"/>
  <c r="HL66" i="1"/>
  <c r="HM66" i="1" s="1"/>
  <c r="HL64" i="1"/>
  <c r="HM64" i="1" s="1"/>
  <c r="HL3" i="1"/>
  <c r="HM3" i="1" s="1"/>
  <c r="HL4" i="1"/>
  <c r="HM4" i="1" s="1"/>
  <c r="HL5" i="1"/>
  <c r="HM5" i="1"/>
  <c r="HL6" i="1"/>
  <c r="HM6" i="1" s="1"/>
  <c r="HL7" i="1"/>
  <c r="HM7" i="1" s="1"/>
  <c r="HL8" i="1"/>
  <c r="HM8" i="1" s="1"/>
  <c r="HL9" i="1"/>
  <c r="HM9" i="1" s="1"/>
  <c r="HL10" i="1"/>
  <c r="HM10" i="1" s="1"/>
  <c r="HL11" i="1"/>
  <c r="HM11" i="1" s="1"/>
  <c r="HL12" i="1"/>
  <c r="HM12" i="1" s="1"/>
  <c r="HL13" i="1"/>
  <c r="HM13" i="1" s="1"/>
  <c r="HL14" i="1"/>
  <c r="HM14" i="1" s="1"/>
  <c r="HL15" i="1"/>
  <c r="HM15" i="1" s="1"/>
  <c r="HL16" i="1"/>
  <c r="HM16" i="1" s="1"/>
  <c r="HL17" i="1"/>
  <c r="HM17" i="1" s="1"/>
  <c r="HL18" i="1"/>
  <c r="HM18" i="1" s="1"/>
  <c r="HL19" i="1"/>
  <c r="HM19" i="1"/>
  <c r="HL20" i="1"/>
  <c r="HM20" i="1" s="1"/>
  <c r="HL21" i="1"/>
  <c r="HM21" i="1" s="1"/>
  <c r="HL22" i="1"/>
  <c r="HM22" i="1" s="1"/>
  <c r="HL23" i="1"/>
  <c r="HM23" i="1" s="1"/>
  <c r="HL24" i="1"/>
  <c r="HM24" i="1" s="1"/>
  <c r="HL25" i="1"/>
  <c r="HM25" i="1" s="1"/>
  <c r="HL26" i="1"/>
  <c r="HM26" i="1" s="1"/>
  <c r="HL27" i="1"/>
  <c r="HM27" i="1" s="1"/>
  <c r="HL28" i="1"/>
  <c r="HM28" i="1" s="1"/>
  <c r="HL29" i="1"/>
  <c r="HM29" i="1" s="1"/>
  <c r="HL30" i="1"/>
  <c r="HM30" i="1" s="1"/>
  <c r="HL31" i="1"/>
  <c r="HM31" i="1" s="1"/>
  <c r="HL32" i="1"/>
  <c r="HM32" i="1" s="1"/>
  <c r="HL33" i="1"/>
  <c r="HM33" i="1" s="1"/>
  <c r="HL34" i="1"/>
  <c r="HM34" i="1" s="1"/>
  <c r="HL35" i="1"/>
  <c r="HM35" i="1" s="1"/>
  <c r="HL36" i="1"/>
  <c r="HM36" i="1" s="1"/>
  <c r="HL37" i="1"/>
  <c r="HM37" i="1" s="1"/>
  <c r="HL38" i="1"/>
  <c r="HM38" i="1" s="1"/>
  <c r="HL39" i="1"/>
  <c r="HM39" i="1" s="1"/>
  <c r="HL40" i="1"/>
  <c r="HM40" i="1" s="1"/>
  <c r="HL41" i="1"/>
  <c r="HM41" i="1" s="1"/>
  <c r="HL42" i="1"/>
  <c r="HM42" i="1" s="1"/>
  <c r="HL43" i="1"/>
  <c r="HM43" i="1" s="1"/>
  <c r="HL44" i="1"/>
  <c r="HM44" i="1" s="1"/>
  <c r="HL45" i="1"/>
  <c r="HM45" i="1" s="1"/>
  <c r="HL46" i="1"/>
  <c r="HM46" i="1" s="1"/>
  <c r="HL47" i="1"/>
  <c r="HM47" i="1" s="1"/>
  <c r="HL48" i="1"/>
  <c r="HM48" i="1" s="1"/>
  <c r="HL49" i="1"/>
  <c r="HM49" i="1"/>
  <c r="HL50" i="1"/>
  <c r="HM50" i="1" s="1"/>
  <c r="HL51" i="1"/>
  <c r="HM51" i="1" s="1"/>
  <c r="HL52" i="1"/>
  <c r="HM52" i="1" s="1"/>
  <c r="HL53" i="1"/>
  <c r="HM53" i="1" s="1"/>
  <c r="HL54" i="1"/>
  <c r="HM54" i="1" s="1"/>
  <c r="HL55" i="1"/>
  <c r="HM55" i="1" s="1"/>
  <c r="HL56" i="1"/>
  <c r="HM56" i="1" s="1"/>
  <c r="HL57" i="1"/>
  <c r="HM57" i="1" s="1"/>
  <c r="HL58" i="1"/>
  <c r="HM58" i="1" s="1"/>
  <c r="HL59" i="1"/>
  <c r="HM59" i="1" s="1"/>
  <c r="HL61" i="1"/>
  <c r="HM61" i="1" s="1"/>
  <c r="HL62" i="1"/>
  <c r="HM62" i="1" s="1"/>
  <c r="HL63" i="1"/>
  <c r="HM63" i="1" s="1"/>
  <c r="HL65" i="1"/>
  <c r="HM65" i="1" s="1"/>
  <c r="HL67" i="1"/>
  <c r="HM67" i="1"/>
  <c r="HL68" i="1"/>
  <c r="HM68" i="1" s="1"/>
  <c r="HL69" i="1"/>
  <c r="HM69" i="1" s="1"/>
  <c r="HL70" i="1"/>
  <c r="HM70" i="1" s="1"/>
  <c r="HL71" i="1"/>
  <c r="HM71" i="1" s="1"/>
  <c r="HL72" i="1"/>
  <c r="HM72" i="1" s="1"/>
  <c r="HL73" i="1"/>
  <c r="HM73" i="1" s="1"/>
  <c r="HL74" i="1"/>
  <c r="HM74" i="1" s="1"/>
  <c r="HL75" i="1"/>
  <c r="HM75" i="1" s="1"/>
  <c r="HL76" i="1"/>
  <c r="HM76" i="1" s="1"/>
  <c r="HL77" i="1"/>
  <c r="HM77" i="1" s="1"/>
  <c r="HL78" i="1"/>
  <c r="HM78" i="1" s="1"/>
  <c r="HL80" i="1"/>
  <c r="HM80" i="1" s="1"/>
  <c r="HL81" i="1"/>
  <c r="HM81" i="1" s="1"/>
  <c r="HL82" i="1"/>
  <c r="HM82" i="1" s="1"/>
  <c r="HL83" i="1"/>
  <c r="HM83" i="1" s="1"/>
  <c r="HL84" i="1"/>
  <c r="HM84" i="1" s="1"/>
  <c r="HL85" i="1"/>
  <c r="HM85" i="1" s="1"/>
  <c r="HL86" i="1"/>
  <c r="HM86" i="1" s="1"/>
  <c r="HL87" i="1"/>
  <c r="HM87" i="1" s="1"/>
  <c r="HL88" i="1"/>
  <c r="HM88" i="1" s="1"/>
  <c r="HL89" i="1"/>
  <c r="HM89" i="1" s="1"/>
  <c r="HL90" i="1"/>
  <c r="HM90" i="1" s="1"/>
  <c r="HL91" i="1"/>
  <c r="HM91" i="1" s="1"/>
  <c r="HL92" i="1"/>
  <c r="HM92" i="1" s="1"/>
  <c r="HL93" i="1"/>
  <c r="HM93" i="1" s="1"/>
  <c r="HL94" i="1"/>
  <c r="HM94" i="1" s="1"/>
  <c r="HL95" i="1"/>
  <c r="HM95" i="1" s="1"/>
  <c r="HL96" i="1"/>
  <c r="HM96" i="1" s="1"/>
  <c r="HL97" i="1"/>
  <c r="HM97" i="1" s="1"/>
  <c r="HJ60" i="1"/>
  <c r="HK60" i="1" s="1"/>
  <c r="HJ66" i="1"/>
  <c r="HK66" i="1" s="1"/>
  <c r="HJ67" i="1"/>
  <c r="HK67" i="1" s="1"/>
  <c r="HJ68" i="1"/>
  <c r="HK68" i="1" s="1"/>
  <c r="HJ69" i="1"/>
  <c r="HK69" i="1" s="1"/>
  <c r="HJ70" i="1"/>
  <c r="HK70" i="1" s="1"/>
  <c r="HJ71" i="1"/>
  <c r="HK71" i="1" s="1"/>
  <c r="HJ64" i="1"/>
  <c r="HK64" i="1" s="1"/>
  <c r="HJ3" i="1"/>
  <c r="HK3" i="1" s="1"/>
  <c r="HJ4" i="1"/>
  <c r="HK4" i="1" s="1"/>
  <c r="HJ5" i="1"/>
  <c r="HK5" i="1" s="1"/>
  <c r="HJ6" i="1"/>
  <c r="HK6" i="1" s="1"/>
  <c r="HJ7" i="1"/>
  <c r="HK7" i="1" s="1"/>
  <c r="HJ8" i="1"/>
  <c r="HK8" i="1" s="1"/>
  <c r="HJ9" i="1"/>
  <c r="HK9" i="1" s="1"/>
  <c r="HJ10" i="1"/>
  <c r="HK10" i="1" s="1"/>
  <c r="HJ11" i="1"/>
  <c r="HK11" i="1" s="1"/>
  <c r="HJ12" i="1"/>
  <c r="HK12" i="1" s="1"/>
  <c r="HJ13" i="1"/>
  <c r="HK13" i="1" s="1"/>
  <c r="HJ14" i="1"/>
  <c r="HK14" i="1" s="1"/>
  <c r="HJ15" i="1"/>
  <c r="HK15" i="1" s="1"/>
  <c r="HJ16" i="1"/>
  <c r="HK16" i="1" s="1"/>
  <c r="HJ17" i="1"/>
  <c r="HK17" i="1" s="1"/>
  <c r="HJ18" i="1"/>
  <c r="HK18" i="1" s="1"/>
  <c r="HJ19" i="1"/>
  <c r="HK19" i="1" s="1"/>
  <c r="HJ20" i="1"/>
  <c r="HK20" i="1" s="1"/>
  <c r="HJ21" i="1"/>
  <c r="HK21" i="1" s="1"/>
  <c r="HJ22" i="1"/>
  <c r="HK22" i="1" s="1"/>
  <c r="HJ23" i="1"/>
  <c r="HK23" i="1" s="1"/>
  <c r="HJ24" i="1"/>
  <c r="HK24" i="1" s="1"/>
  <c r="HJ25" i="1"/>
  <c r="HK25" i="1"/>
  <c r="HJ26" i="1"/>
  <c r="HK26" i="1" s="1"/>
  <c r="HJ27" i="1"/>
  <c r="HK27" i="1" s="1"/>
  <c r="HJ28" i="1"/>
  <c r="HK28" i="1" s="1"/>
  <c r="HJ29" i="1"/>
  <c r="HK29" i="1" s="1"/>
  <c r="HJ30" i="1"/>
  <c r="HK30" i="1" s="1"/>
  <c r="HJ31" i="1"/>
  <c r="HK31" i="1" s="1"/>
  <c r="HJ32" i="1"/>
  <c r="HK32" i="1" s="1"/>
  <c r="HJ33" i="1"/>
  <c r="HK33" i="1" s="1"/>
  <c r="HJ34" i="1"/>
  <c r="HK34" i="1" s="1"/>
  <c r="HJ35" i="1"/>
  <c r="HK35" i="1" s="1"/>
  <c r="HJ36" i="1"/>
  <c r="HK36" i="1" s="1"/>
  <c r="HJ37" i="1"/>
  <c r="HK37" i="1" s="1"/>
  <c r="HJ38" i="1"/>
  <c r="HK38" i="1" s="1"/>
  <c r="HJ39" i="1"/>
  <c r="HK39" i="1" s="1"/>
  <c r="HJ40" i="1"/>
  <c r="HK40" i="1" s="1"/>
  <c r="HJ41" i="1"/>
  <c r="HK41" i="1" s="1"/>
  <c r="HJ42" i="1"/>
  <c r="HK42" i="1" s="1"/>
  <c r="HJ43" i="1"/>
  <c r="HK43" i="1" s="1"/>
  <c r="HJ44" i="1"/>
  <c r="HK44" i="1" s="1"/>
  <c r="HJ45" i="1"/>
  <c r="HK45" i="1" s="1"/>
  <c r="HJ46" i="1"/>
  <c r="HK46" i="1" s="1"/>
  <c r="HJ47" i="1"/>
  <c r="HK47" i="1" s="1"/>
  <c r="HJ48" i="1"/>
  <c r="HK48" i="1" s="1"/>
  <c r="HJ49" i="1"/>
  <c r="HK49" i="1"/>
  <c r="HJ50" i="1"/>
  <c r="HK50" i="1" s="1"/>
  <c r="HJ51" i="1"/>
  <c r="HK51" i="1" s="1"/>
  <c r="HJ52" i="1"/>
  <c r="HK52" i="1" s="1"/>
  <c r="HJ53" i="1"/>
  <c r="HK53" i="1"/>
  <c r="HJ54" i="1"/>
  <c r="HK54" i="1" s="1"/>
  <c r="HJ55" i="1"/>
  <c r="HK55" i="1" s="1"/>
  <c r="HJ56" i="1"/>
  <c r="HK56" i="1" s="1"/>
  <c r="HJ57" i="1"/>
  <c r="HK57" i="1" s="1"/>
  <c r="HJ58" i="1"/>
  <c r="HK58" i="1" s="1"/>
  <c r="HJ59" i="1"/>
  <c r="HK59" i="1" s="1"/>
  <c r="HJ61" i="1"/>
  <c r="HK61" i="1" s="1"/>
  <c r="HJ62" i="1"/>
  <c r="HK62" i="1" s="1"/>
  <c r="HJ63" i="1"/>
  <c r="HK63" i="1" s="1"/>
  <c r="HJ65" i="1"/>
  <c r="HK65" i="1" s="1"/>
  <c r="HJ72" i="1"/>
  <c r="HK72" i="1" s="1"/>
  <c r="HJ73" i="1"/>
  <c r="HK73" i="1" s="1"/>
  <c r="HJ74" i="1"/>
  <c r="HK74" i="1" s="1"/>
  <c r="HJ75" i="1"/>
  <c r="HK75" i="1" s="1"/>
  <c r="HJ76" i="1"/>
  <c r="HK76" i="1" s="1"/>
  <c r="HJ77" i="1"/>
  <c r="HK77" i="1" s="1"/>
  <c r="HJ78" i="1"/>
  <c r="HK78" i="1" s="1"/>
  <c r="HJ80" i="1"/>
  <c r="HK80" i="1" s="1"/>
  <c r="HJ81" i="1"/>
  <c r="HK81" i="1" s="1"/>
  <c r="HJ82" i="1"/>
  <c r="HK82" i="1" s="1"/>
  <c r="HJ83" i="1"/>
  <c r="HK83" i="1" s="1"/>
  <c r="HJ84" i="1"/>
  <c r="HK84" i="1" s="1"/>
  <c r="HJ85" i="1"/>
  <c r="HK85" i="1" s="1"/>
  <c r="HJ86" i="1"/>
  <c r="HK86" i="1" s="1"/>
  <c r="HJ87" i="1"/>
  <c r="HK87" i="1" s="1"/>
  <c r="HJ88" i="1"/>
  <c r="HK88" i="1" s="1"/>
  <c r="HJ89" i="1"/>
  <c r="HK89" i="1" s="1"/>
  <c r="HJ90" i="1"/>
  <c r="HK90" i="1" s="1"/>
  <c r="HJ91" i="1"/>
  <c r="HK91" i="1" s="1"/>
  <c r="HJ92" i="1"/>
  <c r="HK92" i="1" s="1"/>
  <c r="HJ93" i="1"/>
  <c r="HK93" i="1" s="1"/>
  <c r="HJ94" i="1"/>
  <c r="HK94" i="1" s="1"/>
  <c r="HJ95" i="1"/>
  <c r="HK95" i="1" s="1"/>
  <c r="HJ96" i="1"/>
  <c r="HK96" i="1" s="1"/>
  <c r="HJ97" i="1"/>
  <c r="HK97" i="1" s="1"/>
  <c r="HH60" i="1"/>
  <c r="HI60" i="1" s="1"/>
  <c r="HH66" i="1"/>
  <c r="HI66" i="1" s="1"/>
  <c r="HH64" i="1"/>
  <c r="HI64" i="1" s="1"/>
  <c r="HH3" i="1"/>
  <c r="HI3" i="1" s="1"/>
  <c r="HH4" i="1"/>
  <c r="HI4" i="1" s="1"/>
  <c r="HH5" i="1"/>
  <c r="HI5" i="1" s="1"/>
  <c r="HH6" i="1"/>
  <c r="HI6" i="1" s="1"/>
  <c r="HH7" i="1"/>
  <c r="HI7" i="1" s="1"/>
  <c r="HH8" i="1"/>
  <c r="HI8" i="1"/>
  <c r="HH9" i="1"/>
  <c r="HI9" i="1" s="1"/>
  <c r="HH10" i="1"/>
  <c r="HI10" i="1" s="1"/>
  <c r="HH11" i="1"/>
  <c r="HI11" i="1" s="1"/>
  <c r="HH12" i="1"/>
  <c r="HI12" i="1" s="1"/>
  <c r="HH13" i="1"/>
  <c r="HI13" i="1" s="1"/>
  <c r="HH14" i="1"/>
  <c r="HI14" i="1" s="1"/>
  <c r="HH15" i="1"/>
  <c r="HI15" i="1" s="1"/>
  <c r="HH16" i="1"/>
  <c r="HI16" i="1" s="1"/>
  <c r="HH17" i="1"/>
  <c r="HI17" i="1" s="1"/>
  <c r="HH18" i="1"/>
  <c r="HI18" i="1" s="1"/>
  <c r="HH19" i="1"/>
  <c r="HI19" i="1" s="1"/>
  <c r="HH20" i="1"/>
  <c r="HI20" i="1" s="1"/>
  <c r="HH21" i="1"/>
  <c r="HI21" i="1" s="1"/>
  <c r="HH22" i="1"/>
  <c r="HI22" i="1" s="1"/>
  <c r="HH23" i="1"/>
  <c r="HI23" i="1" s="1"/>
  <c r="HH24" i="1"/>
  <c r="HI24" i="1" s="1"/>
  <c r="HH25" i="1"/>
  <c r="HI25" i="1" s="1"/>
  <c r="HH26" i="1"/>
  <c r="HI26" i="1" s="1"/>
  <c r="HH27" i="1"/>
  <c r="HI27" i="1" s="1"/>
  <c r="HH28" i="1"/>
  <c r="HI28" i="1" s="1"/>
  <c r="HH29" i="1"/>
  <c r="HI29" i="1" s="1"/>
  <c r="HH30" i="1"/>
  <c r="HI30" i="1" s="1"/>
  <c r="HH31" i="1"/>
  <c r="HI31" i="1" s="1"/>
  <c r="HH32" i="1"/>
  <c r="HI32" i="1" s="1"/>
  <c r="HH33" i="1"/>
  <c r="HI33" i="1" s="1"/>
  <c r="HH34" i="1"/>
  <c r="HI34" i="1" s="1"/>
  <c r="HH35" i="1"/>
  <c r="HI35" i="1" s="1"/>
  <c r="HH36" i="1"/>
  <c r="HI36" i="1" s="1"/>
  <c r="HH37" i="1"/>
  <c r="HI37" i="1" s="1"/>
  <c r="HH38" i="1"/>
  <c r="HI38" i="1" s="1"/>
  <c r="HH39" i="1"/>
  <c r="HI39" i="1" s="1"/>
  <c r="HH40" i="1"/>
  <c r="HI40" i="1" s="1"/>
  <c r="HH41" i="1"/>
  <c r="HI41" i="1" s="1"/>
  <c r="HH42" i="1"/>
  <c r="HI42" i="1" s="1"/>
  <c r="HH43" i="1"/>
  <c r="HI43" i="1" s="1"/>
  <c r="HH44" i="1"/>
  <c r="HI44" i="1" s="1"/>
  <c r="HH45" i="1"/>
  <c r="HI45" i="1" s="1"/>
  <c r="HH46" i="1"/>
  <c r="HI46" i="1" s="1"/>
  <c r="HH47" i="1"/>
  <c r="HI47" i="1" s="1"/>
  <c r="HH48" i="1"/>
  <c r="HI48" i="1" s="1"/>
  <c r="HH49" i="1"/>
  <c r="HI49" i="1" s="1"/>
  <c r="HH50" i="1"/>
  <c r="HI50" i="1" s="1"/>
  <c r="HH51" i="1"/>
  <c r="HI51" i="1" s="1"/>
  <c r="HH52" i="1"/>
  <c r="HI52" i="1" s="1"/>
  <c r="HH53" i="1"/>
  <c r="HI53" i="1"/>
  <c r="HH54" i="1"/>
  <c r="HI54" i="1" s="1"/>
  <c r="HH55" i="1"/>
  <c r="HI55" i="1" s="1"/>
  <c r="HH56" i="1"/>
  <c r="HI56" i="1" s="1"/>
  <c r="HH57" i="1"/>
  <c r="HI57" i="1" s="1"/>
  <c r="HH58" i="1"/>
  <c r="HI58" i="1" s="1"/>
  <c r="HH59" i="1"/>
  <c r="HI59" i="1" s="1"/>
  <c r="HH61" i="1"/>
  <c r="HI61" i="1"/>
  <c r="HH62" i="1"/>
  <c r="HI62" i="1"/>
  <c r="HH63" i="1"/>
  <c r="HI63" i="1" s="1"/>
  <c r="HH65" i="1"/>
  <c r="HI65" i="1" s="1"/>
  <c r="HH67" i="1"/>
  <c r="HI67" i="1"/>
  <c r="HH68" i="1"/>
  <c r="HI68" i="1"/>
  <c r="HH69" i="1"/>
  <c r="HI69" i="1" s="1"/>
  <c r="HH70" i="1"/>
  <c r="HI70" i="1" s="1"/>
  <c r="HH71" i="1"/>
  <c r="HI71" i="1" s="1"/>
  <c r="HH72" i="1"/>
  <c r="HI72" i="1" s="1"/>
  <c r="HH73" i="1"/>
  <c r="HI73" i="1" s="1"/>
  <c r="HH74" i="1"/>
  <c r="HI74" i="1" s="1"/>
  <c r="HH75" i="1"/>
  <c r="HI75" i="1" s="1"/>
  <c r="HH76" i="1"/>
  <c r="HI76" i="1" s="1"/>
  <c r="HH77" i="1"/>
  <c r="HI77" i="1" s="1"/>
  <c r="HH78" i="1"/>
  <c r="HI78" i="1" s="1"/>
  <c r="HH79" i="1"/>
  <c r="HI79" i="1" s="1"/>
  <c r="HH80" i="1"/>
  <c r="HI80" i="1" s="1"/>
  <c r="HH81" i="1"/>
  <c r="HI81" i="1" s="1"/>
  <c r="HH82" i="1"/>
  <c r="HI82" i="1" s="1"/>
  <c r="HH83" i="1"/>
  <c r="HI83" i="1" s="1"/>
  <c r="HH84" i="1"/>
  <c r="HI84" i="1" s="1"/>
  <c r="HH85" i="1"/>
  <c r="HI85" i="1" s="1"/>
  <c r="HH86" i="1"/>
  <c r="HI86" i="1" s="1"/>
  <c r="HH87" i="1"/>
  <c r="HI87" i="1" s="1"/>
  <c r="HH88" i="1"/>
  <c r="HI88" i="1" s="1"/>
  <c r="HH89" i="1"/>
  <c r="HI89" i="1" s="1"/>
  <c r="HH90" i="1"/>
  <c r="HI90" i="1" s="1"/>
  <c r="HH91" i="1"/>
  <c r="HI91" i="1" s="1"/>
  <c r="HH92" i="1"/>
  <c r="HI92" i="1" s="1"/>
  <c r="HH93" i="1"/>
  <c r="HI93" i="1" s="1"/>
  <c r="HH94" i="1"/>
  <c r="HI94" i="1" s="1"/>
  <c r="HH95" i="1"/>
  <c r="HI95" i="1" s="1"/>
  <c r="HH96" i="1"/>
  <c r="HI96" i="1"/>
  <c r="HH97" i="1"/>
  <c r="HI97" i="1" s="1"/>
  <c r="HF66" i="1"/>
  <c r="HG66" i="1" s="1"/>
  <c r="KE66" i="1" s="1"/>
  <c r="KG66" i="1" s="1"/>
  <c r="HF67" i="1"/>
  <c r="HG67" i="1" s="1"/>
  <c r="HF68" i="1"/>
  <c r="HG68" i="1" s="1"/>
  <c r="HF69" i="1"/>
  <c r="HG69" i="1" s="1"/>
  <c r="HF70" i="1"/>
  <c r="HG70" i="1" s="1"/>
  <c r="HF71" i="1"/>
  <c r="HG71" i="1" s="1"/>
  <c r="KE71" i="1" s="1"/>
  <c r="KG71" i="1" s="1"/>
  <c r="HF60" i="1"/>
  <c r="HG60" i="1" s="1"/>
  <c r="HF64" i="1"/>
  <c r="HG64" i="1" s="1"/>
  <c r="HF3" i="1"/>
  <c r="HG3" i="1" s="1"/>
  <c r="HF4" i="1"/>
  <c r="HG4" i="1" s="1"/>
  <c r="HF5" i="1"/>
  <c r="HG5" i="1" s="1"/>
  <c r="KE5" i="1" s="1"/>
  <c r="KG5" i="1" s="1"/>
  <c r="HF6" i="1"/>
  <c r="HG6" i="1" s="1"/>
  <c r="KE6" i="1" s="1"/>
  <c r="KG6" i="1" s="1"/>
  <c r="HF7" i="1"/>
  <c r="HG7" i="1" s="1"/>
  <c r="HF8" i="1"/>
  <c r="HG8" i="1" s="1"/>
  <c r="HF9" i="1"/>
  <c r="HG9" i="1" s="1"/>
  <c r="HF10" i="1"/>
  <c r="HG10" i="1" s="1"/>
  <c r="HF11" i="1"/>
  <c r="HG11" i="1" s="1"/>
  <c r="KE11" i="1" s="1"/>
  <c r="KG11" i="1" s="1"/>
  <c r="HF12" i="1"/>
  <c r="HG12" i="1" s="1"/>
  <c r="HF13" i="1"/>
  <c r="HG13" i="1" s="1"/>
  <c r="KE13" i="1" s="1"/>
  <c r="KG13" i="1" s="1"/>
  <c r="HF14" i="1"/>
  <c r="HG14" i="1" s="1"/>
  <c r="HF15" i="1"/>
  <c r="HG15" i="1" s="1"/>
  <c r="HF16" i="1"/>
  <c r="HG16" i="1" s="1"/>
  <c r="HF17" i="1"/>
  <c r="HG17" i="1" s="1"/>
  <c r="KE17" i="1" s="1"/>
  <c r="KG17" i="1" s="1"/>
  <c r="HF18" i="1"/>
  <c r="HG18" i="1"/>
  <c r="HF19" i="1"/>
  <c r="HG19" i="1" s="1"/>
  <c r="KE19" i="1" s="1"/>
  <c r="KG19" i="1" s="1"/>
  <c r="HF20" i="1"/>
  <c r="HG20" i="1" s="1"/>
  <c r="KE20" i="1" s="1"/>
  <c r="KG20" i="1" s="1"/>
  <c r="HF21" i="1"/>
  <c r="HG21" i="1" s="1"/>
  <c r="KE21" i="1" s="1"/>
  <c r="HF22" i="1"/>
  <c r="HG22" i="1"/>
  <c r="HF23" i="1"/>
  <c r="HG23" i="1" s="1"/>
  <c r="HF24" i="1"/>
  <c r="HG24" i="1" s="1"/>
  <c r="HF25" i="1"/>
  <c r="HG25" i="1" s="1"/>
  <c r="KE25" i="1" s="1"/>
  <c r="KG25" i="1" s="1"/>
  <c r="HF26" i="1"/>
  <c r="HG26" i="1" s="1"/>
  <c r="HF27" i="1"/>
  <c r="HG27" i="1" s="1"/>
  <c r="HF28" i="1"/>
  <c r="HG28" i="1" s="1"/>
  <c r="HF29" i="1"/>
  <c r="HG29" i="1" s="1"/>
  <c r="HF30" i="1"/>
  <c r="HG30" i="1" s="1"/>
  <c r="HF31" i="1"/>
  <c r="HG31" i="1" s="1"/>
  <c r="HF32" i="1"/>
  <c r="HG32" i="1" s="1"/>
  <c r="KE32" i="1" s="1"/>
  <c r="KG32" i="1" s="1"/>
  <c r="HF33" i="1"/>
  <c r="HG33" i="1" s="1"/>
  <c r="HF34" i="1"/>
  <c r="HG34" i="1" s="1"/>
  <c r="HF35" i="1"/>
  <c r="HG35" i="1" s="1"/>
  <c r="HF36" i="1"/>
  <c r="HG36" i="1" s="1"/>
  <c r="HF37" i="1"/>
  <c r="HG37" i="1" s="1"/>
  <c r="KE37" i="1" s="1"/>
  <c r="KG37" i="1" s="1"/>
  <c r="HF38" i="1"/>
  <c r="HG38" i="1" s="1"/>
  <c r="HF39" i="1"/>
  <c r="HG39" i="1" s="1"/>
  <c r="KE39" i="1" s="1"/>
  <c r="KG39" i="1" s="1"/>
  <c r="HF40" i="1"/>
  <c r="HG40" i="1" s="1"/>
  <c r="HF41" i="1"/>
  <c r="HG41" i="1" s="1"/>
  <c r="HF42" i="1"/>
  <c r="HG42" i="1" s="1"/>
  <c r="HF43" i="1"/>
  <c r="HG43" i="1" s="1"/>
  <c r="KE43" i="1" s="1"/>
  <c r="KG43" i="1" s="1"/>
  <c r="HF44" i="1"/>
  <c r="HG44" i="1" s="1"/>
  <c r="HF45" i="1"/>
  <c r="HG45" i="1" s="1"/>
  <c r="KE45" i="1" s="1"/>
  <c r="KG45" i="1" s="1"/>
  <c r="HF46" i="1"/>
  <c r="HG46" i="1" s="1"/>
  <c r="HF47" i="1"/>
  <c r="HG47" i="1" s="1"/>
  <c r="HF48" i="1"/>
  <c r="HG48" i="1" s="1"/>
  <c r="HF49" i="1"/>
  <c r="HG49" i="1" s="1"/>
  <c r="KE49" i="1" s="1"/>
  <c r="KG49" i="1" s="1"/>
  <c r="HF50" i="1"/>
  <c r="HG50" i="1" s="1"/>
  <c r="HF51" i="1"/>
  <c r="HG51" i="1" s="1"/>
  <c r="KE51" i="1" s="1"/>
  <c r="KG51" i="1" s="1"/>
  <c r="HF52" i="1"/>
  <c r="HG52" i="1" s="1"/>
  <c r="HF53" i="1"/>
  <c r="HG53" i="1" s="1"/>
  <c r="HF54" i="1"/>
  <c r="HG54" i="1"/>
  <c r="KE54" i="1" s="1"/>
  <c r="KG54" i="1" s="1"/>
  <c r="HF55" i="1"/>
  <c r="HG55" i="1" s="1"/>
  <c r="HF56" i="1"/>
  <c r="HG56" i="1" s="1"/>
  <c r="HF57" i="1"/>
  <c r="HG57" i="1" s="1"/>
  <c r="KE57" i="1" s="1"/>
  <c r="KG57" i="1" s="1"/>
  <c r="HF58" i="1"/>
  <c r="HG58" i="1" s="1"/>
  <c r="HF59" i="1"/>
  <c r="HG59" i="1" s="1"/>
  <c r="HF61" i="1"/>
  <c r="HG61" i="1" s="1"/>
  <c r="HF62" i="1"/>
  <c r="HG62" i="1" s="1"/>
  <c r="HF63" i="1"/>
  <c r="HG63" i="1" s="1"/>
  <c r="HF65" i="1"/>
  <c r="HG65" i="1" s="1"/>
  <c r="HF72" i="1"/>
  <c r="HG72" i="1" s="1"/>
  <c r="KE72" i="1" s="1"/>
  <c r="KG72" i="1" s="1"/>
  <c r="HF73" i="1"/>
  <c r="HG73" i="1" s="1"/>
  <c r="KE73" i="1" s="1"/>
  <c r="KG73" i="1" s="1"/>
  <c r="HF74" i="1"/>
  <c r="HG74" i="1" s="1"/>
  <c r="HF75" i="1"/>
  <c r="HG75" i="1" s="1"/>
  <c r="HF76" i="1"/>
  <c r="HG76" i="1" s="1"/>
  <c r="HF77" i="1"/>
  <c r="HG77" i="1" s="1"/>
  <c r="KE77" i="1" s="1"/>
  <c r="KG77" i="1" s="1"/>
  <c r="HF78" i="1"/>
  <c r="HG78" i="1" s="1"/>
  <c r="HF80" i="1"/>
  <c r="HG80" i="1" s="1"/>
  <c r="HF81" i="1"/>
  <c r="HG81" i="1" s="1"/>
  <c r="KE81" i="1" s="1"/>
  <c r="KG81" i="1" s="1"/>
  <c r="HF82" i="1"/>
  <c r="HG82" i="1" s="1"/>
  <c r="HF83" i="1"/>
  <c r="HG83" i="1" s="1"/>
  <c r="HF84" i="1"/>
  <c r="HG84" i="1" s="1"/>
  <c r="KE84" i="1" s="1"/>
  <c r="KG84" i="1" s="1"/>
  <c r="HF85" i="1"/>
  <c r="HG85" i="1" s="1"/>
  <c r="KE85" i="1" s="1"/>
  <c r="KG85" i="1" s="1"/>
  <c r="HF86" i="1"/>
  <c r="HG86" i="1" s="1"/>
  <c r="HF87" i="1"/>
  <c r="HG87" i="1" s="1"/>
  <c r="HF88" i="1"/>
  <c r="HG88" i="1" s="1"/>
  <c r="KE88" i="1" s="1"/>
  <c r="KG88" i="1" s="1"/>
  <c r="HF89" i="1"/>
  <c r="HG89" i="1" s="1"/>
  <c r="HF90" i="1"/>
  <c r="HG90" i="1" s="1"/>
  <c r="HF91" i="1"/>
  <c r="HG91" i="1" s="1"/>
  <c r="KE91" i="1" s="1"/>
  <c r="KG91" i="1" s="1"/>
  <c r="HF92" i="1"/>
  <c r="HG92" i="1" s="1"/>
  <c r="KE92" i="1" s="1"/>
  <c r="KG92" i="1" s="1"/>
  <c r="HF93" i="1"/>
  <c r="HG93" i="1" s="1"/>
  <c r="HF94" i="1"/>
  <c r="HG94" i="1" s="1"/>
  <c r="HF95" i="1"/>
  <c r="HG95" i="1" s="1"/>
  <c r="HF96" i="1"/>
  <c r="HG96" i="1" s="1"/>
  <c r="HF97" i="1"/>
  <c r="HG97" i="1" s="1"/>
  <c r="KE97" i="1" s="1"/>
  <c r="KG97" i="1" s="1"/>
  <c r="KG21" i="1"/>
  <c r="F77" i="3"/>
  <c r="G77" i="3"/>
  <c r="I77" i="3"/>
  <c r="H28" i="3"/>
  <c r="H29" i="3"/>
  <c r="H34" i="3"/>
  <c r="H36" i="3"/>
  <c r="H37" i="3"/>
  <c r="H38" i="3"/>
  <c r="H39" i="3"/>
  <c r="H40" i="3"/>
  <c r="H41" i="3"/>
  <c r="H44" i="3"/>
  <c r="H45" i="3"/>
  <c r="H47" i="3"/>
  <c r="H50" i="3"/>
  <c r="H51" i="3"/>
  <c r="H52" i="3"/>
  <c r="H53" i="3"/>
  <c r="H54" i="3"/>
  <c r="H55" i="3"/>
  <c r="H56" i="3"/>
  <c r="H59" i="3"/>
  <c r="H60" i="3"/>
  <c r="H61" i="3"/>
  <c r="H63" i="3"/>
  <c r="D62" i="3"/>
  <c r="D77" i="3" s="1"/>
  <c r="E62" i="3"/>
  <c r="E77" i="3" s="1"/>
  <c r="F62" i="3"/>
  <c r="G62" i="3"/>
  <c r="H43" i="3"/>
  <c r="I62" i="3"/>
  <c r="J62" i="3"/>
  <c r="J77" i="3" s="1"/>
  <c r="C62" i="3"/>
  <c r="C77" i="3" s="1"/>
  <c r="D75" i="3"/>
  <c r="E75" i="3"/>
  <c r="F75" i="3"/>
  <c r="G75" i="3"/>
  <c r="H26" i="3"/>
  <c r="I75" i="3"/>
  <c r="J75" i="3"/>
  <c r="C75" i="3"/>
  <c r="H65" i="3"/>
  <c r="C74" i="3"/>
  <c r="E74" i="3"/>
  <c r="D74" i="3"/>
  <c r="J74" i="3"/>
  <c r="I74" i="3"/>
  <c r="G74" i="3"/>
  <c r="F74" i="3"/>
  <c r="K10" i="4"/>
  <c r="T8" i="2"/>
  <c r="T9" i="2"/>
  <c r="T10" i="2"/>
  <c r="BB79" i="1" s="1"/>
  <c r="T15" i="2"/>
  <c r="T16" i="2"/>
  <c r="T17" i="2"/>
  <c r="T18" i="2"/>
  <c r="T19" i="2"/>
  <c r="BJ79" i="1" s="1"/>
  <c r="T20" i="2"/>
  <c r="BP79" i="1" s="1"/>
  <c r="T21" i="2"/>
  <c r="BV79" i="1" s="1"/>
  <c r="C22" i="2"/>
  <c r="BX79" i="1" s="1"/>
  <c r="D22" i="2"/>
  <c r="BY79" i="1" s="1"/>
  <c r="T24" i="2"/>
  <c r="CH79" i="1" s="1"/>
  <c r="T25" i="2"/>
  <c r="CN79" i="1" s="1"/>
  <c r="T26" i="2"/>
  <c r="CT79" i="1" s="1"/>
  <c r="T28" i="2"/>
  <c r="DF79" i="1" s="1"/>
  <c r="T30" i="2"/>
  <c r="DR79" i="1" s="1"/>
  <c r="T31" i="2"/>
  <c r="DX79" i="1" s="1"/>
  <c r="T32" i="2"/>
  <c r="ED79" i="1" s="1"/>
  <c r="T33" i="2"/>
  <c r="EJ79" i="1" s="1"/>
  <c r="T34" i="2"/>
  <c r="EP79" i="1" s="1"/>
  <c r="T35" i="2"/>
  <c r="EV79" i="1" s="1"/>
  <c r="T36" i="2"/>
  <c r="FB79" i="1" s="1"/>
  <c r="T37" i="2"/>
  <c r="FH79" i="1" s="1"/>
  <c r="T38" i="2"/>
  <c r="FN79" i="1" s="1"/>
  <c r="T40" i="2"/>
  <c r="FZ79" i="1" s="1"/>
  <c r="T41" i="2"/>
  <c r="GF79" i="1" s="1"/>
  <c r="T42" i="2"/>
  <c r="GL79" i="1" s="1"/>
  <c r="C43" i="2"/>
  <c r="GN79" i="1" s="1"/>
  <c r="D43" i="2"/>
  <c r="T44" i="2"/>
  <c r="GX79" i="1" s="1"/>
  <c r="C45" i="2"/>
  <c r="GZ79" i="1" s="1"/>
  <c r="C46" i="2"/>
  <c r="T7" i="2"/>
  <c r="R8" i="2"/>
  <c r="R9" i="2"/>
  <c r="HJ79" i="1" s="1"/>
  <c r="R10" i="2"/>
  <c r="HL79" i="1" s="1"/>
  <c r="R15" i="2"/>
  <c r="R17" i="2"/>
  <c r="R18" i="2"/>
  <c r="R19" i="2"/>
  <c r="BH79" i="1" s="1"/>
  <c r="R20" i="2"/>
  <c r="BN79" i="1" s="1"/>
  <c r="R21" i="2"/>
  <c r="BT79" i="1" s="1"/>
  <c r="R24" i="2"/>
  <c r="CF79" i="1" s="1"/>
  <c r="R25" i="2"/>
  <c r="CL79" i="1" s="1"/>
  <c r="R26" i="2"/>
  <c r="CR79" i="1" s="1"/>
  <c r="R28" i="2"/>
  <c r="DD79" i="1" s="1"/>
  <c r="R30" i="2"/>
  <c r="DP79" i="1" s="1"/>
  <c r="R31" i="2"/>
  <c r="DV79" i="1" s="1"/>
  <c r="R32" i="2"/>
  <c r="EB79" i="1" s="1"/>
  <c r="R33" i="2"/>
  <c r="EH79" i="1" s="1"/>
  <c r="R34" i="2"/>
  <c r="EN79" i="1" s="1"/>
  <c r="R35" i="2"/>
  <c r="ET79" i="1" s="1"/>
  <c r="R36" i="2"/>
  <c r="EZ79" i="1" s="1"/>
  <c r="R37" i="2"/>
  <c r="FF79" i="1" s="1"/>
  <c r="R38" i="2"/>
  <c r="FL79" i="1" s="1"/>
  <c r="R40" i="2"/>
  <c r="FX79" i="1" s="1"/>
  <c r="R41" i="2"/>
  <c r="GD79" i="1" s="1"/>
  <c r="R42" i="2"/>
  <c r="GJ79" i="1" s="1"/>
  <c r="R7" i="2"/>
  <c r="B43" i="2"/>
  <c r="GM79" i="1" s="1"/>
  <c r="E43" i="2"/>
  <c r="F43" i="2"/>
  <c r="F45" i="2" s="1"/>
  <c r="F46" i="2" s="1"/>
  <c r="G43" i="2"/>
  <c r="G45" i="2" s="1"/>
  <c r="G46" i="2" s="1"/>
  <c r="H43" i="2"/>
  <c r="I43" i="2"/>
  <c r="I45" i="2" s="1"/>
  <c r="J43" i="2"/>
  <c r="K43" i="2"/>
  <c r="K45" i="2" s="1"/>
  <c r="L43" i="2"/>
  <c r="M43" i="2"/>
  <c r="M45" i="2" s="1"/>
  <c r="N43" i="2"/>
  <c r="N45" i="2" s="1"/>
  <c r="N46" i="2" s="1"/>
  <c r="O43" i="2"/>
  <c r="O45" i="2" s="1"/>
  <c r="O46" i="2" s="1"/>
  <c r="P43" i="2"/>
  <c r="Q43" i="2"/>
  <c r="Q45" i="2" s="1"/>
  <c r="S43" i="2"/>
  <c r="GQ79" i="1" s="1"/>
  <c r="H45" i="2"/>
  <c r="J45" i="2"/>
  <c r="J46" i="2" s="1"/>
  <c r="L45" i="2"/>
  <c r="L46" i="2" s="1"/>
  <c r="P45" i="2"/>
  <c r="S45" i="2"/>
  <c r="HC79" i="1" s="1"/>
  <c r="B22" i="2"/>
  <c r="BW79" i="1" s="1"/>
  <c r="E22" i="2"/>
  <c r="F22" i="2"/>
  <c r="G22" i="2"/>
  <c r="H22" i="2"/>
  <c r="H46" i="2"/>
  <c r="I22" i="2"/>
  <c r="I46" i="2" s="1"/>
  <c r="J22" i="2"/>
  <c r="K22" i="2"/>
  <c r="K46" i="2"/>
  <c r="L22" i="2"/>
  <c r="M22" i="2"/>
  <c r="M46" i="2" s="1"/>
  <c r="N22" i="2"/>
  <c r="O22" i="2"/>
  <c r="P22" i="2"/>
  <c r="P46" i="2"/>
  <c r="Q22" i="2"/>
  <c r="Q46" i="2" s="1"/>
  <c r="S22" i="2"/>
  <c r="CA79" i="1" s="1"/>
  <c r="A8" i="2"/>
  <c r="A9" i="2"/>
  <c r="A10" i="2"/>
  <c r="A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BG103" i="1" l="1"/>
  <c r="EC101" i="1"/>
  <c r="FE102" i="1"/>
  <c r="CC102" i="1"/>
  <c r="BG102" i="1"/>
  <c r="EY101" i="1"/>
  <c r="CO102" i="1"/>
  <c r="KE96" i="1"/>
  <c r="KG96" i="1" s="1"/>
  <c r="GK102" i="1"/>
  <c r="ES101" i="1"/>
  <c r="BM101" i="1"/>
  <c r="EY102" i="1"/>
  <c r="ES102" i="1"/>
  <c r="DZ102" i="1"/>
  <c r="CP101" i="1"/>
  <c r="BE103" i="1"/>
  <c r="AN103" i="1"/>
  <c r="GC102" i="1"/>
  <c r="GC101" i="1"/>
  <c r="CO101" i="1"/>
  <c r="BR101" i="1"/>
  <c r="HM79" i="1"/>
  <c r="AT103" i="1"/>
  <c r="AI103" i="1"/>
  <c r="EL101" i="1"/>
  <c r="DT101" i="1"/>
  <c r="GU102" i="1"/>
  <c r="BR102" i="1"/>
  <c r="BE102" i="1"/>
  <c r="EL102" i="1"/>
  <c r="GU101" i="1"/>
  <c r="DT102" i="1"/>
  <c r="FR101" i="1"/>
  <c r="DA100" i="1"/>
  <c r="KE95" i="1"/>
  <c r="KG95" i="1" s="1"/>
  <c r="KE75" i="1"/>
  <c r="KG75" i="1" s="1"/>
  <c r="HY79" i="1"/>
  <c r="AX100" i="1"/>
  <c r="AH103" i="1"/>
  <c r="GG102" i="1"/>
  <c r="CX102" i="1"/>
  <c r="CE102" i="1"/>
  <c r="AX102" i="1"/>
  <c r="EQ101" i="1"/>
  <c r="BK101" i="1"/>
  <c r="FR100" i="1"/>
  <c r="GW102" i="1"/>
  <c r="GE102" i="1"/>
  <c r="FR102" i="1"/>
  <c r="AN101" i="1"/>
  <c r="AX103" i="1"/>
  <c r="GV102" i="1"/>
  <c r="BK102" i="1"/>
  <c r="GG101" i="1"/>
  <c r="AX101" i="1"/>
  <c r="AV100" i="1"/>
  <c r="AL100" i="1"/>
  <c r="FA102" i="1"/>
  <c r="AI102" i="1"/>
  <c r="GE101" i="1"/>
  <c r="FA101" i="1"/>
  <c r="DC101" i="1"/>
  <c r="DC102" i="1"/>
  <c r="GW101" i="1"/>
  <c r="CK101" i="1"/>
  <c r="EW102" i="1"/>
  <c r="DO102" i="1"/>
  <c r="CK102" i="1"/>
  <c r="GV101" i="1"/>
  <c r="EW101" i="1"/>
  <c r="DO101" i="1"/>
  <c r="BQ101" i="1"/>
  <c r="AI101" i="1"/>
  <c r="CQ101" i="1"/>
  <c r="KE63" i="1"/>
  <c r="KG63" i="1" s="1"/>
  <c r="KE50" i="1"/>
  <c r="KG50" i="1" s="1"/>
  <c r="FV102" i="1"/>
  <c r="DJ102" i="1"/>
  <c r="GS101" i="1"/>
  <c r="GA101" i="1"/>
  <c r="DJ101" i="1"/>
  <c r="CP100" i="1"/>
  <c r="AR100" i="1"/>
  <c r="GK101" i="1"/>
  <c r="FY101" i="1"/>
  <c r="AR101" i="1"/>
  <c r="AH101" i="1"/>
  <c r="FJ102" i="1"/>
  <c r="EU102" i="1"/>
  <c r="FW101" i="1"/>
  <c r="BL101" i="1"/>
  <c r="AH102" i="1"/>
  <c r="FV101" i="1"/>
  <c r="ER102" i="1"/>
  <c r="EC102" i="1"/>
  <c r="CQ102" i="1"/>
  <c r="EU101" i="1"/>
  <c r="AT101" i="1"/>
  <c r="GS102" i="1"/>
  <c r="GA102" i="1"/>
  <c r="EE101" i="1"/>
  <c r="BG101" i="1"/>
  <c r="CO100" i="1"/>
  <c r="CQ100" i="1"/>
  <c r="BZ64" i="1"/>
  <c r="KE86" i="1"/>
  <c r="KG86" i="1" s="1"/>
  <c r="KE14" i="1"/>
  <c r="KG14" i="1" s="1"/>
  <c r="HO98" i="1"/>
  <c r="KE90" i="1"/>
  <c r="KG90" i="1" s="1"/>
  <c r="KE82" i="1"/>
  <c r="KG82" i="1" s="1"/>
  <c r="KE76" i="1"/>
  <c r="KG76" i="1" s="1"/>
  <c r="KE46" i="1"/>
  <c r="KG46" i="1" s="1"/>
  <c r="KE80" i="1"/>
  <c r="KG80" i="1" s="1"/>
  <c r="KE58" i="1"/>
  <c r="KG58" i="1" s="1"/>
  <c r="KE26" i="1"/>
  <c r="KG26" i="1" s="1"/>
  <c r="EM103" i="1"/>
  <c r="EM102" i="1"/>
  <c r="EM101" i="1"/>
  <c r="AL104" i="1"/>
  <c r="EX103" i="1"/>
  <c r="DE103" i="1"/>
  <c r="AL103" i="1"/>
  <c r="EX102" i="1"/>
  <c r="DE102" i="1"/>
  <c r="AT102" i="1"/>
  <c r="AL102" i="1"/>
  <c r="FJ101" i="1"/>
  <c r="EX101" i="1"/>
  <c r="DZ101" i="1"/>
  <c r="DN101" i="1"/>
  <c r="DE101" i="1"/>
  <c r="BE101" i="1"/>
  <c r="BC101" i="1"/>
  <c r="AL101" i="1"/>
  <c r="CR64" i="1"/>
  <c r="FI103" i="1"/>
  <c r="DY103" i="1"/>
  <c r="DM103" i="1"/>
  <c r="CG103" i="1"/>
  <c r="FI102" i="1"/>
  <c r="DY102" i="1"/>
  <c r="DM102" i="1"/>
  <c r="CG102" i="1"/>
  <c r="FI101" i="1"/>
  <c r="DY101" i="1"/>
  <c r="DM101" i="1"/>
  <c r="CG101" i="1"/>
  <c r="CR33" i="1"/>
  <c r="IP33" i="1" s="1"/>
  <c r="IQ33" i="1" s="1"/>
  <c r="AJ100" i="1"/>
  <c r="AN100" i="1"/>
  <c r="K104" i="1"/>
  <c r="CP103" i="1"/>
  <c r="K103" i="1"/>
  <c r="DA102" i="1"/>
  <c r="CP102" i="1"/>
  <c r="K102" i="1"/>
  <c r="K101" i="1"/>
  <c r="EF103" i="1"/>
  <c r="AP103" i="1"/>
  <c r="EF102" i="1"/>
  <c r="EF101" i="1"/>
  <c r="AP101" i="1"/>
  <c r="AG104" i="1"/>
  <c r="CM103" i="1"/>
  <c r="AG103" i="1"/>
  <c r="CM102" i="1"/>
  <c r="AG102" i="1"/>
  <c r="CM101" i="1"/>
  <c r="AG101" i="1"/>
  <c r="GO79" i="1"/>
  <c r="D45" i="2"/>
  <c r="EB101" i="1"/>
  <c r="EB102" i="1"/>
  <c r="EB103" i="1"/>
  <c r="EB104" i="1"/>
  <c r="EB105" i="1"/>
  <c r="EB106" i="1"/>
  <c r="JB79" i="1"/>
  <c r="JC79" i="1" s="1"/>
  <c r="JC98" i="1" s="1"/>
  <c r="KE65" i="1"/>
  <c r="KG65" i="1" s="1"/>
  <c r="KE44" i="1"/>
  <c r="KG44" i="1" s="1"/>
  <c r="KE31" i="1"/>
  <c r="KG31" i="1" s="1"/>
  <c r="KE18" i="1"/>
  <c r="KG18" i="1" s="1"/>
  <c r="KE12" i="1"/>
  <c r="KG12" i="1" s="1"/>
  <c r="KE70" i="1"/>
  <c r="KG70" i="1" s="1"/>
  <c r="HI98" i="1"/>
  <c r="DV101" i="1"/>
  <c r="DV102" i="1"/>
  <c r="DV103" i="1"/>
  <c r="DV100" i="1"/>
  <c r="DV104" i="1"/>
  <c r="DV105" i="1"/>
  <c r="DV106" i="1"/>
  <c r="IZ79" i="1"/>
  <c r="R22" i="2"/>
  <c r="BZ79" i="1" s="1"/>
  <c r="IJ79" i="1" s="1"/>
  <c r="BT100" i="1"/>
  <c r="BT101" i="1"/>
  <c r="BT102" i="1"/>
  <c r="BT103" i="1"/>
  <c r="BT105" i="1"/>
  <c r="BT104" i="1"/>
  <c r="BT106" i="1"/>
  <c r="IH79" i="1"/>
  <c r="II79" i="1" s="1"/>
  <c r="II98" i="1" s="1"/>
  <c r="EJ101" i="1"/>
  <c r="EJ102" i="1"/>
  <c r="EJ103" i="1"/>
  <c r="EJ100" i="1"/>
  <c r="EJ104" i="1"/>
  <c r="EJ105" i="1"/>
  <c r="EJ106" i="1"/>
  <c r="KE56" i="1"/>
  <c r="KG56" i="1" s="1"/>
  <c r="HC100" i="1"/>
  <c r="HC101" i="1"/>
  <c r="HC102" i="1"/>
  <c r="HC103" i="1"/>
  <c r="HC104" i="1"/>
  <c r="HC105" i="1"/>
  <c r="HC106" i="1"/>
  <c r="FL101" i="1"/>
  <c r="FL102" i="1"/>
  <c r="FL100" i="1"/>
  <c r="FL103" i="1"/>
  <c r="JN79" i="1"/>
  <c r="JO79" i="1" s="1"/>
  <c r="JO98" i="1" s="1"/>
  <c r="FL105" i="1"/>
  <c r="FL104" i="1"/>
  <c r="FL106" i="1"/>
  <c r="DP101" i="1"/>
  <c r="DP102" i="1"/>
  <c r="DP103" i="1"/>
  <c r="DP100" i="1"/>
  <c r="DP105" i="1"/>
  <c r="DP104" i="1"/>
  <c r="DP106" i="1"/>
  <c r="IX79" i="1"/>
  <c r="IB79" i="1"/>
  <c r="IC79" i="1" s="1"/>
  <c r="IC98" i="1" s="1"/>
  <c r="KE83" i="1"/>
  <c r="KG83" i="1" s="1"/>
  <c r="KE55" i="1"/>
  <c r="KG55" i="1" s="1"/>
  <c r="KE36" i="1"/>
  <c r="KG36" i="1" s="1"/>
  <c r="KE23" i="1"/>
  <c r="KG23" i="1" s="1"/>
  <c r="KE4" i="1"/>
  <c r="KG4" i="1" s="1"/>
  <c r="EH101" i="1"/>
  <c r="EH102" i="1"/>
  <c r="EH103" i="1"/>
  <c r="EH104" i="1"/>
  <c r="EH105" i="1"/>
  <c r="EH106" i="1"/>
  <c r="JD79" i="1"/>
  <c r="JE79" i="1" s="1"/>
  <c r="JE98" i="1" s="1"/>
  <c r="BH101" i="1"/>
  <c r="BH102" i="1"/>
  <c r="BH103" i="1"/>
  <c r="BH104" i="1"/>
  <c r="BH105" i="1"/>
  <c r="BH106" i="1"/>
  <c r="ID79" i="1"/>
  <c r="KE30" i="1"/>
  <c r="KG30" i="1" s="1"/>
  <c r="KE74" i="1"/>
  <c r="KG74" i="1" s="1"/>
  <c r="HQ98" i="1"/>
  <c r="R43" i="2"/>
  <c r="GP79" i="1" s="1"/>
  <c r="FF101" i="1"/>
  <c r="FF102" i="1"/>
  <c r="FF103" i="1"/>
  <c r="FF100" i="1"/>
  <c r="FF104" i="1"/>
  <c r="FF105" i="1"/>
  <c r="FF106" i="1"/>
  <c r="JL79" i="1"/>
  <c r="JM79" i="1" s="1"/>
  <c r="JM98" i="1" s="1"/>
  <c r="DD101" i="1"/>
  <c r="DD102" i="1"/>
  <c r="DD103" i="1"/>
  <c r="DD100" i="1"/>
  <c r="DD104" i="1"/>
  <c r="DD105" i="1"/>
  <c r="DD106" i="1"/>
  <c r="IT79" i="1"/>
  <c r="IU79" i="1" s="1"/>
  <c r="IU98" i="1" s="1"/>
  <c r="H62" i="3"/>
  <c r="KE89" i="1"/>
  <c r="KG89" i="1" s="1"/>
  <c r="KE62" i="1"/>
  <c r="KG62" i="1" s="1"/>
  <c r="KE48" i="1"/>
  <c r="KG48" i="1" s="1"/>
  <c r="KE35" i="1"/>
  <c r="KG35" i="1" s="1"/>
  <c r="KE29" i="1"/>
  <c r="KG29" i="1" s="1"/>
  <c r="KE22" i="1"/>
  <c r="KG22" i="1" s="1"/>
  <c r="KE16" i="1"/>
  <c r="KG16" i="1" s="1"/>
  <c r="KE3" i="1"/>
  <c r="KG3" i="1" s="1"/>
  <c r="KE68" i="1"/>
  <c r="KG68" i="1" s="1"/>
  <c r="KE78" i="1"/>
  <c r="KG78" i="1" s="1"/>
  <c r="KE38" i="1"/>
  <c r="KG38" i="1" s="1"/>
  <c r="GJ101" i="1"/>
  <c r="GJ102" i="1"/>
  <c r="GJ103" i="1"/>
  <c r="GJ105" i="1"/>
  <c r="GJ104" i="1"/>
  <c r="GJ106" i="1"/>
  <c r="JV79" i="1"/>
  <c r="JW79" i="1" s="1"/>
  <c r="JW98" i="1" s="1"/>
  <c r="EV100" i="1"/>
  <c r="EV101" i="1"/>
  <c r="EV102" i="1"/>
  <c r="EV103" i="1"/>
  <c r="EV106" i="1"/>
  <c r="EV105" i="1"/>
  <c r="EV104" i="1"/>
  <c r="GD101" i="1"/>
  <c r="GD102" i="1"/>
  <c r="GD103" i="1"/>
  <c r="GD104" i="1"/>
  <c r="GD105" i="1"/>
  <c r="JT79" i="1"/>
  <c r="JU79" i="1" s="1"/>
  <c r="JU98" i="1" s="1"/>
  <c r="GD106" i="1"/>
  <c r="FX101" i="1"/>
  <c r="FX102" i="1"/>
  <c r="FX103" i="1"/>
  <c r="FX104" i="1"/>
  <c r="FX105" i="1"/>
  <c r="FX106" i="1"/>
  <c r="JR79" i="1"/>
  <c r="JS79" i="1" s="1"/>
  <c r="JS98" i="1" s="1"/>
  <c r="KE69" i="1"/>
  <c r="KG69" i="1" s="1"/>
  <c r="E45" i="2"/>
  <c r="R45" i="2" s="1"/>
  <c r="HB79" i="1" s="1"/>
  <c r="HB100" i="1" s="1"/>
  <c r="GM100" i="1"/>
  <c r="GM101" i="1"/>
  <c r="GM102" i="1"/>
  <c r="GM103" i="1"/>
  <c r="GM104" i="1"/>
  <c r="GM105" i="1"/>
  <c r="GM106" i="1"/>
  <c r="HV79" i="1"/>
  <c r="GZ100" i="1"/>
  <c r="GZ101" i="1"/>
  <c r="GZ102" i="1"/>
  <c r="GZ103" i="1"/>
  <c r="GZ106" i="1"/>
  <c r="GZ104" i="1"/>
  <c r="GZ105" i="1"/>
  <c r="FN100" i="1"/>
  <c r="FN101" i="1"/>
  <c r="FN102" i="1"/>
  <c r="FN103" i="1"/>
  <c r="FN104" i="1"/>
  <c r="FN105" i="1"/>
  <c r="FN106" i="1"/>
  <c r="DR100" i="1"/>
  <c r="DR101" i="1"/>
  <c r="DR102" i="1"/>
  <c r="DR103" i="1"/>
  <c r="DR104" i="1"/>
  <c r="DR105" i="1"/>
  <c r="DR106" i="1"/>
  <c r="IY79" i="1"/>
  <c r="BV100" i="1"/>
  <c r="BV101" i="1"/>
  <c r="BV102" i="1"/>
  <c r="BV103" i="1"/>
  <c r="BV104" i="1"/>
  <c r="BV105" i="1"/>
  <c r="BV106" i="1"/>
  <c r="HK79" i="1"/>
  <c r="HK98" i="1" s="1"/>
  <c r="KE94" i="1"/>
  <c r="KG94" i="1" s="1"/>
  <c r="KE61" i="1"/>
  <c r="KG61" i="1" s="1"/>
  <c r="KE47" i="1"/>
  <c r="KG47" i="1" s="1"/>
  <c r="KE41" i="1"/>
  <c r="KG41" i="1" s="1"/>
  <c r="KE28" i="1"/>
  <c r="KG28" i="1" s="1"/>
  <c r="KE15" i="1"/>
  <c r="KG15" i="1" s="1"/>
  <c r="KE9" i="1"/>
  <c r="KG9" i="1" s="1"/>
  <c r="KE64" i="1"/>
  <c r="KG64" i="1" s="1"/>
  <c r="KE67" i="1"/>
  <c r="KG67" i="1" s="1"/>
  <c r="HM98" i="1"/>
  <c r="BN100" i="1"/>
  <c r="BN101" i="1"/>
  <c r="BN102" i="1"/>
  <c r="BN103" i="1"/>
  <c r="BN104" i="1"/>
  <c r="BN105" i="1"/>
  <c r="BN106" i="1"/>
  <c r="IF79" i="1"/>
  <c r="IG79" i="1" s="1"/>
  <c r="IG98" i="1" s="1"/>
  <c r="CA101" i="1"/>
  <c r="CA102" i="1"/>
  <c r="CA103" i="1"/>
  <c r="CA104" i="1"/>
  <c r="CA106" i="1"/>
  <c r="CA105" i="1"/>
  <c r="ET101" i="1"/>
  <c r="ET102" i="1"/>
  <c r="ET103" i="1"/>
  <c r="ET100" i="1"/>
  <c r="ET104" i="1"/>
  <c r="ET105" i="1"/>
  <c r="JH79" i="1"/>
  <c r="JI79" i="1" s="1"/>
  <c r="JI98" i="1" s="1"/>
  <c r="ET106" i="1"/>
  <c r="GX101" i="1"/>
  <c r="GX102" i="1"/>
  <c r="GX100" i="1"/>
  <c r="GX103" i="1"/>
  <c r="GX104" i="1"/>
  <c r="GX105" i="1"/>
  <c r="GX106" i="1"/>
  <c r="KA79" i="1"/>
  <c r="KA98" i="1" s="1"/>
  <c r="BP101" i="1"/>
  <c r="BP102" i="1"/>
  <c r="BP103" i="1"/>
  <c r="BP100" i="1"/>
  <c r="BP104" i="1"/>
  <c r="BP105" i="1"/>
  <c r="BP106" i="1"/>
  <c r="KE87" i="1"/>
  <c r="KG87" i="1" s="1"/>
  <c r="KE59" i="1"/>
  <c r="KG59" i="1" s="1"/>
  <c r="KE53" i="1"/>
  <c r="KG53" i="1" s="1"/>
  <c r="KE40" i="1"/>
  <c r="KG40" i="1" s="1"/>
  <c r="KE27" i="1"/>
  <c r="KG27" i="1" s="1"/>
  <c r="KE8" i="1"/>
  <c r="KG8" i="1" s="1"/>
  <c r="KE42" i="1"/>
  <c r="KG42" i="1" s="1"/>
  <c r="KE10" i="1"/>
  <c r="KG10" i="1" s="1"/>
  <c r="CN101" i="1"/>
  <c r="CN102" i="1"/>
  <c r="CN103" i="1"/>
  <c r="CN100" i="1"/>
  <c r="CN104" i="1"/>
  <c r="CN105" i="1"/>
  <c r="CN106" i="1"/>
  <c r="GL100" i="1"/>
  <c r="GL101" i="1"/>
  <c r="GL102" i="1"/>
  <c r="GL103" i="1"/>
  <c r="GL104" i="1"/>
  <c r="GL105" i="1"/>
  <c r="GL106" i="1"/>
  <c r="T22" i="2"/>
  <c r="CB79" i="1" s="1"/>
  <c r="KE24" i="1"/>
  <c r="KG24" i="1" s="1"/>
  <c r="S46" i="2"/>
  <c r="B45" i="2"/>
  <c r="HF79" i="1"/>
  <c r="HG79" i="1" s="1"/>
  <c r="CL100" i="1"/>
  <c r="CL101" i="1"/>
  <c r="CL102" i="1"/>
  <c r="CL103" i="1"/>
  <c r="CL104" i="1"/>
  <c r="CL105" i="1"/>
  <c r="CL106" i="1"/>
  <c r="IN79" i="1"/>
  <c r="IO79" i="1" s="1"/>
  <c r="IO98" i="1" s="1"/>
  <c r="FH101" i="1"/>
  <c r="FH102" i="1"/>
  <c r="FH103" i="1"/>
  <c r="FH100" i="1"/>
  <c r="FH104" i="1"/>
  <c r="FH105" i="1"/>
  <c r="FH106" i="1"/>
  <c r="DF100" i="1"/>
  <c r="DF101" i="1"/>
  <c r="DF102" i="1"/>
  <c r="DF103" i="1"/>
  <c r="DF104" i="1"/>
  <c r="DF105" i="1"/>
  <c r="DF106" i="1"/>
  <c r="E46" i="2"/>
  <c r="R46" i="2" s="1"/>
  <c r="T43" i="2"/>
  <c r="GR79" i="1" s="1"/>
  <c r="FB100" i="1"/>
  <c r="FB101" i="1"/>
  <c r="FB102" i="1"/>
  <c r="FB103" i="1"/>
  <c r="FB104" i="1"/>
  <c r="FB105" i="1"/>
  <c r="FB106" i="1"/>
  <c r="CT100" i="1"/>
  <c r="CT101" i="1"/>
  <c r="CT102" i="1"/>
  <c r="CT103" i="1"/>
  <c r="CT104" i="1"/>
  <c r="CT105" i="1"/>
  <c r="CT106" i="1"/>
  <c r="BJ101" i="1"/>
  <c r="BJ102" i="1"/>
  <c r="BJ103" i="1"/>
  <c r="BJ100" i="1"/>
  <c r="BJ104" i="1"/>
  <c r="BJ105" i="1"/>
  <c r="BJ106" i="1"/>
  <c r="IE79" i="1"/>
  <c r="IE98" i="1" s="1"/>
  <c r="KE93" i="1"/>
  <c r="KG93" i="1" s="1"/>
  <c r="KE52" i="1"/>
  <c r="KG52" i="1" s="1"/>
  <c r="KE33" i="1"/>
  <c r="KG33" i="1" s="1"/>
  <c r="KE7" i="1"/>
  <c r="KG7" i="1" s="1"/>
  <c r="KE60" i="1"/>
  <c r="KG60" i="1" s="1"/>
  <c r="HS98" i="1"/>
  <c r="BW100" i="1"/>
  <c r="BW101" i="1"/>
  <c r="BW102" i="1"/>
  <c r="BW103" i="1"/>
  <c r="BW104" i="1"/>
  <c r="BW105" i="1"/>
  <c r="BW106" i="1"/>
  <c r="GQ101" i="1"/>
  <c r="GQ102" i="1"/>
  <c r="GQ100" i="1"/>
  <c r="GQ103" i="1"/>
  <c r="GQ106" i="1"/>
  <c r="GQ104" i="1"/>
  <c r="GQ105" i="1"/>
  <c r="EZ101" i="1"/>
  <c r="EZ102" i="1"/>
  <c r="EZ103" i="1"/>
  <c r="EZ100" i="1"/>
  <c r="EZ104" i="1"/>
  <c r="EZ105" i="1"/>
  <c r="EZ106" i="1"/>
  <c r="JJ79" i="1"/>
  <c r="JK79" i="1" s="1"/>
  <c r="JK98" i="1" s="1"/>
  <c r="IP79" i="1"/>
  <c r="IQ79" i="1" s="1"/>
  <c r="HZ79" i="1"/>
  <c r="IA79" i="1" s="1"/>
  <c r="IA98" i="1" s="1"/>
  <c r="GN100" i="1"/>
  <c r="GN101" i="1"/>
  <c r="GN102" i="1"/>
  <c r="GN103" i="1"/>
  <c r="GN104" i="1"/>
  <c r="GN105" i="1"/>
  <c r="GN106" i="1"/>
  <c r="EP100" i="1"/>
  <c r="EP101" i="1"/>
  <c r="EP102" i="1"/>
  <c r="EP103" i="1"/>
  <c r="EP104" i="1"/>
  <c r="EP105" i="1"/>
  <c r="EP106" i="1"/>
  <c r="CH100" i="1"/>
  <c r="CH101" i="1"/>
  <c r="CH102" i="1"/>
  <c r="CH103" i="1"/>
  <c r="CH104" i="1"/>
  <c r="CH105" i="1"/>
  <c r="CH106" i="1"/>
  <c r="EN101" i="1"/>
  <c r="EN102" i="1"/>
  <c r="EN103" i="1"/>
  <c r="EN106" i="1"/>
  <c r="EN105" i="1"/>
  <c r="EN104" i="1"/>
  <c r="JF79" i="1"/>
  <c r="JG79" i="1" s="1"/>
  <c r="JG98" i="1" s="1"/>
  <c r="CF101" i="1"/>
  <c r="CF102" i="1"/>
  <c r="CF103" i="1"/>
  <c r="CF100" i="1"/>
  <c r="CF104" i="1"/>
  <c r="CF105" i="1"/>
  <c r="CF106" i="1"/>
  <c r="IL79" i="1"/>
  <c r="IM79" i="1" s="1"/>
  <c r="IM98" i="1" s="1"/>
  <c r="GF100" i="1"/>
  <c r="GF101" i="1"/>
  <c r="GF102" i="1"/>
  <c r="GF103" i="1"/>
  <c r="GF104" i="1"/>
  <c r="GF105" i="1"/>
  <c r="GF106" i="1"/>
  <c r="ED101" i="1"/>
  <c r="ED102" i="1"/>
  <c r="ED103" i="1"/>
  <c r="ED100" i="1"/>
  <c r="ED104" i="1"/>
  <c r="ED105" i="1"/>
  <c r="ED106" i="1"/>
  <c r="BY101" i="1"/>
  <c r="BY102" i="1"/>
  <c r="BY103" i="1"/>
  <c r="BY106" i="1"/>
  <c r="BY105" i="1"/>
  <c r="BY104" i="1"/>
  <c r="HW79" i="1"/>
  <c r="HW98" i="1" s="1"/>
  <c r="FZ101" i="1"/>
  <c r="FZ102" i="1"/>
  <c r="FZ100" i="1"/>
  <c r="FZ103" i="1"/>
  <c r="FZ104" i="1"/>
  <c r="FZ105" i="1"/>
  <c r="FZ106" i="1"/>
  <c r="DX100" i="1"/>
  <c r="DX101" i="1"/>
  <c r="DX102" i="1"/>
  <c r="DX103" i="1"/>
  <c r="DX104" i="1"/>
  <c r="DX106" i="1"/>
  <c r="DX105" i="1"/>
  <c r="JA79" i="1"/>
  <c r="JA98" i="1" s="1"/>
  <c r="BX101" i="1"/>
  <c r="BX102" i="1"/>
  <c r="BX103" i="1"/>
  <c r="BX100" i="1"/>
  <c r="BX104" i="1"/>
  <c r="BX105" i="1"/>
  <c r="BX106" i="1"/>
  <c r="BB101" i="1"/>
  <c r="BB102" i="1"/>
  <c r="BB103" i="1"/>
  <c r="BB100" i="1"/>
  <c r="BB105" i="1"/>
  <c r="BB104" i="1"/>
  <c r="BB106" i="1"/>
  <c r="JQ98" i="1"/>
  <c r="HU98" i="1"/>
  <c r="IS98" i="1"/>
  <c r="IY98" i="1"/>
  <c r="IW98" i="1"/>
  <c r="GP100" i="1"/>
  <c r="GJ100" i="1"/>
  <c r="EN100" i="1"/>
  <c r="BZ101" i="1"/>
  <c r="BZ102" i="1"/>
  <c r="BZ103" i="1"/>
  <c r="BZ100" i="1"/>
  <c r="EB100" i="1"/>
  <c r="CA100" i="1"/>
  <c r="BH100" i="1"/>
  <c r="GD100" i="1"/>
  <c r="BY100" i="1"/>
  <c r="EH100" i="1"/>
  <c r="FX100" i="1"/>
  <c r="JX79" i="1" l="1"/>
  <c r="CR101" i="1"/>
  <c r="CR100" i="1"/>
  <c r="CR106" i="1"/>
  <c r="CR103" i="1"/>
  <c r="CR102" i="1"/>
  <c r="CS64" i="1"/>
  <c r="IP64" i="1" s="1"/>
  <c r="IQ64" i="1" s="1"/>
  <c r="IQ98" i="1" s="1"/>
  <c r="CR104" i="1"/>
  <c r="CR105" i="1"/>
  <c r="HG98" i="1"/>
  <c r="GR100" i="1"/>
  <c r="GR101" i="1"/>
  <c r="GR102" i="1"/>
  <c r="GR103" i="1"/>
  <c r="GR106" i="1"/>
  <c r="GR104" i="1"/>
  <c r="GR105" i="1"/>
  <c r="JY79" i="1"/>
  <c r="JY98" i="1" s="1"/>
  <c r="GY79" i="1"/>
  <c r="T45" i="2"/>
  <c r="HD79" i="1" s="1"/>
  <c r="B46" i="2"/>
  <c r="T46" i="2" s="1"/>
  <c r="H64" i="3"/>
  <c r="H77" i="3"/>
  <c r="GP101" i="1"/>
  <c r="GP102" i="1"/>
  <c r="GP103" i="1"/>
  <c r="GP104" i="1"/>
  <c r="GP105" i="1"/>
  <c r="GP106" i="1"/>
  <c r="BZ104" i="1"/>
  <c r="BZ105" i="1"/>
  <c r="BZ106" i="1"/>
  <c r="HY34" i="1"/>
  <c r="CB100" i="1"/>
  <c r="CB101" i="1"/>
  <c r="CB102" i="1"/>
  <c r="CB103" i="1"/>
  <c r="CB105" i="1"/>
  <c r="CB104" i="1"/>
  <c r="CB106" i="1"/>
  <c r="IK79" i="1"/>
  <c r="IK98" i="1" s="1"/>
  <c r="HB101" i="1"/>
  <c r="HB102" i="1"/>
  <c r="HB103" i="1"/>
  <c r="HB104" i="1"/>
  <c r="HB105" i="1"/>
  <c r="HB106" i="1"/>
  <c r="HA79" i="1"/>
  <c r="D46" i="2"/>
  <c r="GO101" i="1"/>
  <c r="GO102" i="1"/>
  <c r="GO100" i="1"/>
  <c r="GO103" i="1"/>
  <c r="GO106" i="1"/>
  <c r="GO104" i="1"/>
  <c r="GO105" i="1"/>
  <c r="CS104" i="1" l="1"/>
  <c r="CS105" i="1"/>
  <c r="CS106" i="1"/>
  <c r="CS101" i="1"/>
  <c r="CS100" i="1"/>
  <c r="CS102" i="1"/>
  <c r="CS103" i="1"/>
  <c r="H68" i="3"/>
  <c r="H74" i="3" s="1"/>
  <c r="H75" i="3"/>
  <c r="GY101" i="1"/>
  <c r="GY102" i="1"/>
  <c r="GY100" i="1"/>
  <c r="KB79" i="1"/>
  <c r="GY103" i="1"/>
  <c r="GY106" i="1"/>
  <c r="GY104" i="1"/>
  <c r="GY105" i="1"/>
  <c r="HA100" i="1"/>
  <c r="HA101" i="1"/>
  <c r="HA102" i="1"/>
  <c r="HA103" i="1"/>
  <c r="HA106" i="1"/>
  <c r="HA104" i="1"/>
  <c r="HA105" i="1"/>
  <c r="HD100" i="1"/>
  <c r="HD101" i="1"/>
  <c r="HD102" i="1"/>
  <c r="HD103" i="1"/>
  <c r="HD104" i="1"/>
  <c r="HD105" i="1"/>
  <c r="HD106" i="1"/>
  <c r="KC79" i="1"/>
  <c r="KC98" i="1" s="1"/>
  <c r="KE34" i="1"/>
  <c r="KG34" i="1" s="1"/>
  <c r="HY98" i="1"/>
  <c r="KE79" i="1" l="1"/>
  <c r="KG79" i="1" s="1"/>
  <c r="KG98" i="1"/>
</calcChain>
</file>

<file path=xl/sharedStrings.xml><?xml version="1.0" encoding="utf-8"?>
<sst xmlns="http://schemas.openxmlformats.org/spreadsheetml/2006/main" count="1362" uniqueCount="555">
  <si>
    <t>Program</t>
  </si>
  <si>
    <t>EADA ID</t>
  </si>
  <si>
    <t>Year</t>
  </si>
  <si>
    <t>Classification</t>
  </si>
  <si>
    <t>Conference</t>
  </si>
  <si>
    <t>UGMale</t>
  </si>
  <si>
    <t>UGFemale</t>
  </si>
  <si>
    <t>InstExpenses</t>
  </si>
  <si>
    <t>LastInstExpense</t>
  </si>
  <si>
    <t>AthDebtService</t>
  </si>
  <si>
    <t>LastAthDebtService</t>
  </si>
  <si>
    <t>InstDebtService</t>
  </si>
  <si>
    <t>LastInstDebtService</t>
  </si>
  <si>
    <t>AthOutstandDebt</t>
  </si>
  <si>
    <t>LastAthOutstandDebt</t>
  </si>
  <si>
    <t>TotOutstandDebtBal</t>
  </si>
  <si>
    <t>LastTotOutstandDebtBal</t>
  </si>
  <si>
    <t>InstE&amp;Gexpenses</t>
  </si>
  <si>
    <t>LastInstG&amp;Eexpenses</t>
  </si>
  <si>
    <t>ACFullGIAInState</t>
  </si>
  <si>
    <t>LastACFullGIAInState</t>
  </si>
  <si>
    <t>ACFullGIAOutOfState</t>
  </si>
  <si>
    <t>LastACFullGIAOutOfState</t>
  </si>
  <si>
    <t>TotalCOAInState</t>
  </si>
  <si>
    <t>LastTotalCOAInState</t>
  </si>
  <si>
    <t>TotalCOAOutOfState</t>
  </si>
  <si>
    <t>LastTotalCOAOutOfState</t>
  </si>
  <si>
    <t>#MensTeams</t>
  </si>
  <si>
    <t>#WomensTeams</t>
  </si>
  <si>
    <t>#MixedTeams</t>
  </si>
  <si>
    <t>AthleticRelatedStudentAidMens</t>
  </si>
  <si>
    <t>AthleticRelatedStudentAidWomens</t>
  </si>
  <si>
    <t>RecruitingMens</t>
  </si>
  <si>
    <t>RecruitingWomens</t>
  </si>
  <si>
    <t>AveHCSalariesMensPerFTE</t>
  </si>
  <si>
    <t>HCMensFTEs</t>
  </si>
  <si>
    <t>AveHCSalariesMensPerPosition</t>
  </si>
  <si>
    <t>HCMensPositions</t>
  </si>
  <si>
    <t>AveHCSalariesWomensPerFTE</t>
  </si>
  <si>
    <t>HCWomensFTEs</t>
  </si>
  <si>
    <t>AveHCSalariesWomensPerPosition</t>
  </si>
  <si>
    <t>HCWomensPositions</t>
  </si>
  <si>
    <t>AveACSalariesMensPerFTE</t>
  </si>
  <si>
    <t>ACMensFTEs</t>
  </si>
  <si>
    <t>AveACSalariesMensPerPosition</t>
  </si>
  <si>
    <t>ACMensPositions</t>
  </si>
  <si>
    <t>AveACSalariesWomensPerFTE</t>
  </si>
  <si>
    <t>ACWomensFTEs</t>
  </si>
  <si>
    <t>AveACSalariesWomensPerPosition</t>
  </si>
  <si>
    <t>ACWomensPositions</t>
  </si>
  <si>
    <t>TicketRevFB</t>
  </si>
  <si>
    <t>GuarFB</t>
  </si>
  <si>
    <t>ContribsTot</t>
  </si>
  <si>
    <t>MediaFB</t>
  </si>
  <si>
    <t>MediaMBKB</t>
  </si>
  <si>
    <t>MediaWBKB</t>
  </si>
  <si>
    <t>MediaOtherSports</t>
  </si>
  <si>
    <t>MediaNPS</t>
  </si>
  <si>
    <t>MediaTot</t>
  </si>
  <si>
    <t>ConcessFB</t>
  </si>
  <si>
    <t>SponsFB</t>
  </si>
  <si>
    <t>CampsFB</t>
  </si>
  <si>
    <t>CampsMBKB</t>
  </si>
  <si>
    <t>CampsWBKB</t>
  </si>
  <si>
    <t>CampsOtherSports</t>
  </si>
  <si>
    <t>CampsNPS</t>
  </si>
  <si>
    <t>CampsTot</t>
  </si>
  <si>
    <t>EndowFB</t>
  </si>
  <si>
    <t>EndowMBKB</t>
  </si>
  <si>
    <t>EndowWBKB</t>
  </si>
  <si>
    <t>EndowOtherSports</t>
  </si>
  <si>
    <t>EndowNPS</t>
  </si>
  <si>
    <t>EndowTot</t>
  </si>
  <si>
    <t>OtherFB</t>
  </si>
  <si>
    <t>OtherMBKB</t>
  </si>
  <si>
    <t>OtherWBKB</t>
  </si>
  <si>
    <t>OtherOtherSports</t>
  </si>
  <si>
    <t>OtherNPS</t>
  </si>
  <si>
    <t>OtherTot</t>
  </si>
  <si>
    <t>TotRevFB</t>
  </si>
  <si>
    <t>TotRevMBKB</t>
  </si>
  <si>
    <t>TotRevWBKB</t>
  </si>
  <si>
    <t>TotRevOtherSports</t>
  </si>
  <si>
    <t>TotRevNPS</t>
  </si>
  <si>
    <t>AidFB</t>
  </si>
  <si>
    <t>AidMBKB</t>
  </si>
  <si>
    <t>AidWBKB</t>
  </si>
  <si>
    <t>AidOtherSports</t>
  </si>
  <si>
    <t>AidNPS</t>
  </si>
  <si>
    <t>AidTot</t>
  </si>
  <si>
    <t>GuarExpFB</t>
  </si>
  <si>
    <t>GuarExpMBKB</t>
  </si>
  <si>
    <t>GuarExpWBKB</t>
  </si>
  <si>
    <t>GuarExpOtherSports</t>
  </si>
  <si>
    <t>GuarExpNPS</t>
  </si>
  <si>
    <t>GuarExpTot</t>
  </si>
  <si>
    <t>CoachSalBenFB</t>
  </si>
  <si>
    <t>CoachSalBenMBKB</t>
  </si>
  <si>
    <t>CoachSalBenWBKB</t>
  </si>
  <si>
    <t>CoachSalBenOtherSports</t>
  </si>
  <si>
    <t>CoachSalBenNPS</t>
  </si>
  <si>
    <t>CoachSalBenTot</t>
  </si>
  <si>
    <t>CoachOtherFB</t>
  </si>
  <si>
    <t>CoachOtherMBKB</t>
  </si>
  <si>
    <t>CoachOtherWBKB</t>
  </si>
  <si>
    <t>CoachOtherOtherSports</t>
  </si>
  <si>
    <t>CoachOtherNPS</t>
  </si>
  <si>
    <t>CoachOtherTot</t>
  </si>
  <si>
    <t>StaffSalBenFB</t>
  </si>
  <si>
    <t>StaffSalBenMBKB</t>
  </si>
  <si>
    <t>StaffSalBenWBKB</t>
  </si>
  <si>
    <t>StaffSalBenOtherSports</t>
  </si>
  <si>
    <t>StaffSalBenNPS</t>
  </si>
  <si>
    <t>StaffSalBenTot</t>
  </si>
  <si>
    <t>StaffOtherFB</t>
  </si>
  <si>
    <t>StaffOtherMBKB</t>
  </si>
  <si>
    <t>StaffOtherWBKB</t>
  </si>
  <si>
    <t>StaffOtherOtherSports</t>
  </si>
  <si>
    <t>StaffOtherNPS</t>
  </si>
  <si>
    <t>StaffOtherTot</t>
  </si>
  <si>
    <t>SeveranceFB</t>
  </si>
  <si>
    <t>SeveranceMBKB</t>
  </si>
  <si>
    <t>SeveranceWBKB</t>
  </si>
  <si>
    <t>SeveranceOtherSports</t>
  </si>
  <si>
    <t>SeveranceNPS</t>
  </si>
  <si>
    <t>SeveranceTot</t>
  </si>
  <si>
    <t>RecruitFB</t>
  </si>
  <si>
    <t>RecruitMBKB</t>
  </si>
  <si>
    <t>RecruitWBKB</t>
  </si>
  <si>
    <t>RecruitOtherSports</t>
  </si>
  <si>
    <t>RecruitNPS</t>
  </si>
  <si>
    <t>RecruitTot</t>
  </si>
  <si>
    <t>TravelFB</t>
  </si>
  <si>
    <t>TravelMBKB</t>
  </si>
  <si>
    <t>TravelWBKB</t>
  </si>
  <si>
    <t>TravelOtherSports</t>
  </si>
  <si>
    <t>TravelNPS</t>
  </si>
  <si>
    <t>TravelTot</t>
  </si>
  <si>
    <t>EquipFB</t>
  </si>
  <si>
    <t>EquipMBKB</t>
  </si>
  <si>
    <t>EquipWBKB</t>
  </si>
  <si>
    <t>EquipOtherSports</t>
  </si>
  <si>
    <t>EquipNPS</t>
  </si>
  <si>
    <t>EquipTot</t>
  </si>
  <si>
    <t>GameFB</t>
  </si>
  <si>
    <t>GameMBKB</t>
  </si>
  <si>
    <t>GameWBKB</t>
  </si>
  <si>
    <t>GameOtherSports</t>
  </si>
  <si>
    <t>GameNPS</t>
  </si>
  <si>
    <t>GameTot</t>
  </si>
  <si>
    <t>MktgFB</t>
  </si>
  <si>
    <t>MktgMBKB</t>
  </si>
  <si>
    <t>MktgWBKB</t>
  </si>
  <si>
    <t>MktgOtherSports</t>
  </si>
  <si>
    <t>MktgNPS</t>
  </si>
  <si>
    <t>MktgTot</t>
  </si>
  <si>
    <t>CampExpFB</t>
  </si>
  <si>
    <t>CampExpMBKB</t>
  </si>
  <si>
    <t>CampExpWBKB</t>
  </si>
  <si>
    <t>CampExpOtherSports</t>
  </si>
  <si>
    <t>CampExpNPS</t>
  </si>
  <si>
    <t>CampExpTot</t>
  </si>
  <si>
    <t>DirFacilitiesFB</t>
  </si>
  <si>
    <t>DirFacilitiesMBKB</t>
  </si>
  <si>
    <t>DirFacilitiesWBKB</t>
  </si>
  <si>
    <t>DirFacilitiesOtherSports</t>
  </si>
  <si>
    <t>DirFacilitiesNPS</t>
  </si>
  <si>
    <t>DirFacilitiesTot</t>
  </si>
  <si>
    <t>SpiritFB</t>
  </si>
  <si>
    <t>SpiritMBKB</t>
  </si>
  <si>
    <t>SpiritWBKB</t>
  </si>
  <si>
    <t>SpiritOtherSports</t>
  </si>
  <si>
    <t>SpiritNPS</t>
  </si>
  <si>
    <t>SpiritTot</t>
  </si>
  <si>
    <t>IndirFacilitiesFB</t>
  </si>
  <si>
    <t>IndirFacilitiesMBKB</t>
  </si>
  <si>
    <t>IndirFacilitiesWBKB</t>
  </si>
  <si>
    <t>IndirFacilitiesOtherSports</t>
  </si>
  <si>
    <t>IndirFacilitiesNPS</t>
  </si>
  <si>
    <t>IndirFacilitiesTot</t>
  </si>
  <si>
    <t>Medical&amp;InsurFB</t>
  </si>
  <si>
    <t>Medical&amp;InsurMBKB</t>
  </si>
  <si>
    <t>Medical&amp;InsurWBKB</t>
  </si>
  <si>
    <t>Medical&amp;InsurOtherSports</t>
  </si>
  <si>
    <t>Medical&amp;InsurNPS</t>
  </si>
  <si>
    <t>Medical&amp;InsurTot</t>
  </si>
  <si>
    <t>DuesFB</t>
  </si>
  <si>
    <t>DuesMBKB</t>
  </si>
  <si>
    <t>DuesWBKB</t>
  </si>
  <si>
    <t>DuesOtherSports</t>
  </si>
  <si>
    <t>DuesNPS</t>
  </si>
  <si>
    <t>DuesTot</t>
  </si>
  <si>
    <t>OtherExpFB</t>
  </si>
  <si>
    <t>OtherExpMBKB</t>
  </si>
  <si>
    <t>OtherExpWBKB</t>
  </si>
  <si>
    <t>OtherExpOtherSports</t>
  </si>
  <si>
    <t>OtherExpNPS</t>
  </si>
  <si>
    <t>OtherExpTot</t>
  </si>
  <si>
    <t>TotExpFB</t>
  </si>
  <si>
    <t>TotExpMBKB</t>
  </si>
  <si>
    <t>TotExpWBKB</t>
  </si>
  <si>
    <t>TotExpOtherSports</t>
  </si>
  <si>
    <t>TotExpNPS</t>
  </si>
  <si>
    <t>TotExpTot</t>
  </si>
  <si>
    <t>TransfersFB</t>
  </si>
  <si>
    <t>TransfersMBKB</t>
  </si>
  <si>
    <t>TransfersWBKB</t>
  </si>
  <si>
    <t>TransfersOtherSports</t>
  </si>
  <si>
    <t>TransfersNPS</t>
  </si>
  <si>
    <t>TransfersTot</t>
  </si>
  <si>
    <t>Grand TotExpFB</t>
  </si>
  <si>
    <t>GrandTotExpMBKB</t>
  </si>
  <si>
    <t>GrandTotExpWBKB</t>
  </si>
  <si>
    <t>GrandTotExpOtherSports</t>
  </si>
  <si>
    <t>GrandTotExpNPS</t>
  </si>
  <si>
    <t>GrandTotExpTot</t>
  </si>
  <si>
    <t>Central Michigan</t>
  </si>
  <si>
    <t>Clemson</t>
  </si>
  <si>
    <t>Colorado</t>
  </si>
  <si>
    <t>Colorado State</t>
  </si>
  <si>
    <t>Connecticut</t>
  </si>
  <si>
    <t>134 ,936,213</t>
  </si>
  <si>
    <t xml:space="preserve"> 22 ,635,223</t>
  </si>
  <si>
    <t>1,3 1 2,688,678</t>
  </si>
  <si>
    <t>26 ,682</t>
  </si>
  <si>
    <t>Florida State</t>
  </si>
  <si>
    <t>Fresno State</t>
  </si>
  <si>
    <t>Akron</t>
  </si>
  <si>
    <t>Arizona</t>
  </si>
  <si>
    <t>Arizona State</t>
  </si>
  <si>
    <t>Arkansas</t>
  </si>
  <si>
    <t>Arkansas State</t>
  </si>
  <si>
    <t>Auburn</t>
  </si>
  <si>
    <t>Ball State</t>
  </si>
  <si>
    <t>Boise State</t>
  </si>
  <si>
    <t>Bowling Green</t>
  </si>
  <si>
    <t>Buffalo</t>
  </si>
  <si>
    <t>-</t>
  </si>
  <si>
    <t>California</t>
  </si>
  <si>
    <t>Utah</t>
  </si>
  <si>
    <t>Utah State</t>
  </si>
  <si>
    <t>UTEP</t>
  </si>
  <si>
    <t>Virginia</t>
  </si>
  <si>
    <t>ACC</t>
  </si>
  <si>
    <t>Virginia Tech</t>
  </si>
  <si>
    <t>Washington</t>
  </si>
  <si>
    <t>Pac-12</t>
  </si>
  <si>
    <t>Western Kentucky</t>
  </si>
  <si>
    <t>Sun Belt</t>
  </si>
  <si>
    <t>Western Michigan</t>
  </si>
  <si>
    <t>Wisconsin</t>
  </si>
  <si>
    <t>Big Ten</t>
  </si>
  <si>
    <t>Wyoming</t>
  </si>
  <si>
    <t>Georgia</t>
  </si>
  <si>
    <t>Georgia State</t>
  </si>
  <si>
    <t>Georgia Tech</t>
  </si>
  <si>
    <t>Hawaii</t>
  </si>
  <si>
    <t>Houston</t>
  </si>
  <si>
    <t>Idaho</t>
  </si>
  <si>
    <t>Illinois</t>
  </si>
  <si>
    <t>Indiana</t>
  </si>
  <si>
    <t>Iowa</t>
  </si>
  <si>
    <t>Iowa State</t>
  </si>
  <si>
    <t>Kansas</t>
  </si>
  <si>
    <t>Kent State</t>
  </si>
  <si>
    <t>Minnesota</t>
  </si>
  <si>
    <t>Mississippi</t>
  </si>
  <si>
    <t>Mississippi State</t>
  </si>
  <si>
    <t>Missouri</t>
  </si>
  <si>
    <t>Nebraska</t>
  </si>
  <si>
    <t>Nevada</t>
  </si>
  <si>
    <t>New Mexico</t>
  </si>
  <si>
    <t>New Mexico State</t>
  </si>
  <si>
    <t>North Carolina</t>
  </si>
  <si>
    <t>North Carolina State</t>
  </si>
  <si>
    <t>Northern Illinois</t>
  </si>
  <si>
    <t>Kentucky</t>
  </si>
  <si>
    <t>Louisiana Tech</t>
  </si>
  <si>
    <t>Louisville</t>
  </si>
  <si>
    <t>Marshall</t>
  </si>
  <si>
    <t>Maryland</t>
  </si>
  <si>
    <t>Memphis</t>
  </si>
  <si>
    <t>Miami (OH)</t>
  </si>
  <si>
    <t>Michigan</t>
  </si>
  <si>
    <t>Michigan State</t>
  </si>
  <si>
    <t>North Texas</t>
  </si>
  <si>
    <t>Ohio</t>
  </si>
  <si>
    <t>Ohio State</t>
  </si>
  <si>
    <t>Oklahoma</t>
  </si>
  <si>
    <t>Oklahoma State</t>
  </si>
  <si>
    <t>Old Dominion</t>
  </si>
  <si>
    <t>Oregon</t>
  </si>
  <si>
    <t>Oregon State</t>
  </si>
  <si>
    <t>Purdue</t>
  </si>
  <si>
    <t>Rutgers</t>
  </si>
  <si>
    <t>San Jose State</t>
  </si>
  <si>
    <t>South Alabama</t>
  </si>
  <si>
    <t>South Carolina</t>
  </si>
  <si>
    <t>Southern Mississippi</t>
  </si>
  <si>
    <t>South Florida</t>
  </si>
  <si>
    <t>Texas</t>
  </si>
  <si>
    <t>Texas A&amp;M</t>
  </si>
  <si>
    <t>Texas State</t>
  </si>
  <si>
    <t>Texas Tech</t>
  </si>
  <si>
    <t>Toledo</t>
  </si>
  <si>
    <t>Troy</t>
  </si>
  <si>
    <t>UCLA</t>
  </si>
  <si>
    <t>UNLV</t>
  </si>
  <si>
    <t>Check 1</t>
  </si>
  <si>
    <t>Actual - Check</t>
  </si>
  <si>
    <t>Check 2</t>
  </si>
  <si>
    <t>Check 3</t>
  </si>
  <si>
    <t>Check 4</t>
  </si>
  <si>
    <t>Check 5</t>
  </si>
  <si>
    <t>Check 6</t>
  </si>
  <si>
    <t>Check 7</t>
  </si>
  <si>
    <t>Check 8</t>
  </si>
  <si>
    <t>Check 9</t>
  </si>
  <si>
    <t>Check 10</t>
  </si>
  <si>
    <t>Check 11</t>
  </si>
  <si>
    <t>Check 12</t>
  </si>
  <si>
    <t>Check 13</t>
  </si>
  <si>
    <t>Check 14</t>
  </si>
  <si>
    <t>Check 15</t>
  </si>
  <si>
    <t>Check 16</t>
  </si>
  <si>
    <t>Check 17</t>
  </si>
  <si>
    <t>Check 18</t>
  </si>
  <si>
    <t>Check 19</t>
  </si>
  <si>
    <t>Check 20</t>
  </si>
  <si>
    <t>Check 21</t>
  </si>
  <si>
    <t>Check 22</t>
  </si>
  <si>
    <t>Check 23</t>
  </si>
  <si>
    <t>Check 24</t>
  </si>
  <si>
    <t>Check 25</t>
  </si>
  <si>
    <t>Check 26</t>
  </si>
  <si>
    <t>Check 27</t>
  </si>
  <si>
    <t>Check 28</t>
  </si>
  <si>
    <t>Check 29</t>
  </si>
  <si>
    <t>Check 30</t>
  </si>
  <si>
    <t>Check 31</t>
  </si>
  <si>
    <t>Check 32</t>
  </si>
  <si>
    <t>Check 33</t>
  </si>
  <si>
    <t>Check 34</t>
  </si>
  <si>
    <t>Check 35</t>
  </si>
  <si>
    <t>Check 36</t>
  </si>
  <si>
    <t>Check 37</t>
  </si>
  <si>
    <t>Check 38</t>
  </si>
  <si>
    <t>Row Error Sum</t>
  </si>
  <si>
    <t>­$2,345</t>
  </si>
  <si>
    <t>CUSA</t>
  </si>
  <si>
    <t>SEC</t>
  </si>
  <si>
    <t>MWC</t>
  </si>
  <si>
    <t>MAC</t>
  </si>
  <si>
    <t>$294,489,</t>
  </si>
  <si>
    <t>$129,114,</t>
  </si>
  <si>
    <t>Row Error Count</t>
  </si>
  <si>
    <t>Washington State</t>
  </si>
  <si>
    <t>*</t>
  </si>
  <si>
    <t>Coder</t>
  </si>
  <si>
    <t>MA</t>
  </si>
  <si>
    <t>PC</t>
  </si>
  <si>
    <t>SM</t>
  </si>
  <si>
    <t>JO</t>
  </si>
  <si>
    <t>JOh</t>
  </si>
  <si>
    <t>DR</t>
  </si>
  <si>
    <t>BR</t>
  </si>
  <si>
    <t>GS</t>
  </si>
  <si>
    <t>Revenues</t>
  </si>
  <si>
    <t>Category</t>
  </si>
  <si>
    <t>Expenses</t>
  </si>
  <si>
    <t>Football</t>
  </si>
  <si>
    <t>Volleyball</t>
  </si>
  <si>
    <t>Baseball</t>
  </si>
  <si>
    <t>Softball</t>
  </si>
  <si>
    <t>Men's BKB</t>
  </si>
  <si>
    <t>Women's BKB</t>
  </si>
  <si>
    <t>Men's Golf</t>
  </si>
  <si>
    <t>Women's Golf</t>
  </si>
  <si>
    <t>Men's Swimming</t>
  </si>
  <si>
    <t>Women's Swimming</t>
  </si>
  <si>
    <t>Men's Tennis</t>
  </si>
  <si>
    <t>Women's Tennis</t>
  </si>
  <si>
    <t>Rowing</t>
  </si>
  <si>
    <t>Soccer</t>
  </si>
  <si>
    <t>Men's Track</t>
  </si>
  <si>
    <t>Women's Track</t>
  </si>
  <si>
    <t>Total</t>
  </si>
  <si>
    <t>Non-Program Specific</t>
  </si>
  <si>
    <t>Excess</t>
  </si>
  <si>
    <t>Dept Outstanding Debt</t>
  </si>
  <si>
    <t>Dept Debt Service</t>
  </si>
  <si>
    <t>Other Sports</t>
  </si>
  <si>
    <t>I have quadruple eyeballed #10 for Illinois. The entries here are exactly the entries in the PDF.</t>
  </si>
  <si>
    <t>But the value from the PDF for the total for item #10 is less than the total of the elements, by exactly the amont of the negative entry under MediaNPS.</t>
  </si>
  <si>
    <t>I think this is simply a calculation mistake by the AthDept.</t>
  </si>
  <si>
    <t>Corrected: Just use the sum of the elements for the total in this case.</t>
  </si>
  <si>
    <t>Line from the PDF</t>
  </si>
  <si>
    <t>Revenue</t>
  </si>
  <si>
    <r>
      <rPr>
        <b/>
        <sz val="12"/>
        <color rgb="FF231F20"/>
        <rFont val="Calibri"/>
        <family val="2"/>
        <scheme val="minor"/>
      </rPr>
      <t>University of California, Berkeley</t>
    </r>
  </si>
  <si>
    <r>
      <rPr>
        <b/>
        <sz val="12"/>
        <color rgb="FF231F20"/>
        <rFont val="Calibri"/>
        <family val="2"/>
        <scheme val="minor"/>
      </rPr>
      <t>Intercollegiate Athletic Department</t>
    </r>
  </si>
  <si>
    <r>
      <rPr>
        <b/>
        <sz val="12"/>
        <color rgb="FF231F20"/>
        <rFont val="Calibri"/>
        <family val="2"/>
        <scheme val="minor"/>
      </rPr>
      <t>Statement of Revenues and Expenses (Unaudited) Year Ended June 30, 2014</t>
    </r>
  </si>
  <si>
    <r>
      <rPr>
        <b/>
        <sz val="12"/>
        <color rgb="FF231F20"/>
        <rFont val="Calibri"/>
        <family val="2"/>
        <scheme val="minor"/>
      </rPr>
      <t>Operating Revenues:</t>
    </r>
  </si>
  <si>
    <r>
      <rPr>
        <b/>
        <sz val="12"/>
        <color rgb="FF231F20"/>
        <rFont val="Calibri"/>
        <family val="2"/>
        <scheme val="minor"/>
      </rPr>
      <t>Football</t>
    </r>
  </si>
  <si>
    <r>
      <rPr>
        <b/>
        <sz val="12"/>
        <color rgb="FF231F20"/>
        <rFont val="Calibri"/>
        <family val="2"/>
        <scheme val="minor"/>
      </rPr>
      <t>Men's Basketball</t>
    </r>
  </si>
  <si>
    <r>
      <rPr>
        <b/>
        <sz val="12"/>
        <color rgb="FF231F20"/>
        <rFont val="Calibri"/>
        <family val="2"/>
        <scheme val="minor"/>
      </rPr>
      <t>Grand Total</t>
    </r>
  </si>
  <si>
    <r>
      <rPr>
        <sz val="12"/>
        <color rgb="FF231F20"/>
        <rFont val="Calibri"/>
        <family val="2"/>
        <scheme val="minor"/>
      </rPr>
      <t>Ticket Sales</t>
    </r>
  </si>
  <si>
    <r>
      <rPr>
        <sz val="12"/>
        <color rgb="FF231F20"/>
        <rFont val="Calibri"/>
        <family val="2"/>
        <scheme val="minor"/>
      </rPr>
      <t>Student Fees</t>
    </r>
  </si>
  <si>
    <r>
      <rPr>
        <sz val="12"/>
        <color rgb="FF231F20"/>
        <rFont val="Calibri"/>
        <family val="2"/>
        <scheme val="minor"/>
      </rPr>
      <t>-</t>
    </r>
  </si>
  <si>
    <r>
      <rPr>
        <sz val="12"/>
        <color rgb="FF231F20"/>
        <rFont val="Calibri"/>
        <family val="2"/>
        <scheme val="minor"/>
      </rPr>
      <t>Guarantees</t>
    </r>
  </si>
  <si>
    <r>
      <rPr>
        <sz val="12"/>
        <color rgb="FF231F20"/>
        <rFont val="Calibri"/>
        <family val="2"/>
        <scheme val="minor"/>
      </rPr>
      <t>Contributions</t>
    </r>
  </si>
  <si>
    <r>
      <rPr>
        <sz val="12"/>
        <color rgb="FF231F20"/>
        <rFont val="Calibri"/>
        <family val="2"/>
        <scheme val="minor"/>
      </rPr>
      <t>Direct Institutional Support</t>
    </r>
  </si>
  <si>
    <r>
      <rPr>
        <sz val="12"/>
        <color rgb="FF231F20"/>
        <rFont val="Calibri"/>
        <family val="2"/>
        <scheme val="minor"/>
      </rPr>
      <t>NCAA/Conference Distributions</t>
    </r>
  </si>
  <si>
    <r>
      <rPr>
        <sz val="12"/>
        <color rgb="FF231F20"/>
        <rFont val="Calibri"/>
        <family val="2"/>
        <scheme val="minor"/>
      </rPr>
      <t>Program/Novelty/Concessions/Parking</t>
    </r>
  </si>
  <si>
    <r>
      <rPr>
        <sz val="12"/>
        <color rgb="FF231F20"/>
        <rFont val="Calibri"/>
        <family val="2"/>
        <scheme val="minor"/>
      </rPr>
      <t>Royalties/Advertisements/Sponsorships</t>
    </r>
  </si>
  <si>
    <r>
      <rPr>
        <sz val="12"/>
        <color rgb="FF231F20"/>
        <rFont val="Calibri"/>
        <family val="2"/>
        <scheme val="minor"/>
      </rPr>
      <t>Sports Camps</t>
    </r>
  </si>
  <si>
    <r>
      <rPr>
        <sz val="12"/>
        <color rgb="FF231F20"/>
        <rFont val="Calibri"/>
        <family val="2"/>
        <scheme val="minor"/>
      </rPr>
      <t>Endowment and Investment Income</t>
    </r>
  </si>
  <si>
    <r>
      <rPr>
        <sz val="12"/>
        <color rgb="FF231F20"/>
        <rFont val="Calibri"/>
        <family val="2"/>
        <scheme val="minor"/>
      </rPr>
      <t>Other Revenue</t>
    </r>
  </si>
  <si>
    <r>
      <rPr>
        <sz val="12"/>
        <color rgb="FF231F20"/>
        <rFont val="Calibri"/>
        <family val="2"/>
        <scheme val="minor"/>
      </rPr>
      <t>Subtotal Operating Revenues</t>
    </r>
  </si>
  <si>
    <r>
      <rPr>
        <b/>
        <sz val="12"/>
        <color rgb="FF231F20"/>
        <rFont val="Calibri"/>
        <family val="2"/>
        <scheme val="minor"/>
      </rPr>
      <t>Operating Expenses:</t>
    </r>
  </si>
  <si>
    <r>
      <rPr>
        <sz val="12"/>
        <color rgb="FF231F20"/>
        <rFont val="Calibri"/>
        <family val="2"/>
        <scheme val="minor"/>
      </rPr>
      <t>Athletic Student Aid</t>
    </r>
  </si>
  <si>
    <r>
      <rPr>
        <sz val="12"/>
        <color rgb="FF231F20"/>
        <rFont val="Calibri"/>
        <family val="2"/>
        <scheme val="minor"/>
      </rPr>
      <t>Coaches Compensation and Benefits</t>
    </r>
  </si>
  <si>
    <r>
      <rPr>
        <sz val="12"/>
        <color rgb="FF231F20"/>
        <rFont val="Calibri"/>
        <family val="2"/>
        <scheme val="minor"/>
      </rPr>
      <t>Administration Compensation and Benefits</t>
    </r>
  </si>
  <si>
    <r>
      <rPr>
        <sz val="12"/>
        <color rgb="FF231F20"/>
        <rFont val="Calibri"/>
        <family val="2"/>
        <scheme val="minor"/>
      </rPr>
      <t>Severance Payments</t>
    </r>
  </si>
  <si>
    <r>
      <rPr>
        <sz val="12"/>
        <color rgb="FF231F20"/>
        <rFont val="Calibri"/>
        <family val="2"/>
        <scheme val="minor"/>
      </rPr>
      <t>Recruiting</t>
    </r>
  </si>
  <si>
    <r>
      <rPr>
        <sz val="12"/>
        <color rgb="FF231F20"/>
        <rFont val="Calibri"/>
        <family val="2"/>
        <scheme val="minor"/>
      </rPr>
      <t>Team Travel</t>
    </r>
  </si>
  <si>
    <r>
      <rPr>
        <sz val="12"/>
        <color rgb="FF231F20"/>
        <rFont val="Calibri"/>
        <family val="2"/>
        <scheme val="minor"/>
      </rPr>
      <t>Equipment/Uniforms/Supplies</t>
    </r>
  </si>
  <si>
    <r>
      <rPr>
        <sz val="12"/>
        <color rgb="FF231F20"/>
        <rFont val="Calibri"/>
        <family val="2"/>
        <scheme val="minor"/>
      </rPr>
      <t>Game Expenses</t>
    </r>
  </si>
  <si>
    <r>
      <rPr>
        <sz val="12"/>
        <color rgb="FF231F20"/>
        <rFont val="Calibri"/>
        <family val="2"/>
        <scheme val="minor"/>
      </rPr>
      <t>Fundraising/Marketing/Promotion</t>
    </r>
  </si>
  <si>
    <r>
      <rPr>
        <sz val="12"/>
        <color rgb="FF231F20"/>
        <rFont val="Calibri"/>
        <family val="2"/>
        <scheme val="minor"/>
      </rPr>
      <t>Direct Facilities Cost</t>
    </r>
  </si>
  <si>
    <r>
      <rPr>
        <sz val="12"/>
        <color rgb="FF231F20"/>
        <rFont val="Calibri"/>
        <family val="2"/>
        <scheme val="minor"/>
      </rPr>
      <t>Spirit Groups</t>
    </r>
  </si>
  <si>
    <r>
      <rPr>
        <sz val="12"/>
        <color rgb="FF231F20"/>
        <rFont val="Calibri"/>
        <family val="2"/>
        <scheme val="minor"/>
      </rPr>
      <t>Medical Expenses and Insurance</t>
    </r>
  </si>
  <si>
    <r>
      <rPr>
        <sz val="12"/>
        <color rgb="FF231F20"/>
        <rFont val="Calibri"/>
        <family val="2"/>
        <scheme val="minor"/>
      </rPr>
      <t>Memberships/Dues</t>
    </r>
  </si>
  <si>
    <r>
      <rPr>
        <sz val="12"/>
        <color rgb="FF231F20"/>
        <rFont val="Calibri"/>
        <family val="2"/>
        <scheme val="minor"/>
      </rPr>
      <t>Other Expenses</t>
    </r>
  </si>
  <si>
    <r>
      <rPr>
        <sz val="12"/>
        <color rgb="FF231F20"/>
        <rFont val="Calibri"/>
        <family val="2"/>
        <scheme val="minor"/>
      </rPr>
      <t>Transfers to Institution</t>
    </r>
  </si>
  <si>
    <r>
      <rPr>
        <sz val="12"/>
        <color rgb="FF231F20"/>
        <rFont val="Calibri"/>
        <family val="2"/>
        <scheme val="minor"/>
      </rPr>
      <t>Subtotal Operating Expenses</t>
    </r>
  </si>
  <si>
    <r>
      <rPr>
        <sz val="12"/>
        <color rgb="FF231F20"/>
        <rFont val="Calibri"/>
        <family val="2"/>
        <scheme val="minor"/>
      </rPr>
      <t>Loan Repayments</t>
    </r>
  </si>
  <si>
    <r>
      <rPr>
        <sz val="12"/>
        <color rgb="FF231F20"/>
        <rFont val="Calibri"/>
        <family val="2"/>
        <scheme val="minor"/>
      </rPr>
      <t>Debt Service - CMS/SAHPC</t>
    </r>
  </si>
  <si>
    <r>
      <rPr>
        <sz val="12"/>
        <color rgb="FF231F20"/>
        <rFont val="Calibri"/>
        <family val="2"/>
        <scheme val="minor"/>
      </rPr>
      <t>Capital Projects</t>
    </r>
  </si>
  <si>
    <r>
      <rPr>
        <sz val="12"/>
        <color rgb="FF231F20"/>
        <rFont val="Calibri"/>
        <family val="2"/>
        <scheme val="minor"/>
      </rPr>
      <t>Excess (Deficiency) of Revenues Over Expenses</t>
    </r>
  </si>
  <si>
    <r>
      <rPr>
        <sz val="12"/>
        <color rgb="FF231F20"/>
        <rFont val="Calibri"/>
        <family val="2"/>
        <scheme val="minor"/>
      </rPr>
      <t>Beginning Fund Balance, July 1, 2013</t>
    </r>
  </si>
  <si>
    <r>
      <rPr>
        <sz val="12"/>
        <color rgb="FF231F20"/>
        <rFont val="Calibri"/>
        <family val="2"/>
        <scheme val="minor"/>
      </rPr>
      <t>Note: Cal Athletics began FY14 with a carryforward balance in both unrestricted and restricted operating funds of $10.08M and ended with a balance of $6.75M.</t>
    </r>
  </si>
  <si>
    <t xml:space="preserve"> -</t>
  </si>
  <si>
    <t>Ending Fund Balance, June 30, 2014</t>
  </si>
  <si>
    <t>Women's Basketball</t>
  </si>
  <si>
    <t>Other Men's Sports</t>
  </si>
  <si>
    <t>Other Women's Sports</t>
  </si>
  <si>
    <t>Report Category</t>
  </si>
  <si>
    <t>Texas reports the data we need in a non-standard format. It was also impervious to Adobe PDF Services, or any form of copy/paste (full password file protected). Below is full transcription.</t>
  </si>
  <si>
    <t>NOTE: I moved columns compared to the original in order to facilitate calculation of "Other Sports" category consistent with reports by all other departments.</t>
  </si>
  <si>
    <t>Links to these data appear in the "Corrected" worksheet.</t>
  </si>
  <si>
    <t>ORIGINAL</t>
  </si>
  <si>
    <t>CORRECTED</t>
  </si>
  <si>
    <t>­$2,346</t>
  </si>
  <si>
    <t>California used a non-standard reporting form. It was easily exported as Excel and cleaned up appears below.</t>
  </si>
  <si>
    <t>Missing Categories:</t>
  </si>
  <si>
    <t>Expense</t>
  </si>
  <si>
    <t>Compensation and Benefits Provide by 3rd Party</t>
  </si>
  <si>
    <t>Direct State or Other Government Support</t>
  </si>
  <si>
    <t>Indirect Facilities and Administrative Support</t>
  </si>
  <si>
    <t>Broadcast, TV, Radio, and Internet Rights</t>
  </si>
  <si>
    <t>Coaching Other Compsation and Benefits Paid by 3rd Party</t>
  </si>
  <si>
    <t>Support Staff/Administrative Other Compensation and Benefits Paid by 3rd Party</t>
  </si>
  <si>
    <t>Total Operating Expenses</t>
  </si>
  <si>
    <t>*Excess (Deficiency) of Revenues Over Expenses is non-standard and includes Loan Repayments, Debt Service, and Capital projects.</t>
  </si>
  <si>
    <t>Excess (Deficiency)… CORRECTED</t>
  </si>
  <si>
    <t>Excess (Deficiency)… REPRODUCED</t>
  </si>
  <si>
    <t xml:space="preserve">And I'm making the following call: If a category is not listed, then it is highly likely that the entries would have ben blank across the board and </t>
  </si>
  <si>
    <t>Cal Athletics just decided not to report it. The danger here is that, instead, for example, they just combined some categories.</t>
  </si>
  <si>
    <t>This does NOT seem likely for #5, #6, or #8. But they could have just rolled #10 into #9. And they could have rolled #20 into</t>
  </si>
  <si>
    <t>#19; #22 into #21; or even #32 into #30. Oh well, so it goes.</t>
  </si>
  <si>
    <t>First and last initial.</t>
  </si>
  <si>
    <t>Department ID number from EADA.</t>
  </si>
  <si>
    <t>Year of the report.</t>
  </si>
  <si>
    <t>1 = FBS</t>
  </si>
  <si>
    <t>Big 12</t>
  </si>
  <si>
    <t>Big East</t>
  </si>
  <si>
    <t>The rest are all self-explanatory via the reports.</t>
  </si>
  <si>
    <t>Air Force</t>
  </si>
  <si>
    <t>Alabama</t>
  </si>
  <si>
    <t>SunBelt</t>
  </si>
  <si>
    <t>Pac12</t>
  </si>
  <si>
    <t>Army</t>
  </si>
  <si>
    <t>INDEP</t>
  </si>
  <si>
    <t>Baylor</t>
  </si>
  <si>
    <t>Big12</t>
  </si>
  <si>
    <t>Boston College</t>
  </si>
  <si>
    <t>BYU</t>
  </si>
  <si>
    <t>Cincinnati</t>
  </si>
  <si>
    <t>AAC</t>
  </si>
  <si>
    <t>Duke</t>
  </si>
  <si>
    <t>East Carolina</t>
  </si>
  <si>
    <t>Eastern Michigan</t>
  </si>
  <si>
    <t>Florida</t>
  </si>
  <si>
    <t>Florida Atlantic</t>
  </si>
  <si>
    <t>BigTen</t>
  </si>
  <si>
    <t>Kansas State</t>
  </si>
  <si>
    <t>Louisiana Lafayette</t>
  </si>
  <si>
    <t>Louisiana Monroe</t>
  </si>
  <si>
    <t>LSU</t>
  </si>
  <si>
    <t>Massachusetts</t>
  </si>
  <si>
    <t>Navy</t>
  </si>
  <si>
    <t>Northwestern</t>
  </si>
  <si>
    <t>Notre Dame</t>
  </si>
  <si>
    <t>Penn State</t>
  </si>
  <si>
    <t>Pittsburgh</t>
  </si>
  <si>
    <t>Rice</t>
  </si>
  <si>
    <t>San Diego State</t>
  </si>
  <si>
    <t>SMU</t>
  </si>
  <si>
    <t>Stanford</t>
  </si>
  <si>
    <t>Syracuse</t>
  </si>
  <si>
    <t>TCU</t>
  </si>
  <si>
    <t>Temple</t>
  </si>
  <si>
    <t>Tennessee</t>
  </si>
  <si>
    <t>Texas San Antonio</t>
  </si>
  <si>
    <t>Tulane</t>
  </si>
  <si>
    <t>Tulsa</t>
  </si>
  <si>
    <t>USC</t>
  </si>
  <si>
    <t>Vanderbilt</t>
  </si>
  <si>
    <t>Wake Forest</t>
  </si>
  <si>
    <t>West Virginia</t>
  </si>
  <si>
    <t>Louisiana-Monroe</t>
  </si>
  <si>
    <t>Texas-San Antonio</t>
  </si>
  <si>
    <t>Don't expect any report on the private programs or the service academies. But there are a few that must have simply not submitted to FOIA:</t>
  </si>
  <si>
    <t>I added the missing rows and left them blank.</t>
  </si>
  <si>
    <t>So, I calculated the missing "Other Sports" column and row #36.</t>
  </si>
  <si>
    <t>NOTE: The adopted convention  is to enter zero in the RevExp columns if 1) the # row is there but an entry is - or 0 or blank or 2) enter zeroes if the #row is not even supplied (see the California worksheet notes).</t>
  </si>
  <si>
    <t>NOTE: The adopted convention  is to enter zero in the non-RevExp columns if a zero really was entered in the PDF, otherwise, it's a blank.</t>
  </si>
  <si>
    <t>TotRevTot</t>
  </si>
  <si>
    <t>2013-2014 Schools and Conferences</t>
  </si>
  <si>
    <t>2014 Data file reports for June 30, 2014. That means the file is for the 2013-14 School/Sports Year (e.g., 2013 regular FB season, 2014 FB Post-Season</t>
  </si>
  <si>
    <t>No Report =</t>
  </si>
  <si>
    <t>min</t>
  </si>
  <si>
    <t>max</t>
  </si>
  <si>
    <t>ave</t>
  </si>
  <si>
    <t>median</t>
  </si>
  <si>
    <t>mode</t>
  </si>
  <si>
    <t>sd</t>
  </si>
  <si>
    <t>How many = 0?</t>
  </si>
  <si>
    <t>Problems</t>
  </si>
  <si>
    <t>General</t>
  </si>
  <si>
    <t>Non-#</t>
  </si>
  <si>
    <t>Rev Exp #</t>
  </si>
  <si>
    <t>DNR "last year" amounts in General Information.</t>
  </si>
  <si>
    <t>x</t>
  </si>
  <si>
    <t>DNR General Information.</t>
  </si>
  <si>
    <t>DNR "last year" amounts in General Information. Differences +$1 or -$1 are rounding error.</t>
  </si>
  <si>
    <t>Report FTEs/Positions as "0". Cannot infer Ave Salaries.</t>
  </si>
  <si>
    <t>DNR General Information EXCEPT debt.</t>
  </si>
  <si>
    <t>Alabama Birmingham</t>
  </si>
  <si>
    <t>Appalachian State</t>
  </si>
  <si>
    <t>Central Florida</t>
  </si>
  <si>
    <t>Florida International</t>
  </si>
  <si>
    <t>Georgia Southern</t>
  </si>
  <si>
    <t>Miami (FL)</t>
  </si>
  <si>
    <t>Middle Tennessee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</si>
</sst>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&quot;$&quot;#,##0;[Red]\-&quot;$&quot;#,##0"/>
    <numFmt numFmtId="166" formatCode="#,##0;#,##0"/>
  </numFmts>
  <fonts count="3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2"/>
      <color rgb="FF231F20"/>
      <name val="Calibri"/>
      <family val="2"/>
      <scheme val="minor"/>
    </font>
    <font>
      <sz val="12"/>
      <color rgb="FF231F20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rgb="FF231F20"/>
      <name val="Calibri"/>
      <family val="2"/>
      <scheme val="minor"/>
    </font>
    <font>
      <sz val="6"/>
      <color rgb="FF212121"/>
      <name val="Calibri"/>
      <family val="2"/>
      <scheme val="minor"/>
    </font>
    <font>
      <sz val="6"/>
      <color rgb="FF3F3F3F"/>
      <name val="Calibri"/>
      <family val="2"/>
      <scheme val="minor"/>
    </font>
    <font>
      <sz val="6"/>
      <color rgb="FF363636"/>
      <name val="Calibri"/>
      <family val="2"/>
      <scheme val="minor"/>
    </font>
    <font>
      <sz val="6"/>
      <color rgb="FF424242"/>
      <name val="Calibri"/>
      <family val="2"/>
      <scheme val="minor"/>
    </font>
    <font>
      <sz val="6"/>
      <color rgb="FF383838"/>
      <name val="Calibri"/>
      <family val="2"/>
      <scheme val="minor"/>
    </font>
    <font>
      <sz val="6"/>
      <color rgb="FF4B4B4B"/>
      <name val="Calibri"/>
      <family val="2"/>
      <scheme val="minor"/>
    </font>
    <font>
      <sz val="6"/>
      <color rgb="FF1F1F1F"/>
      <name val="Calibri"/>
      <family val="2"/>
      <scheme val="minor"/>
    </font>
    <font>
      <sz val="6"/>
      <color rgb="FF444444"/>
      <name val="Calibri"/>
      <family val="2"/>
      <scheme val="minor"/>
    </font>
    <font>
      <sz val="6"/>
      <color rgb="FF31313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rgb="FF0E0E0E"/>
      <name val="Calibri"/>
      <family val="2"/>
      <scheme val="minor"/>
    </font>
    <font>
      <sz val="6"/>
      <color rgb="FF232323"/>
      <name val="Calibri"/>
      <family val="2"/>
      <scheme val="minor"/>
    </font>
    <font>
      <sz val="6"/>
      <color rgb="FF0A0A0A"/>
      <name val="Calibri"/>
      <family val="2"/>
      <scheme val="minor"/>
    </font>
    <font>
      <sz val="6"/>
      <color rgb="FF070707"/>
      <name val="Calibri"/>
      <family val="2"/>
      <scheme val="minor"/>
    </font>
    <font>
      <sz val="6"/>
      <color rgb="FF1C1C1C"/>
      <name val="Calibri"/>
      <family val="2"/>
      <scheme val="minor"/>
    </font>
    <font>
      <sz val="6"/>
      <color rgb="FF414141"/>
      <name val="Calibri"/>
      <family val="2"/>
      <scheme val="minor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231F20"/>
      </top>
      <bottom/>
      <diagonal/>
    </border>
    <border>
      <left/>
      <right/>
      <top/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231F20"/>
      </top>
      <bottom style="thin">
        <color auto="1"/>
      </bottom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4">
    <xf numFmtId="0" fontId="0" fillId="0" borderId="0" xfId="0"/>
    <xf numFmtId="164" fontId="0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165" fontId="0" fillId="0" borderId="0" xfId="0" applyNumberFormat="1"/>
    <xf numFmtId="164" fontId="2" fillId="0" borderId="0" xfId="0" applyNumberFormat="1" applyFont="1" applyFill="1" applyBorder="1" applyAlignment="1">
      <alignment horizontal="right" vertical="top"/>
    </xf>
    <xf numFmtId="164" fontId="0" fillId="0" borderId="0" xfId="0" applyNumberFormat="1" applyFont="1" applyFill="1" applyBorder="1" applyAlignment="1">
      <alignment horizontal="right" vertical="top"/>
    </xf>
    <xf numFmtId="164" fontId="0" fillId="0" borderId="0" xfId="0" applyNumberFormat="1"/>
    <xf numFmtId="0" fontId="0" fillId="0" borderId="0" xfId="0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0" fontId="0" fillId="0" borderId="0" xfId="0" applyAlignment="1"/>
    <xf numFmtId="0" fontId="0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0" xfId="0" applyFont="1" applyAlignment="1"/>
    <xf numFmtId="0" fontId="7" fillId="0" borderId="0" xfId="0" applyFont="1" applyFill="1" applyBorder="1" applyAlignment="1">
      <alignment horizontal="left" vertical="center"/>
    </xf>
    <xf numFmtId="3" fontId="0" fillId="0" borderId="0" xfId="0" applyNumberFormat="1" applyFont="1" applyAlignment="1"/>
    <xf numFmtId="166" fontId="0" fillId="0" borderId="0" xfId="0" applyNumberFormat="1" applyFont="1" applyAlignment="1"/>
    <xf numFmtId="164" fontId="9" fillId="0" borderId="0" xfId="0" applyNumberFormat="1" applyFont="1" applyFill="1" applyBorder="1" applyAlignment="1">
      <alignment horizontal="right" vertical="top"/>
    </xf>
    <xf numFmtId="164" fontId="9" fillId="0" borderId="3" xfId="0" applyNumberFormat="1" applyFont="1" applyFill="1" applyBorder="1" applyAlignment="1">
      <alignment horizontal="right" vertical="top"/>
    </xf>
    <xf numFmtId="164" fontId="2" fillId="0" borderId="3" xfId="0" applyNumberFormat="1" applyFont="1" applyFill="1" applyBorder="1" applyAlignment="1">
      <alignment horizontal="right" vertical="top"/>
    </xf>
    <xf numFmtId="164" fontId="9" fillId="0" borderId="4" xfId="0" applyNumberFormat="1" applyFont="1" applyFill="1" applyBorder="1" applyAlignment="1">
      <alignment horizontal="right" vertical="top"/>
    </xf>
    <xf numFmtId="164" fontId="2" fillId="0" borderId="2" xfId="0" applyNumberFormat="1" applyFont="1" applyFill="1" applyBorder="1" applyAlignment="1">
      <alignment horizontal="right" vertical="center"/>
    </xf>
    <xf numFmtId="164" fontId="9" fillId="0" borderId="2" xfId="0" applyNumberFormat="1" applyFont="1" applyFill="1" applyBorder="1" applyAlignment="1">
      <alignment horizontal="right" vertical="center"/>
    </xf>
    <xf numFmtId="164" fontId="9" fillId="0" borderId="0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164" fontId="9" fillId="0" borderId="5" xfId="0" applyNumberFormat="1" applyFont="1" applyFill="1" applyBorder="1" applyAlignment="1">
      <alignment horizontal="right" vertical="top"/>
    </xf>
    <xf numFmtId="164" fontId="0" fillId="0" borderId="1" xfId="0" applyNumberFormat="1" applyFont="1" applyFill="1" applyBorder="1" applyAlignment="1">
      <alignment horizontal="right" vertical="top"/>
    </xf>
    <xf numFmtId="0" fontId="7" fillId="0" borderId="5" xfId="0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right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3" fontId="3" fillId="6" borderId="0" xfId="0" applyNumberFormat="1" applyFont="1" applyFill="1"/>
    <xf numFmtId="164" fontId="0" fillId="6" borderId="0" xfId="0" applyNumberFormat="1" applyFill="1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 applyAlignment="1"/>
    <xf numFmtId="0" fontId="8" fillId="6" borderId="5" xfId="0" applyFont="1" applyFill="1" applyBorder="1" applyAlignment="1">
      <alignment horizontal="center" vertical="top"/>
    </xf>
    <xf numFmtId="164" fontId="2" fillId="6" borderId="0" xfId="0" applyNumberFormat="1" applyFont="1" applyFill="1" applyBorder="1" applyAlignment="1">
      <alignment horizontal="right" vertical="top"/>
    </xf>
    <xf numFmtId="164" fontId="9" fillId="6" borderId="5" xfId="0" applyNumberFormat="1" applyFont="1" applyFill="1" applyBorder="1" applyAlignment="1">
      <alignment horizontal="right" vertical="top"/>
    </xf>
    <xf numFmtId="164" fontId="0" fillId="6" borderId="0" xfId="0" applyNumberFormat="1" applyFont="1" applyFill="1" applyBorder="1" applyAlignment="1">
      <alignment horizontal="right"/>
    </xf>
    <xf numFmtId="164" fontId="9" fillId="6" borderId="0" xfId="0" applyNumberFormat="1" applyFont="1" applyFill="1" applyBorder="1" applyAlignment="1">
      <alignment horizontal="right"/>
    </xf>
    <xf numFmtId="164" fontId="9" fillId="6" borderId="6" xfId="0" applyNumberFormat="1" applyFont="1" applyFill="1" applyBorder="1" applyAlignment="1">
      <alignment horizontal="right" vertical="top"/>
    </xf>
    <xf numFmtId="164" fontId="9" fillId="6" borderId="0" xfId="0" applyNumberFormat="1" applyFont="1" applyFill="1" applyBorder="1" applyAlignment="1">
      <alignment horizontal="right" vertical="center"/>
    </xf>
    <xf numFmtId="164" fontId="9" fillId="6" borderId="4" xfId="0" applyNumberFormat="1" applyFont="1" applyFill="1" applyBorder="1" applyAlignment="1">
      <alignment horizontal="right" vertical="top"/>
    </xf>
    <xf numFmtId="164" fontId="0" fillId="6" borderId="0" xfId="0" applyNumberFormat="1" applyFont="1" applyFill="1" applyBorder="1" applyAlignment="1">
      <alignment horizontal="right" vertical="top"/>
    </xf>
    <xf numFmtId="164" fontId="0" fillId="6" borderId="1" xfId="0" applyNumberFormat="1" applyFont="1" applyFill="1" applyBorder="1" applyAlignment="1">
      <alignment horizontal="right" vertical="top"/>
    </xf>
    <xf numFmtId="0" fontId="0" fillId="6" borderId="0" xfId="0" applyFont="1" applyFill="1" applyAlignment="1"/>
    <xf numFmtId="166" fontId="0" fillId="6" borderId="0" xfId="0" applyNumberFormat="1" applyFont="1" applyFill="1" applyAlignment="1"/>
    <xf numFmtId="164" fontId="0" fillId="6" borderId="0" xfId="0" applyNumberFormat="1" applyFont="1" applyFill="1" applyAlignment="1"/>
    <xf numFmtId="164" fontId="0" fillId="6" borderId="0" xfId="0" applyNumberFormat="1" applyFont="1" applyFill="1" applyAlignment="1">
      <alignment horizontal="right"/>
    </xf>
    <xf numFmtId="0" fontId="7" fillId="6" borderId="5" xfId="0" applyFont="1" applyFill="1" applyBorder="1" applyAlignment="1">
      <alignment horizontal="left" vertical="top"/>
    </xf>
    <xf numFmtId="0" fontId="0" fillId="6" borderId="0" xfId="0" applyFont="1" applyFill="1" applyAlignment="1">
      <alignment horizontal="right"/>
    </xf>
    <xf numFmtId="0" fontId="1" fillId="6" borderId="0" xfId="0" applyFont="1" applyFill="1"/>
    <xf numFmtId="164" fontId="9" fillId="6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/>
    <xf numFmtId="49" fontId="0" fillId="0" borderId="0" xfId="0" applyNumberFormat="1" applyAlignment="1"/>
    <xf numFmtId="49" fontId="0" fillId="0" borderId="0" xfId="0" applyNumberFormat="1" applyFill="1" applyAlignment="1"/>
    <xf numFmtId="0" fontId="2" fillId="7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left"/>
    </xf>
    <xf numFmtId="164" fontId="12" fillId="0" borderId="0" xfId="0" applyNumberFormat="1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6" fontId="10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0" fontId="10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right"/>
    </xf>
    <xf numFmtId="0" fontId="0" fillId="0" borderId="0" xfId="0" applyFill="1"/>
    <xf numFmtId="1" fontId="10" fillId="0" borderId="0" xfId="0" applyNumberFormat="1" applyFont="1" applyFill="1" applyBorder="1" applyAlignment="1">
      <alignment horizontal="left"/>
    </xf>
    <xf numFmtId="3" fontId="23" fillId="0" borderId="0" xfId="0" applyNumberFormat="1" applyFont="1" applyAlignment="1">
      <alignment horizontal="right"/>
    </xf>
    <xf numFmtId="0" fontId="11" fillId="8" borderId="0" xfId="0" applyFont="1" applyFill="1" applyBorder="1" applyAlignment="1">
      <alignment horizontal="right"/>
    </xf>
    <xf numFmtId="3" fontId="11" fillId="8" borderId="0" xfId="0" applyNumberFormat="1" applyFont="1" applyFill="1" applyBorder="1" applyAlignment="1">
      <alignment horizontal="right"/>
    </xf>
    <xf numFmtId="164" fontId="11" fillId="8" borderId="0" xfId="0" applyNumberFormat="1" applyFont="1" applyFill="1" applyBorder="1" applyAlignment="1">
      <alignment horizontal="right"/>
    </xf>
    <xf numFmtId="0" fontId="10" fillId="8" borderId="0" xfId="0" applyFont="1" applyFill="1" applyBorder="1" applyAlignment="1">
      <alignment horizontal="right"/>
    </xf>
    <xf numFmtId="0" fontId="10" fillId="8" borderId="0" xfId="0" applyFont="1" applyFill="1" applyBorder="1"/>
    <xf numFmtId="3" fontId="10" fillId="8" borderId="0" xfId="0" applyNumberFormat="1" applyFont="1" applyFill="1" applyBorder="1" applyAlignment="1">
      <alignment horizontal="right"/>
    </xf>
    <xf numFmtId="164" fontId="10" fillId="8" borderId="0" xfId="0" applyNumberFormat="1" applyFont="1" applyFill="1" applyBorder="1" applyAlignment="1">
      <alignment horizontal="right"/>
    </xf>
    <xf numFmtId="164" fontId="12" fillId="8" borderId="0" xfId="0" applyNumberFormat="1" applyFont="1" applyFill="1" applyBorder="1" applyAlignment="1">
      <alignment horizontal="right"/>
    </xf>
    <xf numFmtId="0" fontId="12" fillId="8" borderId="0" xfId="0" applyFont="1" applyFill="1" applyBorder="1" applyAlignment="1">
      <alignment horizontal="right"/>
    </xf>
    <xf numFmtId="3" fontId="12" fillId="8" borderId="0" xfId="0" applyNumberFormat="1" applyFont="1" applyFill="1" applyBorder="1" applyAlignment="1">
      <alignment horizontal="right"/>
    </xf>
    <xf numFmtId="3" fontId="10" fillId="8" borderId="0" xfId="0" applyNumberFormat="1" applyFont="1" applyFill="1" applyBorder="1" applyAlignment="1">
      <alignment horizontal="right" vertical="center"/>
    </xf>
    <xf numFmtId="164" fontId="10" fillId="8" borderId="0" xfId="0" applyNumberFormat="1" applyFont="1" applyFill="1" applyBorder="1" applyAlignment="1">
      <alignment horizontal="right" vertical="center"/>
    </xf>
    <xf numFmtId="164" fontId="10" fillId="8" borderId="0" xfId="0" applyNumberFormat="1" applyFont="1" applyFill="1" applyBorder="1" applyAlignment="1">
      <alignment vertical="center"/>
    </xf>
    <xf numFmtId="164" fontId="10" fillId="8" borderId="0" xfId="0" applyNumberFormat="1" applyFont="1" applyFill="1" applyBorder="1" applyAlignment="1">
      <alignment horizontal="right" vertical="center" indent="1"/>
    </xf>
    <xf numFmtId="3" fontId="14" fillId="8" borderId="0" xfId="0" applyNumberFormat="1" applyFont="1" applyFill="1" applyBorder="1" applyAlignment="1">
      <alignment horizontal="right"/>
    </xf>
    <xf numFmtId="164" fontId="24" fillId="8" borderId="0" xfId="0" applyNumberFormat="1" applyFont="1" applyFill="1" applyBorder="1" applyAlignment="1">
      <alignment horizontal="right"/>
    </xf>
    <xf numFmtId="164" fontId="24" fillId="8" borderId="0" xfId="0" applyNumberFormat="1" applyFont="1" applyFill="1" applyBorder="1" applyAlignment="1">
      <alignment horizontal="right" vertical="center"/>
    </xf>
    <xf numFmtId="164" fontId="25" fillId="8" borderId="0" xfId="0" applyNumberFormat="1" applyFont="1" applyFill="1" applyBorder="1" applyAlignment="1">
      <alignment horizontal="right"/>
    </xf>
    <xf numFmtId="164" fontId="26" fillId="8" borderId="0" xfId="0" applyNumberFormat="1" applyFont="1" applyFill="1" applyBorder="1" applyAlignment="1">
      <alignment horizontal="right"/>
    </xf>
    <xf numFmtId="164" fontId="26" fillId="8" borderId="0" xfId="0" applyNumberFormat="1" applyFont="1" applyFill="1" applyBorder="1" applyAlignment="1">
      <alignment horizontal="right" vertical="center"/>
    </xf>
    <xf numFmtId="164" fontId="25" fillId="8" borderId="0" xfId="0" applyNumberFormat="1" applyFont="1" applyFill="1" applyBorder="1" applyAlignment="1">
      <alignment horizontal="right" vertical="center"/>
    </xf>
    <xf numFmtId="164" fontId="26" fillId="8" borderId="0" xfId="0" applyNumberFormat="1" applyFont="1" applyFill="1" applyBorder="1" applyAlignment="1">
      <alignment vertical="center"/>
    </xf>
    <xf numFmtId="164" fontId="25" fillId="8" borderId="0" xfId="0" applyNumberFormat="1" applyFont="1" applyFill="1" applyBorder="1" applyAlignment="1">
      <alignment vertical="center"/>
    </xf>
    <xf numFmtId="0" fontId="23" fillId="8" borderId="0" xfId="0" applyFont="1" applyFill="1" applyBorder="1" applyAlignment="1">
      <alignment horizontal="right"/>
    </xf>
    <xf numFmtId="1" fontId="11" fillId="9" borderId="0" xfId="0" applyNumberFormat="1" applyFont="1" applyFill="1" applyBorder="1" applyAlignment="1">
      <alignment horizontal="right"/>
    </xf>
    <xf numFmtId="164" fontId="11" fillId="9" borderId="0" xfId="0" applyNumberFormat="1" applyFont="1" applyFill="1" applyBorder="1" applyAlignment="1">
      <alignment horizontal="right"/>
    </xf>
    <xf numFmtId="2" fontId="11" fillId="9" borderId="0" xfId="0" applyNumberFormat="1" applyFont="1" applyFill="1" applyBorder="1" applyAlignment="1">
      <alignment horizontal="right"/>
    </xf>
    <xf numFmtId="1" fontId="10" fillId="9" borderId="0" xfId="0" applyNumberFormat="1" applyFont="1" applyFill="1" applyBorder="1" applyAlignment="1">
      <alignment horizontal="right"/>
    </xf>
    <xf numFmtId="164" fontId="10" fillId="9" borderId="0" xfId="0" applyNumberFormat="1" applyFont="1" applyFill="1" applyBorder="1" applyAlignment="1">
      <alignment horizontal="right"/>
    </xf>
    <xf numFmtId="2" fontId="10" fillId="9" borderId="0" xfId="0" applyNumberFormat="1" applyFont="1" applyFill="1" applyBorder="1" applyAlignment="1">
      <alignment horizontal="right"/>
    </xf>
    <xf numFmtId="1" fontId="12" fillId="9" borderId="0" xfId="0" applyNumberFormat="1" applyFont="1" applyFill="1" applyBorder="1" applyAlignment="1">
      <alignment horizontal="right"/>
    </xf>
    <xf numFmtId="164" fontId="12" fillId="9" borderId="0" xfId="0" applyNumberFormat="1" applyFont="1" applyFill="1" applyBorder="1" applyAlignment="1">
      <alignment horizontal="right"/>
    </xf>
    <xf numFmtId="2" fontId="12" fillId="9" borderId="0" xfId="0" applyNumberFormat="1" applyFont="1" applyFill="1" applyBorder="1" applyAlignment="1">
      <alignment horizontal="right"/>
    </xf>
    <xf numFmtId="164" fontId="17" fillId="9" borderId="0" xfId="0" applyNumberFormat="1" applyFont="1" applyFill="1" applyBorder="1" applyAlignment="1">
      <alignment horizontal="right"/>
    </xf>
    <xf numFmtId="164" fontId="17" fillId="9" borderId="0" xfId="0" applyNumberFormat="1" applyFont="1" applyFill="1" applyBorder="1" applyAlignment="1">
      <alignment horizontal="right" vertical="center"/>
    </xf>
    <xf numFmtId="2" fontId="17" fillId="9" borderId="0" xfId="0" applyNumberFormat="1" applyFont="1" applyFill="1" applyBorder="1" applyAlignment="1">
      <alignment horizontal="right" vertical="center"/>
    </xf>
    <xf numFmtId="164" fontId="10" fillId="9" borderId="0" xfId="0" applyNumberFormat="1" applyFont="1" applyFill="1" applyBorder="1" applyAlignment="1">
      <alignment horizontal="right" vertical="center"/>
    </xf>
    <xf numFmtId="2" fontId="10" fillId="9" borderId="0" xfId="0" applyNumberFormat="1" applyFont="1" applyFill="1" applyBorder="1" applyAlignment="1">
      <alignment horizontal="right" vertical="center"/>
    </xf>
    <xf numFmtId="1" fontId="10" fillId="9" borderId="0" xfId="0" applyNumberFormat="1" applyFont="1" applyFill="1" applyBorder="1" applyAlignment="1">
      <alignment horizontal="right" vertical="center"/>
    </xf>
    <xf numFmtId="164" fontId="10" fillId="9" borderId="0" xfId="0" applyNumberFormat="1" applyFont="1" applyFill="1" applyBorder="1" applyAlignment="1">
      <alignment vertical="center"/>
    </xf>
    <xf numFmtId="2" fontId="10" fillId="9" borderId="0" xfId="0" applyNumberFormat="1" applyFont="1" applyFill="1" applyBorder="1" applyAlignment="1">
      <alignment vertical="center"/>
    </xf>
    <xf numFmtId="1" fontId="10" fillId="9" borderId="0" xfId="0" applyNumberFormat="1" applyFont="1" applyFill="1" applyBorder="1" applyAlignment="1">
      <alignment vertical="center"/>
    </xf>
    <xf numFmtId="164" fontId="12" fillId="9" borderId="0" xfId="0" applyNumberFormat="1" applyFont="1" applyFill="1" applyBorder="1" applyAlignment="1">
      <alignment horizontal="right" vertical="center"/>
    </xf>
    <xf numFmtId="164" fontId="27" fillId="9" borderId="0" xfId="0" applyNumberFormat="1" applyFont="1" applyFill="1" applyBorder="1" applyAlignment="1">
      <alignment vertical="center"/>
    </xf>
    <xf numFmtId="164" fontId="27" fillId="9" borderId="0" xfId="0" applyNumberFormat="1" applyFont="1" applyFill="1" applyBorder="1" applyAlignment="1">
      <alignment horizontal="right"/>
    </xf>
    <xf numFmtId="164" fontId="28" fillId="9" borderId="0" xfId="0" applyNumberFormat="1" applyFont="1" applyFill="1" applyBorder="1" applyAlignment="1">
      <alignment vertical="center"/>
    </xf>
    <xf numFmtId="164" fontId="28" fillId="9" borderId="0" xfId="0" applyNumberFormat="1" applyFont="1" applyFill="1" applyBorder="1" applyAlignment="1">
      <alignment horizontal="right"/>
    </xf>
    <xf numFmtId="164" fontId="28" fillId="9" borderId="0" xfId="0" applyNumberFormat="1" applyFont="1" applyFill="1" applyBorder="1" applyAlignment="1">
      <alignment horizontal="right" vertical="center"/>
    </xf>
    <xf numFmtId="164" fontId="27" fillId="9" borderId="0" xfId="0" applyNumberFormat="1" applyFont="1" applyFill="1" applyBorder="1" applyAlignment="1">
      <alignment horizontal="right" vertical="center"/>
    </xf>
    <xf numFmtId="2" fontId="28" fillId="9" borderId="0" xfId="0" applyNumberFormat="1" applyFont="1" applyFill="1" applyBorder="1" applyAlignment="1">
      <alignment horizontal="right" vertical="center"/>
    </xf>
    <xf numFmtId="2" fontId="27" fillId="9" borderId="0" xfId="0" applyNumberFormat="1" applyFont="1" applyFill="1" applyBorder="1" applyAlignment="1">
      <alignment horizontal="right" vertical="center"/>
    </xf>
    <xf numFmtId="164" fontId="11" fillId="10" borderId="0" xfId="0" applyNumberFormat="1" applyFont="1" applyFill="1" applyBorder="1" applyAlignment="1">
      <alignment horizontal="right"/>
    </xf>
    <xf numFmtId="164" fontId="10" fillId="10" borderId="0" xfId="0" applyNumberFormat="1" applyFont="1" applyFill="1" applyBorder="1" applyAlignment="1">
      <alignment horizontal="right"/>
    </xf>
    <xf numFmtId="164" fontId="12" fillId="10" borderId="0" xfId="0" applyNumberFormat="1" applyFont="1" applyFill="1" applyBorder="1" applyAlignment="1">
      <alignment horizontal="right"/>
    </xf>
    <xf numFmtId="164" fontId="13" fillId="10" borderId="0" xfId="0" applyNumberFormat="1" applyFont="1" applyFill="1" applyBorder="1" applyAlignment="1">
      <alignment horizontal="right" vertical="top"/>
    </xf>
    <xf numFmtId="164" fontId="12" fillId="10" borderId="0" xfId="0" applyNumberFormat="1" applyFont="1" applyFill="1" applyBorder="1" applyAlignment="1">
      <alignment horizontal="right" vertical="top"/>
    </xf>
    <xf numFmtId="164" fontId="14" fillId="10" borderId="0" xfId="0" applyNumberFormat="1" applyFont="1" applyFill="1" applyBorder="1" applyAlignment="1">
      <alignment horizontal="right" vertical="top"/>
    </xf>
    <xf numFmtId="164" fontId="14" fillId="10" borderId="0" xfId="0" applyNumberFormat="1" applyFont="1" applyFill="1" applyBorder="1" applyAlignment="1">
      <alignment horizontal="right"/>
    </xf>
    <xf numFmtId="164" fontId="15" fillId="10" borderId="0" xfId="0" applyNumberFormat="1" applyFont="1" applyFill="1" applyBorder="1" applyAlignment="1">
      <alignment horizontal="right" vertical="top"/>
    </xf>
    <xf numFmtId="164" fontId="16" fillId="10" borderId="0" xfId="0" applyNumberFormat="1" applyFont="1" applyFill="1" applyBorder="1" applyAlignment="1">
      <alignment horizontal="right" vertical="top"/>
    </xf>
    <xf numFmtId="164" fontId="16" fillId="10" borderId="0" xfId="0" applyNumberFormat="1" applyFont="1" applyFill="1" applyBorder="1" applyAlignment="1">
      <alignment vertical="top"/>
    </xf>
    <xf numFmtId="164" fontId="10" fillId="10" borderId="0" xfId="0" applyNumberFormat="1" applyFont="1" applyFill="1" applyBorder="1" applyAlignment="1"/>
    <xf numFmtId="164" fontId="10" fillId="10" borderId="0" xfId="0" applyNumberFormat="1" applyFont="1" applyFill="1" applyBorder="1" applyAlignment="1">
      <alignment horizontal="right" vertical="top"/>
    </xf>
    <xf numFmtId="164" fontId="10" fillId="10" borderId="0" xfId="0" applyNumberFormat="1" applyFont="1" applyFill="1" applyBorder="1"/>
    <xf numFmtId="164" fontId="12" fillId="10" borderId="0" xfId="0" applyNumberFormat="1" applyFont="1" applyFill="1" applyBorder="1" applyAlignment="1">
      <alignment horizontal="right" vertical="center"/>
    </xf>
    <xf numFmtId="164" fontId="18" fillId="10" borderId="0" xfId="0" applyNumberFormat="1" applyFont="1" applyFill="1" applyBorder="1" applyAlignment="1">
      <alignment horizontal="right" vertical="center"/>
    </xf>
    <xf numFmtId="164" fontId="19" fillId="10" borderId="0" xfId="0" applyNumberFormat="1" applyFont="1" applyFill="1" applyBorder="1" applyAlignment="1">
      <alignment horizontal="right" vertical="center"/>
    </xf>
    <xf numFmtId="164" fontId="20" fillId="10" borderId="0" xfId="0" applyNumberFormat="1" applyFont="1" applyFill="1" applyBorder="1" applyAlignment="1">
      <alignment horizontal="right" vertical="center"/>
    </xf>
    <xf numFmtId="164" fontId="18" fillId="10" borderId="0" xfId="0" applyNumberFormat="1" applyFont="1" applyFill="1" applyBorder="1" applyAlignment="1">
      <alignment horizontal="right"/>
    </xf>
    <xf numFmtId="164" fontId="21" fillId="10" borderId="0" xfId="0" applyNumberFormat="1" applyFont="1" applyFill="1" applyBorder="1" applyAlignment="1">
      <alignment horizontal="right" vertical="center"/>
    </xf>
    <xf numFmtId="164" fontId="22" fillId="10" borderId="0" xfId="0" applyNumberFormat="1" applyFont="1" applyFill="1" applyBorder="1" applyAlignment="1">
      <alignment horizontal="right" vertical="center"/>
    </xf>
    <xf numFmtId="164" fontId="21" fillId="10" borderId="0" xfId="0" applyNumberFormat="1" applyFont="1" applyFill="1" applyBorder="1" applyAlignment="1">
      <alignment horizontal="right" vertical="center" indent="1"/>
    </xf>
    <xf numFmtId="164" fontId="22" fillId="10" borderId="0" xfId="0" applyNumberFormat="1" applyFont="1" applyFill="1" applyBorder="1" applyAlignment="1">
      <alignment vertical="center"/>
    </xf>
    <xf numFmtId="164" fontId="22" fillId="10" borderId="0" xfId="0" applyNumberFormat="1" applyFont="1" applyFill="1" applyBorder="1" applyAlignment="1">
      <alignment horizontal="right" vertical="center" indent="1"/>
    </xf>
    <xf numFmtId="164" fontId="12" fillId="10" borderId="0" xfId="0" applyNumberFormat="1" applyFont="1" applyFill="1" applyBorder="1"/>
    <xf numFmtId="164" fontId="10" fillId="10" borderId="0" xfId="0" applyNumberFormat="1" applyFont="1" applyFill="1" applyBorder="1" applyAlignment="1">
      <alignment horizontal="right" vertical="center"/>
    </xf>
    <xf numFmtId="164" fontId="23" fillId="10" borderId="0" xfId="0" applyNumberFormat="1" applyFont="1" applyFill="1" applyBorder="1" applyAlignment="1">
      <alignment horizontal="right" vertical="center"/>
    </xf>
    <xf numFmtId="164" fontId="10" fillId="10" borderId="0" xfId="0" applyNumberFormat="1" applyFont="1" applyFill="1" applyBorder="1" applyAlignment="1">
      <alignment vertical="center"/>
    </xf>
    <xf numFmtId="164" fontId="10" fillId="10" borderId="0" xfId="0" applyNumberFormat="1" applyFont="1" applyFill="1" applyBorder="1" applyAlignment="1">
      <alignment horizontal="right" vertical="center" indent="1"/>
    </xf>
    <xf numFmtId="164" fontId="29" fillId="10" borderId="0" xfId="0" applyNumberFormat="1" applyFont="1" applyFill="1" applyBorder="1" applyAlignment="1">
      <alignment horizontal="right" vertical="center"/>
    </xf>
    <xf numFmtId="164" fontId="15" fillId="10" borderId="0" xfId="0" applyNumberFormat="1" applyFont="1" applyFill="1" applyBorder="1" applyAlignment="1">
      <alignment horizontal="right" vertical="center"/>
    </xf>
    <xf numFmtId="164" fontId="15" fillId="10" borderId="0" xfId="0" applyNumberFormat="1" applyFont="1" applyFill="1" applyBorder="1" applyAlignment="1">
      <alignment vertical="center"/>
    </xf>
    <xf numFmtId="164" fontId="10" fillId="10" borderId="0" xfId="0" applyNumberFormat="1" applyFont="1" applyFill="1" applyBorder="1" applyAlignment="1">
      <alignment horizontal="right" vertical="center" wrapText="1"/>
    </xf>
    <xf numFmtId="164" fontId="23" fillId="10" borderId="0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ill="1" applyAlignment="1"/>
    <xf numFmtId="49" fontId="1" fillId="0" borderId="0" xfId="0" applyNumberFormat="1" applyFont="1"/>
    <xf numFmtId="49" fontId="30" fillId="0" borderId="0" xfId="0" applyNumberFormat="1" applyFont="1"/>
    <xf numFmtId="0" fontId="30" fillId="0" borderId="0" xfId="0" applyFont="1"/>
    <xf numFmtId="49" fontId="1" fillId="11" borderId="0" xfId="0" applyNumberFormat="1" applyFont="1" applyFill="1"/>
    <xf numFmtId="0" fontId="1" fillId="11" borderId="0" xfId="0" applyFont="1" applyFill="1"/>
    <xf numFmtId="49" fontId="30" fillId="11" borderId="0" xfId="0" applyNumberFormat="1" applyFont="1" applyFill="1"/>
    <xf numFmtId="49" fontId="12" fillId="0" borderId="0" xfId="0" applyNumberFormat="1" applyFont="1" applyFill="1" applyBorder="1" applyAlignment="1">
      <alignment horizontal="left"/>
    </xf>
    <xf numFmtId="49" fontId="12" fillId="7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2" fillId="7" borderId="0" xfId="0" applyNumberFormat="1" applyFont="1" applyFill="1" applyBorder="1" applyAlignment="1">
      <alignment horizontal="lef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">
    <dxf>
      <font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3"/>
  <sheetViews>
    <sheetView workbookViewId="0">
      <selection activeCell="E80" sqref="E80"/>
    </sheetView>
  </sheetViews>
  <sheetFormatPr baseColWidth="10" defaultRowHeight="16"/>
  <cols>
    <col min="1" max="1" width="19.1640625" customWidth="1"/>
    <col min="3" max="3" width="24.33203125" customWidth="1"/>
    <col min="5" max="5" width="20.5" customWidth="1"/>
    <col min="6" max="6" width="9.33203125" customWidth="1"/>
    <col min="7" max="7" width="6.33203125" customWidth="1"/>
    <col min="8" max="8" width="7.6640625" customWidth="1"/>
    <col min="9" max="9" width="9" customWidth="1"/>
    <col min="10" max="10" width="9.1640625" customWidth="1"/>
    <col min="11" max="11" width="9.33203125" customWidth="1"/>
  </cols>
  <sheetData>
    <row r="1" spans="1:11">
      <c r="A1" t="s">
        <v>529</v>
      </c>
    </row>
    <row r="2" spans="1:11">
      <c r="A2" t="s">
        <v>358</v>
      </c>
      <c r="B2" t="s">
        <v>470</v>
      </c>
      <c r="F2" t="s">
        <v>525</v>
      </c>
    </row>
    <row r="3" spans="1:11">
      <c r="A3" t="s">
        <v>1</v>
      </c>
      <c r="B3" t="s">
        <v>471</v>
      </c>
      <c r="F3" t="s">
        <v>526</v>
      </c>
    </row>
    <row r="4" spans="1:11">
      <c r="A4" t="s">
        <v>2</v>
      </c>
      <c r="B4" t="s">
        <v>472</v>
      </c>
    </row>
    <row r="5" spans="1:11">
      <c r="A5" t="s">
        <v>3</v>
      </c>
      <c r="B5" t="s">
        <v>473</v>
      </c>
    </row>
    <row r="6" spans="1:11">
      <c r="A6" t="s">
        <v>4</v>
      </c>
      <c r="B6">
        <v>1</v>
      </c>
      <c r="C6" t="s">
        <v>243</v>
      </c>
    </row>
    <row r="7" spans="1:11">
      <c r="B7">
        <v>2</v>
      </c>
      <c r="C7" t="s">
        <v>474</v>
      </c>
    </row>
    <row r="8" spans="1:11">
      <c r="B8">
        <v>3</v>
      </c>
      <c r="C8" t="s">
        <v>251</v>
      </c>
    </row>
    <row r="9" spans="1:11">
      <c r="B9">
        <v>4</v>
      </c>
      <c r="C9" t="s">
        <v>246</v>
      </c>
    </row>
    <row r="10" spans="1:11">
      <c r="B10">
        <v>5</v>
      </c>
      <c r="C10" t="s">
        <v>350</v>
      </c>
    </row>
    <row r="11" spans="1:11">
      <c r="B11">
        <v>6</v>
      </c>
      <c r="C11" t="s">
        <v>488</v>
      </c>
    </row>
    <row r="12" spans="1:11">
      <c r="B12">
        <v>7</v>
      </c>
      <c r="C12" t="s">
        <v>475</v>
      </c>
    </row>
    <row r="13" spans="1:11">
      <c r="B13">
        <v>8</v>
      </c>
      <c r="C13" t="s">
        <v>349</v>
      </c>
    </row>
    <row r="14" spans="1:11">
      <c r="B14">
        <v>9</v>
      </c>
      <c r="C14" t="s">
        <v>352</v>
      </c>
      <c r="K14" t="s">
        <v>550</v>
      </c>
    </row>
    <row r="15" spans="1:11">
      <c r="B15">
        <v>10</v>
      </c>
      <c r="C15" t="s">
        <v>351</v>
      </c>
      <c r="K15" t="s">
        <v>495</v>
      </c>
    </row>
    <row r="16" spans="1:11">
      <c r="B16">
        <v>11</v>
      </c>
      <c r="C16" t="s">
        <v>248</v>
      </c>
      <c r="K16" t="s">
        <v>520</v>
      </c>
    </row>
    <row r="17" spans="1:11">
      <c r="K17" t="s">
        <v>503</v>
      </c>
    </row>
    <row r="18" spans="1:11">
      <c r="A18" t="s">
        <v>476</v>
      </c>
      <c r="K18" t="s">
        <v>506</v>
      </c>
    </row>
    <row r="19" spans="1:11">
      <c r="K19" t="s">
        <v>512</v>
      </c>
    </row>
    <row r="20" spans="1:11">
      <c r="A20" t="s">
        <v>528</v>
      </c>
      <c r="C20" s="84"/>
      <c r="K20" t="s">
        <v>521</v>
      </c>
    </row>
    <row r="21" spans="1:11">
      <c r="A21" t="s">
        <v>530</v>
      </c>
      <c r="B21" s="4"/>
      <c r="C21" t="s">
        <v>522</v>
      </c>
      <c r="K21" t="s">
        <v>519</v>
      </c>
    </row>
    <row r="23" spans="1:11">
      <c r="H23" s="171"/>
      <c r="I23" s="171" t="s">
        <v>538</v>
      </c>
      <c r="J23" s="171"/>
    </row>
    <row r="24" spans="1:11">
      <c r="A24" s="64"/>
      <c r="B24" s="64"/>
      <c r="H24" s="171" t="s">
        <v>539</v>
      </c>
      <c r="I24" s="171" t="s">
        <v>540</v>
      </c>
      <c r="J24" s="171" t="s">
        <v>541</v>
      </c>
    </row>
    <row r="25" spans="1:11">
      <c r="A25" s="177" t="s">
        <v>477</v>
      </c>
      <c r="B25" s="177" t="s">
        <v>351</v>
      </c>
      <c r="C25" s="174" t="s">
        <v>227</v>
      </c>
      <c r="D25" s="174" t="s">
        <v>352</v>
      </c>
      <c r="E25" s="182" t="s">
        <v>227</v>
      </c>
      <c r="F25" s="64" t="s">
        <v>352</v>
      </c>
      <c r="G25">
        <v>9</v>
      </c>
      <c r="H25" s="172"/>
      <c r="I25" s="172"/>
      <c r="J25" s="172"/>
    </row>
    <row r="26" spans="1:11">
      <c r="A26" s="174" t="s">
        <v>227</v>
      </c>
      <c r="B26" s="174" t="s">
        <v>352</v>
      </c>
      <c r="C26" s="174" t="s">
        <v>478</v>
      </c>
      <c r="D26" s="174" t="s">
        <v>350</v>
      </c>
      <c r="E26" s="182" t="s">
        <v>478</v>
      </c>
      <c r="F26" s="64" t="s">
        <v>350</v>
      </c>
      <c r="G26">
        <v>5</v>
      </c>
      <c r="H26" s="172"/>
      <c r="I26" s="172"/>
      <c r="J26" s="172"/>
    </row>
    <row r="27" spans="1:11">
      <c r="A27" s="174" t="s">
        <v>478</v>
      </c>
      <c r="B27" s="174" t="s">
        <v>350</v>
      </c>
      <c r="C27" s="174" t="s">
        <v>548</v>
      </c>
      <c r="D27" s="174" t="s">
        <v>349</v>
      </c>
      <c r="E27" s="182" t="s">
        <v>548</v>
      </c>
      <c r="F27" s="64" t="s">
        <v>349</v>
      </c>
      <c r="G27">
        <v>8</v>
      </c>
      <c r="H27" s="172"/>
      <c r="I27" s="172"/>
      <c r="J27" s="172"/>
    </row>
    <row r="28" spans="1:11">
      <c r="A28" s="174" t="s">
        <v>548</v>
      </c>
      <c r="B28" s="174" t="s">
        <v>349</v>
      </c>
      <c r="C28" s="174" t="s">
        <v>228</v>
      </c>
      <c r="D28" s="174" t="s">
        <v>480</v>
      </c>
      <c r="E28" s="182" t="s">
        <v>228</v>
      </c>
      <c r="F28" s="64" t="s">
        <v>480</v>
      </c>
      <c r="G28">
        <v>4</v>
      </c>
      <c r="H28" s="172"/>
      <c r="I28" s="172"/>
      <c r="J28" s="172"/>
    </row>
    <row r="29" spans="1:11">
      <c r="A29" s="174" t="s">
        <v>549</v>
      </c>
      <c r="B29" s="174" t="s">
        <v>479</v>
      </c>
      <c r="C29" s="174" t="s">
        <v>229</v>
      </c>
      <c r="D29" s="174" t="s">
        <v>480</v>
      </c>
      <c r="E29" s="182" t="s">
        <v>229</v>
      </c>
      <c r="F29" s="64" t="s">
        <v>480</v>
      </c>
      <c r="G29">
        <v>4</v>
      </c>
      <c r="H29" s="172"/>
      <c r="I29" s="172"/>
      <c r="J29" s="172"/>
    </row>
    <row r="30" spans="1:11">
      <c r="A30" s="174" t="s">
        <v>228</v>
      </c>
      <c r="B30" s="174" t="s">
        <v>480</v>
      </c>
      <c r="C30" s="174" t="s">
        <v>230</v>
      </c>
      <c r="D30" s="174" t="s">
        <v>350</v>
      </c>
      <c r="E30" s="182" t="s">
        <v>230</v>
      </c>
      <c r="F30" s="64" t="s">
        <v>350</v>
      </c>
      <c r="G30">
        <v>5</v>
      </c>
      <c r="H30" s="172"/>
      <c r="I30" s="172"/>
      <c r="J30" s="172"/>
    </row>
    <row r="31" spans="1:11">
      <c r="A31" s="174" t="s">
        <v>229</v>
      </c>
      <c r="B31" s="174" t="s">
        <v>480</v>
      </c>
      <c r="C31" s="174" t="s">
        <v>231</v>
      </c>
      <c r="D31" s="174" t="s">
        <v>479</v>
      </c>
      <c r="E31" s="183" t="s">
        <v>231</v>
      </c>
      <c r="F31" s="64" t="s">
        <v>479</v>
      </c>
      <c r="G31">
        <v>11</v>
      </c>
      <c r="H31" s="172" t="s">
        <v>543</v>
      </c>
      <c r="I31" s="172"/>
      <c r="J31" s="172"/>
      <c r="K31" t="s">
        <v>542</v>
      </c>
    </row>
    <row r="32" spans="1:11">
      <c r="A32" s="174" t="s">
        <v>230</v>
      </c>
      <c r="B32" s="174" t="s">
        <v>350</v>
      </c>
      <c r="C32" s="174" t="s">
        <v>232</v>
      </c>
      <c r="D32" s="174" t="s">
        <v>350</v>
      </c>
      <c r="E32" s="182" t="s">
        <v>232</v>
      </c>
      <c r="F32" s="64" t="s">
        <v>350</v>
      </c>
      <c r="G32">
        <v>5</v>
      </c>
      <c r="H32" s="172"/>
      <c r="I32" s="172"/>
      <c r="J32" s="172"/>
    </row>
    <row r="33" spans="1:11">
      <c r="A33" s="174" t="s">
        <v>231</v>
      </c>
      <c r="B33" s="174" t="s">
        <v>479</v>
      </c>
      <c r="C33" s="174" t="s">
        <v>233</v>
      </c>
      <c r="D33" s="174" t="s">
        <v>352</v>
      </c>
      <c r="E33" s="182" t="s">
        <v>233</v>
      </c>
      <c r="F33" s="64" t="s">
        <v>352</v>
      </c>
      <c r="G33">
        <v>9</v>
      </c>
      <c r="H33" s="172"/>
      <c r="I33" s="172"/>
      <c r="J33" s="172"/>
    </row>
    <row r="34" spans="1:11">
      <c r="A34" s="177" t="s">
        <v>481</v>
      </c>
      <c r="B34" s="177" t="s">
        <v>482</v>
      </c>
      <c r="C34" s="174" t="s">
        <v>234</v>
      </c>
      <c r="D34" s="174" t="s">
        <v>351</v>
      </c>
      <c r="E34" s="182" t="s">
        <v>234</v>
      </c>
      <c r="F34" s="64" t="s">
        <v>351</v>
      </c>
      <c r="G34">
        <v>10</v>
      </c>
      <c r="H34" s="172"/>
      <c r="I34" s="172"/>
      <c r="J34" s="172"/>
    </row>
    <row r="35" spans="1:11">
      <c r="A35" s="174" t="s">
        <v>232</v>
      </c>
      <c r="B35" s="174" t="s">
        <v>350</v>
      </c>
      <c r="C35" s="174" t="s">
        <v>235</v>
      </c>
      <c r="D35" s="174" t="s">
        <v>352</v>
      </c>
      <c r="E35" s="182" t="s">
        <v>235</v>
      </c>
      <c r="F35" s="64" t="s">
        <v>352</v>
      </c>
      <c r="G35">
        <v>9</v>
      </c>
      <c r="H35" s="172"/>
      <c r="I35" s="172"/>
      <c r="J35" s="172"/>
    </row>
    <row r="36" spans="1:11">
      <c r="A36" s="174" t="s">
        <v>233</v>
      </c>
      <c r="B36" s="174" t="s">
        <v>352</v>
      </c>
      <c r="C36" s="174" t="s">
        <v>236</v>
      </c>
      <c r="D36" s="174" t="s">
        <v>352</v>
      </c>
      <c r="E36" s="183" t="s">
        <v>236</v>
      </c>
      <c r="F36" s="64" t="s">
        <v>352</v>
      </c>
      <c r="G36">
        <v>9</v>
      </c>
      <c r="H36" s="172" t="s">
        <v>543</v>
      </c>
      <c r="I36" s="172"/>
      <c r="J36" s="172"/>
      <c r="K36" t="s">
        <v>544</v>
      </c>
    </row>
    <row r="37" spans="1:11">
      <c r="A37" s="178" t="s">
        <v>483</v>
      </c>
      <c r="B37" s="177" t="s">
        <v>484</v>
      </c>
      <c r="C37" s="174" t="s">
        <v>238</v>
      </c>
      <c r="D37" s="174" t="s">
        <v>480</v>
      </c>
      <c r="E37" s="183" t="s">
        <v>238</v>
      </c>
      <c r="F37" s="64" t="s">
        <v>480</v>
      </c>
      <c r="G37">
        <v>4</v>
      </c>
      <c r="H37" s="172" t="s">
        <v>543</v>
      </c>
      <c r="I37" s="172"/>
      <c r="J37" s="172"/>
      <c r="K37" t="s">
        <v>544</v>
      </c>
    </row>
    <row r="38" spans="1:11">
      <c r="A38" s="174" t="s">
        <v>234</v>
      </c>
      <c r="B38" s="174" t="s">
        <v>351</v>
      </c>
      <c r="C38" s="174" t="s">
        <v>216</v>
      </c>
      <c r="D38" s="174" t="s">
        <v>352</v>
      </c>
      <c r="E38" s="182" t="s">
        <v>216</v>
      </c>
      <c r="F38" s="64" t="s">
        <v>352</v>
      </c>
      <c r="G38">
        <v>9</v>
      </c>
      <c r="H38" s="172"/>
      <c r="I38" s="172"/>
      <c r="J38" s="172"/>
    </row>
    <row r="39" spans="1:11">
      <c r="A39" s="177" t="s">
        <v>485</v>
      </c>
      <c r="B39" s="177" t="s">
        <v>243</v>
      </c>
      <c r="C39" s="174" t="s">
        <v>217</v>
      </c>
      <c r="D39" s="174" t="s">
        <v>243</v>
      </c>
      <c r="E39" s="182" t="s">
        <v>217</v>
      </c>
      <c r="F39" s="64" t="s">
        <v>243</v>
      </c>
      <c r="G39">
        <v>1</v>
      </c>
      <c r="H39" s="172"/>
      <c r="I39" s="172"/>
      <c r="J39" s="172"/>
    </row>
    <row r="40" spans="1:11">
      <c r="A40" s="174" t="s">
        <v>235</v>
      </c>
      <c r="B40" s="174" t="s">
        <v>352</v>
      </c>
      <c r="C40" s="42" t="s">
        <v>218</v>
      </c>
      <c r="D40" s="174" t="s">
        <v>480</v>
      </c>
      <c r="E40" s="2" t="s">
        <v>218</v>
      </c>
      <c r="F40" s="64" t="s">
        <v>480</v>
      </c>
      <c r="G40">
        <v>4</v>
      </c>
      <c r="H40" s="172"/>
      <c r="I40" s="172"/>
      <c r="J40" s="172"/>
    </row>
    <row r="41" spans="1:11">
      <c r="A41" s="174" t="s">
        <v>236</v>
      </c>
      <c r="B41" s="174" t="s">
        <v>352</v>
      </c>
      <c r="C41" s="174" t="s">
        <v>219</v>
      </c>
      <c r="D41" s="174" t="s">
        <v>351</v>
      </c>
      <c r="E41" s="182" t="s">
        <v>219</v>
      </c>
      <c r="F41" s="64" t="s">
        <v>351</v>
      </c>
      <c r="G41">
        <v>10</v>
      </c>
      <c r="H41" s="172"/>
      <c r="I41" s="172"/>
      <c r="J41" s="172"/>
    </row>
    <row r="42" spans="1:11">
      <c r="A42" s="177" t="s">
        <v>486</v>
      </c>
      <c r="B42" s="177" t="s">
        <v>482</v>
      </c>
      <c r="C42" s="174" t="s">
        <v>220</v>
      </c>
      <c r="D42" s="174" t="s">
        <v>488</v>
      </c>
      <c r="E42" s="182" t="s">
        <v>220</v>
      </c>
      <c r="F42" s="64" t="s">
        <v>488</v>
      </c>
      <c r="G42">
        <v>6</v>
      </c>
      <c r="H42" s="172"/>
      <c r="I42" s="172"/>
      <c r="J42" s="172"/>
    </row>
    <row r="43" spans="1:11">
      <c r="A43" s="174" t="s">
        <v>238</v>
      </c>
      <c r="B43" s="174" t="s">
        <v>480</v>
      </c>
      <c r="C43" s="174" t="s">
        <v>490</v>
      </c>
      <c r="D43" s="174" t="s">
        <v>488</v>
      </c>
      <c r="E43" s="182" t="s">
        <v>490</v>
      </c>
      <c r="F43" s="64" t="s">
        <v>488</v>
      </c>
      <c r="G43">
        <v>6</v>
      </c>
      <c r="H43" s="172"/>
      <c r="I43" s="172"/>
      <c r="J43" s="172"/>
    </row>
    <row r="44" spans="1:11">
      <c r="A44" s="177" t="s">
        <v>550</v>
      </c>
      <c r="B44" s="177" t="s">
        <v>488</v>
      </c>
      <c r="C44" s="174" t="s">
        <v>491</v>
      </c>
      <c r="D44" s="174" t="s">
        <v>352</v>
      </c>
      <c r="E44" s="182" t="s">
        <v>491</v>
      </c>
      <c r="F44" s="64" t="s">
        <v>352</v>
      </c>
      <c r="G44">
        <v>9</v>
      </c>
      <c r="H44" s="172"/>
      <c r="I44" s="172"/>
      <c r="J44" s="172"/>
    </row>
    <row r="45" spans="1:11">
      <c r="A45" s="174" t="s">
        <v>216</v>
      </c>
      <c r="B45" s="174" t="s">
        <v>352</v>
      </c>
      <c r="C45" s="174" t="s">
        <v>492</v>
      </c>
      <c r="D45" s="174" t="s">
        <v>350</v>
      </c>
      <c r="E45" s="182" t="s">
        <v>492</v>
      </c>
      <c r="F45" s="64" t="s">
        <v>350</v>
      </c>
      <c r="G45">
        <v>5</v>
      </c>
      <c r="H45" s="172"/>
      <c r="I45" s="172"/>
      <c r="J45" s="172"/>
    </row>
    <row r="46" spans="1:11">
      <c r="A46" s="177" t="s">
        <v>487</v>
      </c>
      <c r="B46" s="177" t="s">
        <v>488</v>
      </c>
      <c r="C46" s="174" t="s">
        <v>493</v>
      </c>
      <c r="D46" s="174" t="s">
        <v>349</v>
      </c>
      <c r="E46" s="182" t="s">
        <v>493</v>
      </c>
      <c r="F46" s="64" t="s">
        <v>349</v>
      </c>
      <c r="G46">
        <v>8</v>
      </c>
      <c r="H46" s="172"/>
      <c r="I46" s="172"/>
      <c r="J46" s="172"/>
    </row>
    <row r="47" spans="1:11">
      <c r="A47" s="174" t="s">
        <v>217</v>
      </c>
      <c r="B47" s="174" t="s">
        <v>243</v>
      </c>
      <c r="C47" s="174" t="s">
        <v>551</v>
      </c>
      <c r="D47" s="174" t="s">
        <v>349</v>
      </c>
      <c r="E47" s="182" t="s">
        <v>551</v>
      </c>
      <c r="F47" s="64" t="s">
        <v>349</v>
      </c>
      <c r="G47">
        <v>8</v>
      </c>
      <c r="H47" s="172"/>
      <c r="I47" s="172"/>
      <c r="J47" s="172"/>
    </row>
    <row r="48" spans="1:11">
      <c r="A48" s="42" t="s">
        <v>218</v>
      </c>
      <c r="B48" s="174" t="s">
        <v>480</v>
      </c>
      <c r="C48" s="174" t="s">
        <v>225</v>
      </c>
      <c r="D48" s="174" t="s">
        <v>243</v>
      </c>
      <c r="E48" s="182" t="s">
        <v>225</v>
      </c>
      <c r="F48" s="64" t="s">
        <v>243</v>
      </c>
      <c r="G48">
        <v>1</v>
      </c>
      <c r="H48" s="172"/>
      <c r="I48" s="172"/>
      <c r="J48" s="172"/>
    </row>
    <row r="49" spans="1:11">
      <c r="A49" s="174" t="s">
        <v>219</v>
      </c>
      <c r="B49" s="174" t="s">
        <v>351</v>
      </c>
      <c r="C49" s="174" t="s">
        <v>226</v>
      </c>
      <c r="D49" s="174" t="s">
        <v>351</v>
      </c>
      <c r="E49" s="182" t="s">
        <v>226</v>
      </c>
      <c r="F49" s="64" t="s">
        <v>351</v>
      </c>
      <c r="G49">
        <v>10</v>
      </c>
      <c r="H49" s="172"/>
      <c r="I49" s="172"/>
      <c r="J49" s="172"/>
    </row>
    <row r="50" spans="1:11">
      <c r="A50" s="174" t="s">
        <v>220</v>
      </c>
      <c r="B50" s="174" t="s">
        <v>488</v>
      </c>
      <c r="C50" s="174" t="s">
        <v>253</v>
      </c>
      <c r="D50" s="174" t="s">
        <v>350</v>
      </c>
      <c r="E50" s="182" t="s">
        <v>253</v>
      </c>
      <c r="F50" s="64" t="s">
        <v>350</v>
      </c>
      <c r="G50">
        <v>5</v>
      </c>
      <c r="H50" s="172"/>
      <c r="I50" s="172"/>
      <c r="J50" s="172"/>
    </row>
    <row r="51" spans="1:11">
      <c r="A51" s="177" t="s">
        <v>489</v>
      </c>
      <c r="B51" s="177" t="s">
        <v>243</v>
      </c>
      <c r="C51" s="174" t="s">
        <v>254</v>
      </c>
      <c r="D51" s="174" t="s">
        <v>479</v>
      </c>
      <c r="E51" s="182" t="s">
        <v>254</v>
      </c>
      <c r="F51" s="64" t="s">
        <v>479</v>
      </c>
      <c r="G51">
        <v>11</v>
      </c>
      <c r="H51" s="172"/>
      <c r="I51" s="172"/>
      <c r="J51" s="172"/>
    </row>
    <row r="52" spans="1:11">
      <c r="A52" s="174" t="s">
        <v>490</v>
      </c>
      <c r="B52" s="174" t="s">
        <v>488</v>
      </c>
      <c r="C52" s="174" t="s">
        <v>255</v>
      </c>
      <c r="D52" s="174" t="s">
        <v>243</v>
      </c>
      <c r="E52" s="182" t="s">
        <v>255</v>
      </c>
      <c r="F52" s="64" t="s">
        <v>243</v>
      </c>
      <c r="G52">
        <v>1</v>
      </c>
      <c r="H52" s="172"/>
      <c r="I52" s="172"/>
      <c r="J52" s="172"/>
    </row>
    <row r="53" spans="1:11">
      <c r="A53" s="174" t="s">
        <v>491</v>
      </c>
      <c r="B53" s="174" t="s">
        <v>352</v>
      </c>
      <c r="C53" s="174" t="s">
        <v>256</v>
      </c>
      <c r="D53" s="174" t="s">
        <v>351</v>
      </c>
      <c r="E53" s="182" t="s">
        <v>256</v>
      </c>
      <c r="F53" s="64" t="s">
        <v>351</v>
      </c>
      <c r="G53">
        <v>10</v>
      </c>
      <c r="H53" s="172"/>
      <c r="I53" s="172"/>
      <c r="J53" s="172"/>
    </row>
    <row r="54" spans="1:11">
      <c r="A54" s="174" t="s">
        <v>492</v>
      </c>
      <c r="B54" s="174" t="s">
        <v>350</v>
      </c>
      <c r="C54" s="174" t="s">
        <v>257</v>
      </c>
      <c r="D54" s="174" t="s">
        <v>488</v>
      </c>
      <c r="E54" s="182" t="s">
        <v>257</v>
      </c>
      <c r="F54" s="64" t="s">
        <v>488</v>
      </c>
      <c r="G54">
        <v>6</v>
      </c>
      <c r="H54" s="172"/>
      <c r="I54" s="172"/>
      <c r="J54" s="172"/>
    </row>
    <row r="55" spans="1:11">
      <c r="A55" s="174" t="s">
        <v>493</v>
      </c>
      <c r="B55" s="174" t="s">
        <v>349</v>
      </c>
      <c r="C55" s="174" t="s">
        <v>258</v>
      </c>
      <c r="D55" s="174" t="s">
        <v>479</v>
      </c>
      <c r="E55" s="183" t="s">
        <v>258</v>
      </c>
      <c r="F55" s="64" t="s">
        <v>479</v>
      </c>
      <c r="G55">
        <v>11</v>
      </c>
      <c r="H55" s="172" t="s">
        <v>543</v>
      </c>
      <c r="I55" s="172"/>
      <c r="J55" s="172"/>
      <c r="K55" t="s">
        <v>544</v>
      </c>
    </row>
    <row r="56" spans="1:11">
      <c r="A56" s="174" t="s">
        <v>551</v>
      </c>
      <c r="B56" s="174" t="s">
        <v>349</v>
      </c>
      <c r="C56" s="175" t="s">
        <v>259</v>
      </c>
      <c r="D56" s="174" t="s">
        <v>494</v>
      </c>
      <c r="E56" s="182" t="s">
        <v>259</v>
      </c>
      <c r="F56" s="64" t="s">
        <v>494</v>
      </c>
      <c r="G56">
        <v>3</v>
      </c>
      <c r="H56" s="172"/>
      <c r="I56" s="172"/>
      <c r="J56" s="172"/>
    </row>
    <row r="57" spans="1:11">
      <c r="A57" s="174" t="s">
        <v>225</v>
      </c>
      <c r="B57" s="174" t="s">
        <v>243</v>
      </c>
      <c r="C57" s="175" t="s">
        <v>260</v>
      </c>
      <c r="D57" s="174" t="s">
        <v>494</v>
      </c>
      <c r="E57" s="182" t="s">
        <v>260</v>
      </c>
      <c r="F57" s="64" t="s">
        <v>494</v>
      </c>
      <c r="G57">
        <v>3</v>
      </c>
      <c r="H57" s="172"/>
      <c r="I57" s="172"/>
      <c r="J57" s="172"/>
    </row>
    <row r="58" spans="1:11">
      <c r="A58" s="174" t="s">
        <v>226</v>
      </c>
      <c r="B58" s="174" t="s">
        <v>351</v>
      </c>
      <c r="C58" s="175" t="s">
        <v>261</v>
      </c>
      <c r="D58" s="174" t="s">
        <v>494</v>
      </c>
      <c r="E58" s="182" t="s">
        <v>261</v>
      </c>
      <c r="F58" s="64" t="s">
        <v>494</v>
      </c>
      <c r="G58">
        <v>3</v>
      </c>
      <c r="H58" s="172"/>
      <c r="I58" s="172"/>
      <c r="J58" s="172"/>
    </row>
    <row r="59" spans="1:11">
      <c r="A59" s="174" t="s">
        <v>253</v>
      </c>
      <c r="B59" s="174" t="s">
        <v>350</v>
      </c>
      <c r="C59" s="42" t="s">
        <v>262</v>
      </c>
      <c r="D59" s="174" t="s">
        <v>484</v>
      </c>
      <c r="E59" s="2" t="s">
        <v>262</v>
      </c>
      <c r="F59" s="64" t="s">
        <v>484</v>
      </c>
      <c r="G59">
        <v>2</v>
      </c>
      <c r="H59" s="172"/>
      <c r="I59" s="172"/>
      <c r="J59" s="172"/>
    </row>
    <row r="60" spans="1:11">
      <c r="A60" s="174" t="s">
        <v>552</v>
      </c>
      <c r="B60" s="174" t="s">
        <v>479</v>
      </c>
      <c r="C60" s="42" t="s">
        <v>263</v>
      </c>
      <c r="D60" s="174" t="s">
        <v>484</v>
      </c>
      <c r="E60" s="2" t="s">
        <v>263</v>
      </c>
      <c r="F60" s="64" t="s">
        <v>484</v>
      </c>
      <c r="G60">
        <v>2</v>
      </c>
      <c r="H60" s="172"/>
      <c r="I60" s="172"/>
      <c r="J60" s="172"/>
    </row>
    <row r="61" spans="1:11">
      <c r="A61" s="174" t="s">
        <v>254</v>
      </c>
      <c r="B61" s="174" t="s">
        <v>479</v>
      </c>
      <c r="C61" s="42" t="s">
        <v>264</v>
      </c>
      <c r="D61" s="174" t="s">
        <v>352</v>
      </c>
      <c r="E61" s="2" t="s">
        <v>264</v>
      </c>
      <c r="F61" s="64" t="s">
        <v>352</v>
      </c>
      <c r="G61">
        <v>9</v>
      </c>
      <c r="H61" s="172"/>
      <c r="I61" s="172"/>
      <c r="J61" s="172"/>
    </row>
    <row r="62" spans="1:11">
      <c r="A62" s="174" t="s">
        <v>255</v>
      </c>
      <c r="B62" s="174" t="s">
        <v>243</v>
      </c>
      <c r="C62" s="174" t="s">
        <v>276</v>
      </c>
      <c r="D62" s="174" t="s">
        <v>350</v>
      </c>
      <c r="E62" s="182" t="s">
        <v>276</v>
      </c>
      <c r="F62" s="64" t="s">
        <v>350</v>
      </c>
      <c r="G62">
        <v>5</v>
      </c>
      <c r="H62" s="172"/>
      <c r="I62" s="172"/>
      <c r="J62" s="172"/>
    </row>
    <row r="63" spans="1:11">
      <c r="A63" s="174" t="s">
        <v>256</v>
      </c>
      <c r="B63" s="174" t="s">
        <v>351</v>
      </c>
      <c r="C63" s="174" t="s">
        <v>496</v>
      </c>
      <c r="D63" s="174" t="s">
        <v>479</v>
      </c>
      <c r="E63" s="182" t="s">
        <v>496</v>
      </c>
      <c r="F63" s="64" t="s">
        <v>479</v>
      </c>
      <c r="G63">
        <v>11</v>
      </c>
      <c r="H63" s="172"/>
      <c r="I63" s="172"/>
      <c r="J63" s="172"/>
    </row>
    <row r="64" spans="1:11">
      <c r="A64" s="174" t="s">
        <v>257</v>
      </c>
      <c r="B64" s="174" t="s">
        <v>488</v>
      </c>
      <c r="C64" s="174" t="s">
        <v>277</v>
      </c>
      <c r="D64" s="174" t="s">
        <v>349</v>
      </c>
      <c r="E64" s="182" t="s">
        <v>277</v>
      </c>
      <c r="F64" s="64" t="s">
        <v>349</v>
      </c>
      <c r="G64">
        <v>8</v>
      </c>
      <c r="H64" s="172"/>
      <c r="I64" s="172"/>
      <c r="J64" s="172"/>
    </row>
    <row r="65" spans="1:17">
      <c r="A65" s="174" t="s">
        <v>258</v>
      </c>
      <c r="B65" s="174" t="s">
        <v>479</v>
      </c>
      <c r="C65" s="174" t="s">
        <v>278</v>
      </c>
      <c r="D65" s="174" t="s">
        <v>243</v>
      </c>
      <c r="E65" s="182" t="s">
        <v>278</v>
      </c>
      <c r="F65" s="64" t="s">
        <v>243</v>
      </c>
      <c r="G65">
        <v>1</v>
      </c>
      <c r="H65" s="172"/>
      <c r="I65" s="172"/>
      <c r="J65" s="172"/>
    </row>
    <row r="66" spans="1:17">
      <c r="A66" s="175" t="s">
        <v>259</v>
      </c>
      <c r="B66" s="174" t="s">
        <v>494</v>
      </c>
      <c r="C66" s="174" t="s">
        <v>498</v>
      </c>
      <c r="D66" s="174" t="s">
        <v>350</v>
      </c>
      <c r="E66" s="182" t="s">
        <v>498</v>
      </c>
      <c r="F66" s="64" t="s">
        <v>350</v>
      </c>
      <c r="G66">
        <v>5</v>
      </c>
      <c r="H66" s="172"/>
      <c r="I66" s="172"/>
      <c r="J66" s="172"/>
    </row>
    <row r="67" spans="1:17">
      <c r="A67" s="175" t="s">
        <v>260</v>
      </c>
      <c r="B67" s="174" t="s">
        <v>494</v>
      </c>
      <c r="C67" s="174" t="s">
        <v>279</v>
      </c>
      <c r="D67" s="174" t="s">
        <v>349</v>
      </c>
      <c r="E67" s="182" t="s">
        <v>279</v>
      </c>
      <c r="F67" s="64" t="s">
        <v>349</v>
      </c>
      <c r="G67">
        <v>8</v>
      </c>
      <c r="H67" s="172"/>
      <c r="I67" s="172"/>
      <c r="J67" s="172"/>
    </row>
    <row r="68" spans="1:17">
      <c r="A68" s="175" t="s">
        <v>261</v>
      </c>
      <c r="B68" s="174" t="s">
        <v>494</v>
      </c>
      <c r="C68" s="174" t="s">
        <v>280</v>
      </c>
      <c r="D68" s="174" t="s">
        <v>494</v>
      </c>
      <c r="E68" s="182" t="s">
        <v>280</v>
      </c>
      <c r="F68" s="64" t="s">
        <v>494</v>
      </c>
      <c r="G68">
        <v>3</v>
      </c>
      <c r="H68" s="172"/>
      <c r="I68" s="172"/>
      <c r="J68" s="172"/>
    </row>
    <row r="69" spans="1:17">
      <c r="A69" s="42" t="s">
        <v>262</v>
      </c>
      <c r="B69" s="174" t="s">
        <v>484</v>
      </c>
      <c r="C69" s="174" t="s">
        <v>499</v>
      </c>
      <c r="D69" s="174" t="s">
        <v>352</v>
      </c>
      <c r="E69" s="182" t="s">
        <v>499</v>
      </c>
      <c r="F69" s="64" t="s">
        <v>352</v>
      </c>
      <c r="G69">
        <v>9</v>
      </c>
      <c r="H69" s="172"/>
      <c r="I69" s="172"/>
      <c r="J69" s="172"/>
    </row>
    <row r="70" spans="1:17">
      <c r="A70" s="42" t="s">
        <v>263</v>
      </c>
      <c r="B70" s="174" t="s">
        <v>484</v>
      </c>
      <c r="C70" s="174" t="s">
        <v>281</v>
      </c>
      <c r="D70" s="174" t="s">
        <v>488</v>
      </c>
      <c r="E70" s="182" t="s">
        <v>281</v>
      </c>
      <c r="F70" s="64" t="s">
        <v>488</v>
      </c>
      <c r="G70">
        <v>6</v>
      </c>
      <c r="H70" s="172"/>
      <c r="I70" s="172"/>
      <c r="J70" s="172"/>
    </row>
    <row r="71" spans="1:17">
      <c r="A71" s="178" t="s">
        <v>495</v>
      </c>
      <c r="B71" s="177" t="s">
        <v>484</v>
      </c>
      <c r="C71" s="174" t="s">
        <v>282</v>
      </c>
      <c r="D71" s="174" t="s">
        <v>352</v>
      </c>
      <c r="E71" s="182" t="s">
        <v>282</v>
      </c>
      <c r="F71" s="64" t="s">
        <v>352</v>
      </c>
      <c r="G71">
        <v>9</v>
      </c>
      <c r="H71" s="172"/>
      <c r="I71" s="172"/>
      <c r="J71" s="172"/>
    </row>
    <row r="72" spans="1:17">
      <c r="A72" s="42" t="s">
        <v>264</v>
      </c>
      <c r="B72" s="174" t="s">
        <v>352</v>
      </c>
      <c r="C72" s="175" t="s">
        <v>283</v>
      </c>
      <c r="D72" s="174" t="s">
        <v>494</v>
      </c>
      <c r="E72" s="183" t="s">
        <v>283</v>
      </c>
      <c r="F72" s="64" t="s">
        <v>494</v>
      </c>
      <c r="G72">
        <v>3</v>
      </c>
      <c r="H72" s="172" t="s">
        <v>543</v>
      </c>
      <c r="I72" s="172"/>
      <c r="J72" s="172"/>
      <c r="K72" s="42" t="s">
        <v>544</v>
      </c>
    </row>
    <row r="73" spans="1:17">
      <c r="A73" s="174" t="s">
        <v>276</v>
      </c>
      <c r="B73" s="174" t="s">
        <v>350</v>
      </c>
      <c r="C73" s="175" t="s">
        <v>284</v>
      </c>
      <c r="D73" s="174" t="s">
        <v>494</v>
      </c>
      <c r="E73" s="182" t="s">
        <v>284</v>
      </c>
      <c r="F73" s="64" t="s">
        <v>494</v>
      </c>
      <c r="G73">
        <v>3</v>
      </c>
      <c r="H73" s="172"/>
      <c r="I73" s="172"/>
      <c r="J73" s="172"/>
      <c r="P73" s="174" t="s">
        <v>549</v>
      </c>
      <c r="Q73" s="174" t="s">
        <v>479</v>
      </c>
    </row>
    <row r="74" spans="1:17">
      <c r="A74" s="174" t="s">
        <v>496</v>
      </c>
      <c r="B74" s="174" t="s">
        <v>479</v>
      </c>
      <c r="C74" s="174" t="s">
        <v>554</v>
      </c>
      <c r="D74" s="174" t="s">
        <v>349</v>
      </c>
      <c r="E74" s="182" t="s">
        <v>554</v>
      </c>
      <c r="F74" s="64" t="s">
        <v>349</v>
      </c>
      <c r="G74">
        <v>8</v>
      </c>
      <c r="H74" s="172"/>
      <c r="I74" s="172"/>
      <c r="J74" s="172"/>
      <c r="P74" s="174" t="s">
        <v>552</v>
      </c>
      <c r="Q74" s="174" t="s">
        <v>479</v>
      </c>
    </row>
    <row r="75" spans="1:17">
      <c r="A75" s="177" t="s">
        <v>497</v>
      </c>
      <c r="B75" s="177" t="s">
        <v>479</v>
      </c>
      <c r="C75" s="175" t="s">
        <v>265</v>
      </c>
      <c r="D75" s="174" t="s">
        <v>494</v>
      </c>
      <c r="E75" s="182" t="s">
        <v>265</v>
      </c>
      <c r="F75" s="64" t="s">
        <v>494</v>
      </c>
      <c r="G75">
        <v>3</v>
      </c>
      <c r="H75" s="172"/>
      <c r="I75" s="172"/>
      <c r="J75" s="172"/>
    </row>
    <row r="76" spans="1:17">
      <c r="A76" s="174" t="s">
        <v>277</v>
      </c>
      <c r="B76" s="174" t="s">
        <v>349</v>
      </c>
      <c r="C76" s="174" t="s">
        <v>266</v>
      </c>
      <c r="D76" s="174" t="s">
        <v>350</v>
      </c>
      <c r="E76" s="182" t="s">
        <v>266</v>
      </c>
      <c r="F76" s="64" t="s">
        <v>350</v>
      </c>
      <c r="G76">
        <v>5</v>
      </c>
      <c r="H76" s="172"/>
      <c r="I76" s="172"/>
      <c r="J76" s="172"/>
    </row>
    <row r="77" spans="1:17">
      <c r="A77" s="174" t="s">
        <v>278</v>
      </c>
      <c r="B77" s="174" t="s">
        <v>243</v>
      </c>
      <c r="C77" s="174" t="s">
        <v>267</v>
      </c>
      <c r="D77" s="174" t="s">
        <v>350</v>
      </c>
      <c r="E77" s="182" t="s">
        <v>267</v>
      </c>
      <c r="F77" s="64" t="s">
        <v>350</v>
      </c>
      <c r="G77">
        <v>5</v>
      </c>
      <c r="H77" s="172"/>
      <c r="I77" s="172"/>
      <c r="J77" s="172"/>
    </row>
    <row r="78" spans="1:17">
      <c r="A78" s="174" t="s">
        <v>498</v>
      </c>
      <c r="B78" s="174" t="s">
        <v>350</v>
      </c>
      <c r="C78" s="42" t="s">
        <v>268</v>
      </c>
      <c r="D78" s="174" t="s">
        <v>350</v>
      </c>
      <c r="E78" s="2" t="s">
        <v>268</v>
      </c>
      <c r="F78" s="64" t="s">
        <v>350</v>
      </c>
      <c r="G78">
        <v>5</v>
      </c>
      <c r="H78" s="172"/>
      <c r="I78" s="172"/>
      <c r="J78" s="172"/>
    </row>
    <row r="79" spans="1:17">
      <c r="A79" s="174" t="s">
        <v>279</v>
      </c>
      <c r="B79" s="174" t="s">
        <v>349</v>
      </c>
      <c r="C79" s="42" t="s">
        <v>269</v>
      </c>
      <c r="D79" s="174" t="s">
        <v>494</v>
      </c>
      <c r="E79" s="2" t="s">
        <v>269</v>
      </c>
      <c r="F79" s="64" t="s">
        <v>494</v>
      </c>
      <c r="G79">
        <v>3</v>
      </c>
      <c r="H79" s="172"/>
      <c r="I79" s="172"/>
      <c r="J79" s="172"/>
    </row>
    <row r="80" spans="1:17">
      <c r="A80" s="174" t="s">
        <v>280</v>
      </c>
      <c r="B80" s="174" t="s">
        <v>494</v>
      </c>
      <c r="C80" s="174" t="s">
        <v>270</v>
      </c>
      <c r="D80" s="174" t="s">
        <v>351</v>
      </c>
      <c r="E80" s="182" t="s">
        <v>270</v>
      </c>
      <c r="F80" s="64" t="s">
        <v>351</v>
      </c>
      <c r="G80">
        <v>10</v>
      </c>
      <c r="H80" s="172"/>
      <c r="I80" s="172"/>
      <c r="J80" s="172"/>
    </row>
    <row r="81" spans="1:11">
      <c r="A81" s="174" t="s">
        <v>499</v>
      </c>
      <c r="B81" s="174" t="s">
        <v>352</v>
      </c>
      <c r="C81" s="174" t="s">
        <v>271</v>
      </c>
      <c r="D81" s="174" t="s">
        <v>351</v>
      </c>
      <c r="E81" s="182" t="s">
        <v>271</v>
      </c>
      <c r="F81" s="64" t="s">
        <v>351</v>
      </c>
      <c r="G81">
        <v>10</v>
      </c>
      <c r="H81" s="172"/>
      <c r="I81" s="172"/>
      <c r="J81" s="172"/>
    </row>
    <row r="82" spans="1:11">
      <c r="A82" s="174" t="s">
        <v>281</v>
      </c>
      <c r="B82" s="174" t="s">
        <v>488</v>
      </c>
      <c r="C82" s="174" t="s">
        <v>272</v>
      </c>
      <c r="D82" s="174" t="s">
        <v>479</v>
      </c>
      <c r="E82" s="182" t="s">
        <v>272</v>
      </c>
      <c r="F82" s="64" t="s">
        <v>479</v>
      </c>
      <c r="G82">
        <v>11</v>
      </c>
      <c r="H82" s="172"/>
      <c r="I82" s="172"/>
      <c r="J82" s="172"/>
    </row>
    <row r="83" spans="1:11">
      <c r="A83" s="177" t="s">
        <v>553</v>
      </c>
      <c r="B83" s="177" t="s">
        <v>243</v>
      </c>
      <c r="C83" s="174" t="s">
        <v>273</v>
      </c>
      <c r="D83" s="174" t="s">
        <v>243</v>
      </c>
      <c r="E83" s="182" t="s">
        <v>273</v>
      </c>
      <c r="F83" s="64" t="s">
        <v>243</v>
      </c>
      <c r="G83">
        <v>1</v>
      </c>
      <c r="H83" s="172"/>
      <c r="I83" s="172"/>
      <c r="J83" s="172"/>
    </row>
    <row r="84" spans="1:11">
      <c r="A84" s="174" t="s">
        <v>282</v>
      </c>
      <c r="B84" s="174" t="s">
        <v>352</v>
      </c>
      <c r="C84" s="174" t="s">
        <v>274</v>
      </c>
      <c r="D84" s="174" t="s">
        <v>243</v>
      </c>
      <c r="E84" s="182" t="s">
        <v>274</v>
      </c>
      <c r="F84" s="64" t="s">
        <v>243</v>
      </c>
      <c r="G84">
        <v>1</v>
      </c>
      <c r="H84" s="172"/>
      <c r="I84" s="172"/>
      <c r="J84" s="172"/>
    </row>
    <row r="85" spans="1:11">
      <c r="A85" s="175" t="s">
        <v>283</v>
      </c>
      <c r="B85" s="174" t="s">
        <v>494</v>
      </c>
      <c r="C85" s="174" t="s">
        <v>285</v>
      </c>
      <c r="D85" s="174" t="s">
        <v>349</v>
      </c>
      <c r="E85" s="182" t="s">
        <v>285</v>
      </c>
      <c r="F85" s="64" t="s">
        <v>349</v>
      </c>
      <c r="G85">
        <v>8</v>
      </c>
      <c r="H85" s="172"/>
      <c r="I85" s="172"/>
      <c r="J85" s="172"/>
    </row>
    <row r="86" spans="1:11">
      <c r="A86" s="175" t="s">
        <v>284</v>
      </c>
      <c r="B86" s="174" t="s">
        <v>494</v>
      </c>
      <c r="C86" s="174" t="s">
        <v>275</v>
      </c>
      <c r="D86" s="174" t="s">
        <v>352</v>
      </c>
      <c r="E86" s="183" t="s">
        <v>275</v>
      </c>
      <c r="F86" s="64" t="s">
        <v>352</v>
      </c>
      <c r="G86">
        <v>9</v>
      </c>
      <c r="H86" s="172" t="s">
        <v>543</v>
      </c>
      <c r="I86" s="172"/>
      <c r="J86" s="172"/>
      <c r="K86" t="s">
        <v>545</v>
      </c>
    </row>
    <row r="87" spans="1:11">
      <c r="A87" s="174" t="s">
        <v>554</v>
      </c>
      <c r="B87" s="174" t="s">
        <v>349</v>
      </c>
      <c r="C87" s="174" t="s">
        <v>286</v>
      </c>
      <c r="D87" s="174" t="s">
        <v>352</v>
      </c>
      <c r="E87" s="182" t="s">
        <v>286</v>
      </c>
      <c r="F87" s="64" t="s">
        <v>352</v>
      </c>
      <c r="G87">
        <v>9</v>
      </c>
      <c r="H87" s="172"/>
      <c r="I87" s="172"/>
      <c r="J87" s="172"/>
    </row>
    <row r="88" spans="1:11">
      <c r="A88" s="175" t="s">
        <v>265</v>
      </c>
      <c r="B88" s="174" t="s">
        <v>494</v>
      </c>
      <c r="C88" s="175" t="s">
        <v>287</v>
      </c>
      <c r="D88" s="174" t="s">
        <v>494</v>
      </c>
      <c r="E88" s="182" t="s">
        <v>287</v>
      </c>
      <c r="F88" s="64" t="s">
        <v>494</v>
      </c>
      <c r="G88">
        <v>3</v>
      </c>
      <c r="H88" s="172"/>
      <c r="I88" s="172"/>
      <c r="J88" s="172"/>
    </row>
    <row r="89" spans="1:11">
      <c r="A89" s="174" t="s">
        <v>266</v>
      </c>
      <c r="B89" s="174" t="s">
        <v>350</v>
      </c>
      <c r="C89" s="42" t="s">
        <v>288</v>
      </c>
      <c r="D89" s="174" t="s">
        <v>484</v>
      </c>
      <c r="E89" s="2" t="s">
        <v>288</v>
      </c>
      <c r="F89" s="64" t="s">
        <v>484</v>
      </c>
      <c r="G89">
        <v>2</v>
      </c>
      <c r="H89" s="172"/>
      <c r="I89" s="172"/>
      <c r="J89" s="172"/>
    </row>
    <row r="90" spans="1:11">
      <c r="A90" s="174" t="s">
        <v>267</v>
      </c>
      <c r="B90" s="174" t="s">
        <v>350</v>
      </c>
      <c r="C90" s="174" t="s">
        <v>289</v>
      </c>
      <c r="D90" s="174" t="s">
        <v>484</v>
      </c>
      <c r="E90" s="182" t="s">
        <v>289</v>
      </c>
      <c r="F90" s="64" t="s">
        <v>484</v>
      </c>
      <c r="G90">
        <v>2</v>
      </c>
      <c r="H90" s="172"/>
      <c r="I90" s="172"/>
      <c r="J90" s="172"/>
    </row>
    <row r="91" spans="1:11">
      <c r="A91" s="42" t="s">
        <v>268</v>
      </c>
      <c r="B91" s="174" t="s">
        <v>350</v>
      </c>
      <c r="C91" s="174" t="s">
        <v>290</v>
      </c>
      <c r="D91" s="174" t="s">
        <v>349</v>
      </c>
      <c r="E91" s="182" t="s">
        <v>290</v>
      </c>
      <c r="F91" s="64" t="s">
        <v>349</v>
      </c>
      <c r="G91">
        <v>8</v>
      </c>
      <c r="H91" s="172"/>
      <c r="I91" s="172"/>
      <c r="J91" s="172"/>
    </row>
    <row r="92" spans="1:11">
      <c r="A92" s="177" t="s">
        <v>500</v>
      </c>
      <c r="B92" s="177" t="s">
        <v>482</v>
      </c>
      <c r="C92" s="174" t="s">
        <v>291</v>
      </c>
      <c r="D92" s="174" t="s">
        <v>480</v>
      </c>
      <c r="E92" s="182" t="s">
        <v>291</v>
      </c>
      <c r="F92" s="64" t="s">
        <v>480</v>
      </c>
      <c r="G92">
        <v>4</v>
      </c>
      <c r="H92" s="172"/>
      <c r="I92" s="172"/>
      <c r="J92" s="172"/>
    </row>
    <row r="93" spans="1:11">
      <c r="A93" s="42" t="s">
        <v>269</v>
      </c>
      <c r="B93" s="174" t="s">
        <v>494</v>
      </c>
      <c r="C93" s="174" t="s">
        <v>292</v>
      </c>
      <c r="D93" s="174" t="s">
        <v>480</v>
      </c>
      <c r="E93" s="182" t="s">
        <v>292</v>
      </c>
      <c r="F93" s="64" t="s">
        <v>480</v>
      </c>
      <c r="G93">
        <v>4</v>
      </c>
      <c r="H93" s="172"/>
      <c r="I93" s="172"/>
      <c r="J93" s="172"/>
    </row>
    <row r="94" spans="1:11">
      <c r="A94" s="174" t="s">
        <v>270</v>
      </c>
      <c r="B94" s="174" t="s">
        <v>351</v>
      </c>
      <c r="C94" s="175" t="s">
        <v>293</v>
      </c>
      <c r="D94" s="174" t="s">
        <v>494</v>
      </c>
      <c r="E94" s="182" t="s">
        <v>293</v>
      </c>
      <c r="F94" s="64" t="s">
        <v>494</v>
      </c>
      <c r="G94">
        <v>3</v>
      </c>
      <c r="H94" s="172"/>
      <c r="I94" s="172"/>
      <c r="J94" s="172"/>
    </row>
    <row r="95" spans="1:11">
      <c r="A95" s="174" t="s">
        <v>271</v>
      </c>
      <c r="B95" s="174" t="s">
        <v>351</v>
      </c>
      <c r="C95" s="174" t="s">
        <v>294</v>
      </c>
      <c r="D95" s="174" t="s">
        <v>494</v>
      </c>
      <c r="E95" s="183" t="s">
        <v>294</v>
      </c>
      <c r="F95" s="64" t="s">
        <v>494</v>
      </c>
      <c r="G95">
        <v>3</v>
      </c>
      <c r="H95" s="172"/>
      <c r="I95" s="172" t="s">
        <v>543</v>
      </c>
      <c r="J95" s="172"/>
      <c r="K95" t="s">
        <v>546</v>
      </c>
    </row>
    <row r="96" spans="1:11">
      <c r="A96" s="174" t="s">
        <v>272</v>
      </c>
      <c r="B96" s="174" t="s">
        <v>479</v>
      </c>
      <c r="C96" s="174" t="s">
        <v>295</v>
      </c>
      <c r="D96" s="174" t="s">
        <v>351</v>
      </c>
      <c r="E96" s="182" t="s">
        <v>295</v>
      </c>
      <c r="F96" s="64" t="s">
        <v>351</v>
      </c>
      <c r="G96">
        <v>10</v>
      </c>
      <c r="H96" s="172"/>
      <c r="I96" s="172"/>
      <c r="J96" s="172"/>
    </row>
    <row r="97" spans="1:11">
      <c r="A97" s="174" t="s">
        <v>273</v>
      </c>
      <c r="B97" s="174" t="s">
        <v>243</v>
      </c>
      <c r="C97" s="174" t="s">
        <v>296</v>
      </c>
      <c r="D97" s="174" t="s">
        <v>479</v>
      </c>
      <c r="E97" s="182" t="s">
        <v>296</v>
      </c>
      <c r="F97" s="64" t="s">
        <v>479</v>
      </c>
      <c r="G97">
        <v>11</v>
      </c>
      <c r="H97" s="172"/>
      <c r="I97" s="172"/>
      <c r="J97" s="172"/>
    </row>
    <row r="98" spans="1:11">
      <c r="A98" s="174" t="s">
        <v>274</v>
      </c>
      <c r="B98" s="174" t="s">
        <v>243</v>
      </c>
      <c r="C98" s="42" t="s">
        <v>297</v>
      </c>
      <c r="D98" s="174" t="s">
        <v>350</v>
      </c>
      <c r="E98" s="63" t="s">
        <v>297</v>
      </c>
      <c r="F98" s="64" t="s">
        <v>350</v>
      </c>
      <c r="G98">
        <v>5</v>
      </c>
      <c r="H98" s="172"/>
      <c r="I98" s="172"/>
      <c r="J98" s="172"/>
    </row>
    <row r="99" spans="1:11">
      <c r="A99" s="174" t="s">
        <v>285</v>
      </c>
      <c r="B99" s="174" t="s">
        <v>349</v>
      </c>
      <c r="C99" s="174" t="s">
        <v>299</v>
      </c>
      <c r="D99" s="174" t="s">
        <v>488</v>
      </c>
      <c r="E99" s="182" t="s">
        <v>299</v>
      </c>
      <c r="F99" s="64" t="s">
        <v>488</v>
      </c>
      <c r="G99">
        <v>6</v>
      </c>
      <c r="H99" s="172"/>
      <c r="I99" s="172"/>
      <c r="J99" s="172"/>
    </row>
    <row r="100" spans="1:11">
      <c r="A100" s="174" t="s">
        <v>275</v>
      </c>
      <c r="B100" s="174" t="s">
        <v>352</v>
      </c>
      <c r="C100" s="174" t="s">
        <v>298</v>
      </c>
      <c r="D100" s="174" t="s">
        <v>349</v>
      </c>
      <c r="E100" s="182" t="s">
        <v>298</v>
      </c>
      <c r="F100" s="64" t="s">
        <v>349</v>
      </c>
      <c r="G100">
        <v>8</v>
      </c>
      <c r="H100" s="172"/>
      <c r="I100" s="172"/>
      <c r="J100" s="172"/>
    </row>
    <row r="101" spans="1:11">
      <c r="A101" s="179" t="s">
        <v>501</v>
      </c>
      <c r="B101" s="177" t="s">
        <v>494</v>
      </c>
      <c r="C101" s="42" t="s">
        <v>300</v>
      </c>
      <c r="D101" s="174" t="s">
        <v>484</v>
      </c>
      <c r="E101" s="66" t="s">
        <v>300</v>
      </c>
      <c r="F101" s="64" t="s">
        <v>484</v>
      </c>
      <c r="G101">
        <v>2</v>
      </c>
      <c r="H101" s="172" t="s">
        <v>543</v>
      </c>
      <c r="I101" s="172"/>
      <c r="J101" s="172"/>
      <c r="K101" t="s">
        <v>547</v>
      </c>
    </row>
    <row r="102" spans="1:11">
      <c r="A102" s="177" t="s">
        <v>502</v>
      </c>
      <c r="B102" s="177" t="s">
        <v>482</v>
      </c>
      <c r="C102" s="42" t="s">
        <v>301</v>
      </c>
      <c r="D102" s="174" t="s">
        <v>350</v>
      </c>
      <c r="E102" s="66" t="s">
        <v>301</v>
      </c>
      <c r="F102" s="64" t="s">
        <v>350</v>
      </c>
      <c r="G102">
        <v>5</v>
      </c>
      <c r="H102" s="172" t="s">
        <v>543</v>
      </c>
      <c r="I102" s="172"/>
      <c r="J102" s="172"/>
      <c r="K102" t="s">
        <v>542</v>
      </c>
    </row>
    <row r="103" spans="1:11">
      <c r="A103" s="174" t="s">
        <v>286</v>
      </c>
      <c r="B103" s="174" t="s">
        <v>352</v>
      </c>
      <c r="C103" s="174" t="s">
        <v>302</v>
      </c>
      <c r="D103" s="174" t="s">
        <v>479</v>
      </c>
      <c r="E103" s="182" t="s">
        <v>302</v>
      </c>
      <c r="F103" s="64" t="s">
        <v>479</v>
      </c>
      <c r="G103">
        <v>11</v>
      </c>
      <c r="H103" s="172"/>
      <c r="I103" s="172"/>
      <c r="J103" s="172"/>
    </row>
    <row r="104" spans="1:11">
      <c r="A104" s="175" t="s">
        <v>287</v>
      </c>
      <c r="B104" s="174" t="s">
        <v>494</v>
      </c>
      <c r="C104" s="42" t="s">
        <v>303</v>
      </c>
      <c r="D104" s="174" t="s">
        <v>484</v>
      </c>
      <c r="E104" s="2" t="s">
        <v>303</v>
      </c>
      <c r="F104" s="64" t="s">
        <v>484</v>
      </c>
      <c r="G104">
        <v>2</v>
      </c>
      <c r="H104" s="172"/>
      <c r="I104" s="172"/>
      <c r="J104" s="172"/>
    </row>
    <row r="105" spans="1:11">
      <c r="A105" s="42" t="s">
        <v>288</v>
      </c>
      <c r="B105" s="174" t="s">
        <v>484</v>
      </c>
      <c r="C105" s="174" t="s">
        <v>304</v>
      </c>
      <c r="D105" s="174" t="s">
        <v>352</v>
      </c>
      <c r="E105" s="182" t="s">
        <v>304</v>
      </c>
      <c r="F105" s="64" t="s">
        <v>352</v>
      </c>
      <c r="G105">
        <v>9</v>
      </c>
      <c r="H105" s="172"/>
      <c r="I105" s="172"/>
      <c r="J105" s="172"/>
    </row>
    <row r="106" spans="1:11">
      <c r="A106" s="174" t="s">
        <v>289</v>
      </c>
      <c r="B106" s="174" t="s">
        <v>484</v>
      </c>
      <c r="C106" s="174" t="s">
        <v>305</v>
      </c>
      <c r="D106" s="174" t="s">
        <v>479</v>
      </c>
      <c r="E106" s="182" t="s">
        <v>305</v>
      </c>
      <c r="F106" s="64" t="s">
        <v>479</v>
      </c>
      <c r="G106">
        <v>11</v>
      </c>
      <c r="H106" s="172"/>
      <c r="I106" s="172"/>
      <c r="J106" s="172"/>
    </row>
    <row r="107" spans="1:11">
      <c r="A107" s="174" t="s">
        <v>290</v>
      </c>
      <c r="B107" s="174" t="s">
        <v>349</v>
      </c>
      <c r="C107" s="174" t="s">
        <v>306</v>
      </c>
      <c r="D107" s="174" t="s">
        <v>480</v>
      </c>
      <c r="E107" s="182" t="s">
        <v>306</v>
      </c>
      <c r="F107" s="64" t="s">
        <v>480</v>
      </c>
      <c r="G107">
        <v>4</v>
      </c>
      <c r="H107" s="172"/>
      <c r="I107" s="172"/>
      <c r="J107" s="172"/>
    </row>
    <row r="108" spans="1:11">
      <c r="A108" s="174" t="s">
        <v>291</v>
      </c>
      <c r="B108" s="174" t="s">
        <v>480</v>
      </c>
      <c r="C108" s="174" t="s">
        <v>307</v>
      </c>
      <c r="D108" s="174" t="s">
        <v>351</v>
      </c>
      <c r="E108" s="182" t="s">
        <v>307</v>
      </c>
      <c r="F108" s="64" t="s">
        <v>351</v>
      </c>
      <c r="G108">
        <v>10</v>
      </c>
      <c r="H108" s="172"/>
      <c r="I108" s="172"/>
      <c r="J108" s="172"/>
    </row>
    <row r="109" spans="1:11">
      <c r="A109" s="174" t="s">
        <v>292</v>
      </c>
      <c r="B109" s="174" t="s">
        <v>480</v>
      </c>
      <c r="C109" s="174" t="s">
        <v>239</v>
      </c>
      <c r="D109" s="174" t="s">
        <v>480</v>
      </c>
      <c r="E109" s="182" t="s">
        <v>239</v>
      </c>
      <c r="F109" s="64" t="s">
        <v>480</v>
      </c>
      <c r="G109">
        <v>4</v>
      </c>
      <c r="H109" s="172"/>
      <c r="I109" s="172"/>
      <c r="J109" s="172"/>
    </row>
    <row r="110" spans="1:11">
      <c r="A110" s="179" t="s">
        <v>503</v>
      </c>
      <c r="B110" s="177" t="s">
        <v>494</v>
      </c>
      <c r="C110" s="174" t="s">
        <v>240</v>
      </c>
      <c r="D110" s="174" t="s">
        <v>351</v>
      </c>
      <c r="E110" s="182" t="s">
        <v>240</v>
      </c>
      <c r="F110" s="64" t="s">
        <v>351</v>
      </c>
      <c r="G110">
        <v>10</v>
      </c>
      <c r="H110" s="172"/>
      <c r="I110" s="172"/>
      <c r="J110" s="172"/>
    </row>
    <row r="111" spans="1:11">
      <c r="A111" s="177" t="s">
        <v>504</v>
      </c>
      <c r="B111" s="177" t="s">
        <v>243</v>
      </c>
      <c r="C111" s="174" t="s">
        <v>241</v>
      </c>
      <c r="D111" s="174" t="s">
        <v>349</v>
      </c>
      <c r="E111" s="182" t="s">
        <v>241</v>
      </c>
      <c r="F111" s="64" t="s">
        <v>349</v>
      </c>
      <c r="G111">
        <v>8</v>
      </c>
      <c r="H111" s="172"/>
      <c r="I111" s="172"/>
      <c r="J111" s="172"/>
    </row>
    <row r="112" spans="1:11">
      <c r="A112" s="175" t="s">
        <v>293</v>
      </c>
      <c r="B112" s="174" t="s">
        <v>494</v>
      </c>
      <c r="C112" s="174" t="s">
        <v>242</v>
      </c>
      <c r="D112" s="174" t="s">
        <v>243</v>
      </c>
      <c r="E112" s="182" t="s">
        <v>242</v>
      </c>
      <c r="F112" s="64" t="s">
        <v>243</v>
      </c>
      <c r="G112">
        <v>1</v>
      </c>
      <c r="H112" s="172"/>
      <c r="I112" s="172"/>
      <c r="J112" s="172"/>
    </row>
    <row r="113" spans="1:10">
      <c r="A113" s="177" t="s">
        <v>505</v>
      </c>
      <c r="B113" s="177" t="s">
        <v>349</v>
      </c>
      <c r="C113" s="174" t="s">
        <v>244</v>
      </c>
      <c r="D113" s="174" t="s">
        <v>243</v>
      </c>
      <c r="E113" s="182" t="s">
        <v>244</v>
      </c>
      <c r="F113" s="64" t="s">
        <v>243</v>
      </c>
      <c r="G113">
        <v>1</v>
      </c>
      <c r="H113" s="172"/>
      <c r="I113" s="172"/>
      <c r="J113" s="172"/>
    </row>
    <row r="114" spans="1:10">
      <c r="A114" s="174" t="s">
        <v>294</v>
      </c>
      <c r="B114" s="174" t="s">
        <v>494</v>
      </c>
      <c r="C114" s="174" t="s">
        <v>245</v>
      </c>
      <c r="D114" s="174" t="s">
        <v>480</v>
      </c>
      <c r="E114" s="182" t="s">
        <v>245</v>
      </c>
      <c r="F114" s="64" t="s">
        <v>480</v>
      </c>
      <c r="G114">
        <v>4</v>
      </c>
      <c r="H114" s="172"/>
      <c r="I114" s="172"/>
      <c r="J114" s="172"/>
    </row>
    <row r="115" spans="1:10">
      <c r="A115" s="177" t="s">
        <v>506</v>
      </c>
      <c r="B115" s="177" t="s">
        <v>351</v>
      </c>
      <c r="C115" s="174" t="s">
        <v>356</v>
      </c>
      <c r="D115" s="174" t="s">
        <v>480</v>
      </c>
      <c r="E115" s="182" t="s">
        <v>356</v>
      </c>
      <c r="F115" s="64" t="s">
        <v>480</v>
      </c>
      <c r="G115">
        <v>4</v>
      </c>
      <c r="H115" s="172"/>
      <c r="I115" s="172"/>
      <c r="J115" s="172"/>
    </row>
    <row r="116" spans="1:10">
      <c r="A116" s="174" t="s">
        <v>295</v>
      </c>
      <c r="B116" s="174" t="s">
        <v>351</v>
      </c>
      <c r="C116" s="174" t="s">
        <v>247</v>
      </c>
      <c r="D116" s="174" t="s">
        <v>349</v>
      </c>
      <c r="E116" s="182" t="s">
        <v>247</v>
      </c>
      <c r="F116" s="64" t="s">
        <v>349</v>
      </c>
      <c r="G116">
        <v>8</v>
      </c>
      <c r="H116" s="172"/>
      <c r="I116" s="172"/>
      <c r="J116" s="172"/>
    </row>
    <row r="117" spans="1:10">
      <c r="A117" s="177" t="s">
        <v>507</v>
      </c>
      <c r="B117" s="177" t="s">
        <v>488</v>
      </c>
      <c r="C117" s="174" t="s">
        <v>249</v>
      </c>
      <c r="D117" s="174" t="s">
        <v>352</v>
      </c>
      <c r="E117" s="182" t="s">
        <v>249</v>
      </c>
      <c r="F117" s="64" t="s">
        <v>352</v>
      </c>
      <c r="G117">
        <v>9</v>
      </c>
      <c r="H117" s="172"/>
      <c r="I117" s="172"/>
      <c r="J117" s="172"/>
    </row>
    <row r="118" spans="1:10">
      <c r="A118" s="174" t="s">
        <v>296</v>
      </c>
      <c r="B118" s="174" t="s">
        <v>479</v>
      </c>
      <c r="C118" s="176" t="s">
        <v>250</v>
      </c>
      <c r="D118" s="174" t="s">
        <v>494</v>
      </c>
      <c r="E118" s="2" t="s">
        <v>250</v>
      </c>
      <c r="F118" s="64" t="s">
        <v>494</v>
      </c>
      <c r="G118">
        <v>3</v>
      </c>
      <c r="H118" s="172"/>
      <c r="I118" s="172"/>
      <c r="J118" s="172"/>
    </row>
    <row r="119" spans="1:10">
      <c r="A119" s="42" t="s">
        <v>297</v>
      </c>
      <c r="B119" s="174" t="s">
        <v>350</v>
      </c>
      <c r="C119" s="174" t="s">
        <v>252</v>
      </c>
      <c r="D119" s="174" t="s">
        <v>351</v>
      </c>
      <c r="E119" s="182" t="s">
        <v>252</v>
      </c>
      <c r="F119" s="64" t="s">
        <v>351</v>
      </c>
      <c r="G119">
        <v>10</v>
      </c>
      <c r="H119" s="172"/>
      <c r="I119" s="172"/>
      <c r="J119" s="172"/>
    </row>
    <row r="120" spans="1:10">
      <c r="A120" s="174" t="s">
        <v>299</v>
      </c>
      <c r="B120" s="174" t="s">
        <v>488</v>
      </c>
      <c r="C120" s="177"/>
      <c r="D120" s="177"/>
      <c r="E120" s="2">
        <f>COUNTA(E25:E119)</f>
        <v>95</v>
      </c>
      <c r="F120" s="65"/>
      <c r="H120" s="173">
        <f>$E$120-COUNTA(H25:H119)</f>
        <v>87</v>
      </c>
      <c r="I120" s="173">
        <f t="shared" ref="I120" si="0">$E$120-COUNTA(I25:I119)</f>
        <v>94</v>
      </c>
      <c r="J120" s="173">
        <f>$E$120-COUNTA(J25:J119)</f>
        <v>95</v>
      </c>
    </row>
    <row r="121" spans="1:10">
      <c r="A121" s="174" t="s">
        <v>298</v>
      </c>
      <c r="B121" s="174" t="s">
        <v>349</v>
      </c>
      <c r="C121" s="177"/>
      <c r="D121" s="177"/>
      <c r="F121" s="64"/>
    </row>
    <row r="122" spans="1:10">
      <c r="A122" s="177" t="s">
        <v>508</v>
      </c>
      <c r="B122" s="177" t="s">
        <v>480</v>
      </c>
      <c r="C122" s="178"/>
      <c r="D122" s="177"/>
      <c r="E122" s="2"/>
      <c r="F122" s="64"/>
    </row>
    <row r="123" spans="1:10">
      <c r="A123" s="177" t="s">
        <v>509</v>
      </c>
      <c r="B123" s="177" t="s">
        <v>243</v>
      </c>
      <c r="C123" s="177"/>
      <c r="D123" s="177"/>
      <c r="E123" s="2"/>
      <c r="F123" s="64"/>
    </row>
    <row r="124" spans="1:10">
      <c r="A124" s="177" t="s">
        <v>510</v>
      </c>
      <c r="B124" s="177" t="s">
        <v>484</v>
      </c>
      <c r="C124" s="177"/>
      <c r="D124" s="177"/>
      <c r="E124" s="2"/>
      <c r="F124" s="64"/>
    </row>
    <row r="125" spans="1:10">
      <c r="A125" s="177" t="s">
        <v>511</v>
      </c>
      <c r="B125" s="177" t="s">
        <v>488</v>
      </c>
      <c r="C125" s="177"/>
      <c r="D125" s="177"/>
      <c r="E125" s="2"/>
      <c r="F125" s="64"/>
    </row>
    <row r="126" spans="1:10">
      <c r="A126" s="177" t="s">
        <v>512</v>
      </c>
      <c r="B126" s="177" t="s">
        <v>350</v>
      </c>
      <c r="C126" s="177"/>
      <c r="D126" s="177"/>
      <c r="E126" s="2"/>
      <c r="F126" s="64"/>
    </row>
    <row r="127" spans="1:10">
      <c r="A127" s="42" t="s">
        <v>300</v>
      </c>
      <c r="B127" s="174" t="s">
        <v>484</v>
      </c>
      <c r="C127" s="178"/>
      <c r="D127" s="177"/>
      <c r="E127" s="2"/>
      <c r="F127" s="64"/>
    </row>
    <row r="128" spans="1:10">
      <c r="A128" s="42" t="s">
        <v>301</v>
      </c>
      <c r="B128" s="174" t="s">
        <v>350</v>
      </c>
      <c r="C128" s="177"/>
      <c r="D128" s="177"/>
      <c r="E128" s="2"/>
      <c r="F128" s="64"/>
    </row>
    <row r="129" spans="1:6">
      <c r="A129" s="177" t="s">
        <v>513</v>
      </c>
      <c r="B129" s="177" t="s">
        <v>349</v>
      </c>
      <c r="C129" s="177"/>
      <c r="D129" s="177"/>
      <c r="E129" s="2"/>
      <c r="F129" s="64"/>
    </row>
    <row r="130" spans="1:6">
      <c r="A130" s="174" t="s">
        <v>302</v>
      </c>
      <c r="B130" s="174" t="s">
        <v>479</v>
      </c>
      <c r="C130" s="177"/>
      <c r="D130" s="177"/>
      <c r="E130" s="2"/>
      <c r="F130" s="64"/>
    </row>
    <row r="131" spans="1:6">
      <c r="A131" s="42" t="s">
        <v>303</v>
      </c>
      <c r="B131" s="174" t="s">
        <v>484</v>
      </c>
      <c r="C131" s="179"/>
      <c r="D131" s="177"/>
      <c r="E131" s="2"/>
      <c r="F131" s="64"/>
    </row>
    <row r="132" spans="1:6">
      <c r="A132" s="174" t="s">
        <v>304</v>
      </c>
      <c r="B132" s="174" t="s">
        <v>352</v>
      </c>
      <c r="C132" s="177"/>
      <c r="D132" s="177"/>
      <c r="E132" s="2"/>
      <c r="F132" s="64"/>
    </row>
    <row r="133" spans="1:6">
      <c r="A133" s="174" t="s">
        <v>305</v>
      </c>
      <c r="B133" s="174" t="s">
        <v>479</v>
      </c>
      <c r="C133" s="179"/>
      <c r="D133" s="177"/>
      <c r="F133" s="64"/>
    </row>
    <row r="134" spans="1:6">
      <c r="A134" s="177" t="s">
        <v>514</v>
      </c>
      <c r="B134" s="177" t="s">
        <v>488</v>
      </c>
      <c r="C134" s="177"/>
      <c r="D134" s="177"/>
      <c r="F134" s="64"/>
    </row>
    <row r="135" spans="1:6">
      <c r="A135" s="177" t="s">
        <v>515</v>
      </c>
      <c r="B135" s="177" t="s">
        <v>488</v>
      </c>
      <c r="C135" s="177"/>
      <c r="D135" s="177"/>
      <c r="F135" s="64"/>
    </row>
    <row r="136" spans="1:6">
      <c r="A136" s="174" t="s">
        <v>306</v>
      </c>
      <c r="B136" s="174" t="s">
        <v>480</v>
      </c>
      <c r="C136" s="177"/>
      <c r="D136" s="177"/>
      <c r="E136" s="2"/>
      <c r="F136" s="64"/>
    </row>
    <row r="137" spans="1:6">
      <c r="A137" s="174" t="s">
        <v>307</v>
      </c>
      <c r="B137" s="174" t="s">
        <v>351</v>
      </c>
      <c r="C137" s="177"/>
      <c r="D137" s="177"/>
      <c r="E137" s="2"/>
      <c r="F137" s="64"/>
    </row>
    <row r="138" spans="1:6">
      <c r="A138" s="177" t="s">
        <v>516</v>
      </c>
      <c r="B138" s="177" t="s">
        <v>480</v>
      </c>
      <c r="C138" s="177"/>
      <c r="D138" s="177"/>
      <c r="E138" s="2"/>
      <c r="F138" s="64"/>
    </row>
    <row r="139" spans="1:6">
      <c r="A139" s="174" t="s">
        <v>239</v>
      </c>
      <c r="B139" s="174" t="s">
        <v>480</v>
      </c>
      <c r="C139" s="177"/>
      <c r="D139" s="177"/>
      <c r="E139" s="2"/>
      <c r="F139" s="64"/>
    </row>
    <row r="140" spans="1:6">
      <c r="A140" s="174" t="s">
        <v>240</v>
      </c>
      <c r="B140" s="174" t="s">
        <v>351</v>
      </c>
      <c r="C140" s="177"/>
      <c r="D140" s="177"/>
      <c r="E140" s="2"/>
      <c r="F140" s="64"/>
    </row>
    <row r="141" spans="1:6">
      <c r="A141" s="174" t="s">
        <v>241</v>
      </c>
      <c r="B141" s="174" t="s">
        <v>349</v>
      </c>
      <c r="C141" s="177"/>
      <c r="D141" s="177"/>
      <c r="E141" s="2"/>
      <c r="F141" s="64"/>
    </row>
    <row r="142" spans="1:6">
      <c r="A142" s="177" t="s">
        <v>517</v>
      </c>
      <c r="B142" s="177" t="s">
        <v>350</v>
      </c>
      <c r="C142" s="177"/>
      <c r="D142" s="177"/>
      <c r="E142" s="2"/>
      <c r="F142" s="64"/>
    </row>
    <row r="143" spans="1:6">
      <c r="A143" s="174" t="s">
        <v>242</v>
      </c>
      <c r="B143" s="174" t="s">
        <v>243</v>
      </c>
      <c r="C143" s="177"/>
      <c r="D143" s="177"/>
      <c r="E143" s="2"/>
      <c r="F143" s="64"/>
    </row>
    <row r="144" spans="1:6">
      <c r="A144" s="174" t="s">
        <v>244</v>
      </c>
      <c r="B144" s="174" t="s">
        <v>243</v>
      </c>
      <c r="C144" s="177"/>
      <c r="D144" s="177"/>
      <c r="E144" s="2"/>
      <c r="F144" s="64"/>
    </row>
    <row r="145" spans="1:6">
      <c r="A145" s="177" t="s">
        <v>518</v>
      </c>
      <c r="B145" s="177" t="s">
        <v>243</v>
      </c>
      <c r="C145" s="177"/>
      <c r="D145" s="177"/>
      <c r="E145" s="2"/>
      <c r="F145" s="64"/>
    </row>
    <row r="146" spans="1:6">
      <c r="A146" s="174" t="s">
        <v>245</v>
      </c>
      <c r="B146" s="174" t="s">
        <v>480</v>
      </c>
      <c r="C146" s="177"/>
      <c r="D146" s="177"/>
      <c r="E146" s="2"/>
      <c r="F146" s="64"/>
    </row>
    <row r="147" spans="1:6">
      <c r="A147" s="174" t="s">
        <v>356</v>
      </c>
      <c r="B147" s="174" t="s">
        <v>480</v>
      </c>
      <c r="C147" s="177"/>
      <c r="D147" s="177"/>
      <c r="E147" s="2"/>
      <c r="F147" s="64"/>
    </row>
    <row r="148" spans="1:6">
      <c r="A148" s="177" t="s">
        <v>519</v>
      </c>
      <c r="B148" s="177" t="s">
        <v>484</v>
      </c>
      <c r="C148" s="177"/>
      <c r="D148" s="177"/>
      <c r="E148" s="2"/>
      <c r="F148" s="64"/>
    </row>
    <row r="149" spans="1:6">
      <c r="A149" s="174" t="s">
        <v>247</v>
      </c>
      <c r="B149" s="174" t="s">
        <v>349</v>
      </c>
      <c r="C149" s="177"/>
      <c r="D149" s="177"/>
    </row>
    <row r="150" spans="1:6">
      <c r="A150" s="174" t="s">
        <v>249</v>
      </c>
      <c r="B150" s="174" t="s">
        <v>352</v>
      </c>
    </row>
    <row r="151" spans="1:6">
      <c r="A151" s="176" t="s">
        <v>250</v>
      </c>
      <c r="B151" s="174" t="s">
        <v>494</v>
      </c>
    </row>
    <row r="152" spans="1:6">
      <c r="A152" s="174" t="s">
        <v>252</v>
      </c>
      <c r="B152" s="174" t="s">
        <v>351</v>
      </c>
    </row>
    <row r="153" spans="1:6">
      <c r="A153">
        <f>COUNTA(A25:A152)</f>
        <v>128</v>
      </c>
    </row>
  </sheetData>
  <sortState ref="C25:K119">
    <sortCondition ref="C25:C1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7"/>
  <sheetViews>
    <sheetView topLeftCell="A10" workbookViewId="0">
      <selection activeCell="A15" sqref="A15"/>
    </sheetView>
  </sheetViews>
  <sheetFormatPr baseColWidth="10" defaultRowHeight="16"/>
  <cols>
    <col min="1" max="1" width="14.6640625" style="20" customWidth="1"/>
    <col min="2" max="2" width="67" style="20" customWidth="1"/>
    <col min="3" max="3" width="16" style="20" customWidth="1"/>
    <col min="4" max="4" width="17.83203125" style="20" customWidth="1"/>
    <col min="5" max="5" width="18.5" style="20" customWidth="1"/>
    <col min="6" max="6" width="19" style="20" customWidth="1"/>
    <col min="7" max="8" width="20" style="20" customWidth="1"/>
    <col min="9" max="9" width="21.33203125" style="20" customWidth="1"/>
    <col min="10" max="10" width="12.83203125" style="20" customWidth="1"/>
    <col min="11" max="12" width="11.1640625" style="20" bestFit="1" customWidth="1"/>
    <col min="13" max="13" width="10.83203125" style="20"/>
    <col min="14" max="14" width="11.33203125" style="20" bestFit="1" customWidth="1"/>
    <col min="15" max="16384" width="10.83203125" style="20"/>
  </cols>
  <sheetData>
    <row r="1" spans="1:8">
      <c r="A1" s="20" t="s">
        <v>453</v>
      </c>
      <c r="G1" s="42" t="s">
        <v>448</v>
      </c>
      <c r="H1" s="42"/>
    </row>
    <row r="2" spans="1:8">
      <c r="A2" t="s">
        <v>454</v>
      </c>
      <c r="B2" s="20" t="s">
        <v>397</v>
      </c>
      <c r="C2" s="20" t="s">
        <v>455</v>
      </c>
      <c r="G2" s="42" t="s">
        <v>449</v>
      </c>
      <c r="H2" s="42"/>
    </row>
    <row r="3" spans="1:8">
      <c r="A3">
        <v>5</v>
      </c>
      <c r="B3" s="20" t="s">
        <v>456</v>
      </c>
    </row>
    <row r="4" spans="1:8">
      <c r="A4">
        <v>6</v>
      </c>
      <c r="B4" s="20" t="s">
        <v>457</v>
      </c>
    </row>
    <row r="5" spans="1:8">
      <c r="A5">
        <v>8</v>
      </c>
      <c r="B5" s="20" t="s">
        <v>458</v>
      </c>
    </row>
    <row r="6" spans="1:8">
      <c r="A6">
        <v>10</v>
      </c>
      <c r="B6" s="20" t="s">
        <v>459</v>
      </c>
    </row>
    <row r="7" spans="1:8">
      <c r="A7">
        <v>20</v>
      </c>
      <c r="C7" s="20" t="s">
        <v>460</v>
      </c>
    </row>
    <row r="8" spans="1:8">
      <c r="A8">
        <v>22</v>
      </c>
      <c r="C8" s="20" t="s">
        <v>461</v>
      </c>
    </row>
    <row r="9" spans="1:8">
      <c r="A9">
        <v>32</v>
      </c>
      <c r="C9" s="20" t="s">
        <v>458</v>
      </c>
    </row>
    <row r="10" spans="1:8">
      <c r="A10">
        <v>36</v>
      </c>
      <c r="C10" s="20" t="s">
        <v>462</v>
      </c>
    </row>
    <row r="12" spans="1:8">
      <c r="A12" s="43" t="s">
        <v>463</v>
      </c>
    </row>
    <row r="13" spans="1:8">
      <c r="A13"/>
    </row>
    <row r="14" spans="1:8">
      <c r="A14" t="s">
        <v>524</v>
      </c>
    </row>
    <row r="15" spans="1:8">
      <c r="A15" t="s">
        <v>466</v>
      </c>
    </row>
    <row r="16" spans="1:8">
      <c r="A16"/>
      <c r="B16" s="20" t="s">
        <v>467</v>
      </c>
    </row>
    <row r="17" spans="1:14">
      <c r="A17"/>
      <c r="B17" s="20" t="s">
        <v>468</v>
      </c>
    </row>
    <row r="18" spans="1:14">
      <c r="A18"/>
      <c r="B18" s="20" t="s">
        <v>469</v>
      </c>
    </row>
    <row r="19" spans="1:14">
      <c r="A19" t="s">
        <v>523</v>
      </c>
    </row>
    <row r="20" spans="1:14">
      <c r="A20"/>
    </row>
    <row r="21" spans="1:14">
      <c r="A21" s="18" t="s">
        <v>398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>
      <c r="A22" s="18" t="s">
        <v>399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>
      <c r="A23" s="18" t="s">
        <v>400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>
      <c r="A25" s="59" t="s">
        <v>446</v>
      </c>
      <c r="B25" s="35" t="s">
        <v>401</v>
      </c>
      <c r="C25" s="37" t="s">
        <v>402</v>
      </c>
      <c r="D25" s="37" t="s">
        <v>403</v>
      </c>
      <c r="E25" s="38" t="s">
        <v>443</v>
      </c>
      <c r="F25" s="38" t="s">
        <v>444</v>
      </c>
      <c r="G25" s="38" t="s">
        <v>445</v>
      </c>
      <c r="H25" s="45" t="s">
        <v>391</v>
      </c>
      <c r="I25" s="38" t="s">
        <v>387</v>
      </c>
      <c r="J25" s="37" t="s">
        <v>404</v>
      </c>
    </row>
    <row r="26" spans="1:14">
      <c r="A26" s="55">
        <v>1</v>
      </c>
      <c r="B26" s="19" t="s">
        <v>405</v>
      </c>
      <c r="C26" s="24">
        <v>10340902</v>
      </c>
      <c r="D26" s="10">
        <v>2507220</v>
      </c>
      <c r="E26" s="24">
        <v>164965</v>
      </c>
      <c r="F26" s="24">
        <v>180186</v>
      </c>
      <c r="G26" s="10">
        <v>115576</v>
      </c>
      <c r="H26" s="46">
        <f>F26+G26</f>
        <v>295762</v>
      </c>
      <c r="I26" s="24">
        <v>910875</v>
      </c>
      <c r="J26" s="24">
        <v>14219724</v>
      </c>
      <c r="K26" s="44"/>
      <c r="L26" s="44"/>
    </row>
    <row r="27" spans="1:14">
      <c r="A27" s="55">
        <v>2</v>
      </c>
      <c r="B27" s="19" t="s">
        <v>406</v>
      </c>
      <c r="C27" s="10" t="s">
        <v>407</v>
      </c>
      <c r="D27" s="24" t="s">
        <v>441</v>
      </c>
      <c r="E27" s="10" t="s">
        <v>407</v>
      </c>
      <c r="F27" s="10" t="s">
        <v>407</v>
      </c>
      <c r="G27" s="24" t="s">
        <v>237</v>
      </c>
      <c r="H27" s="46"/>
      <c r="I27" s="24">
        <v>1444374</v>
      </c>
      <c r="J27" s="24">
        <v>1444374</v>
      </c>
      <c r="K27" s="44"/>
      <c r="L27" s="44"/>
    </row>
    <row r="28" spans="1:14">
      <c r="A28" s="55">
        <v>3</v>
      </c>
      <c r="B28" s="19" t="s">
        <v>408</v>
      </c>
      <c r="C28" s="10" t="s">
        <v>407</v>
      </c>
      <c r="D28" s="24" t="s">
        <v>237</v>
      </c>
      <c r="E28" s="10" t="s">
        <v>407</v>
      </c>
      <c r="F28" s="24">
        <v>34883</v>
      </c>
      <c r="G28" s="10">
        <v>8917</v>
      </c>
      <c r="H28" s="46">
        <f t="shared" ref="H28:H40" si="0">F28+G28</f>
        <v>43800</v>
      </c>
      <c r="I28" s="10" t="s">
        <v>407</v>
      </c>
      <c r="J28" s="24">
        <v>43800</v>
      </c>
      <c r="K28" s="44"/>
      <c r="L28" s="44"/>
    </row>
    <row r="29" spans="1:14">
      <c r="A29" s="55">
        <v>4</v>
      </c>
      <c r="B29" s="19" t="s">
        <v>409</v>
      </c>
      <c r="C29" s="24">
        <v>1353325</v>
      </c>
      <c r="D29" s="10">
        <v>594087</v>
      </c>
      <c r="E29" s="24">
        <v>133064</v>
      </c>
      <c r="F29" s="24">
        <v>2619192</v>
      </c>
      <c r="G29" s="10">
        <v>949330</v>
      </c>
      <c r="H29" s="46">
        <f t="shared" si="0"/>
        <v>3568522</v>
      </c>
      <c r="I29" s="24">
        <v>17044207</v>
      </c>
      <c r="J29" s="24">
        <v>22693205</v>
      </c>
      <c r="K29" s="44"/>
      <c r="L29" s="44"/>
    </row>
    <row r="30" spans="1:14">
      <c r="A30" s="55">
        <v>5</v>
      </c>
      <c r="B30" s="55" t="s">
        <v>456</v>
      </c>
      <c r="C30" s="55"/>
      <c r="D30" s="55"/>
      <c r="E30" s="55"/>
      <c r="F30" s="55"/>
      <c r="G30" s="55"/>
      <c r="H30" s="55"/>
      <c r="I30" s="55"/>
      <c r="J30" s="55"/>
      <c r="K30" s="44"/>
      <c r="L30" s="44"/>
    </row>
    <row r="31" spans="1:14">
      <c r="A31" s="55">
        <v>6</v>
      </c>
      <c r="B31" s="55" t="s">
        <v>457</v>
      </c>
      <c r="C31" s="55"/>
      <c r="D31" s="55"/>
      <c r="E31" s="55"/>
      <c r="F31" s="55"/>
      <c r="G31" s="55"/>
      <c r="H31" s="55"/>
      <c r="I31" s="55"/>
      <c r="J31" s="55"/>
      <c r="K31" s="44"/>
      <c r="L31" s="44"/>
    </row>
    <row r="32" spans="1:14">
      <c r="A32" s="55">
        <v>7</v>
      </c>
      <c r="B32" s="19" t="s">
        <v>410</v>
      </c>
      <c r="C32" s="24">
        <v>1007</v>
      </c>
      <c r="D32" s="24" t="s">
        <v>237</v>
      </c>
      <c r="E32" s="10" t="s">
        <v>407</v>
      </c>
      <c r="F32" s="10" t="s">
        <v>407</v>
      </c>
      <c r="G32" s="24" t="s">
        <v>237</v>
      </c>
      <c r="H32" s="46"/>
      <c r="I32" s="24">
        <v>3536792</v>
      </c>
      <c r="J32" s="24">
        <v>3537799</v>
      </c>
      <c r="K32" s="44"/>
      <c r="L32" s="44"/>
    </row>
    <row r="33" spans="1:15">
      <c r="A33" s="55">
        <v>8</v>
      </c>
      <c r="B33" s="55" t="s">
        <v>458</v>
      </c>
      <c r="C33" s="55">
        <v>8</v>
      </c>
      <c r="D33" s="55">
        <v>8</v>
      </c>
      <c r="E33" s="55">
        <v>8</v>
      </c>
      <c r="F33" s="55">
        <v>8</v>
      </c>
      <c r="G33" s="55">
        <v>8</v>
      </c>
      <c r="H33" s="55">
        <v>8</v>
      </c>
      <c r="I33" s="55">
        <v>8</v>
      </c>
      <c r="J33" s="55">
        <v>8</v>
      </c>
      <c r="K33" s="44"/>
      <c r="L33" s="44"/>
    </row>
    <row r="34" spans="1:15">
      <c r="A34" s="55">
        <v>9</v>
      </c>
      <c r="B34" s="19" t="s">
        <v>411</v>
      </c>
      <c r="C34" s="24">
        <v>14928246</v>
      </c>
      <c r="D34" s="10">
        <v>4487475</v>
      </c>
      <c r="E34" s="24">
        <v>61605</v>
      </c>
      <c r="F34" s="24">
        <v>53132</v>
      </c>
      <c r="G34" s="10">
        <v>95959</v>
      </c>
      <c r="H34" s="46">
        <f t="shared" si="0"/>
        <v>149091</v>
      </c>
      <c r="I34" s="24">
        <v>2967085</v>
      </c>
      <c r="J34" s="24">
        <v>22593502</v>
      </c>
      <c r="K34" s="44"/>
      <c r="L34" s="44"/>
      <c r="M34" s="22"/>
    </row>
    <row r="35" spans="1:15">
      <c r="A35" s="55">
        <v>10</v>
      </c>
      <c r="B35" s="61" t="s">
        <v>459</v>
      </c>
      <c r="C35" s="55"/>
      <c r="D35" s="55"/>
      <c r="E35" s="55"/>
      <c r="F35" s="55"/>
      <c r="G35" s="55"/>
      <c r="H35" s="55"/>
      <c r="I35" s="55"/>
      <c r="J35" s="55"/>
      <c r="K35" s="44"/>
      <c r="L35" s="44"/>
      <c r="M35" s="22"/>
    </row>
    <row r="36" spans="1:15">
      <c r="A36" s="55">
        <v>11</v>
      </c>
      <c r="B36" s="19" t="s">
        <v>412</v>
      </c>
      <c r="C36" s="24">
        <v>1217936</v>
      </c>
      <c r="D36" s="10">
        <v>62088</v>
      </c>
      <c r="E36" s="24">
        <v>28838</v>
      </c>
      <c r="F36" s="24">
        <v>2736</v>
      </c>
      <c r="G36" s="10">
        <v>13726</v>
      </c>
      <c r="H36" s="46">
        <f t="shared" si="0"/>
        <v>16462</v>
      </c>
      <c r="I36" s="10" t="s">
        <v>407</v>
      </c>
      <c r="J36" s="24">
        <v>1325324</v>
      </c>
      <c r="K36" s="44"/>
      <c r="L36" s="44"/>
    </row>
    <row r="37" spans="1:15">
      <c r="A37" s="55">
        <v>12</v>
      </c>
      <c r="B37" s="19" t="s">
        <v>413</v>
      </c>
      <c r="C37" s="24">
        <v>4964488</v>
      </c>
      <c r="D37" s="10">
        <v>1833964</v>
      </c>
      <c r="E37" s="24">
        <v>757772</v>
      </c>
      <c r="F37" s="24">
        <v>820154</v>
      </c>
      <c r="G37" s="10">
        <v>883473</v>
      </c>
      <c r="H37" s="46">
        <f t="shared" si="0"/>
        <v>1703627</v>
      </c>
      <c r="I37" s="24">
        <v>208713</v>
      </c>
      <c r="J37" s="24">
        <v>9468564</v>
      </c>
      <c r="K37" s="44"/>
      <c r="L37" s="44"/>
    </row>
    <row r="38" spans="1:15">
      <c r="A38" s="55">
        <v>13</v>
      </c>
      <c r="B38" s="19" t="s">
        <v>414</v>
      </c>
      <c r="C38" s="10" t="s">
        <v>407</v>
      </c>
      <c r="D38" s="10">
        <v>15233</v>
      </c>
      <c r="E38" s="24">
        <v>4419</v>
      </c>
      <c r="F38" s="24">
        <v>107601</v>
      </c>
      <c r="G38" s="10">
        <v>507645</v>
      </c>
      <c r="H38" s="46">
        <f t="shared" si="0"/>
        <v>615246</v>
      </c>
      <c r="I38" s="24">
        <v>3380</v>
      </c>
      <c r="J38" s="24">
        <v>638278</v>
      </c>
      <c r="K38" s="44"/>
      <c r="L38" s="44"/>
    </row>
    <row r="39" spans="1:15">
      <c r="A39" s="55">
        <v>14</v>
      </c>
      <c r="B39" s="19" t="s">
        <v>415</v>
      </c>
      <c r="C39" s="24">
        <v>360519</v>
      </c>
      <c r="D39" s="10">
        <v>150463</v>
      </c>
      <c r="E39" s="24">
        <v>46629</v>
      </c>
      <c r="F39" s="24">
        <v>2712081</v>
      </c>
      <c r="G39" s="10">
        <v>644741</v>
      </c>
      <c r="H39" s="46">
        <f t="shared" si="0"/>
        <v>3356822</v>
      </c>
      <c r="I39" s="24">
        <v>9444366</v>
      </c>
      <c r="J39" s="24">
        <v>13358799</v>
      </c>
      <c r="K39" s="44"/>
      <c r="L39" s="44"/>
    </row>
    <row r="40" spans="1:15">
      <c r="A40" s="55">
        <v>15</v>
      </c>
      <c r="B40" s="19" t="s">
        <v>416</v>
      </c>
      <c r="C40" s="24">
        <v>98881</v>
      </c>
      <c r="D40" s="10">
        <v>7834</v>
      </c>
      <c r="E40" s="24">
        <v>17208</v>
      </c>
      <c r="F40" s="24">
        <v>112453</v>
      </c>
      <c r="G40" s="10">
        <v>28602</v>
      </c>
      <c r="H40" s="46">
        <f t="shared" si="0"/>
        <v>141055</v>
      </c>
      <c r="I40" s="24">
        <v>673795</v>
      </c>
      <c r="J40" s="24">
        <v>938773</v>
      </c>
      <c r="K40" s="44"/>
      <c r="L40" s="44"/>
    </row>
    <row r="41" spans="1:15">
      <c r="A41" s="55">
        <v>16</v>
      </c>
      <c r="B41" s="32" t="s">
        <v>417</v>
      </c>
      <c r="C41" s="33">
        <v>33265304</v>
      </c>
      <c r="D41" s="33">
        <v>9658364</v>
      </c>
      <c r="E41" s="33">
        <v>1214500</v>
      </c>
      <c r="F41" s="33">
        <v>6642418</v>
      </c>
      <c r="G41" s="33">
        <v>3247969</v>
      </c>
      <c r="H41" s="47">
        <f>SUM(H26:H40)</f>
        <v>9890395</v>
      </c>
      <c r="I41" s="33">
        <v>36233587</v>
      </c>
      <c r="J41" s="33">
        <v>90262142</v>
      </c>
      <c r="K41" s="44"/>
      <c r="L41" s="44"/>
    </row>
    <row r="42" spans="1:15">
      <c r="A42" s="55"/>
      <c r="B42" s="21" t="s">
        <v>418</v>
      </c>
      <c r="C42" s="1"/>
      <c r="D42" s="1"/>
      <c r="E42" s="1"/>
      <c r="F42" s="1"/>
      <c r="G42" s="1"/>
      <c r="H42" s="48"/>
      <c r="I42" s="1"/>
      <c r="J42" s="1"/>
      <c r="L42" s="22"/>
    </row>
    <row r="43" spans="1:15">
      <c r="A43" s="55">
        <v>17</v>
      </c>
      <c r="B43" s="19" t="s">
        <v>419</v>
      </c>
      <c r="C43" s="30">
        <v>2935010</v>
      </c>
      <c r="D43" s="30">
        <v>471582</v>
      </c>
      <c r="E43" s="30">
        <v>429391</v>
      </c>
      <c r="F43" s="30">
        <v>1992941</v>
      </c>
      <c r="G43" s="30">
        <v>3988940</v>
      </c>
      <c r="H43" s="49">
        <f>F43+G43</f>
        <v>5981881</v>
      </c>
      <c r="I43" s="30">
        <v>47009</v>
      </c>
      <c r="J43" s="30">
        <v>9864873</v>
      </c>
      <c r="L43" s="22"/>
    </row>
    <row r="44" spans="1:15">
      <c r="A44" s="55">
        <v>18</v>
      </c>
      <c r="B44" s="19" t="s">
        <v>408</v>
      </c>
      <c r="C44" s="24">
        <v>925000</v>
      </c>
      <c r="D44" s="24">
        <v>491500</v>
      </c>
      <c r="E44" s="24">
        <v>25000</v>
      </c>
      <c r="F44" s="24">
        <v>32633</v>
      </c>
      <c r="G44" s="24">
        <v>43022</v>
      </c>
      <c r="H44" s="49">
        <f t="shared" ref="H44:H61" si="1">F44+G44</f>
        <v>75655</v>
      </c>
      <c r="I44" s="10" t="s">
        <v>407</v>
      </c>
      <c r="J44" s="24">
        <v>1517155</v>
      </c>
      <c r="K44" s="22"/>
      <c r="M44" s="22"/>
      <c r="O44" s="22"/>
    </row>
    <row r="45" spans="1:15">
      <c r="A45" s="55">
        <v>19</v>
      </c>
      <c r="B45" s="19" t="s">
        <v>420</v>
      </c>
      <c r="C45" s="24">
        <v>4510260</v>
      </c>
      <c r="D45" s="24">
        <v>2365656</v>
      </c>
      <c r="E45" s="24">
        <v>1102183</v>
      </c>
      <c r="F45" s="24">
        <v>3188964</v>
      </c>
      <c r="G45" s="24">
        <v>3482327</v>
      </c>
      <c r="H45" s="49">
        <f t="shared" si="1"/>
        <v>6671291</v>
      </c>
      <c r="I45" s="24">
        <v>19664</v>
      </c>
      <c r="J45" s="24">
        <v>14669054</v>
      </c>
      <c r="L45" s="22"/>
    </row>
    <row r="46" spans="1:15">
      <c r="A46" s="55">
        <v>20</v>
      </c>
      <c r="B46" s="55" t="s">
        <v>460</v>
      </c>
      <c r="C46" s="55"/>
      <c r="D46" s="55"/>
      <c r="E46" s="55"/>
      <c r="F46" s="55"/>
      <c r="G46" s="55"/>
      <c r="H46" s="55"/>
      <c r="I46" s="55"/>
      <c r="J46" s="55"/>
      <c r="L46" s="22"/>
    </row>
    <row r="47" spans="1:15">
      <c r="A47" s="55">
        <v>21</v>
      </c>
      <c r="B47" s="19" t="s">
        <v>421</v>
      </c>
      <c r="C47" s="24">
        <v>1540947</v>
      </c>
      <c r="D47" s="24">
        <v>396006</v>
      </c>
      <c r="E47" s="24">
        <v>272190</v>
      </c>
      <c r="F47" s="24">
        <v>409187</v>
      </c>
      <c r="G47" s="24">
        <v>145293</v>
      </c>
      <c r="H47" s="49">
        <f t="shared" si="1"/>
        <v>554480</v>
      </c>
      <c r="I47" s="24">
        <v>14486575</v>
      </c>
      <c r="J47" s="24">
        <v>17250198</v>
      </c>
      <c r="L47" s="22"/>
      <c r="N47" s="22"/>
    </row>
    <row r="48" spans="1:15">
      <c r="A48" s="55">
        <v>22</v>
      </c>
      <c r="B48" s="55" t="s">
        <v>461</v>
      </c>
      <c r="C48" s="55"/>
      <c r="D48" s="55"/>
      <c r="E48" s="55"/>
      <c r="F48" s="55"/>
      <c r="G48" s="55"/>
      <c r="H48" s="55"/>
      <c r="I48" s="55"/>
      <c r="J48" s="55"/>
      <c r="L48" s="22"/>
      <c r="N48" s="22"/>
    </row>
    <row r="49" spans="1:15">
      <c r="A49" s="55">
        <v>23</v>
      </c>
      <c r="B49" s="19" t="s">
        <v>422</v>
      </c>
      <c r="C49" s="24">
        <v>2131995</v>
      </c>
      <c r="D49" s="24">
        <v>41243</v>
      </c>
      <c r="E49" s="10" t="s">
        <v>407</v>
      </c>
      <c r="F49" s="10" t="s">
        <v>407</v>
      </c>
      <c r="G49" s="10" t="s">
        <v>407</v>
      </c>
      <c r="H49" s="49"/>
      <c r="I49" s="24">
        <v>230042</v>
      </c>
      <c r="J49" s="24">
        <v>2403280</v>
      </c>
    </row>
    <row r="50" spans="1:15">
      <c r="A50" s="55">
        <v>24</v>
      </c>
      <c r="B50" s="19" t="s">
        <v>423</v>
      </c>
      <c r="C50" s="24">
        <v>447999</v>
      </c>
      <c r="D50" s="24">
        <v>116868</v>
      </c>
      <c r="E50" s="24">
        <v>101962</v>
      </c>
      <c r="F50" s="24">
        <v>164505</v>
      </c>
      <c r="G50" s="24">
        <v>223337</v>
      </c>
      <c r="H50" s="49">
        <f t="shared" si="1"/>
        <v>387842</v>
      </c>
      <c r="I50" s="24">
        <v>87912</v>
      </c>
      <c r="J50" s="24">
        <v>1142583</v>
      </c>
      <c r="L50" s="22"/>
      <c r="N50" s="22"/>
    </row>
    <row r="51" spans="1:15">
      <c r="A51" s="55">
        <v>25</v>
      </c>
      <c r="B51" s="19" t="s">
        <v>424</v>
      </c>
      <c r="C51" s="24">
        <v>1493533</v>
      </c>
      <c r="D51" s="24">
        <v>543626</v>
      </c>
      <c r="E51" s="24">
        <v>412756</v>
      </c>
      <c r="F51" s="24">
        <v>1588112</v>
      </c>
      <c r="G51" s="24">
        <v>1888242</v>
      </c>
      <c r="H51" s="49">
        <f t="shared" si="1"/>
        <v>3476354</v>
      </c>
      <c r="I51" s="24">
        <v>190668</v>
      </c>
      <c r="J51" s="24">
        <v>6116937</v>
      </c>
    </row>
    <row r="52" spans="1:15">
      <c r="A52" s="55">
        <v>26</v>
      </c>
      <c r="B52" s="19" t="s">
        <v>425</v>
      </c>
      <c r="C52" s="24">
        <v>1213223</v>
      </c>
      <c r="D52" s="24">
        <v>141153</v>
      </c>
      <c r="E52" s="24">
        <v>101935</v>
      </c>
      <c r="F52" s="24">
        <v>847215</v>
      </c>
      <c r="G52" s="24">
        <v>833482</v>
      </c>
      <c r="H52" s="49">
        <f t="shared" si="1"/>
        <v>1680697</v>
      </c>
      <c r="I52" s="24">
        <v>66079</v>
      </c>
      <c r="J52" s="24">
        <v>3203087</v>
      </c>
      <c r="M52" s="22"/>
      <c r="O52" s="22"/>
    </row>
    <row r="53" spans="1:15">
      <c r="A53" s="55">
        <v>27</v>
      </c>
      <c r="B53" s="19" t="s">
        <v>426</v>
      </c>
      <c r="C53" s="24">
        <v>2548475</v>
      </c>
      <c r="D53" s="24">
        <v>330899</v>
      </c>
      <c r="E53" s="24">
        <v>179561</v>
      </c>
      <c r="F53" s="24">
        <v>231133</v>
      </c>
      <c r="G53" s="24">
        <v>306771</v>
      </c>
      <c r="H53" s="49">
        <f t="shared" si="1"/>
        <v>537904</v>
      </c>
      <c r="I53" s="24">
        <v>5996</v>
      </c>
      <c r="J53" s="24">
        <v>3602835</v>
      </c>
      <c r="K53" s="22"/>
      <c r="M53" s="22"/>
      <c r="O53" s="22"/>
    </row>
    <row r="54" spans="1:15">
      <c r="A54" s="55">
        <v>28</v>
      </c>
      <c r="B54" s="19" t="s">
        <v>427</v>
      </c>
      <c r="C54" s="24">
        <v>1278732</v>
      </c>
      <c r="D54" s="24">
        <v>517845</v>
      </c>
      <c r="E54" s="24">
        <v>137303</v>
      </c>
      <c r="F54" s="24">
        <v>189304</v>
      </c>
      <c r="G54" s="24">
        <v>106839</v>
      </c>
      <c r="H54" s="49">
        <f t="shared" si="1"/>
        <v>296143</v>
      </c>
      <c r="I54" s="24">
        <v>1941592</v>
      </c>
      <c r="J54" s="24">
        <v>4171615</v>
      </c>
    </row>
    <row r="55" spans="1:15">
      <c r="A55" s="55">
        <v>29</v>
      </c>
      <c r="B55" s="19" t="s">
        <v>414</v>
      </c>
      <c r="C55" s="10" t="s">
        <v>407</v>
      </c>
      <c r="D55" s="10" t="s">
        <v>407</v>
      </c>
      <c r="E55" s="10" t="s">
        <v>407</v>
      </c>
      <c r="F55" s="24">
        <v>76849</v>
      </c>
      <c r="G55" s="24">
        <v>254490</v>
      </c>
      <c r="H55" s="49">
        <f t="shared" si="1"/>
        <v>331339</v>
      </c>
      <c r="I55" s="24">
        <v>18537</v>
      </c>
      <c r="J55" s="24">
        <v>349876</v>
      </c>
      <c r="L55" s="22"/>
    </row>
    <row r="56" spans="1:15">
      <c r="A56" s="55">
        <v>30</v>
      </c>
      <c r="B56" s="19" t="s">
        <v>428</v>
      </c>
      <c r="C56" s="24">
        <v>108972</v>
      </c>
      <c r="D56" s="24">
        <v>49235</v>
      </c>
      <c r="E56" s="24">
        <v>8760</v>
      </c>
      <c r="F56" s="24">
        <v>328129</v>
      </c>
      <c r="G56" s="24">
        <v>202707</v>
      </c>
      <c r="H56" s="49">
        <f t="shared" si="1"/>
        <v>530836</v>
      </c>
      <c r="I56" s="24">
        <v>3748337</v>
      </c>
      <c r="J56" s="24">
        <v>4446140</v>
      </c>
      <c r="K56" s="22"/>
      <c r="M56" s="22"/>
    </row>
    <row r="57" spans="1:15">
      <c r="A57" s="55">
        <v>31</v>
      </c>
      <c r="B57" s="19" t="s">
        <v>429</v>
      </c>
      <c r="C57" s="24">
        <v>14497</v>
      </c>
      <c r="D57" s="24">
        <v>1044</v>
      </c>
      <c r="E57" s="24">
        <v>14803</v>
      </c>
      <c r="F57" s="10" t="s">
        <v>407</v>
      </c>
      <c r="G57" s="10" t="s">
        <v>407</v>
      </c>
      <c r="H57" s="49"/>
      <c r="I57" s="24">
        <v>118868</v>
      </c>
      <c r="J57" s="24">
        <v>149212</v>
      </c>
      <c r="L57" s="22"/>
    </row>
    <row r="58" spans="1:15">
      <c r="A58" s="55">
        <v>32</v>
      </c>
      <c r="B58" s="55" t="s">
        <v>458</v>
      </c>
      <c r="C58" s="62"/>
      <c r="D58" s="62"/>
      <c r="E58" s="62"/>
      <c r="F58" s="46"/>
      <c r="G58" s="46"/>
      <c r="H58" s="49"/>
      <c r="I58" s="62"/>
      <c r="J58" s="62"/>
      <c r="L58" s="22"/>
    </row>
    <row r="59" spans="1:15">
      <c r="A59" s="55">
        <v>33</v>
      </c>
      <c r="B59" s="19" t="s">
        <v>430</v>
      </c>
      <c r="C59" s="24">
        <v>223655</v>
      </c>
      <c r="D59" s="24">
        <v>12529</v>
      </c>
      <c r="E59" s="24">
        <v>19140</v>
      </c>
      <c r="F59" s="24">
        <v>265003</v>
      </c>
      <c r="G59" s="24">
        <v>294428</v>
      </c>
      <c r="H59" s="49">
        <f t="shared" si="1"/>
        <v>559431</v>
      </c>
      <c r="I59" s="24">
        <v>614761</v>
      </c>
      <c r="J59" s="24">
        <v>1429516</v>
      </c>
      <c r="K59" s="22"/>
      <c r="M59" s="22"/>
    </row>
    <row r="60" spans="1:15">
      <c r="A60" s="55">
        <v>34</v>
      </c>
      <c r="B60" s="19" t="s">
        <v>431</v>
      </c>
      <c r="C60" s="24">
        <v>920</v>
      </c>
      <c r="D60" s="24">
        <v>250</v>
      </c>
      <c r="E60" s="24">
        <v>787</v>
      </c>
      <c r="F60" s="24">
        <v>13625</v>
      </c>
      <c r="G60" s="24">
        <v>18115</v>
      </c>
      <c r="H60" s="49">
        <f t="shared" si="1"/>
        <v>31740</v>
      </c>
      <c r="I60" s="24">
        <v>15398</v>
      </c>
      <c r="J60" s="24">
        <v>49095</v>
      </c>
      <c r="L60" s="22"/>
    </row>
    <row r="61" spans="1:15">
      <c r="A61" s="55">
        <v>35</v>
      </c>
      <c r="B61" s="19" t="s">
        <v>432</v>
      </c>
      <c r="C61" s="24">
        <v>823693</v>
      </c>
      <c r="D61" s="24">
        <v>225423</v>
      </c>
      <c r="E61" s="24">
        <v>143470</v>
      </c>
      <c r="F61" s="24">
        <v>112470</v>
      </c>
      <c r="G61" s="24">
        <v>169386</v>
      </c>
      <c r="H61" s="49">
        <f t="shared" si="1"/>
        <v>281856</v>
      </c>
      <c r="I61" s="24">
        <v>1122886</v>
      </c>
      <c r="J61" s="24">
        <v>2597328</v>
      </c>
    </row>
    <row r="62" spans="1:15">
      <c r="A62" s="55">
        <v>36</v>
      </c>
      <c r="B62" s="55" t="s">
        <v>462</v>
      </c>
      <c r="C62" s="57">
        <f t="shared" ref="C62:J62" si="2">SUM(C43:C61)</f>
        <v>20196911</v>
      </c>
      <c r="D62" s="57">
        <f t="shared" si="2"/>
        <v>5704859</v>
      </c>
      <c r="E62" s="57">
        <f t="shared" si="2"/>
        <v>2949241</v>
      </c>
      <c r="F62" s="57">
        <f t="shared" si="2"/>
        <v>9440070</v>
      </c>
      <c r="G62" s="57">
        <f t="shared" si="2"/>
        <v>11957379</v>
      </c>
      <c r="H62" s="57">
        <f t="shared" si="2"/>
        <v>21397449</v>
      </c>
      <c r="I62" s="57">
        <f t="shared" si="2"/>
        <v>22714324</v>
      </c>
      <c r="J62" s="57">
        <f t="shared" si="2"/>
        <v>72962784</v>
      </c>
    </row>
    <row r="63" spans="1:15">
      <c r="A63" s="55">
        <v>37</v>
      </c>
      <c r="B63" s="19" t="s">
        <v>433</v>
      </c>
      <c r="C63" s="25">
        <v>1980005</v>
      </c>
      <c r="D63" s="25">
        <v>582501</v>
      </c>
      <c r="E63" s="25">
        <v>50450</v>
      </c>
      <c r="F63" s="25">
        <v>46621</v>
      </c>
      <c r="G63" s="25">
        <v>76594</v>
      </c>
      <c r="H63" s="49">
        <f>F63+G63</f>
        <v>123215</v>
      </c>
      <c r="I63" s="25">
        <v>747316</v>
      </c>
      <c r="J63" s="24">
        <v>3483487</v>
      </c>
      <c r="L63" s="22"/>
      <c r="N63" s="22"/>
    </row>
    <row r="64" spans="1:15">
      <c r="A64" s="55">
        <v>38</v>
      </c>
      <c r="B64" s="32" t="s">
        <v>434</v>
      </c>
      <c r="C64" s="27">
        <v>22176916</v>
      </c>
      <c r="D64" s="27">
        <v>6287360</v>
      </c>
      <c r="E64" s="27">
        <v>2999691</v>
      </c>
      <c r="F64" s="27">
        <v>9486691</v>
      </c>
      <c r="G64" s="27">
        <v>12033973</v>
      </c>
      <c r="H64" s="50">
        <f>SUM(H62:H63)</f>
        <v>21520664</v>
      </c>
      <c r="I64" s="27">
        <v>23461640</v>
      </c>
      <c r="J64" s="33">
        <v>76446271</v>
      </c>
      <c r="K64" s="44"/>
      <c r="L64" s="44"/>
    </row>
    <row r="65" spans="1:15">
      <c r="A65" s="55"/>
      <c r="B65" s="39" t="s">
        <v>435</v>
      </c>
      <c r="C65" s="28" t="s">
        <v>407</v>
      </c>
      <c r="D65" s="28" t="s">
        <v>407</v>
      </c>
      <c r="E65" s="28" t="s">
        <v>407</v>
      </c>
      <c r="F65" s="29">
        <v>-105151</v>
      </c>
      <c r="G65" s="29">
        <v>-44173</v>
      </c>
      <c r="H65" s="51">
        <f>F65+G65</f>
        <v>-149324</v>
      </c>
      <c r="I65" s="29">
        <v>-556774</v>
      </c>
      <c r="J65" s="36">
        <v>-706098</v>
      </c>
      <c r="L65" s="22"/>
      <c r="N65" s="22"/>
    </row>
    <row r="66" spans="1:15">
      <c r="A66" s="55"/>
      <c r="B66" s="19" t="s">
        <v>436</v>
      </c>
      <c r="C66" s="24">
        <v>-10943653</v>
      </c>
      <c r="D66" s="10" t="s">
        <v>407</v>
      </c>
      <c r="E66" s="10" t="s">
        <v>407</v>
      </c>
      <c r="F66" s="10" t="s">
        <v>407</v>
      </c>
      <c r="G66" s="10" t="s">
        <v>407</v>
      </c>
      <c r="H66" s="51"/>
      <c r="I66" s="24">
        <v>-5219532</v>
      </c>
      <c r="J66" s="24">
        <v>-16163185</v>
      </c>
    </row>
    <row r="67" spans="1:15">
      <c r="A67" s="55"/>
      <c r="B67" s="19" t="s">
        <v>437</v>
      </c>
      <c r="C67" s="26" t="s">
        <v>407</v>
      </c>
      <c r="D67" s="25">
        <v>-144840</v>
      </c>
      <c r="E67" s="26" t="s">
        <v>407</v>
      </c>
      <c r="F67" s="25">
        <v>10201</v>
      </c>
      <c r="G67" s="26" t="s">
        <v>407</v>
      </c>
      <c r="H67" s="51"/>
      <c r="I67" s="25">
        <v>-141317</v>
      </c>
      <c r="J67" s="24">
        <v>-275956</v>
      </c>
      <c r="K67" s="22"/>
      <c r="M67" s="22"/>
    </row>
    <row r="68" spans="1:15">
      <c r="A68" s="60" t="s">
        <v>357</v>
      </c>
      <c r="B68" s="32" t="s">
        <v>438</v>
      </c>
      <c r="C68" s="27">
        <v>144735</v>
      </c>
      <c r="D68" s="27">
        <v>3226164</v>
      </c>
      <c r="E68" s="27">
        <v>-1785191</v>
      </c>
      <c r="F68" s="27">
        <v>-2939223</v>
      </c>
      <c r="G68" s="27">
        <v>-8830177</v>
      </c>
      <c r="H68" s="52">
        <f>H41-H64+H65</f>
        <v>-11779593</v>
      </c>
      <c r="I68" s="27">
        <v>6854324</v>
      </c>
      <c r="J68" s="33">
        <v>-3329368</v>
      </c>
      <c r="L68" s="22"/>
    </row>
    <row r="69" spans="1:15">
      <c r="A69" s="55"/>
      <c r="B69" s="19" t="s">
        <v>439</v>
      </c>
      <c r="C69" s="11"/>
      <c r="D69" s="11"/>
      <c r="E69" s="11"/>
      <c r="F69" s="11"/>
      <c r="G69" s="11"/>
      <c r="H69" s="53"/>
      <c r="I69" s="11"/>
      <c r="J69" s="11">
        <v>10083633</v>
      </c>
      <c r="L69" s="22"/>
      <c r="N69" s="22"/>
    </row>
    <row r="70" spans="1:15">
      <c r="A70" s="55"/>
      <c r="B70" s="31" t="s">
        <v>442</v>
      </c>
      <c r="C70" s="34"/>
      <c r="D70" s="34"/>
      <c r="E70" s="34"/>
      <c r="F70" s="34"/>
      <c r="G70" s="34"/>
      <c r="H70" s="54"/>
      <c r="I70" s="34"/>
      <c r="J70" s="34">
        <v>6754265</v>
      </c>
      <c r="K70" s="22"/>
    </row>
    <row r="71" spans="1:15">
      <c r="E71" s="22"/>
      <c r="H71" s="55"/>
      <c r="I71" s="22"/>
      <c r="J71" s="22"/>
    </row>
    <row r="72" spans="1:15">
      <c r="A72" s="19" t="s">
        <v>440</v>
      </c>
      <c r="H72" s="55"/>
      <c r="K72" s="22"/>
      <c r="M72" s="22"/>
      <c r="O72" s="22"/>
    </row>
    <row r="73" spans="1:15">
      <c r="B73" s="23"/>
      <c r="C73" s="23"/>
      <c r="D73" s="23"/>
      <c r="E73" s="23"/>
      <c r="F73" s="23"/>
      <c r="G73" s="23"/>
      <c r="H73" s="56"/>
      <c r="I73" s="23"/>
    </row>
    <row r="74" spans="1:15">
      <c r="A74" s="13" t="s">
        <v>357</v>
      </c>
      <c r="B74" s="23" t="s">
        <v>465</v>
      </c>
      <c r="C74" s="44">
        <f>C41-C64+C66</f>
        <v>144735</v>
      </c>
      <c r="D74" s="44">
        <f>D41-D64+D67</f>
        <v>3226164</v>
      </c>
      <c r="E74" s="44">
        <f>E41-E64</f>
        <v>-1785191</v>
      </c>
      <c r="F74" s="44">
        <f>F41-F64+F65+F67</f>
        <v>-2939223</v>
      </c>
      <c r="G74" s="44">
        <f>G41-G64+G65</f>
        <v>-8830177</v>
      </c>
      <c r="H74" s="58">
        <f>H68</f>
        <v>-11779593</v>
      </c>
      <c r="I74" s="44">
        <f>I41-I64+I65+I66+I67</f>
        <v>6854324</v>
      </c>
      <c r="J74" s="44">
        <f>J41-J64+J65+J66+J67</f>
        <v>-3329368</v>
      </c>
    </row>
    <row r="75" spans="1:15">
      <c r="A75" s="60" t="s">
        <v>357</v>
      </c>
      <c r="B75" s="56" t="s">
        <v>464</v>
      </c>
      <c r="C75" s="57">
        <f t="shared" ref="C75:J75" si="3">C41-C64</f>
        <v>11088388</v>
      </c>
      <c r="D75" s="57">
        <f t="shared" si="3"/>
        <v>3371004</v>
      </c>
      <c r="E75" s="57">
        <f t="shared" si="3"/>
        <v>-1785191</v>
      </c>
      <c r="F75" s="57">
        <f t="shared" si="3"/>
        <v>-2844273</v>
      </c>
      <c r="G75" s="57">
        <f t="shared" si="3"/>
        <v>-8786004</v>
      </c>
      <c r="H75" s="57">
        <f t="shared" si="3"/>
        <v>-11630269</v>
      </c>
      <c r="I75" s="57">
        <f t="shared" si="3"/>
        <v>12771947</v>
      </c>
      <c r="J75" s="57">
        <f t="shared" si="3"/>
        <v>13815871</v>
      </c>
    </row>
    <row r="76" spans="1:15">
      <c r="C76" s="44"/>
      <c r="D76" s="44"/>
      <c r="E76" s="44"/>
      <c r="F76" s="44"/>
      <c r="G76" s="44"/>
      <c r="H76" s="44"/>
      <c r="I76" s="44"/>
      <c r="J76" s="44"/>
    </row>
    <row r="77" spans="1:15">
      <c r="C77" s="44">
        <f>C62+C63</f>
        <v>22176916</v>
      </c>
      <c r="D77" s="44">
        <f t="shared" ref="D77:J77" si="4">D62+D63</f>
        <v>6287360</v>
      </c>
      <c r="E77" s="44">
        <f t="shared" si="4"/>
        <v>2999691</v>
      </c>
      <c r="F77" s="44">
        <f t="shared" si="4"/>
        <v>9486691</v>
      </c>
      <c r="G77" s="44">
        <f t="shared" si="4"/>
        <v>12033973</v>
      </c>
      <c r="H77" s="44">
        <f t="shared" si="4"/>
        <v>21520664</v>
      </c>
      <c r="I77" s="44">
        <f t="shared" si="4"/>
        <v>23461640</v>
      </c>
      <c r="J77" s="44">
        <f t="shared" si="4"/>
        <v>76446271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"/>
  <sheetViews>
    <sheetView workbookViewId="0">
      <selection activeCell="M20" sqref="M20"/>
    </sheetView>
  </sheetViews>
  <sheetFormatPr baseColWidth="10" defaultRowHeight="16"/>
  <sheetData>
    <row r="1" spans="1:12">
      <c r="A1" t="s">
        <v>392</v>
      </c>
    </row>
    <row r="2" spans="1:12">
      <c r="A2" t="s">
        <v>393</v>
      </c>
    </row>
    <row r="3" spans="1:12">
      <c r="A3" t="s">
        <v>394</v>
      </c>
    </row>
    <row r="4" spans="1:12">
      <c r="A4" t="s">
        <v>395</v>
      </c>
    </row>
    <row r="6" spans="1:12">
      <c r="A6" t="s">
        <v>396</v>
      </c>
    </row>
    <row r="7" spans="1:12"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</row>
    <row r="8" spans="1:12"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</row>
    <row r="9" spans="1:12">
      <c r="A9" t="s">
        <v>259</v>
      </c>
      <c r="B9" s="16">
        <v>145637</v>
      </c>
      <c r="C9">
        <v>2014</v>
      </c>
      <c r="D9">
        <v>1</v>
      </c>
      <c r="E9" t="s">
        <v>251</v>
      </c>
      <c r="F9" s="9">
        <v>684153</v>
      </c>
      <c r="G9" s="9">
        <v>925431</v>
      </c>
      <c r="H9" s="9">
        <v>34738</v>
      </c>
      <c r="I9" s="9">
        <v>34738</v>
      </c>
      <c r="J9" t="s">
        <v>348</v>
      </c>
      <c r="K9" s="9">
        <v>1676715</v>
      </c>
      <c r="L9" t="s">
        <v>450</v>
      </c>
    </row>
    <row r="10" spans="1:12">
      <c r="A10" t="s">
        <v>259</v>
      </c>
      <c r="B10" s="16">
        <v>145637</v>
      </c>
      <c r="C10">
        <v>2014</v>
      </c>
      <c r="D10">
        <v>1</v>
      </c>
      <c r="E10" t="s">
        <v>251</v>
      </c>
      <c r="F10" s="9">
        <v>684153</v>
      </c>
      <c r="G10" s="9">
        <v>925431</v>
      </c>
      <c r="H10" s="9">
        <v>34738</v>
      </c>
      <c r="I10" s="9">
        <v>34738</v>
      </c>
      <c r="J10" t="s">
        <v>452</v>
      </c>
      <c r="K10" s="9">
        <f>SUM(F10:J10)</f>
        <v>1679060</v>
      </c>
      <c r="L10" t="s">
        <v>451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95"/>
  <sheetViews>
    <sheetView workbookViewId="0">
      <selection activeCell="N1" sqref="N1"/>
    </sheetView>
  </sheetViews>
  <sheetFormatPr baseColWidth="10" defaultRowHeight="16"/>
  <cols>
    <col min="1" max="1" width="20.33203125" customWidth="1"/>
    <col min="2" max="2" width="12.83203125" customWidth="1"/>
    <col min="3" max="3" width="11.5" customWidth="1"/>
    <col min="4" max="4" width="12.6640625" bestFit="1" customWidth="1"/>
    <col min="5" max="5" width="11.83203125" customWidth="1"/>
    <col min="6" max="6" width="10.1640625" bestFit="1" customWidth="1"/>
    <col min="7" max="7" width="11" customWidth="1"/>
    <col min="8" max="8" width="10" bestFit="1" customWidth="1"/>
    <col min="9" max="9" width="12.83203125" bestFit="1" customWidth="1"/>
    <col min="10" max="10" width="15.1640625" bestFit="1" customWidth="1"/>
    <col min="11" max="11" width="17.83203125" bestFit="1" customWidth="1"/>
    <col min="12" max="12" width="12" bestFit="1" customWidth="1"/>
    <col min="13" max="13" width="14.6640625" bestFit="1" customWidth="1"/>
    <col min="14" max="14" width="11.33203125" customWidth="1"/>
    <col min="15" max="15" width="10.5" customWidth="1"/>
    <col min="16" max="16" width="11" bestFit="1" customWidth="1"/>
    <col min="17" max="17" width="13.83203125" bestFit="1" customWidth="1"/>
    <col min="18" max="18" width="13.6640625" customWidth="1"/>
    <col min="19" max="19" width="18.6640625" customWidth="1"/>
    <col min="20" max="20" width="13.33203125" customWidth="1"/>
  </cols>
  <sheetData>
    <row r="1" spans="1:20">
      <c r="A1" t="s">
        <v>447</v>
      </c>
    </row>
    <row r="2" spans="1:20">
      <c r="A2" t="s">
        <v>448</v>
      </c>
      <c r="B2" s="3"/>
      <c r="C2" s="3"/>
      <c r="D2" s="3"/>
      <c r="F2" s="3"/>
      <c r="G2" s="3"/>
      <c r="J2" s="3"/>
      <c r="K2" s="3"/>
    </row>
    <row r="3" spans="1:20">
      <c r="A3" t="s">
        <v>449</v>
      </c>
      <c r="B3" s="3"/>
      <c r="C3" s="3"/>
      <c r="D3" s="3"/>
      <c r="F3" s="3"/>
      <c r="G3" s="3"/>
      <c r="J3" s="3"/>
      <c r="K3" s="3"/>
    </row>
    <row r="4" spans="1:20">
      <c r="B4" s="3"/>
      <c r="C4" s="3"/>
      <c r="D4" s="3"/>
      <c r="F4" s="3"/>
      <c r="G4" s="3"/>
      <c r="J4" s="3"/>
      <c r="K4" s="3"/>
    </row>
    <row r="5" spans="1:20">
      <c r="A5" t="s">
        <v>367</v>
      </c>
      <c r="B5" s="3"/>
      <c r="C5" s="3"/>
      <c r="D5" s="3"/>
      <c r="F5" s="3"/>
      <c r="G5" s="3"/>
      <c r="J5" s="3"/>
      <c r="K5" s="3"/>
    </row>
    <row r="6" spans="1:20">
      <c r="A6" s="14" t="s">
        <v>368</v>
      </c>
      <c r="B6" s="15" t="s">
        <v>370</v>
      </c>
      <c r="C6" s="15" t="s">
        <v>374</v>
      </c>
      <c r="D6" s="15" t="s">
        <v>375</v>
      </c>
      <c r="E6" s="14" t="s">
        <v>371</v>
      </c>
      <c r="F6" s="15" t="s">
        <v>372</v>
      </c>
      <c r="G6" s="15" t="s">
        <v>373</v>
      </c>
      <c r="H6" s="15" t="s">
        <v>376</v>
      </c>
      <c r="I6" s="15" t="s">
        <v>377</v>
      </c>
      <c r="J6" s="15" t="s">
        <v>378</v>
      </c>
      <c r="K6" s="15" t="s">
        <v>379</v>
      </c>
      <c r="L6" s="15" t="s">
        <v>380</v>
      </c>
      <c r="M6" s="15" t="s">
        <v>381</v>
      </c>
      <c r="N6" s="15" t="s">
        <v>382</v>
      </c>
      <c r="O6" s="15" t="s">
        <v>383</v>
      </c>
      <c r="P6" s="15" t="s">
        <v>384</v>
      </c>
      <c r="Q6" s="15" t="s">
        <v>385</v>
      </c>
      <c r="R6" s="40" t="s">
        <v>391</v>
      </c>
      <c r="S6" s="15" t="s">
        <v>387</v>
      </c>
      <c r="T6" s="15" t="s">
        <v>386</v>
      </c>
    </row>
    <row r="7" spans="1:20">
      <c r="A7">
        <v>1</v>
      </c>
      <c r="B7" s="12">
        <v>34089405</v>
      </c>
      <c r="C7" s="12">
        <v>3107303</v>
      </c>
      <c r="D7" s="12">
        <v>267243</v>
      </c>
      <c r="E7" s="12">
        <v>217865</v>
      </c>
      <c r="F7" s="12">
        <v>987150</v>
      </c>
      <c r="G7" s="12">
        <v>71903</v>
      </c>
      <c r="H7" s="12"/>
      <c r="I7" s="12"/>
      <c r="J7" s="12"/>
      <c r="K7" s="12">
        <v>-4094</v>
      </c>
      <c r="L7" s="12">
        <v>-299</v>
      </c>
      <c r="M7" s="12">
        <v>-244</v>
      </c>
      <c r="N7" s="12"/>
      <c r="O7" s="12">
        <v>25397</v>
      </c>
      <c r="P7" s="12">
        <v>71192</v>
      </c>
      <c r="Q7" s="12">
        <v>80528</v>
      </c>
      <c r="R7" s="41">
        <f>SUM(E7:Q7)</f>
        <v>1449398</v>
      </c>
      <c r="S7" s="12">
        <v>14742050</v>
      </c>
      <c r="T7" s="12">
        <f>SUM(B7:Q7,S7)</f>
        <v>53655399</v>
      </c>
    </row>
    <row r="8" spans="1:20">
      <c r="A8">
        <f>1+A7</f>
        <v>2</v>
      </c>
      <c r="B8" s="12" t="s">
        <v>237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1">
        <f t="shared" ref="R8:R46" si="0">SUM(E8:Q8)</f>
        <v>0</v>
      </c>
      <c r="S8" s="12"/>
      <c r="T8" s="12">
        <f t="shared" ref="T8:T46" si="1">SUM(B8:Q8,S8)</f>
        <v>0</v>
      </c>
    </row>
    <row r="9" spans="1:20">
      <c r="A9">
        <f t="shared" ref="A9:A22" si="2">1+A8</f>
        <v>3</v>
      </c>
      <c r="B9" s="12">
        <v>450000</v>
      </c>
      <c r="C9" s="12"/>
      <c r="D9" s="12"/>
      <c r="E9" s="12">
        <v>4000</v>
      </c>
      <c r="F9" s="12"/>
      <c r="G9" s="12"/>
      <c r="H9" s="12"/>
      <c r="I9" s="12"/>
      <c r="J9" s="12"/>
      <c r="K9" s="12"/>
      <c r="L9" s="12"/>
      <c r="M9" s="12"/>
      <c r="N9" s="12"/>
      <c r="O9" s="12">
        <v>1500</v>
      </c>
      <c r="P9" s="12"/>
      <c r="Q9" s="12"/>
      <c r="R9" s="41">
        <f t="shared" si="0"/>
        <v>5500</v>
      </c>
      <c r="S9" s="12"/>
      <c r="T9" s="12">
        <f t="shared" si="1"/>
        <v>455500</v>
      </c>
    </row>
    <row r="10" spans="1:20">
      <c r="A10">
        <f t="shared" si="2"/>
        <v>4</v>
      </c>
      <c r="B10" s="12">
        <v>30921120</v>
      </c>
      <c r="C10" s="12">
        <v>3194884</v>
      </c>
      <c r="D10" s="12">
        <v>482409</v>
      </c>
      <c r="E10" s="12">
        <v>164730</v>
      </c>
      <c r="F10" s="12">
        <v>2259882</v>
      </c>
      <c r="G10" s="12">
        <v>141050</v>
      </c>
      <c r="H10" s="12">
        <v>37235</v>
      </c>
      <c r="I10" s="12">
        <v>36900</v>
      </c>
      <c r="J10" s="12">
        <v>39276</v>
      </c>
      <c r="K10" s="12">
        <v>35844</v>
      </c>
      <c r="L10" s="12">
        <v>37775</v>
      </c>
      <c r="M10" s="12">
        <v>35257</v>
      </c>
      <c r="N10" s="12">
        <v>35589</v>
      </c>
      <c r="O10" s="12">
        <v>35971</v>
      </c>
      <c r="P10" s="12">
        <v>37313</v>
      </c>
      <c r="Q10" s="12">
        <v>35345</v>
      </c>
      <c r="R10" s="41">
        <f t="shared" si="0"/>
        <v>2932167</v>
      </c>
      <c r="S10" s="12">
        <v>102450</v>
      </c>
      <c r="T10" s="12">
        <f t="shared" si="1"/>
        <v>37633030</v>
      </c>
    </row>
    <row r="11" spans="1:20">
      <c r="A11">
        <f t="shared" si="2"/>
        <v>5</v>
      </c>
      <c r="B11" s="12" t="s">
        <v>237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41"/>
      <c r="S11" s="12"/>
      <c r="T11" s="12"/>
    </row>
    <row r="12" spans="1:20">
      <c r="A12">
        <f t="shared" si="2"/>
        <v>6</v>
      </c>
      <c r="B12" s="12" t="s">
        <v>237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41"/>
      <c r="S12" s="12"/>
      <c r="T12" s="12"/>
    </row>
    <row r="13" spans="1:20">
      <c r="A13">
        <f t="shared" si="2"/>
        <v>7</v>
      </c>
      <c r="B13" s="12" t="s">
        <v>237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41"/>
      <c r="S13" s="12"/>
      <c r="T13" s="12"/>
    </row>
    <row r="14" spans="1:20">
      <c r="A14">
        <f t="shared" si="2"/>
        <v>8</v>
      </c>
      <c r="B14" s="12" t="s">
        <v>237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41"/>
      <c r="S14" s="12"/>
      <c r="T14" s="12"/>
    </row>
    <row r="15" spans="1:20">
      <c r="A15">
        <f t="shared" si="2"/>
        <v>9</v>
      </c>
      <c r="B15" s="12">
        <v>17098014</v>
      </c>
      <c r="C15" s="12">
        <v>5348019</v>
      </c>
      <c r="D15" s="12">
        <v>179616</v>
      </c>
      <c r="E15" s="12">
        <v>133057</v>
      </c>
      <c r="F15" s="12">
        <v>121486</v>
      </c>
      <c r="G15" s="12">
        <v>78058</v>
      </c>
      <c r="H15" s="12">
        <v>35263</v>
      </c>
      <c r="I15" s="12">
        <v>43501</v>
      </c>
      <c r="J15" s="12">
        <v>144062</v>
      </c>
      <c r="K15" s="12">
        <v>167249</v>
      </c>
      <c r="L15" s="12">
        <v>43598</v>
      </c>
      <c r="M15" s="12">
        <v>58757</v>
      </c>
      <c r="N15" s="12">
        <v>127248</v>
      </c>
      <c r="O15" s="12">
        <v>93802</v>
      </c>
      <c r="P15" s="12">
        <v>109092</v>
      </c>
      <c r="Q15" s="12">
        <v>134108</v>
      </c>
      <c r="R15" s="41">
        <f t="shared" si="0"/>
        <v>1289281</v>
      </c>
      <c r="S15" s="12"/>
      <c r="T15" s="12">
        <f t="shared" si="1"/>
        <v>23914930</v>
      </c>
    </row>
    <row r="16" spans="1:20">
      <c r="A16">
        <f t="shared" si="2"/>
        <v>10</v>
      </c>
      <c r="B16" s="12">
        <v>26422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41"/>
      <c r="S16" s="12"/>
      <c r="T16" s="12">
        <f t="shared" si="1"/>
        <v>26422</v>
      </c>
    </row>
    <row r="17" spans="1:20">
      <c r="A17">
        <f t="shared" si="2"/>
        <v>11</v>
      </c>
      <c r="B17" s="12">
        <v>2573665</v>
      </c>
      <c r="C17" s="12">
        <v>403123</v>
      </c>
      <c r="D17" s="12">
        <v>98148</v>
      </c>
      <c r="E17" s="12">
        <v>72009</v>
      </c>
      <c r="F17" s="12">
        <v>344870</v>
      </c>
      <c r="G17" s="12">
        <v>49205</v>
      </c>
      <c r="H17" s="12">
        <v>5100</v>
      </c>
      <c r="I17" s="12">
        <v>5100</v>
      </c>
      <c r="J17" s="12">
        <v>3542</v>
      </c>
      <c r="K17" s="12">
        <v>3542</v>
      </c>
      <c r="L17" s="12">
        <v>4083</v>
      </c>
      <c r="M17" s="12">
        <v>4083</v>
      </c>
      <c r="N17" s="12">
        <v>3400</v>
      </c>
      <c r="O17" s="12">
        <v>25345</v>
      </c>
      <c r="P17" s="12">
        <v>29200</v>
      </c>
      <c r="Q17" s="12">
        <v>31357</v>
      </c>
      <c r="R17" s="41">
        <f t="shared" si="0"/>
        <v>580836</v>
      </c>
      <c r="S17" s="12">
        <v>1169528</v>
      </c>
      <c r="T17" s="12">
        <f t="shared" si="1"/>
        <v>4825300</v>
      </c>
    </row>
    <row r="18" spans="1:20">
      <c r="A18">
        <f t="shared" si="2"/>
        <v>12</v>
      </c>
      <c r="B18" s="12">
        <v>25550017</v>
      </c>
      <c r="C18" s="12">
        <v>2468798</v>
      </c>
      <c r="D18" s="12">
        <v>402844</v>
      </c>
      <c r="E18" s="12">
        <v>213517</v>
      </c>
      <c r="F18" s="12">
        <v>834774</v>
      </c>
      <c r="G18" s="12">
        <v>193013</v>
      </c>
      <c r="H18" s="12">
        <v>22295</v>
      </c>
      <c r="I18" s="12">
        <v>22295</v>
      </c>
      <c r="J18" s="12">
        <v>25468</v>
      </c>
      <c r="K18" s="12">
        <v>79256</v>
      </c>
      <c r="L18" s="12">
        <v>21307</v>
      </c>
      <c r="M18" s="12">
        <v>21336</v>
      </c>
      <c r="N18" s="12">
        <v>21468</v>
      </c>
      <c r="O18" s="12">
        <v>39740</v>
      </c>
      <c r="P18" s="12">
        <v>64484</v>
      </c>
      <c r="Q18" s="12">
        <v>69529</v>
      </c>
      <c r="R18" s="41">
        <f t="shared" si="0"/>
        <v>1628482</v>
      </c>
      <c r="S18" s="12">
        <v>1905642</v>
      </c>
      <c r="T18" s="12">
        <f t="shared" si="1"/>
        <v>31955783</v>
      </c>
    </row>
    <row r="19" spans="1:20">
      <c r="A19">
        <f t="shared" si="2"/>
        <v>13</v>
      </c>
      <c r="B19" s="12">
        <v>290530</v>
      </c>
      <c r="C19" s="12">
        <v>298808</v>
      </c>
      <c r="D19" s="12">
        <v>172595</v>
      </c>
      <c r="E19" s="12">
        <v>735929</v>
      </c>
      <c r="F19" s="12">
        <v>364174</v>
      </c>
      <c r="G19" s="12">
        <v>172162</v>
      </c>
      <c r="H19" s="12">
        <v>216118</v>
      </c>
      <c r="I19" s="12">
        <v>56967</v>
      </c>
      <c r="J19" s="12">
        <v>507382</v>
      </c>
      <c r="K19" s="12">
        <v>507382</v>
      </c>
      <c r="L19" s="12">
        <v>73491</v>
      </c>
      <c r="M19" s="12">
        <v>73491</v>
      </c>
      <c r="N19" s="12">
        <v>17825</v>
      </c>
      <c r="O19" s="12">
        <v>370606</v>
      </c>
      <c r="P19" s="12">
        <v>32992</v>
      </c>
      <c r="Q19" s="12">
        <v>32993</v>
      </c>
      <c r="R19" s="41">
        <f t="shared" si="0"/>
        <v>3161512</v>
      </c>
      <c r="S19" s="12">
        <v>603332</v>
      </c>
      <c r="T19" s="12">
        <f t="shared" si="1"/>
        <v>4526777</v>
      </c>
    </row>
    <row r="20" spans="1:20">
      <c r="A20">
        <f t="shared" si="2"/>
        <v>14</v>
      </c>
      <c r="B20" s="12">
        <v>633745</v>
      </c>
      <c r="C20" s="12">
        <v>141751</v>
      </c>
      <c r="D20" s="12">
        <v>52686</v>
      </c>
      <c r="E20" s="12">
        <v>35286</v>
      </c>
      <c r="F20" s="12">
        <v>90364</v>
      </c>
      <c r="G20" s="12">
        <v>26230</v>
      </c>
      <c r="H20" s="12">
        <v>11938</v>
      </c>
      <c r="I20" s="12">
        <v>12943</v>
      </c>
      <c r="J20" s="12">
        <v>61540</v>
      </c>
      <c r="K20" s="12">
        <v>38743</v>
      </c>
      <c r="L20" s="12">
        <v>14023</v>
      </c>
      <c r="M20" s="12">
        <v>20884</v>
      </c>
      <c r="N20" s="12">
        <v>47584</v>
      </c>
      <c r="O20" s="12">
        <v>35732</v>
      </c>
      <c r="P20" s="12">
        <v>22458</v>
      </c>
      <c r="Q20" s="12">
        <v>25358</v>
      </c>
      <c r="R20" s="41">
        <f t="shared" si="0"/>
        <v>443083</v>
      </c>
      <c r="S20" s="12">
        <v>33100</v>
      </c>
      <c r="T20" s="12">
        <f t="shared" si="1"/>
        <v>1304365</v>
      </c>
    </row>
    <row r="21" spans="1:20">
      <c r="A21">
        <f t="shared" si="2"/>
        <v>15</v>
      </c>
      <c r="B21" s="12">
        <v>875244</v>
      </c>
      <c r="C21" s="12"/>
      <c r="D21" s="12"/>
      <c r="E21" s="12"/>
      <c r="F21" s="12"/>
      <c r="G21" s="12"/>
      <c r="H21" s="12">
        <v>250</v>
      </c>
      <c r="I21" s="12">
        <v>8000</v>
      </c>
      <c r="J21" s="12">
        <v>1100</v>
      </c>
      <c r="K21" s="12">
        <v>1100</v>
      </c>
      <c r="L21" s="12">
        <v>3270</v>
      </c>
      <c r="M21" s="12">
        <v>620</v>
      </c>
      <c r="N21" s="12">
        <v>3800</v>
      </c>
      <c r="O21" s="12"/>
      <c r="P21" s="12">
        <v>50882</v>
      </c>
      <c r="Q21" s="12">
        <v>57557</v>
      </c>
      <c r="R21" s="41">
        <f t="shared" si="0"/>
        <v>126579</v>
      </c>
      <c r="S21" s="12">
        <v>1735853</v>
      </c>
      <c r="T21" s="12">
        <f t="shared" si="1"/>
        <v>2737676</v>
      </c>
    </row>
    <row r="22" spans="1:20">
      <c r="A22">
        <f t="shared" si="2"/>
        <v>16</v>
      </c>
      <c r="B22" s="12">
        <f>SUM(B7:B21)</f>
        <v>112508162</v>
      </c>
      <c r="C22" s="12">
        <f>SUM(C7:C21)</f>
        <v>14962686</v>
      </c>
      <c r="D22" s="12">
        <f>SUM(D7:D21)</f>
        <v>1655541</v>
      </c>
      <c r="E22" s="12">
        <f t="shared" ref="E22:S22" si="3">SUM(E7:E21)</f>
        <v>1576393</v>
      </c>
      <c r="F22" s="12">
        <f t="shared" si="3"/>
        <v>5002700</v>
      </c>
      <c r="G22" s="12">
        <f t="shared" si="3"/>
        <v>731621</v>
      </c>
      <c r="H22" s="12">
        <f t="shared" si="3"/>
        <v>328199</v>
      </c>
      <c r="I22" s="12">
        <f t="shared" si="3"/>
        <v>185706</v>
      </c>
      <c r="J22" s="12">
        <f t="shared" si="3"/>
        <v>782370</v>
      </c>
      <c r="K22" s="12">
        <f t="shared" si="3"/>
        <v>829022</v>
      </c>
      <c r="L22" s="12">
        <f t="shared" si="3"/>
        <v>197248</v>
      </c>
      <c r="M22" s="12">
        <f t="shared" si="3"/>
        <v>214184</v>
      </c>
      <c r="N22" s="12">
        <f t="shared" si="3"/>
        <v>256914</v>
      </c>
      <c r="O22" s="12">
        <f t="shared" si="3"/>
        <v>628093</v>
      </c>
      <c r="P22" s="12">
        <f t="shared" si="3"/>
        <v>417613</v>
      </c>
      <c r="Q22" s="12">
        <f t="shared" si="3"/>
        <v>466775</v>
      </c>
      <c r="R22" s="41">
        <f t="shared" si="0"/>
        <v>11616838</v>
      </c>
      <c r="S22" s="12">
        <f t="shared" si="3"/>
        <v>20291955</v>
      </c>
      <c r="T22" s="12">
        <f t="shared" si="1"/>
        <v>161035182</v>
      </c>
    </row>
    <row r="23" spans="1:20">
      <c r="A23" t="s">
        <v>369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41"/>
      <c r="S23" s="12"/>
      <c r="T23" s="12"/>
    </row>
    <row r="24" spans="1:20">
      <c r="A24">
        <f>1+A22</f>
        <v>17</v>
      </c>
      <c r="B24" s="12">
        <v>4074402</v>
      </c>
      <c r="C24" s="12">
        <v>662936</v>
      </c>
      <c r="D24" s="12">
        <v>732572</v>
      </c>
      <c r="E24" s="12">
        <v>491939</v>
      </c>
      <c r="F24" s="12">
        <v>361698</v>
      </c>
      <c r="G24" s="12">
        <v>349220</v>
      </c>
      <c r="H24" s="12">
        <v>113630</v>
      </c>
      <c r="I24" s="12">
        <v>178852</v>
      </c>
      <c r="J24" s="12">
        <v>448366</v>
      </c>
      <c r="K24" s="12">
        <v>561840</v>
      </c>
      <c r="L24" s="12">
        <v>143846</v>
      </c>
      <c r="M24" s="12">
        <v>284339</v>
      </c>
      <c r="N24" s="12">
        <v>687386</v>
      </c>
      <c r="O24" s="12">
        <v>518838</v>
      </c>
      <c r="P24" s="12">
        <v>513806</v>
      </c>
      <c r="Q24" s="12">
        <v>581190</v>
      </c>
      <c r="R24" s="41">
        <f t="shared" si="0"/>
        <v>5234950</v>
      </c>
      <c r="S24" s="12">
        <v>137416</v>
      </c>
      <c r="T24" s="12">
        <f t="shared" si="1"/>
        <v>10842276</v>
      </c>
    </row>
    <row r="25" spans="1:20">
      <c r="A25">
        <f t="shared" ref="A25:A45" si="4">1+A24</f>
        <v>18</v>
      </c>
      <c r="B25" s="12">
        <v>1350000</v>
      </c>
      <c r="C25" s="12">
        <v>502500</v>
      </c>
      <c r="D25" s="12">
        <v>97183</v>
      </c>
      <c r="E25" s="12">
        <v>19098</v>
      </c>
      <c r="F25" s="12">
        <v>59688</v>
      </c>
      <c r="G25" s="12">
        <v>16000</v>
      </c>
      <c r="H25" s="12"/>
      <c r="I25" s="12"/>
      <c r="J25" s="12"/>
      <c r="K25" s="12"/>
      <c r="L25" s="12"/>
      <c r="M25" s="12"/>
      <c r="N25" s="12">
        <v>5000</v>
      </c>
      <c r="O25" s="12">
        <v>7000</v>
      </c>
      <c r="P25" s="12"/>
      <c r="Q25" s="12"/>
      <c r="R25" s="41">
        <f t="shared" si="0"/>
        <v>106786</v>
      </c>
      <c r="S25" s="12"/>
      <c r="T25" s="12">
        <f t="shared" si="1"/>
        <v>2056469</v>
      </c>
    </row>
    <row r="26" spans="1:20">
      <c r="A26">
        <f t="shared" si="4"/>
        <v>19</v>
      </c>
      <c r="B26" s="12">
        <v>12518126</v>
      </c>
      <c r="C26" s="12">
        <v>4167913</v>
      </c>
      <c r="D26" s="12">
        <v>1254535</v>
      </c>
      <c r="E26" s="12">
        <v>810760</v>
      </c>
      <c r="F26" s="12">
        <v>1758016</v>
      </c>
      <c r="G26" s="12">
        <v>545162</v>
      </c>
      <c r="H26" s="12">
        <v>385024</v>
      </c>
      <c r="I26" s="12">
        <v>306913</v>
      </c>
      <c r="J26" s="12">
        <v>666247</v>
      </c>
      <c r="K26" s="12">
        <v>565872</v>
      </c>
      <c r="L26" s="12">
        <v>349747</v>
      </c>
      <c r="M26" s="12">
        <v>296653</v>
      </c>
      <c r="N26" s="12">
        <v>290740</v>
      </c>
      <c r="O26" s="12">
        <v>418368</v>
      </c>
      <c r="P26" s="12">
        <v>520509</v>
      </c>
      <c r="Q26" s="12">
        <v>520509</v>
      </c>
      <c r="R26" s="41">
        <f t="shared" si="0"/>
        <v>7434520</v>
      </c>
      <c r="S26" s="12"/>
      <c r="T26" s="12">
        <f t="shared" si="1"/>
        <v>25375094</v>
      </c>
    </row>
    <row r="27" spans="1:20">
      <c r="A27">
        <f t="shared" si="4"/>
        <v>20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41"/>
      <c r="S27" s="12"/>
      <c r="T27" s="12"/>
    </row>
    <row r="28" spans="1:20">
      <c r="A28">
        <f t="shared" si="4"/>
        <v>21</v>
      </c>
      <c r="B28" s="12">
        <v>3580767</v>
      </c>
      <c r="C28" s="12">
        <v>745652</v>
      </c>
      <c r="D28" s="12">
        <v>518905</v>
      </c>
      <c r="E28" s="12">
        <v>185536</v>
      </c>
      <c r="F28" s="12">
        <v>228017</v>
      </c>
      <c r="G28" s="12">
        <v>110692</v>
      </c>
      <c r="H28" s="12">
        <v>125602</v>
      </c>
      <c r="I28" s="12">
        <v>34837</v>
      </c>
      <c r="J28" s="12">
        <v>241201</v>
      </c>
      <c r="K28" s="12">
        <v>139342</v>
      </c>
      <c r="L28" s="12">
        <v>35203</v>
      </c>
      <c r="M28" s="12">
        <v>28363</v>
      </c>
      <c r="N28" s="12">
        <v>96985</v>
      </c>
      <c r="O28" s="12">
        <v>203536</v>
      </c>
      <c r="P28" s="12">
        <v>12512</v>
      </c>
      <c r="Q28" s="12">
        <v>12513</v>
      </c>
      <c r="R28" s="41">
        <f t="shared" si="0"/>
        <v>1454339</v>
      </c>
      <c r="S28" s="12">
        <v>29415034</v>
      </c>
      <c r="T28" s="12">
        <f t="shared" si="1"/>
        <v>35714697</v>
      </c>
    </row>
    <row r="29" spans="1:20">
      <c r="A29">
        <f t="shared" si="4"/>
        <v>22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41"/>
      <c r="S29" s="12"/>
      <c r="T29" s="12"/>
    </row>
    <row r="30" spans="1:20">
      <c r="A30">
        <f t="shared" si="4"/>
        <v>23</v>
      </c>
      <c r="B30" s="12">
        <v>687500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>
        <v>96900</v>
      </c>
      <c r="Q30" s="12"/>
      <c r="R30" s="41">
        <f t="shared" si="0"/>
        <v>96900</v>
      </c>
      <c r="S30" s="12"/>
      <c r="T30" s="12">
        <f t="shared" si="1"/>
        <v>784400</v>
      </c>
    </row>
    <row r="31" spans="1:20">
      <c r="A31">
        <f t="shared" si="4"/>
        <v>24</v>
      </c>
      <c r="B31" s="12">
        <v>594124</v>
      </c>
      <c r="C31" s="12">
        <v>142031</v>
      </c>
      <c r="D31" s="12">
        <v>120868</v>
      </c>
      <c r="E31" s="12">
        <v>51183</v>
      </c>
      <c r="F31" s="12">
        <v>73266</v>
      </c>
      <c r="G31" s="12">
        <v>39759</v>
      </c>
      <c r="H31" s="12">
        <v>33550</v>
      </c>
      <c r="I31" s="12">
        <v>37036</v>
      </c>
      <c r="J31" s="12">
        <v>44230</v>
      </c>
      <c r="K31" s="12">
        <v>61930</v>
      </c>
      <c r="L31" s="12">
        <v>30307</v>
      </c>
      <c r="M31" s="12">
        <v>17826</v>
      </c>
      <c r="N31" s="12">
        <v>46792</v>
      </c>
      <c r="O31" s="12">
        <v>41657</v>
      </c>
      <c r="P31" s="12">
        <v>60734</v>
      </c>
      <c r="Q31" s="12">
        <v>68699</v>
      </c>
      <c r="R31" s="41">
        <f t="shared" si="0"/>
        <v>606969</v>
      </c>
      <c r="S31" s="12"/>
      <c r="T31" s="12">
        <f t="shared" si="1"/>
        <v>1463992</v>
      </c>
    </row>
    <row r="32" spans="1:20">
      <c r="A32">
        <f t="shared" si="4"/>
        <v>25</v>
      </c>
      <c r="B32" s="12">
        <v>2059521</v>
      </c>
      <c r="C32" s="12">
        <v>1394624</v>
      </c>
      <c r="D32" s="12">
        <v>1029002</v>
      </c>
      <c r="E32" s="12">
        <v>488762</v>
      </c>
      <c r="F32" s="12">
        <v>757529</v>
      </c>
      <c r="G32" s="12">
        <v>295581</v>
      </c>
      <c r="H32" s="12">
        <v>150558</v>
      </c>
      <c r="I32" s="12">
        <v>112353</v>
      </c>
      <c r="J32" s="12">
        <v>173062</v>
      </c>
      <c r="K32" s="12">
        <v>202477</v>
      </c>
      <c r="L32" s="12">
        <v>164164</v>
      </c>
      <c r="M32" s="12">
        <v>107910</v>
      </c>
      <c r="N32" s="12">
        <v>271846</v>
      </c>
      <c r="O32" s="12">
        <v>256563</v>
      </c>
      <c r="P32" s="12">
        <v>344300</v>
      </c>
      <c r="Q32" s="12">
        <v>389454</v>
      </c>
      <c r="R32" s="41">
        <f t="shared" si="0"/>
        <v>3714559</v>
      </c>
      <c r="S32" s="12"/>
      <c r="T32" s="12">
        <f t="shared" si="1"/>
        <v>8197706</v>
      </c>
    </row>
    <row r="33" spans="1:20">
      <c r="A33">
        <f t="shared" si="4"/>
        <v>26</v>
      </c>
      <c r="B33" s="12">
        <v>415821</v>
      </c>
      <c r="C33" s="12">
        <v>36086</v>
      </c>
      <c r="D33" s="12">
        <v>29429</v>
      </c>
      <c r="E33" s="12">
        <v>8957</v>
      </c>
      <c r="F33" s="12">
        <v>73035</v>
      </c>
      <c r="G33" s="12">
        <v>14998</v>
      </c>
      <c r="H33" s="12">
        <v>24651</v>
      </c>
      <c r="I33" s="12">
        <v>37099</v>
      </c>
      <c r="J33" s="12">
        <v>37528</v>
      </c>
      <c r="K33" s="12">
        <v>15399</v>
      </c>
      <c r="L33" s="12">
        <v>45468</v>
      </c>
      <c r="M33" s="12">
        <v>17970</v>
      </c>
      <c r="N33" s="12">
        <v>51965</v>
      </c>
      <c r="O33" s="12">
        <v>46349</v>
      </c>
      <c r="P33" s="12">
        <v>48546</v>
      </c>
      <c r="Q33" s="12">
        <v>54913</v>
      </c>
      <c r="R33" s="41">
        <f t="shared" si="0"/>
        <v>476878</v>
      </c>
      <c r="S33" s="12">
        <v>509810</v>
      </c>
      <c r="T33" s="12">
        <f t="shared" si="1"/>
        <v>1468024</v>
      </c>
    </row>
    <row r="34" spans="1:20">
      <c r="A34">
        <f t="shared" si="4"/>
        <v>27</v>
      </c>
      <c r="B34" s="12">
        <v>3118899</v>
      </c>
      <c r="C34" s="12">
        <v>806638</v>
      </c>
      <c r="D34" s="12">
        <v>631017</v>
      </c>
      <c r="E34" s="12">
        <v>366373</v>
      </c>
      <c r="F34" s="12">
        <v>531752</v>
      </c>
      <c r="G34" s="12">
        <v>197716</v>
      </c>
      <c r="H34" s="12">
        <v>2663</v>
      </c>
      <c r="I34" s="12">
        <v>36076</v>
      </c>
      <c r="J34" s="12">
        <v>346955</v>
      </c>
      <c r="K34" s="12">
        <v>341129</v>
      </c>
      <c r="L34" s="12">
        <v>28370</v>
      </c>
      <c r="M34" s="12">
        <v>35973</v>
      </c>
      <c r="N34" s="12">
        <v>16639</v>
      </c>
      <c r="O34" s="12">
        <v>125673</v>
      </c>
      <c r="P34" s="12">
        <v>202261</v>
      </c>
      <c r="Q34" s="12">
        <v>205171</v>
      </c>
      <c r="R34" s="41">
        <f t="shared" si="0"/>
        <v>2436751</v>
      </c>
      <c r="S34" s="12">
        <v>11771312</v>
      </c>
      <c r="T34" s="12">
        <f t="shared" si="1"/>
        <v>18764617</v>
      </c>
    </row>
    <row r="35" spans="1:20">
      <c r="A35">
        <f t="shared" si="4"/>
        <v>28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>
        <v>1978</v>
      </c>
      <c r="M35" s="12">
        <v>1685</v>
      </c>
      <c r="N35" s="12">
        <v>275</v>
      </c>
      <c r="O35" s="12"/>
      <c r="P35" s="12">
        <v>129</v>
      </c>
      <c r="Q35" s="12">
        <v>146</v>
      </c>
      <c r="R35" s="41">
        <f t="shared" si="0"/>
        <v>4213</v>
      </c>
      <c r="S35" s="12">
        <v>4825093</v>
      </c>
      <c r="T35" s="12">
        <f t="shared" si="1"/>
        <v>4829306</v>
      </c>
    </row>
    <row r="36" spans="1:20">
      <c r="A36">
        <f t="shared" si="4"/>
        <v>29</v>
      </c>
      <c r="B36" s="12">
        <v>44768</v>
      </c>
      <c r="C36" s="12">
        <v>167746</v>
      </c>
      <c r="D36" s="12">
        <v>202215</v>
      </c>
      <c r="E36" s="12">
        <v>281775</v>
      </c>
      <c r="F36" s="12">
        <v>72953</v>
      </c>
      <c r="G36" s="12">
        <v>25075</v>
      </c>
      <c r="H36" s="12">
        <v>57433</v>
      </c>
      <c r="I36" s="12">
        <v>15870</v>
      </c>
      <c r="J36" s="12">
        <v>156183</v>
      </c>
      <c r="K36" s="12">
        <v>156183</v>
      </c>
      <c r="L36" s="12">
        <v>31308</v>
      </c>
      <c r="M36" s="12">
        <v>31308</v>
      </c>
      <c r="N36" s="12">
        <v>5392</v>
      </c>
      <c r="O36" s="12">
        <v>42549</v>
      </c>
      <c r="P36" s="12">
        <v>8403</v>
      </c>
      <c r="Q36" s="12">
        <v>8403</v>
      </c>
      <c r="R36" s="41">
        <f t="shared" si="0"/>
        <v>892835</v>
      </c>
      <c r="S36" s="12">
        <v>242736</v>
      </c>
      <c r="T36" s="12">
        <f t="shared" si="1"/>
        <v>1550300</v>
      </c>
    </row>
    <row r="37" spans="1:20">
      <c r="A37">
        <f t="shared" si="4"/>
        <v>30</v>
      </c>
      <c r="B37" s="12">
        <v>109872</v>
      </c>
      <c r="C37" s="12">
        <v>45263</v>
      </c>
      <c r="D37" s="12">
        <v>27001</v>
      </c>
      <c r="E37" s="12">
        <v>187815</v>
      </c>
      <c r="F37" s="12">
        <v>9901</v>
      </c>
      <c r="G37" s="12">
        <v>1086</v>
      </c>
      <c r="H37" s="12">
        <v>3448</v>
      </c>
      <c r="I37" s="12">
        <v>2857</v>
      </c>
      <c r="J37" s="12">
        <v>4326</v>
      </c>
      <c r="K37" s="12">
        <v>2545</v>
      </c>
      <c r="L37" s="12">
        <v>980</v>
      </c>
      <c r="M37" s="12">
        <v>499</v>
      </c>
      <c r="N37" s="12">
        <v>7679</v>
      </c>
      <c r="O37" s="12">
        <v>9343</v>
      </c>
      <c r="P37" s="12">
        <v>6106</v>
      </c>
      <c r="Q37" s="12">
        <v>6906</v>
      </c>
      <c r="R37" s="41">
        <f t="shared" si="0"/>
        <v>243491</v>
      </c>
      <c r="S37" s="12">
        <v>25329263</v>
      </c>
      <c r="T37" s="12">
        <f t="shared" si="1"/>
        <v>25754890</v>
      </c>
    </row>
    <row r="38" spans="1:20">
      <c r="A38">
        <f t="shared" si="4"/>
        <v>31</v>
      </c>
      <c r="B38" s="12">
        <v>946500</v>
      </c>
      <c r="C38" s="12">
        <v>174976</v>
      </c>
      <c r="D38" s="12">
        <v>15777</v>
      </c>
      <c r="E38" s="12">
        <v>135587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41">
        <f t="shared" si="0"/>
        <v>135587</v>
      </c>
      <c r="S38" s="12">
        <v>84429</v>
      </c>
      <c r="T38" s="12">
        <f t="shared" si="1"/>
        <v>1357269</v>
      </c>
    </row>
    <row r="39" spans="1:20">
      <c r="A39">
        <f t="shared" si="4"/>
        <v>32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41"/>
      <c r="S39" s="12"/>
      <c r="T39" s="12"/>
    </row>
    <row r="40" spans="1:20">
      <c r="A40">
        <f t="shared" si="4"/>
        <v>33</v>
      </c>
      <c r="B40" s="12">
        <v>163004</v>
      </c>
      <c r="C40" s="12">
        <v>33896</v>
      </c>
      <c r="D40" s="12">
        <v>50238</v>
      </c>
      <c r="E40" s="12">
        <v>39053</v>
      </c>
      <c r="F40" s="12">
        <v>39868</v>
      </c>
      <c r="G40" s="12">
        <v>17133</v>
      </c>
      <c r="H40" s="12">
        <v>1899</v>
      </c>
      <c r="I40" s="12">
        <v>8106</v>
      </c>
      <c r="J40" s="12">
        <v>30187</v>
      </c>
      <c r="K40" s="12">
        <v>45312</v>
      </c>
      <c r="L40" s="12">
        <v>2975</v>
      </c>
      <c r="M40" s="12">
        <v>5391</v>
      </c>
      <c r="N40" s="12">
        <v>35152</v>
      </c>
      <c r="O40" s="12">
        <v>16986</v>
      </c>
      <c r="P40" s="12">
        <v>27214</v>
      </c>
      <c r="Q40" s="12">
        <v>30783</v>
      </c>
      <c r="R40" s="41">
        <f t="shared" si="0"/>
        <v>300059</v>
      </c>
      <c r="S40" s="12">
        <v>1467479</v>
      </c>
      <c r="T40" s="12">
        <f t="shared" si="1"/>
        <v>2014676</v>
      </c>
    </row>
    <row r="41" spans="1:20">
      <c r="A41">
        <f t="shared" si="4"/>
        <v>34</v>
      </c>
      <c r="B41" s="12">
        <v>5260</v>
      </c>
      <c r="C41" s="12">
        <v>4865</v>
      </c>
      <c r="D41" s="12">
        <v>3605</v>
      </c>
      <c r="E41" s="12">
        <v>780</v>
      </c>
      <c r="F41" s="12">
        <v>813</v>
      </c>
      <c r="G41" s="12">
        <v>2170</v>
      </c>
      <c r="H41" s="12">
        <v>12081</v>
      </c>
      <c r="I41" s="12">
        <v>5043</v>
      </c>
      <c r="J41" s="12">
        <v>3313</v>
      </c>
      <c r="K41" s="12">
        <v>2484</v>
      </c>
      <c r="L41" s="12">
        <v>1395</v>
      </c>
      <c r="M41" s="12">
        <v>993</v>
      </c>
      <c r="N41" s="12">
        <v>6749</v>
      </c>
      <c r="O41" s="12">
        <v>1225</v>
      </c>
      <c r="P41" s="12">
        <v>1511</v>
      </c>
      <c r="Q41" s="12">
        <v>1709</v>
      </c>
      <c r="R41" s="41">
        <f t="shared" si="0"/>
        <v>40266</v>
      </c>
      <c r="S41" s="12">
        <v>389549</v>
      </c>
      <c r="T41" s="12">
        <f t="shared" si="1"/>
        <v>443545</v>
      </c>
    </row>
    <row r="42" spans="1:20">
      <c r="A42">
        <f t="shared" si="4"/>
        <v>35</v>
      </c>
      <c r="B42" s="12">
        <v>5216473</v>
      </c>
      <c r="C42" s="12">
        <v>80454</v>
      </c>
      <c r="D42" s="12">
        <v>102374</v>
      </c>
      <c r="E42" s="12">
        <v>85689</v>
      </c>
      <c r="F42" s="12">
        <v>69140</v>
      </c>
      <c r="G42" s="12">
        <v>32098</v>
      </c>
      <c r="H42" s="12">
        <v>36943</v>
      </c>
      <c r="I42" s="12">
        <v>47626</v>
      </c>
      <c r="J42" s="12">
        <v>151701</v>
      </c>
      <c r="K42" s="12">
        <v>91960</v>
      </c>
      <c r="L42" s="12">
        <v>39276</v>
      </c>
      <c r="M42" s="12">
        <v>26786</v>
      </c>
      <c r="N42" s="12">
        <v>47466</v>
      </c>
      <c r="O42" s="12">
        <v>44554</v>
      </c>
      <c r="P42" s="12">
        <v>166721</v>
      </c>
      <c r="Q42" s="12">
        <v>188586</v>
      </c>
      <c r="R42" s="41">
        <f t="shared" si="0"/>
        <v>1028546</v>
      </c>
      <c r="S42" s="12">
        <v>7083766</v>
      </c>
      <c r="T42" s="12">
        <f t="shared" si="1"/>
        <v>13511613</v>
      </c>
    </row>
    <row r="43" spans="1:20">
      <c r="A43">
        <f t="shared" si="4"/>
        <v>36</v>
      </c>
      <c r="B43" s="12">
        <f>SUM(B24:B42)</f>
        <v>34885037</v>
      </c>
      <c r="C43" s="12">
        <f>SUM(C24:C42)</f>
        <v>8965580</v>
      </c>
      <c r="D43" s="12">
        <f>SUM(D24:D42)</f>
        <v>4814721</v>
      </c>
      <c r="E43" s="12">
        <f t="shared" ref="E43:S43" si="5">SUM(E24:E42)</f>
        <v>3153307</v>
      </c>
      <c r="F43" s="12">
        <f t="shared" si="5"/>
        <v>4035676</v>
      </c>
      <c r="G43" s="12">
        <f t="shared" si="5"/>
        <v>1646690</v>
      </c>
      <c r="H43" s="12">
        <f t="shared" si="5"/>
        <v>947482</v>
      </c>
      <c r="I43" s="12">
        <f t="shared" si="5"/>
        <v>822668</v>
      </c>
      <c r="J43" s="12">
        <f t="shared" si="5"/>
        <v>2303299</v>
      </c>
      <c r="K43" s="12">
        <f t="shared" si="5"/>
        <v>2186473</v>
      </c>
      <c r="L43" s="12">
        <f t="shared" si="5"/>
        <v>875017</v>
      </c>
      <c r="M43" s="12">
        <f t="shared" si="5"/>
        <v>855696</v>
      </c>
      <c r="N43" s="12">
        <f t="shared" si="5"/>
        <v>1570066</v>
      </c>
      <c r="O43" s="12">
        <f t="shared" si="5"/>
        <v>1732641</v>
      </c>
      <c r="P43" s="12">
        <f t="shared" si="5"/>
        <v>2009652</v>
      </c>
      <c r="Q43" s="12">
        <f t="shared" si="5"/>
        <v>2068982</v>
      </c>
      <c r="R43" s="41">
        <f t="shared" si="0"/>
        <v>24207649</v>
      </c>
      <c r="S43" s="12">
        <f t="shared" si="5"/>
        <v>81255887</v>
      </c>
      <c r="T43" s="12">
        <f t="shared" si="1"/>
        <v>154128874</v>
      </c>
    </row>
    <row r="44" spans="1:20">
      <c r="A44">
        <f t="shared" si="4"/>
        <v>37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41"/>
      <c r="S44" s="12">
        <v>9721719</v>
      </c>
      <c r="T44" s="12">
        <f t="shared" si="1"/>
        <v>9721719</v>
      </c>
    </row>
    <row r="45" spans="1:20">
      <c r="A45">
        <f t="shared" si="4"/>
        <v>38</v>
      </c>
      <c r="B45" s="12">
        <f>B43+B44</f>
        <v>34885037</v>
      </c>
      <c r="C45" s="12">
        <f>C43+C44</f>
        <v>8965580</v>
      </c>
      <c r="D45" s="12">
        <f>D43+D44</f>
        <v>4814721</v>
      </c>
      <c r="E45" s="12">
        <f t="shared" ref="E45:S45" si="6">E43+E44</f>
        <v>3153307</v>
      </c>
      <c r="F45" s="12">
        <f t="shared" si="6"/>
        <v>4035676</v>
      </c>
      <c r="G45" s="12">
        <f t="shared" si="6"/>
        <v>1646690</v>
      </c>
      <c r="H45" s="12">
        <f t="shared" si="6"/>
        <v>947482</v>
      </c>
      <c r="I45" s="12">
        <f t="shared" si="6"/>
        <v>822668</v>
      </c>
      <c r="J45" s="12">
        <f t="shared" si="6"/>
        <v>2303299</v>
      </c>
      <c r="K45" s="12">
        <f t="shared" si="6"/>
        <v>2186473</v>
      </c>
      <c r="L45" s="12">
        <f t="shared" si="6"/>
        <v>875017</v>
      </c>
      <c r="M45" s="12">
        <f t="shared" si="6"/>
        <v>855696</v>
      </c>
      <c r="N45" s="12">
        <f t="shared" si="6"/>
        <v>1570066</v>
      </c>
      <c r="O45" s="12">
        <f t="shared" si="6"/>
        <v>1732641</v>
      </c>
      <c r="P45" s="12">
        <f t="shared" si="6"/>
        <v>2009652</v>
      </c>
      <c r="Q45" s="12">
        <f t="shared" si="6"/>
        <v>2068982</v>
      </c>
      <c r="R45" s="41">
        <f t="shared" si="0"/>
        <v>24207649</v>
      </c>
      <c r="S45" s="12">
        <f t="shared" si="6"/>
        <v>90977606</v>
      </c>
      <c r="T45" s="12">
        <f t="shared" si="1"/>
        <v>163850593</v>
      </c>
    </row>
    <row r="46" spans="1:20">
      <c r="A46" t="s">
        <v>388</v>
      </c>
      <c r="B46" s="12">
        <f>B22-B45</f>
        <v>77623125</v>
      </c>
      <c r="C46" s="12">
        <f>C22-C45</f>
        <v>5997106</v>
      </c>
      <c r="D46" s="12">
        <f>D22-D45</f>
        <v>-3159180</v>
      </c>
      <c r="E46" s="12">
        <f t="shared" ref="E46:S46" si="7">E22-E45</f>
        <v>-1576914</v>
      </c>
      <c r="F46" s="12">
        <f t="shared" si="7"/>
        <v>967024</v>
      </c>
      <c r="G46" s="12">
        <f t="shared" si="7"/>
        <v>-915069</v>
      </c>
      <c r="H46" s="12">
        <f t="shared" si="7"/>
        <v>-619283</v>
      </c>
      <c r="I46" s="12">
        <f t="shared" si="7"/>
        <v>-636962</v>
      </c>
      <c r="J46" s="12">
        <f t="shared" si="7"/>
        <v>-1520929</v>
      </c>
      <c r="K46" s="12">
        <f t="shared" si="7"/>
        <v>-1357451</v>
      </c>
      <c r="L46" s="12">
        <f t="shared" si="7"/>
        <v>-677769</v>
      </c>
      <c r="M46" s="12">
        <f t="shared" si="7"/>
        <v>-641512</v>
      </c>
      <c r="N46" s="12">
        <f t="shared" si="7"/>
        <v>-1313152</v>
      </c>
      <c r="O46" s="12">
        <f t="shared" si="7"/>
        <v>-1104548</v>
      </c>
      <c r="P46" s="12">
        <f t="shared" si="7"/>
        <v>-1592039</v>
      </c>
      <c r="Q46" s="12">
        <f t="shared" si="7"/>
        <v>-1602207</v>
      </c>
      <c r="R46" s="41">
        <f t="shared" si="0"/>
        <v>-12590811</v>
      </c>
      <c r="S46" s="12">
        <f t="shared" si="7"/>
        <v>-70685651</v>
      </c>
      <c r="T46" s="12">
        <f t="shared" si="1"/>
        <v>-2815411</v>
      </c>
    </row>
    <row r="47" spans="1:20">
      <c r="B47" s="3"/>
      <c r="C47" s="3"/>
      <c r="D47" s="3"/>
      <c r="F47" s="3"/>
      <c r="G47" s="3"/>
      <c r="J47" s="3"/>
      <c r="K47" s="3"/>
    </row>
    <row r="48" spans="1:20">
      <c r="A48" t="s">
        <v>389</v>
      </c>
      <c r="B48" s="3">
        <v>233002000</v>
      </c>
      <c r="C48" s="3"/>
      <c r="D48" s="3"/>
      <c r="F48" s="3"/>
      <c r="G48" s="3"/>
      <c r="J48" s="3"/>
      <c r="K48" s="3"/>
    </row>
    <row r="49" spans="1:11">
      <c r="A49" t="s">
        <v>390</v>
      </c>
      <c r="B49" s="3">
        <v>18746795</v>
      </c>
      <c r="C49" s="3"/>
      <c r="D49" s="3"/>
      <c r="F49" s="3"/>
      <c r="G49" s="3"/>
      <c r="J49" s="3"/>
      <c r="K49" s="3"/>
    </row>
    <row r="50" spans="1:11">
      <c r="B50" s="3"/>
      <c r="C50" s="3"/>
      <c r="D50" s="3"/>
      <c r="F50" s="3"/>
      <c r="G50" s="3"/>
      <c r="J50" s="3"/>
      <c r="K50" s="3"/>
    </row>
    <row r="51" spans="1:11">
      <c r="B51" s="3"/>
      <c r="C51" s="3"/>
      <c r="D51" s="3"/>
      <c r="F51" s="3"/>
      <c r="G51" s="3"/>
      <c r="J51" s="3"/>
      <c r="K51" s="3"/>
    </row>
    <row r="52" spans="1:11">
      <c r="B52" s="3"/>
      <c r="C52" s="3"/>
      <c r="D52" s="3"/>
      <c r="F52" s="3"/>
      <c r="G52" s="3"/>
      <c r="J52" s="3"/>
      <c r="K52" s="3"/>
    </row>
    <row r="53" spans="1:11">
      <c r="B53" s="3"/>
      <c r="C53" s="3"/>
      <c r="D53" s="3"/>
      <c r="F53" s="3"/>
      <c r="G53" s="3"/>
      <c r="J53" s="3"/>
      <c r="K53" s="3"/>
    </row>
    <row r="54" spans="1:11">
      <c r="B54" s="3"/>
      <c r="C54" s="3"/>
      <c r="D54" s="3"/>
      <c r="F54" s="3"/>
      <c r="G54" s="3"/>
      <c r="J54" s="3"/>
      <c r="K54" s="3"/>
    </row>
    <row r="55" spans="1:11">
      <c r="B55" s="3"/>
      <c r="C55" s="3"/>
      <c r="D55" s="3"/>
      <c r="F55" s="3"/>
      <c r="G55" s="3"/>
      <c r="J55" s="3"/>
      <c r="K55" s="3"/>
    </row>
    <row r="56" spans="1:11">
      <c r="B56" s="3"/>
      <c r="C56" s="3"/>
      <c r="D56" s="3"/>
      <c r="F56" s="3"/>
      <c r="G56" s="3"/>
      <c r="J56" s="3"/>
      <c r="K56" s="3"/>
    </row>
    <row r="57" spans="1:11">
      <c r="B57" s="3"/>
      <c r="C57" s="3"/>
      <c r="D57" s="3"/>
      <c r="F57" s="3"/>
      <c r="G57" s="3"/>
      <c r="J57" s="3"/>
      <c r="K57" s="3"/>
    </row>
    <row r="58" spans="1:11">
      <c r="B58" s="3"/>
      <c r="C58" s="3"/>
      <c r="D58" s="3"/>
      <c r="F58" s="3"/>
      <c r="G58" s="3"/>
      <c r="J58" s="3"/>
      <c r="K58" s="3"/>
    </row>
    <row r="59" spans="1:11">
      <c r="B59" s="3"/>
      <c r="C59" s="3"/>
      <c r="D59" s="3"/>
      <c r="F59" s="3"/>
      <c r="G59" s="3"/>
      <c r="J59" s="3"/>
      <c r="K59" s="3"/>
    </row>
    <row r="60" spans="1:11">
      <c r="B60" s="3"/>
      <c r="C60" s="3"/>
      <c r="D60" s="3"/>
      <c r="F60" s="3"/>
      <c r="G60" s="3"/>
      <c r="J60" s="3"/>
      <c r="K60" s="3"/>
    </row>
    <row r="61" spans="1:11">
      <c r="B61" s="3"/>
      <c r="C61" s="3"/>
      <c r="D61" s="3"/>
      <c r="F61" s="3"/>
      <c r="G61" s="3"/>
      <c r="J61" s="3"/>
      <c r="K61" s="3"/>
    </row>
    <row r="62" spans="1:11">
      <c r="B62" s="3"/>
      <c r="C62" s="3"/>
      <c r="D62" s="3"/>
      <c r="F62" s="3"/>
      <c r="G62" s="3"/>
      <c r="J62" s="3"/>
      <c r="K62" s="3"/>
    </row>
    <row r="63" spans="1:11">
      <c r="B63" s="3"/>
      <c r="C63" s="3"/>
      <c r="D63" s="3"/>
      <c r="F63" s="3"/>
      <c r="G63" s="3"/>
      <c r="J63" s="3"/>
      <c r="K63" s="3"/>
    </row>
    <row r="64" spans="1:11">
      <c r="B64" s="3"/>
      <c r="C64" s="3"/>
      <c r="D64" s="3"/>
      <c r="F64" s="3"/>
      <c r="G64" s="3"/>
      <c r="J64" s="3"/>
      <c r="K64" s="3"/>
    </row>
    <row r="65" spans="2:11">
      <c r="B65" s="3"/>
      <c r="C65" s="3"/>
      <c r="D65" s="3"/>
      <c r="F65" s="3"/>
      <c r="G65" s="3"/>
      <c r="J65" s="3"/>
      <c r="K65" s="3"/>
    </row>
    <row r="66" spans="2:11">
      <c r="B66" s="3"/>
      <c r="C66" s="3"/>
      <c r="D66" s="3"/>
      <c r="F66" s="3"/>
      <c r="G66" s="3"/>
      <c r="J66" s="3"/>
      <c r="K66" s="3"/>
    </row>
    <row r="67" spans="2:11">
      <c r="B67" s="3"/>
      <c r="C67" s="3"/>
      <c r="D67" s="3"/>
      <c r="F67" s="3"/>
      <c r="G67" s="3"/>
      <c r="J67" s="3"/>
      <c r="K67" s="3"/>
    </row>
    <row r="68" spans="2:11">
      <c r="B68" s="3"/>
      <c r="C68" s="3"/>
      <c r="D68" s="3"/>
      <c r="F68" s="3"/>
      <c r="G68" s="3"/>
      <c r="J68" s="3"/>
      <c r="K68" s="3"/>
    </row>
    <row r="69" spans="2:11">
      <c r="B69" s="3"/>
      <c r="C69" s="3"/>
      <c r="D69" s="3"/>
      <c r="F69" s="3"/>
      <c r="G69" s="3"/>
      <c r="J69" s="3"/>
      <c r="K69" s="3"/>
    </row>
    <row r="70" spans="2:11">
      <c r="B70" s="3"/>
      <c r="C70" s="3"/>
      <c r="D70" s="3"/>
      <c r="F70" s="3"/>
      <c r="G70" s="3"/>
      <c r="J70" s="3"/>
      <c r="K70" s="3"/>
    </row>
    <row r="71" spans="2:11">
      <c r="B71" s="3"/>
      <c r="C71" s="3"/>
      <c r="D71" s="3"/>
      <c r="F71" s="3"/>
      <c r="G71" s="3"/>
      <c r="J71" s="3"/>
      <c r="K71" s="3"/>
    </row>
    <row r="72" spans="2:11">
      <c r="B72" s="3"/>
      <c r="C72" s="3"/>
      <c r="D72" s="3"/>
      <c r="F72" s="3"/>
      <c r="G72" s="3"/>
      <c r="J72" s="3"/>
      <c r="K72" s="3"/>
    </row>
    <row r="73" spans="2:11">
      <c r="B73" s="3"/>
      <c r="C73" s="3"/>
      <c r="D73" s="3"/>
      <c r="F73" s="3"/>
      <c r="G73" s="3"/>
      <c r="J73" s="3"/>
      <c r="K73" s="3"/>
    </row>
    <row r="74" spans="2:11">
      <c r="B74" s="3"/>
      <c r="C74" s="3"/>
      <c r="D74" s="3"/>
      <c r="F74" s="3"/>
      <c r="G74" s="3"/>
      <c r="J74" s="3"/>
      <c r="K74" s="3"/>
    </row>
    <row r="75" spans="2:11">
      <c r="B75" s="3"/>
      <c r="C75" s="3"/>
      <c r="D75" s="3"/>
      <c r="F75" s="3"/>
      <c r="G75" s="3"/>
      <c r="J75" s="3"/>
      <c r="K75" s="3"/>
    </row>
    <row r="76" spans="2:11">
      <c r="B76" s="3"/>
      <c r="C76" s="3"/>
      <c r="D76" s="3"/>
      <c r="F76" s="3"/>
      <c r="G76" s="3"/>
      <c r="J76" s="3"/>
      <c r="K76" s="3"/>
    </row>
    <row r="77" spans="2:11">
      <c r="B77" s="3"/>
      <c r="C77" s="3"/>
      <c r="D77" s="3"/>
      <c r="F77" s="3"/>
      <c r="G77" s="3"/>
      <c r="J77" s="3"/>
      <c r="K77" s="3"/>
    </row>
    <row r="78" spans="2:11">
      <c r="B78" s="3"/>
      <c r="C78" s="3"/>
      <c r="D78" s="3"/>
      <c r="F78" s="3"/>
      <c r="G78" s="3"/>
      <c r="J78" s="3"/>
      <c r="K78" s="3"/>
    </row>
    <row r="79" spans="2:11">
      <c r="B79" s="3"/>
      <c r="C79" s="3"/>
      <c r="D79" s="3"/>
      <c r="F79" s="3"/>
      <c r="G79" s="3"/>
      <c r="J79" s="3"/>
      <c r="K79" s="3"/>
    </row>
    <row r="80" spans="2:11">
      <c r="B80" s="3"/>
      <c r="C80" s="3"/>
      <c r="D80" s="3"/>
      <c r="F80" s="3"/>
      <c r="G80" s="3"/>
      <c r="J80" s="3"/>
      <c r="K80" s="3"/>
    </row>
    <row r="81" spans="2:11">
      <c r="B81" s="3"/>
      <c r="C81" s="3"/>
      <c r="D81" s="3"/>
      <c r="F81" s="3"/>
      <c r="G81" s="3"/>
      <c r="J81" s="3"/>
      <c r="K81" s="3"/>
    </row>
    <row r="82" spans="2:11">
      <c r="B82" s="3"/>
      <c r="C82" s="3"/>
      <c r="D82" s="3"/>
      <c r="F82" s="3"/>
      <c r="G82" s="3"/>
      <c r="J82" s="3"/>
      <c r="K82" s="3"/>
    </row>
    <row r="83" spans="2:11">
      <c r="B83" s="3"/>
      <c r="C83" s="3"/>
      <c r="D83" s="3"/>
      <c r="F83" s="3"/>
      <c r="G83" s="3"/>
      <c r="J83" s="3"/>
      <c r="K83" s="3"/>
    </row>
    <row r="84" spans="2:11">
      <c r="B84" s="3"/>
      <c r="C84" s="3"/>
      <c r="D84" s="3"/>
      <c r="F84" s="3"/>
      <c r="G84" s="3"/>
      <c r="J84" s="3"/>
      <c r="K84" s="3"/>
    </row>
    <row r="85" spans="2:11">
      <c r="B85" s="3"/>
      <c r="C85" s="3"/>
      <c r="D85" s="3"/>
      <c r="F85" s="3"/>
      <c r="G85" s="3"/>
      <c r="J85" s="3"/>
      <c r="K85" s="3"/>
    </row>
    <row r="86" spans="2:11">
      <c r="B86" s="3"/>
      <c r="C86" s="3"/>
      <c r="D86" s="3"/>
      <c r="F86" s="3"/>
      <c r="G86" s="3"/>
      <c r="J86" s="3"/>
      <c r="K86" s="3"/>
    </row>
    <row r="87" spans="2:11">
      <c r="B87" s="3"/>
      <c r="C87" s="3"/>
      <c r="D87" s="3"/>
      <c r="F87" s="3"/>
      <c r="G87" s="3"/>
      <c r="J87" s="3"/>
      <c r="K87" s="3"/>
    </row>
    <row r="88" spans="2:11">
      <c r="B88" s="3"/>
      <c r="C88" s="3"/>
      <c r="D88" s="3"/>
      <c r="F88" s="3"/>
      <c r="G88" s="3"/>
      <c r="J88" s="3"/>
      <c r="K88" s="3"/>
    </row>
    <row r="89" spans="2:11">
      <c r="B89" s="3"/>
      <c r="C89" s="3"/>
      <c r="D89" s="3"/>
      <c r="F89" s="3"/>
      <c r="G89" s="3"/>
      <c r="J89" s="3"/>
      <c r="K89" s="3"/>
    </row>
    <row r="90" spans="2:11">
      <c r="B90" s="3"/>
      <c r="C90" s="3"/>
      <c r="D90" s="3"/>
      <c r="F90" s="3"/>
      <c r="G90" s="3"/>
      <c r="J90" s="3"/>
      <c r="K90" s="3"/>
    </row>
    <row r="91" spans="2:11">
      <c r="B91" s="3"/>
      <c r="C91" s="3"/>
      <c r="D91" s="3"/>
      <c r="F91" s="3"/>
      <c r="G91" s="3"/>
      <c r="J91" s="3"/>
      <c r="K91" s="3"/>
    </row>
    <row r="92" spans="2:11">
      <c r="B92" s="3"/>
      <c r="C92" s="3"/>
      <c r="D92" s="3"/>
      <c r="F92" s="3"/>
      <c r="G92" s="3"/>
      <c r="J92" s="3"/>
      <c r="K92" s="3"/>
    </row>
    <row r="93" spans="2:11">
      <c r="B93" s="3"/>
      <c r="C93" s="3"/>
      <c r="D93" s="3"/>
      <c r="F93" s="3"/>
      <c r="G93" s="3"/>
      <c r="J93" s="3"/>
      <c r="K93" s="3"/>
    </row>
    <row r="94" spans="2:11">
      <c r="B94" s="3"/>
      <c r="C94" s="3"/>
      <c r="D94" s="3"/>
      <c r="F94" s="3"/>
      <c r="G94" s="3"/>
      <c r="J94" s="3"/>
      <c r="K94" s="3"/>
    </row>
    <row r="95" spans="2:11">
      <c r="B95" s="3"/>
      <c r="C95" s="3"/>
      <c r="D95" s="3"/>
      <c r="F95" s="3"/>
      <c r="G95" s="3"/>
      <c r="J95" s="3"/>
      <c r="K95" s="3"/>
    </row>
    <row r="96" spans="2:11">
      <c r="B96" s="3"/>
      <c r="C96" s="3"/>
      <c r="D96" s="3"/>
      <c r="F96" s="3"/>
      <c r="G96" s="3"/>
      <c r="J96" s="3"/>
      <c r="K96" s="3"/>
    </row>
    <row r="97" spans="1:11">
      <c r="B97" s="3"/>
      <c r="C97" s="3"/>
      <c r="D97" s="3"/>
      <c r="F97" s="3"/>
      <c r="G97" s="3"/>
      <c r="J97" s="3"/>
      <c r="K97" s="3"/>
    </row>
    <row r="98" spans="1:11">
      <c r="B98" s="3"/>
    </row>
    <row r="99" spans="1:11">
      <c r="A99" s="8"/>
      <c r="B99" s="8"/>
      <c r="C99" s="8"/>
      <c r="D99" s="8"/>
      <c r="E99" s="8"/>
      <c r="F99" s="8"/>
      <c r="G99" s="8"/>
      <c r="H99" s="8"/>
      <c r="I99" s="8"/>
    </row>
    <row r="100" spans="1:11">
      <c r="B100" s="3"/>
      <c r="C100" s="3"/>
      <c r="D100" s="3"/>
      <c r="F100" s="4"/>
      <c r="G100" s="3"/>
      <c r="H100" s="3"/>
      <c r="I100" s="3"/>
    </row>
    <row r="101" spans="1:11">
      <c r="B101" s="3"/>
      <c r="C101" s="3"/>
      <c r="D101" s="3"/>
      <c r="F101" s="4"/>
      <c r="G101" s="3"/>
      <c r="H101" s="3"/>
      <c r="I101" s="3"/>
    </row>
    <row r="102" spans="1:11">
      <c r="B102" s="3"/>
      <c r="C102" s="3"/>
      <c r="D102" s="3"/>
      <c r="F102" s="4"/>
      <c r="G102" s="3"/>
      <c r="H102" s="3"/>
      <c r="I102" s="3"/>
    </row>
    <row r="103" spans="1:11">
      <c r="B103" s="3"/>
      <c r="C103" s="3"/>
      <c r="D103" s="3"/>
      <c r="F103" s="5"/>
      <c r="G103" s="3"/>
      <c r="H103" s="3"/>
      <c r="I103" s="3"/>
    </row>
    <row r="104" spans="1:11">
      <c r="B104" s="3"/>
      <c r="C104" s="3"/>
      <c r="D104" s="3"/>
      <c r="F104" s="4"/>
      <c r="G104" s="3"/>
      <c r="H104" s="3"/>
      <c r="I104" s="3"/>
    </row>
    <row r="105" spans="1:11">
      <c r="B105" s="3"/>
      <c r="C105" s="3"/>
      <c r="D105" s="3"/>
      <c r="F105" s="5"/>
      <c r="G105" s="3"/>
      <c r="H105" s="3"/>
      <c r="I105" s="3"/>
    </row>
    <row r="106" spans="1:11">
      <c r="B106" s="3"/>
      <c r="C106" s="3"/>
      <c r="D106" s="3"/>
      <c r="F106" s="4"/>
      <c r="G106" s="3"/>
      <c r="H106" s="3"/>
      <c r="I106" s="3"/>
    </row>
    <row r="107" spans="1:11">
      <c r="B107" s="3"/>
      <c r="C107" s="3"/>
      <c r="D107" s="3"/>
      <c r="F107" s="5"/>
      <c r="G107" s="3"/>
      <c r="H107" s="3"/>
      <c r="I107" s="3"/>
    </row>
    <row r="108" spans="1:11">
      <c r="B108" s="3"/>
      <c r="C108" s="3"/>
      <c r="D108" s="3"/>
      <c r="F108" s="5"/>
      <c r="G108" s="3"/>
      <c r="H108" s="3"/>
      <c r="I108" s="3"/>
    </row>
    <row r="109" spans="1:11">
      <c r="B109" s="3"/>
      <c r="C109" s="3"/>
      <c r="D109" s="3"/>
      <c r="F109" s="5"/>
      <c r="G109" s="3"/>
      <c r="H109" s="3"/>
      <c r="I109" s="3"/>
    </row>
    <row r="110" spans="1:11">
      <c r="B110" s="3"/>
      <c r="C110" s="3"/>
      <c r="D110" s="3"/>
      <c r="F110" s="4"/>
      <c r="G110" s="3"/>
      <c r="H110" s="3"/>
      <c r="I110" s="3"/>
    </row>
    <row r="111" spans="1:11">
      <c r="B111" s="3"/>
      <c r="C111" s="3"/>
      <c r="D111" s="3"/>
      <c r="F111" s="5"/>
      <c r="G111" s="3"/>
      <c r="H111" s="3"/>
      <c r="I111" s="3"/>
    </row>
    <row r="112" spans="1:11">
      <c r="B112" s="3"/>
      <c r="C112" s="3"/>
      <c r="D112" s="3"/>
      <c r="F112" s="5"/>
      <c r="G112" s="3"/>
      <c r="H112" s="3"/>
      <c r="I112" s="3"/>
    </row>
    <row r="113" spans="2:9">
      <c r="B113" s="3"/>
      <c r="C113" s="3"/>
      <c r="D113" s="3"/>
      <c r="F113" s="4"/>
      <c r="G113" s="3"/>
      <c r="H113" s="3"/>
      <c r="I113" s="3"/>
    </row>
    <row r="114" spans="2:9">
      <c r="B114" s="3"/>
      <c r="C114" s="3"/>
      <c r="D114" s="3"/>
      <c r="F114" s="5"/>
      <c r="G114" s="3"/>
      <c r="H114" s="3"/>
      <c r="I114" s="3"/>
    </row>
    <row r="115" spans="2:9">
      <c r="B115" s="3"/>
      <c r="C115" s="3"/>
      <c r="D115" s="3"/>
      <c r="F115" s="5"/>
      <c r="G115" s="3"/>
      <c r="H115" s="3"/>
      <c r="I115" s="3"/>
    </row>
    <row r="116" spans="2:9">
      <c r="B116" s="3"/>
      <c r="C116" s="3"/>
      <c r="D116" s="3"/>
      <c r="F116" s="5"/>
      <c r="G116" s="3"/>
      <c r="H116" s="3"/>
      <c r="I116" s="3"/>
    </row>
    <row r="117" spans="2:9">
      <c r="B117" s="3"/>
      <c r="C117" s="3"/>
      <c r="D117" s="3"/>
      <c r="F117" s="5"/>
      <c r="G117" s="3"/>
      <c r="H117" s="3"/>
      <c r="I117" s="3"/>
    </row>
    <row r="118" spans="2:9">
      <c r="B118" s="3"/>
      <c r="C118" s="3"/>
      <c r="D118" s="3"/>
      <c r="F118" s="5"/>
      <c r="G118" s="3"/>
      <c r="H118" s="3"/>
      <c r="I118" s="3"/>
    </row>
    <row r="119" spans="2:9">
      <c r="B119" s="3"/>
      <c r="C119" s="3"/>
      <c r="D119" s="3"/>
      <c r="F119" s="5"/>
      <c r="G119" s="3"/>
      <c r="H119" s="3"/>
      <c r="I119" s="3"/>
    </row>
    <row r="120" spans="2:9">
      <c r="B120" s="3"/>
      <c r="C120" s="3"/>
      <c r="D120" s="3"/>
      <c r="F120" s="6"/>
      <c r="G120" s="3"/>
      <c r="H120" s="3"/>
      <c r="I120" s="3"/>
    </row>
    <row r="121" spans="2:9">
      <c r="B121" s="3"/>
      <c r="C121" s="3"/>
      <c r="D121" s="3"/>
      <c r="F121" s="5"/>
      <c r="G121" s="3"/>
      <c r="H121" s="3"/>
      <c r="I121" s="3"/>
    </row>
    <row r="122" spans="2:9">
      <c r="B122" s="3"/>
      <c r="C122" s="3"/>
      <c r="D122" s="3"/>
      <c r="F122" s="5"/>
      <c r="G122" s="3"/>
      <c r="H122" s="3"/>
      <c r="I122" s="3"/>
    </row>
    <row r="123" spans="2:9">
      <c r="B123" s="3"/>
      <c r="C123" s="3"/>
      <c r="D123" s="3"/>
      <c r="F123" s="5"/>
      <c r="G123" s="3"/>
      <c r="H123" s="3"/>
      <c r="I123" s="3"/>
    </row>
    <row r="124" spans="2:9">
      <c r="B124" s="3"/>
      <c r="C124" s="3"/>
      <c r="D124" s="3"/>
      <c r="F124" s="5"/>
      <c r="G124" s="3"/>
      <c r="H124" s="3"/>
      <c r="I124" s="3"/>
    </row>
    <row r="125" spans="2:9">
      <c r="B125" s="3"/>
      <c r="C125" s="3"/>
      <c r="D125" s="3"/>
      <c r="F125" s="4"/>
      <c r="G125" s="3"/>
      <c r="H125" s="3"/>
      <c r="I125" s="3"/>
    </row>
    <row r="126" spans="2:9">
      <c r="B126" s="3"/>
      <c r="C126" s="3"/>
      <c r="D126" s="3"/>
      <c r="F126" s="5"/>
      <c r="G126" s="3"/>
      <c r="H126" s="3"/>
      <c r="I126" s="3"/>
    </row>
    <row r="127" spans="2:9">
      <c r="B127" s="3"/>
      <c r="C127" s="3"/>
      <c r="D127" s="3"/>
      <c r="F127" s="5"/>
      <c r="G127" s="3"/>
      <c r="H127" s="3"/>
      <c r="I127" s="3"/>
    </row>
    <row r="128" spans="2:9">
      <c r="B128" s="3"/>
      <c r="C128" s="3"/>
      <c r="D128" s="3"/>
      <c r="F128" s="5"/>
      <c r="G128" s="3"/>
      <c r="H128" s="3"/>
      <c r="I128" s="3"/>
    </row>
    <row r="129" spans="2:9">
      <c r="B129" s="3"/>
      <c r="C129" s="3"/>
      <c r="D129" s="3"/>
      <c r="F129" s="5"/>
      <c r="G129" s="3"/>
      <c r="H129" s="3"/>
      <c r="I129" s="3"/>
    </row>
    <row r="130" spans="2:9">
      <c r="B130" s="3"/>
      <c r="C130" s="3"/>
      <c r="D130" s="3"/>
      <c r="F130" s="5"/>
      <c r="G130" s="3"/>
      <c r="H130" s="3"/>
      <c r="I130" s="3"/>
    </row>
    <row r="131" spans="2:9">
      <c r="B131" s="3"/>
      <c r="C131" s="3"/>
      <c r="D131" s="3"/>
      <c r="F131" s="5"/>
      <c r="G131" s="3"/>
      <c r="H131" s="3"/>
      <c r="I131" s="3"/>
    </row>
    <row r="132" spans="2:9">
      <c r="B132" s="3"/>
      <c r="C132" s="3"/>
      <c r="D132" s="3"/>
      <c r="F132" s="5"/>
      <c r="G132" s="3"/>
      <c r="H132" s="3"/>
      <c r="I132" s="3"/>
    </row>
    <row r="133" spans="2:9">
      <c r="B133" s="3"/>
      <c r="C133" s="3"/>
      <c r="D133" s="3"/>
      <c r="F133" s="5"/>
      <c r="G133" s="3"/>
      <c r="H133" s="3"/>
      <c r="I133" s="3"/>
    </row>
    <row r="134" spans="2:9">
      <c r="B134" s="3"/>
      <c r="C134" s="3"/>
      <c r="D134" s="3"/>
      <c r="F134" s="5"/>
      <c r="G134" s="3"/>
      <c r="H134" s="3"/>
      <c r="I134" s="3"/>
    </row>
    <row r="135" spans="2:9">
      <c r="B135" s="3"/>
      <c r="C135" s="3"/>
      <c r="D135" s="3"/>
      <c r="F135" s="5"/>
      <c r="G135" s="3"/>
      <c r="H135" s="3"/>
      <c r="I135" s="3"/>
    </row>
    <row r="136" spans="2:9">
      <c r="B136" s="3"/>
      <c r="C136" s="3"/>
      <c r="D136" s="3"/>
      <c r="F136" s="5"/>
      <c r="G136" s="3"/>
      <c r="H136" s="3"/>
      <c r="I136" s="3"/>
    </row>
    <row r="137" spans="2:9">
      <c r="B137" s="3"/>
      <c r="C137" s="3"/>
      <c r="D137" s="3"/>
      <c r="F137" s="5"/>
      <c r="G137" s="3"/>
      <c r="H137" s="3"/>
      <c r="I137" s="3"/>
    </row>
    <row r="138" spans="2:9">
      <c r="B138" s="3"/>
      <c r="C138" s="3"/>
      <c r="D138" s="3"/>
      <c r="F138" s="5"/>
      <c r="G138" s="3"/>
      <c r="H138" s="3"/>
      <c r="I138" s="3"/>
    </row>
    <row r="139" spans="2:9">
      <c r="B139" s="3"/>
      <c r="C139" s="3"/>
      <c r="D139" s="3"/>
      <c r="F139" s="4"/>
      <c r="G139" s="3"/>
      <c r="H139" s="3"/>
      <c r="I139" s="3"/>
    </row>
    <row r="140" spans="2:9">
      <c r="B140" s="3"/>
      <c r="C140" s="3"/>
      <c r="D140" s="3"/>
      <c r="F140" s="5"/>
      <c r="G140" s="3"/>
      <c r="H140" s="3"/>
      <c r="I140" s="3"/>
    </row>
    <row r="141" spans="2:9">
      <c r="B141" s="3"/>
      <c r="C141" s="3"/>
      <c r="D141" s="3"/>
      <c r="F141" s="5"/>
      <c r="G141" s="3"/>
      <c r="H141" s="3"/>
      <c r="I141" s="3"/>
    </row>
    <row r="142" spans="2:9">
      <c r="B142" s="3"/>
      <c r="C142" s="3"/>
      <c r="D142" s="3"/>
      <c r="F142" s="5"/>
      <c r="G142" s="3"/>
      <c r="H142" s="3"/>
      <c r="I142" s="3"/>
    </row>
    <row r="143" spans="2:9">
      <c r="B143" s="3"/>
      <c r="C143" s="3"/>
      <c r="D143" s="3"/>
      <c r="F143" s="5"/>
      <c r="G143" s="3"/>
      <c r="H143" s="3"/>
      <c r="I143" s="3"/>
    </row>
    <row r="144" spans="2:9">
      <c r="B144" s="3"/>
      <c r="C144" s="3"/>
      <c r="D144" s="3"/>
      <c r="F144" s="5"/>
      <c r="G144" s="3"/>
      <c r="H144" s="3"/>
      <c r="I144" s="3"/>
    </row>
    <row r="145" spans="2:9">
      <c r="B145" s="3"/>
      <c r="C145" s="3"/>
      <c r="D145" s="3"/>
      <c r="F145" s="4"/>
      <c r="G145" s="3"/>
      <c r="H145" s="3"/>
      <c r="I145" s="3"/>
    </row>
    <row r="146" spans="2:9">
      <c r="B146" s="3"/>
      <c r="C146" s="3"/>
      <c r="D146" s="3"/>
      <c r="F146" s="4"/>
      <c r="G146" s="3"/>
      <c r="H146" s="3"/>
      <c r="I146" s="3"/>
    </row>
    <row r="147" spans="2:9">
      <c r="B147" s="3"/>
      <c r="C147" s="3"/>
      <c r="D147" s="3"/>
      <c r="F147" s="5"/>
      <c r="G147" s="3"/>
      <c r="H147" s="3"/>
      <c r="I147" s="3"/>
    </row>
    <row r="148" spans="2:9">
      <c r="B148" s="3"/>
      <c r="C148" s="3"/>
      <c r="D148" s="3"/>
      <c r="F148" s="5"/>
      <c r="G148" s="3"/>
      <c r="H148" s="3"/>
      <c r="I148" s="3"/>
    </row>
    <row r="149" spans="2:9">
      <c r="B149" s="3"/>
      <c r="C149" s="3"/>
      <c r="D149" s="3"/>
      <c r="F149" s="4"/>
      <c r="G149" s="3"/>
      <c r="H149" s="3"/>
      <c r="I149" s="3"/>
    </row>
    <row r="150" spans="2:9">
      <c r="B150" s="3"/>
      <c r="C150" s="3"/>
      <c r="D150" s="3"/>
      <c r="F150" s="7"/>
      <c r="G150" s="3"/>
      <c r="H150" s="3"/>
      <c r="I150" s="3"/>
    </row>
    <row r="151" spans="2:9">
      <c r="B151" s="3"/>
      <c r="C151" s="3"/>
      <c r="D151" s="3"/>
      <c r="F151" s="4"/>
      <c r="G151" s="3"/>
      <c r="H151" s="3"/>
      <c r="I151" s="3"/>
    </row>
    <row r="152" spans="2:9">
      <c r="B152" s="3"/>
      <c r="C152" s="3"/>
      <c r="D152" s="3"/>
      <c r="F152" s="4"/>
      <c r="G152" s="3"/>
      <c r="H152" s="3"/>
      <c r="I152" s="3"/>
    </row>
    <row r="153" spans="2:9">
      <c r="B153" s="3"/>
      <c r="C153" s="3"/>
      <c r="D153" s="3"/>
      <c r="F153" s="4"/>
      <c r="G153" s="3"/>
      <c r="H153" s="3"/>
      <c r="I153" s="3"/>
    </row>
    <row r="154" spans="2:9">
      <c r="B154" s="3"/>
      <c r="C154" s="3"/>
      <c r="D154" s="3"/>
      <c r="F154" s="4"/>
      <c r="G154" s="3"/>
      <c r="H154" s="3"/>
      <c r="I154" s="3"/>
    </row>
    <row r="155" spans="2:9">
      <c r="B155" s="3"/>
      <c r="C155" s="3"/>
      <c r="D155" s="3"/>
      <c r="F155" s="4"/>
      <c r="G155" s="3"/>
      <c r="H155" s="3"/>
      <c r="I155" s="3"/>
    </row>
    <row r="156" spans="2:9">
      <c r="B156" s="3"/>
      <c r="C156" s="3"/>
      <c r="D156" s="3"/>
      <c r="F156" s="4"/>
      <c r="G156" s="3"/>
      <c r="H156" s="3"/>
      <c r="I156" s="3"/>
    </row>
    <row r="157" spans="2:9">
      <c r="B157" s="3"/>
      <c r="C157" s="3"/>
      <c r="D157" s="3"/>
      <c r="F157" s="5"/>
      <c r="G157" s="3"/>
      <c r="H157" s="3"/>
      <c r="I157" s="3"/>
    </row>
    <row r="158" spans="2:9">
      <c r="B158" s="3"/>
      <c r="C158" s="3"/>
      <c r="D158" s="3"/>
      <c r="F158" s="5"/>
      <c r="G158" s="3"/>
      <c r="H158" s="3"/>
      <c r="I158" s="3"/>
    </row>
    <row r="159" spans="2:9">
      <c r="B159" s="3"/>
      <c r="C159" s="3"/>
      <c r="D159" s="3"/>
      <c r="F159" s="5"/>
      <c r="G159" s="3"/>
      <c r="H159" s="3"/>
      <c r="I159" s="3"/>
    </row>
    <row r="160" spans="2:9">
      <c r="B160" s="3"/>
      <c r="C160" s="3"/>
      <c r="D160" s="3"/>
      <c r="F160" s="6"/>
      <c r="G160" s="3"/>
      <c r="H160" s="3"/>
      <c r="I160" s="3"/>
    </row>
    <row r="161" spans="2:9">
      <c r="B161" s="3"/>
      <c r="C161" s="3"/>
      <c r="D161" s="3"/>
      <c r="F161" s="5"/>
      <c r="G161" s="3"/>
      <c r="H161" s="3"/>
      <c r="I161" s="3"/>
    </row>
    <row r="162" spans="2:9">
      <c r="B162" s="3"/>
      <c r="C162" s="3"/>
      <c r="D162" s="3"/>
      <c r="F162" s="5"/>
      <c r="G162" s="3"/>
      <c r="H162" s="3"/>
      <c r="I162" s="3"/>
    </row>
    <row r="163" spans="2:9">
      <c r="B163" s="3"/>
      <c r="C163" s="3"/>
      <c r="D163" s="3"/>
      <c r="F163" s="6"/>
      <c r="G163" s="3"/>
      <c r="H163" s="3"/>
      <c r="I163" s="3"/>
    </row>
    <row r="164" spans="2:9">
      <c r="B164" s="3"/>
      <c r="C164" s="3"/>
      <c r="D164" s="3"/>
      <c r="F164" s="5"/>
      <c r="G164" s="3"/>
      <c r="H164" s="3"/>
      <c r="I164" s="3"/>
    </row>
    <row r="165" spans="2:9">
      <c r="B165" s="3"/>
      <c r="C165" s="3"/>
      <c r="D165" s="3"/>
      <c r="F165" s="6"/>
      <c r="G165" s="3"/>
      <c r="H165" s="3"/>
      <c r="I165" s="3"/>
    </row>
    <row r="166" spans="2:9">
      <c r="B166" s="3"/>
      <c r="C166" s="3"/>
      <c r="D166" s="3"/>
      <c r="F166" s="5"/>
      <c r="G166" s="3"/>
      <c r="H166" s="3"/>
      <c r="I166" s="3"/>
    </row>
    <row r="167" spans="2:9">
      <c r="B167" s="3"/>
      <c r="C167" s="3"/>
      <c r="D167" s="3"/>
      <c r="F167" s="5"/>
      <c r="G167" s="3"/>
      <c r="H167" s="3"/>
      <c r="I167" s="3"/>
    </row>
    <row r="168" spans="2:9">
      <c r="B168" s="3"/>
      <c r="C168" s="3"/>
      <c r="D168" s="3"/>
      <c r="F168" s="5"/>
      <c r="G168" s="3"/>
      <c r="H168" s="3"/>
      <c r="I168" s="3"/>
    </row>
    <row r="169" spans="2:9">
      <c r="B169" s="3"/>
      <c r="C169" s="3"/>
      <c r="D169" s="3"/>
      <c r="F169" s="6"/>
      <c r="G169" s="3"/>
      <c r="H169" s="3"/>
      <c r="I169" s="3"/>
    </row>
    <row r="170" spans="2:9">
      <c r="B170" s="3"/>
      <c r="C170" s="3"/>
      <c r="D170" s="3"/>
      <c r="F170" s="6"/>
      <c r="G170" s="3"/>
      <c r="H170" s="3"/>
      <c r="I170" s="3"/>
    </row>
    <row r="171" spans="2:9">
      <c r="B171" s="3"/>
      <c r="C171" s="3"/>
      <c r="D171" s="3"/>
      <c r="F171" s="5"/>
      <c r="G171" s="3"/>
      <c r="H171" s="3"/>
      <c r="I171" s="3"/>
    </row>
    <row r="172" spans="2:9">
      <c r="B172" s="3"/>
      <c r="C172" s="3"/>
      <c r="D172" s="3"/>
      <c r="F172" s="6"/>
      <c r="G172" s="3"/>
      <c r="H172" s="3"/>
      <c r="I172" s="3"/>
    </row>
    <row r="173" spans="2:9">
      <c r="B173" s="3"/>
      <c r="C173" s="3"/>
      <c r="D173" s="3"/>
      <c r="F173" s="5"/>
      <c r="G173" s="3"/>
      <c r="H173" s="3"/>
      <c r="I173" s="3"/>
    </row>
    <row r="174" spans="2:9">
      <c r="B174" s="3"/>
      <c r="C174" s="3"/>
      <c r="D174" s="3"/>
      <c r="F174" s="6"/>
      <c r="G174" s="3"/>
      <c r="H174" s="3"/>
      <c r="I174" s="3"/>
    </row>
    <row r="175" spans="2:9">
      <c r="B175" s="3"/>
      <c r="C175" s="3"/>
      <c r="D175" s="3"/>
      <c r="F175" s="6"/>
      <c r="G175" s="3"/>
      <c r="H175" s="3"/>
      <c r="I175" s="3"/>
    </row>
    <row r="176" spans="2:9">
      <c r="B176" s="3"/>
      <c r="C176" s="3"/>
      <c r="D176" s="3"/>
      <c r="F176" s="6"/>
      <c r="G176" s="3"/>
      <c r="H176" s="3"/>
      <c r="I176" s="3"/>
    </row>
    <row r="177" spans="2:9">
      <c r="B177" s="3"/>
      <c r="C177" s="3"/>
      <c r="D177" s="3"/>
      <c r="F177" s="6"/>
      <c r="G177" s="3"/>
      <c r="H177" s="3"/>
      <c r="I177" s="3"/>
    </row>
    <row r="178" spans="2:9">
      <c r="B178" s="3"/>
      <c r="C178" s="3"/>
      <c r="D178" s="3"/>
      <c r="F178" s="6"/>
      <c r="G178" s="3"/>
      <c r="H178" s="3"/>
      <c r="I178" s="3"/>
    </row>
    <row r="179" spans="2:9">
      <c r="B179" s="3"/>
      <c r="C179" s="3"/>
      <c r="D179" s="3"/>
      <c r="F179" s="5"/>
      <c r="G179" s="3"/>
      <c r="H179" s="3"/>
      <c r="I179" s="3"/>
    </row>
    <row r="180" spans="2:9">
      <c r="B180" s="3"/>
      <c r="C180" s="3"/>
      <c r="D180" s="3"/>
      <c r="F180" s="6"/>
      <c r="G180" s="3"/>
      <c r="H180" s="3"/>
      <c r="I180" s="3"/>
    </row>
    <row r="181" spans="2:9">
      <c r="B181" s="3"/>
      <c r="C181" s="3"/>
      <c r="D181" s="3"/>
      <c r="F181" s="6"/>
      <c r="G181" s="3"/>
      <c r="H181" s="3"/>
      <c r="I181" s="3"/>
    </row>
    <row r="182" spans="2:9">
      <c r="B182" s="3"/>
      <c r="C182" s="3"/>
      <c r="D182" s="3"/>
      <c r="F182" s="6"/>
      <c r="G182" s="3"/>
      <c r="H182" s="3"/>
      <c r="I182" s="3"/>
    </row>
    <row r="183" spans="2:9">
      <c r="B183" s="3"/>
      <c r="C183" s="3"/>
      <c r="D183" s="3"/>
      <c r="F183" s="6"/>
      <c r="G183" s="3"/>
      <c r="H183" s="3"/>
      <c r="I183" s="3"/>
    </row>
    <row r="184" spans="2:9">
      <c r="B184" s="3"/>
      <c r="C184" s="3"/>
      <c r="D184" s="3"/>
      <c r="F184" s="6"/>
      <c r="G184" s="3"/>
      <c r="H184" s="3"/>
      <c r="I184" s="3"/>
    </row>
    <row r="185" spans="2:9">
      <c r="B185" s="3"/>
      <c r="C185" s="3"/>
      <c r="D185" s="3"/>
      <c r="F185" s="6"/>
      <c r="G185" s="3"/>
      <c r="H185" s="3"/>
      <c r="I185" s="3"/>
    </row>
    <row r="186" spans="2:9">
      <c r="B186" s="3"/>
      <c r="C186" s="3"/>
      <c r="D186" s="3"/>
      <c r="F186" s="6"/>
      <c r="G186" s="3"/>
      <c r="H186" s="3"/>
      <c r="I186" s="3"/>
    </row>
    <row r="187" spans="2:9">
      <c r="B187" s="3"/>
      <c r="C187" s="3"/>
      <c r="D187" s="3"/>
      <c r="F187" s="6"/>
      <c r="G187" s="3"/>
      <c r="H187" s="3"/>
      <c r="I187" s="3"/>
    </row>
    <row r="188" spans="2:9">
      <c r="B188" s="3"/>
      <c r="C188" s="3"/>
      <c r="D188" s="3"/>
      <c r="F188" s="6"/>
      <c r="G188" s="3"/>
      <c r="H188" s="3"/>
      <c r="I188" s="3"/>
    </row>
    <row r="189" spans="2:9">
      <c r="B189" s="3"/>
      <c r="C189" s="3"/>
      <c r="D189" s="3"/>
      <c r="F189" s="6"/>
      <c r="G189" s="3"/>
      <c r="H189" s="3"/>
      <c r="I189" s="3"/>
    </row>
    <row r="190" spans="2:9">
      <c r="B190" s="3"/>
      <c r="C190" s="3"/>
      <c r="D190" s="3"/>
      <c r="F190" s="6"/>
      <c r="G190" s="3"/>
      <c r="H190" s="3"/>
      <c r="I190" s="3"/>
    </row>
    <row r="191" spans="2:9">
      <c r="B191" s="3"/>
      <c r="C191" s="3"/>
      <c r="D191" s="3"/>
      <c r="F191" s="6"/>
      <c r="G191" s="3"/>
      <c r="H191" s="3"/>
      <c r="I191" s="3"/>
    </row>
    <row r="192" spans="2:9">
      <c r="B192" s="3"/>
      <c r="C192" s="3"/>
      <c r="D192" s="3"/>
      <c r="F192" s="6"/>
      <c r="G192" s="3"/>
      <c r="H192" s="3"/>
      <c r="I192" s="3"/>
    </row>
    <row r="193" spans="2:9">
      <c r="B193" s="3"/>
      <c r="C193" s="3"/>
      <c r="D193" s="3"/>
      <c r="F193" s="6"/>
      <c r="G193" s="3"/>
      <c r="H193" s="3"/>
      <c r="I193" s="3"/>
    </row>
    <row r="194" spans="2:9">
      <c r="B194" s="3"/>
    </row>
    <row r="195" spans="2:9">
      <c r="C195" s="3"/>
      <c r="D195" s="3"/>
      <c r="G195" s="3"/>
      <c r="H195" s="3"/>
    </row>
  </sheetData>
  <sortState ref="F99:K193">
    <sortCondition descending="1" ref="I99:I19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R106"/>
  <sheetViews>
    <sheetView tabSelected="1" zoomScale="180" zoomScaleNormal="180" zoomScalePageLayoutView="200" workbookViewId="0">
      <pane xSplit="1" topLeftCell="AW1" activePane="topRight" state="frozen"/>
      <selection pane="topRight" activeCell="BF3" sqref="BF3"/>
    </sheetView>
  </sheetViews>
  <sheetFormatPr baseColWidth="10" defaultRowHeight="10"/>
  <cols>
    <col min="1" max="1" width="11" style="67" bestFit="1" customWidth="1"/>
    <col min="2" max="2" width="3.33203125" style="67" bestFit="1" customWidth="1"/>
    <col min="3" max="3" width="4.83203125" style="68" bestFit="1" customWidth="1"/>
    <col min="4" max="4" width="3" style="68" bestFit="1" customWidth="1"/>
    <col min="5" max="5" width="6.6640625" style="68" bestFit="1" customWidth="1"/>
    <col min="6" max="6" width="5.6640625" style="68" bestFit="1" customWidth="1"/>
    <col min="7" max="7" width="4.33203125" style="69" bestFit="1" customWidth="1"/>
    <col min="8" max="8" width="5.33203125" style="69" bestFit="1" customWidth="1"/>
    <col min="9" max="10" width="7.6640625" style="70" bestFit="1" customWidth="1"/>
    <col min="11" max="11" width="7.5" style="70" bestFit="1" customWidth="1"/>
    <col min="12" max="12" width="9.33203125" style="70" bestFit="1" customWidth="1"/>
    <col min="13" max="13" width="7.5" style="70" bestFit="1" customWidth="1"/>
    <col min="14" max="14" width="9.33203125" style="70" bestFit="1" customWidth="1"/>
    <col min="15" max="15" width="8.1640625" style="70" bestFit="1" customWidth="1"/>
    <col min="16" max="16" width="9.83203125" style="70" bestFit="1" customWidth="1"/>
    <col min="17" max="17" width="9.5" style="70" bestFit="1" customWidth="1"/>
    <col min="18" max="18" width="11.33203125" style="70" bestFit="1" customWidth="1"/>
    <col min="19" max="19" width="8.33203125" style="70" bestFit="1" customWidth="1"/>
    <col min="20" max="20" width="10" style="70" bestFit="1" customWidth="1"/>
    <col min="21" max="21" width="8.5" style="70" bestFit="1" customWidth="1"/>
    <col min="22" max="22" width="10.33203125" style="70" bestFit="1" customWidth="1"/>
    <col min="23" max="23" width="10.1640625" style="70" bestFit="1" customWidth="1"/>
    <col min="24" max="24" width="12" style="70" bestFit="1" customWidth="1"/>
    <col min="25" max="25" width="8.1640625" style="70" bestFit="1" customWidth="1"/>
    <col min="26" max="26" width="10" style="70" bestFit="1" customWidth="1"/>
    <col min="27" max="27" width="9.83203125" style="70" bestFit="1" customWidth="1"/>
    <col min="28" max="28" width="11.6640625" style="70" bestFit="1" customWidth="1"/>
    <col min="29" max="29" width="6.33203125" style="71" bestFit="1" customWidth="1"/>
    <col min="30" max="30" width="7.83203125" style="71" bestFit="1" customWidth="1"/>
    <col min="31" max="31" width="6.83203125" style="71" bestFit="1" customWidth="1"/>
    <col min="32" max="32" width="14.5" style="70" bestFit="1" customWidth="1"/>
    <col min="33" max="33" width="16.1640625" style="70" bestFit="1" customWidth="1"/>
    <col min="34" max="34" width="7.5" style="70" bestFit="1" customWidth="1"/>
    <col min="35" max="35" width="9" style="70" bestFit="1" customWidth="1"/>
    <col min="36" max="36" width="12.5" style="70" bestFit="1" customWidth="1"/>
    <col min="37" max="37" width="6.5" style="72" bestFit="1" customWidth="1"/>
    <col min="38" max="38" width="14" style="70" bestFit="1" customWidth="1"/>
    <col min="39" max="39" width="8" style="72" bestFit="1" customWidth="1"/>
    <col min="40" max="40" width="14" style="70" bestFit="1" customWidth="1"/>
    <col min="41" max="41" width="8" style="72" bestFit="1" customWidth="1"/>
    <col min="42" max="42" width="15.5" style="70" bestFit="1" customWidth="1"/>
    <col min="43" max="43" width="9.5" style="72" bestFit="1" customWidth="1"/>
    <col min="44" max="44" width="12.5" style="70" bestFit="1" customWidth="1"/>
    <col min="45" max="45" width="6.5" style="72" bestFit="1" customWidth="1"/>
    <col min="46" max="46" width="14" style="70" bestFit="1" customWidth="1"/>
    <col min="47" max="47" width="8" style="72" bestFit="1" customWidth="1"/>
    <col min="48" max="48" width="14" style="70" bestFit="1" customWidth="1"/>
    <col min="49" max="49" width="8" style="72" bestFit="1" customWidth="1"/>
    <col min="50" max="50" width="15.5" style="70" bestFit="1" customWidth="1"/>
    <col min="51" max="51" width="9.5" style="72" bestFit="1" customWidth="1"/>
    <col min="52" max="52" width="6.5" style="70" bestFit="1" customWidth="1"/>
    <col min="53" max="53" width="5.6640625" style="70" bestFit="1" customWidth="1"/>
    <col min="54" max="54" width="6.83203125" style="70" bestFit="1" customWidth="1"/>
    <col min="55" max="55" width="5.6640625" style="70" bestFit="1" customWidth="1"/>
    <col min="56" max="56" width="6.33203125" style="70" bestFit="1" customWidth="1"/>
    <col min="57" max="57" width="4.83203125" style="70" bestFit="1" customWidth="1"/>
    <col min="58" max="58" width="6.5" style="70" bestFit="1" customWidth="1"/>
    <col min="59" max="59" width="6.6640625" style="70" bestFit="1" customWidth="1"/>
    <col min="60" max="60" width="8.6640625" style="70" bestFit="1" customWidth="1"/>
    <col min="61" max="63" width="5.6640625" style="70" bestFit="1" customWidth="1"/>
    <col min="64" max="64" width="6.5" style="70" bestFit="1" customWidth="1"/>
    <col min="65" max="65" width="6.6640625" style="70" bestFit="1" customWidth="1"/>
    <col min="66" max="66" width="8.6640625" style="70" bestFit="1" customWidth="1"/>
    <col min="67" max="68" width="6.33203125" style="70" bestFit="1" customWidth="1"/>
    <col min="69" max="69" width="5.6640625" style="70" bestFit="1" customWidth="1"/>
    <col min="70" max="70" width="6" style="70" bestFit="1" customWidth="1"/>
    <col min="71" max="71" width="6.1640625" style="70" bestFit="1" customWidth="1"/>
    <col min="72" max="72" width="8.1640625" style="70" bestFit="1" customWidth="1"/>
    <col min="73" max="73" width="5.6640625" style="70" bestFit="1" customWidth="1"/>
    <col min="74" max="74" width="6.33203125" style="70" bestFit="1" customWidth="1"/>
    <col min="75" max="76" width="6.83203125" style="70" bestFit="1" customWidth="1"/>
    <col min="77" max="77" width="7" style="70" bestFit="1" customWidth="1"/>
    <col min="78" max="78" width="8.83203125" style="70" bestFit="1" customWidth="1"/>
    <col min="79" max="79" width="6.33203125" style="70" bestFit="1" customWidth="1"/>
    <col min="80" max="80" width="6.83203125" style="70" bestFit="1" customWidth="1"/>
    <col min="81" max="81" width="5.6640625" style="70" bestFit="1" customWidth="1"/>
    <col min="82" max="82" width="5.1640625" style="70" bestFit="1" customWidth="1"/>
    <col min="83" max="83" width="5.33203125" style="70" bestFit="1" customWidth="1"/>
    <col min="84" max="84" width="7.1640625" style="70" bestFit="1" customWidth="1"/>
    <col min="85" max="85" width="5.6640625" style="70" bestFit="1" customWidth="1"/>
    <col min="86" max="86" width="6.33203125" style="70" bestFit="1" customWidth="1"/>
    <col min="87" max="87" width="5.6640625" style="70" bestFit="1" customWidth="1"/>
    <col min="88" max="88" width="7.33203125" style="70" bestFit="1" customWidth="1"/>
    <col min="89" max="89" width="7.5" style="70" bestFit="1" customWidth="1"/>
    <col min="90" max="90" width="9.33203125" style="70" bestFit="1" customWidth="1"/>
    <col min="91" max="91" width="6.1640625" style="70" bestFit="1" customWidth="1"/>
    <col min="92" max="92" width="6" style="70" bestFit="1" customWidth="1"/>
    <col min="93" max="93" width="7.6640625" style="70" bestFit="1" customWidth="1"/>
    <col min="94" max="94" width="9.33203125" style="70" bestFit="1" customWidth="1"/>
    <col min="95" max="95" width="9.5" style="70" bestFit="1" customWidth="1"/>
    <col min="96" max="96" width="11.33203125" style="70" bestFit="1" customWidth="1"/>
    <col min="97" max="97" width="8.1640625" style="70" bestFit="1" customWidth="1"/>
    <col min="98" max="98" width="8" style="70" bestFit="1" customWidth="1"/>
    <col min="99" max="99" width="7" style="70" bestFit="1" customWidth="1"/>
    <col min="100" max="100" width="8.6640625" style="70" bestFit="1" customWidth="1"/>
    <col min="101" max="101" width="8.83203125" style="70" bestFit="1" customWidth="1"/>
    <col min="102" max="102" width="10.83203125" style="70" bestFit="1" customWidth="1"/>
    <col min="103" max="103" width="7.5" style="70" bestFit="1" customWidth="1"/>
    <col min="104" max="104" width="7.33203125" style="70" bestFit="1" customWidth="1"/>
    <col min="105" max="105" width="7" style="70" bestFit="1" customWidth="1"/>
    <col min="106" max="106" width="8.6640625" style="70" bestFit="1" customWidth="1"/>
    <col min="107" max="107" width="8.83203125" style="70" bestFit="1" customWidth="1"/>
    <col min="108" max="108" width="10.6640625" style="70" bestFit="1" customWidth="1"/>
    <col min="109" max="109" width="7.5" style="70" bestFit="1" customWidth="1"/>
    <col min="110" max="110" width="7.33203125" style="70" bestFit="1" customWidth="1"/>
    <col min="111" max="111" width="6.33203125" style="70" bestFit="1" customWidth="1"/>
    <col min="112" max="112" width="8" style="70" bestFit="1" customWidth="1"/>
    <col min="113" max="113" width="8.1640625" style="70" bestFit="1" customWidth="1"/>
    <col min="114" max="114" width="10" style="70" bestFit="1" customWidth="1"/>
    <col min="115" max="115" width="6.83203125" style="70" bestFit="1" customWidth="1"/>
    <col min="116" max="116" width="6.6640625" style="70" bestFit="1" customWidth="1"/>
    <col min="117" max="117" width="6.33203125" style="70" bestFit="1" customWidth="1"/>
    <col min="118" max="118" width="8" style="70" bestFit="1" customWidth="1"/>
    <col min="119" max="119" width="8.1640625" style="70" bestFit="1" customWidth="1"/>
    <col min="120" max="120" width="10" style="70" bestFit="1" customWidth="1"/>
    <col min="121" max="121" width="6.83203125" style="70" bestFit="1" customWidth="1"/>
    <col min="122" max="122" width="6.6640625" style="70" bestFit="1" customWidth="1"/>
    <col min="123" max="123" width="5.6640625" style="70" bestFit="1" customWidth="1"/>
    <col min="124" max="124" width="6.83203125" style="70" bestFit="1" customWidth="1"/>
    <col min="125" max="125" width="7" style="70" bestFit="1" customWidth="1"/>
    <col min="126" max="126" width="8.83203125" style="70" bestFit="1" customWidth="1"/>
    <col min="127" max="129" width="5.6640625" style="70" bestFit="1" customWidth="1"/>
    <col min="130" max="130" width="6.5" style="70" bestFit="1" customWidth="1"/>
    <col min="131" max="131" width="6.6640625" style="70" bestFit="1" customWidth="1"/>
    <col min="132" max="132" width="8.5" style="70" bestFit="1" customWidth="1"/>
    <col min="133" max="133" width="5.6640625" style="70" bestFit="1" customWidth="1"/>
    <col min="134" max="134" width="6.33203125" style="70" bestFit="1" customWidth="1"/>
    <col min="135" max="135" width="5.6640625" style="70" bestFit="1" customWidth="1"/>
    <col min="136" max="136" width="6.1640625" style="70" bestFit="1" customWidth="1"/>
    <col min="137" max="137" width="6.33203125" style="70" bestFit="1" customWidth="1"/>
    <col min="138" max="138" width="8.1640625" style="70" bestFit="1" customWidth="1"/>
    <col min="139" max="140" width="5.6640625" style="70" bestFit="1" customWidth="1"/>
    <col min="141" max="141" width="6.33203125" style="70" bestFit="1" customWidth="1"/>
    <col min="142" max="142" width="6.1640625" style="70" bestFit="1" customWidth="1"/>
    <col min="143" max="143" width="6.33203125" style="70" bestFit="1" customWidth="1"/>
    <col min="144" max="144" width="8.1640625" style="70" bestFit="1" customWidth="1"/>
    <col min="145" max="146" width="6.33203125" style="70" bestFit="1" customWidth="1"/>
    <col min="147" max="147" width="5.6640625" style="70" bestFit="1" customWidth="1"/>
    <col min="148" max="148" width="5.83203125" style="70" bestFit="1" customWidth="1"/>
    <col min="149" max="149" width="6" style="70" bestFit="1" customWidth="1"/>
    <col min="150" max="150" width="8" style="70" bestFit="1" customWidth="1"/>
    <col min="151" max="152" width="5.6640625" style="70" bestFit="1" customWidth="1"/>
    <col min="153" max="153" width="6.1640625" style="70" bestFit="1" customWidth="1"/>
    <col min="154" max="154" width="7.83203125" style="70" bestFit="1" customWidth="1"/>
    <col min="155" max="155" width="8" style="70" bestFit="1" customWidth="1"/>
    <col min="156" max="156" width="9.83203125" style="70" bestFit="1" customWidth="1"/>
    <col min="157" max="157" width="6.6640625" style="70" bestFit="1" customWidth="1"/>
    <col min="158" max="158" width="6.5" style="70" bestFit="1" customWidth="1"/>
    <col min="159" max="159" width="7.33203125" style="70" bestFit="1" customWidth="1"/>
    <col min="160" max="160" width="9" style="70" bestFit="1" customWidth="1"/>
    <col min="161" max="161" width="9.1640625" style="70" bestFit="1" customWidth="1"/>
    <col min="162" max="162" width="11" style="70" bestFit="1" customWidth="1"/>
    <col min="163" max="163" width="7.83203125" style="70" bestFit="1" customWidth="1"/>
    <col min="164" max="164" width="7.6640625" style="70" bestFit="1" customWidth="1"/>
    <col min="165" max="165" width="4.83203125" style="70" bestFit="1" customWidth="1"/>
    <col min="166" max="166" width="6" style="70" bestFit="1" customWidth="1"/>
    <col min="167" max="167" width="6.1640625" style="70" bestFit="1" customWidth="1"/>
    <col min="168" max="168" width="8.1640625" style="70" bestFit="1" customWidth="1"/>
    <col min="169" max="170" width="5.6640625" style="70" bestFit="1" customWidth="1"/>
    <col min="171" max="171" width="8" style="70" bestFit="1" customWidth="1"/>
    <col min="172" max="172" width="9.6640625" style="70" bestFit="1" customWidth="1"/>
    <col min="173" max="173" width="9.83203125" style="70" bestFit="1" customWidth="1"/>
    <col min="174" max="174" width="11.6640625" style="70" bestFit="1" customWidth="1"/>
    <col min="175" max="175" width="8.5" style="70" bestFit="1" customWidth="1"/>
    <col min="176" max="177" width="8.33203125" style="70" bestFit="1" customWidth="1"/>
    <col min="178" max="178" width="10" style="70" bestFit="1" customWidth="1"/>
    <col min="179" max="179" width="10.1640625" style="70" bestFit="1" customWidth="1"/>
    <col min="180" max="180" width="12" style="70" bestFit="1" customWidth="1"/>
    <col min="181" max="181" width="8.83203125" style="70" bestFit="1" customWidth="1"/>
    <col min="182" max="182" width="8.6640625" style="70" bestFit="1" customWidth="1"/>
    <col min="183" max="183" width="4.83203125" style="70" bestFit="1" customWidth="1"/>
    <col min="184" max="184" width="5.6640625" style="70" bestFit="1" customWidth="1"/>
    <col min="185" max="185" width="5.83203125" style="70" bestFit="1" customWidth="1"/>
    <col min="186" max="186" width="7.83203125" style="70" bestFit="1" customWidth="1"/>
    <col min="187" max="188" width="5.6640625" style="70" bestFit="1" customWidth="1"/>
    <col min="189" max="189" width="6.33203125" style="70" bestFit="1" customWidth="1"/>
    <col min="190" max="190" width="7.6640625" style="70" bestFit="1" customWidth="1"/>
    <col min="191" max="191" width="7.83203125" style="70" bestFit="1" customWidth="1"/>
    <col min="192" max="192" width="9.6640625" style="70" bestFit="1" customWidth="1"/>
    <col min="193" max="193" width="6.5" style="70" bestFit="1" customWidth="1"/>
    <col min="194" max="194" width="7.1640625" style="70" bestFit="1" customWidth="1"/>
    <col min="195" max="195" width="6.33203125" style="70" bestFit="1" customWidth="1"/>
    <col min="196" max="196" width="6.83203125" style="70" bestFit="1" customWidth="1"/>
    <col min="197" max="197" width="7" style="70" bestFit="1" customWidth="1"/>
    <col min="198" max="198" width="8.83203125" style="70" bestFit="1" customWidth="1"/>
    <col min="199" max="199" width="6.33203125" style="70" bestFit="1" customWidth="1"/>
    <col min="200" max="200" width="6.83203125" style="70" bestFit="1" customWidth="1"/>
    <col min="201" max="201" width="5.83203125" style="70" bestFit="1" customWidth="1"/>
    <col min="202" max="202" width="7.5" style="70" bestFit="1" customWidth="1"/>
    <col min="203" max="203" width="7.6640625" style="70" bestFit="1" customWidth="1"/>
    <col min="204" max="204" width="9.5" style="70" bestFit="1" customWidth="1"/>
    <col min="205" max="205" width="6.33203125" style="70" bestFit="1" customWidth="1"/>
    <col min="206" max="206" width="6.1640625" style="70" bestFit="1" customWidth="1"/>
    <col min="207" max="207" width="8" style="70" bestFit="1" customWidth="1"/>
    <col min="208" max="208" width="9.33203125" style="70" bestFit="1" customWidth="1"/>
    <col min="209" max="209" width="9.5" style="70" bestFit="1" customWidth="1"/>
    <col min="210" max="210" width="11.33203125" style="70" bestFit="1" customWidth="1"/>
    <col min="211" max="211" width="8.1640625" style="70" bestFit="1" customWidth="1"/>
    <col min="212" max="212" width="8" style="70" bestFit="1" customWidth="1"/>
    <col min="213" max="213" width="16.83203125" style="70" customWidth="1"/>
    <col min="214" max="214" width="6.33203125" style="70" bestFit="1" customWidth="1"/>
    <col min="215" max="215" width="7.33203125" style="70" bestFit="1" customWidth="1"/>
    <col min="216" max="216" width="6.33203125" style="70" bestFit="1" customWidth="1"/>
    <col min="217" max="217" width="7.33203125" style="70" bestFit="1" customWidth="1"/>
    <col min="218" max="218" width="5.6640625" style="70" bestFit="1" customWidth="1"/>
    <col min="219" max="219" width="7.33203125" style="70" bestFit="1" customWidth="1"/>
    <col min="220" max="220" width="6.83203125" style="70" bestFit="1" customWidth="1"/>
    <col min="221" max="221" width="7.33203125" style="70" bestFit="1" customWidth="1"/>
    <col min="222" max="222" width="5.6640625" style="70" bestFit="1" customWidth="1"/>
    <col min="223" max="223" width="7.33203125" style="70" bestFit="1" customWidth="1"/>
    <col min="224" max="224" width="5.6640625" style="70" bestFit="1" customWidth="1"/>
    <col min="225" max="225" width="7.33203125" style="70" bestFit="1" customWidth="1"/>
    <col min="226" max="226" width="6.33203125" style="70" bestFit="1" customWidth="1"/>
    <col min="227" max="227" width="7.33203125" style="70" bestFit="1" customWidth="1"/>
    <col min="228" max="228" width="5.6640625" style="70" bestFit="1" customWidth="1"/>
    <col min="229" max="229" width="7.33203125" style="70" bestFit="1" customWidth="1"/>
    <col min="230" max="230" width="6.33203125" style="70" bestFit="1" customWidth="1"/>
    <col min="231" max="231" width="7.33203125" style="70" bestFit="1" customWidth="1"/>
    <col min="232" max="232" width="6.33203125" style="70" bestFit="1" customWidth="1"/>
    <col min="233" max="233" width="7.33203125" style="70" bestFit="1" customWidth="1"/>
    <col min="234" max="234" width="5.6640625" style="70" bestFit="1" customWidth="1"/>
    <col min="235" max="235" width="7.33203125" style="70" bestFit="1" customWidth="1"/>
    <col min="236" max="236" width="6.33203125" style="70" bestFit="1" customWidth="1"/>
    <col min="237" max="237" width="7.33203125" style="70" bestFit="1" customWidth="1"/>
    <col min="238" max="238" width="5.6640625" style="70" bestFit="1" customWidth="1"/>
    <col min="239" max="239" width="7.33203125" style="70" bestFit="1" customWidth="1"/>
    <col min="240" max="240" width="6.33203125" style="70" bestFit="1" customWidth="1"/>
    <col min="241" max="241" width="7.33203125" style="70" bestFit="1" customWidth="1"/>
    <col min="242" max="242" width="6.33203125" style="70" bestFit="1" customWidth="1"/>
    <col min="243" max="243" width="7.33203125" style="70" bestFit="1" customWidth="1"/>
    <col min="244" max="244" width="6.83203125" style="70" bestFit="1" customWidth="1"/>
    <col min="245" max="245" width="7.33203125" style="70" bestFit="1" customWidth="1"/>
    <col min="246" max="246" width="6.33203125" style="70" bestFit="1" customWidth="1"/>
    <col min="247" max="247" width="7.33203125" style="70" bestFit="1" customWidth="1"/>
    <col min="248" max="248" width="5.6640625" style="70" bestFit="1" customWidth="1"/>
    <col min="249" max="249" width="7.33203125" style="70" bestFit="1" customWidth="1"/>
    <col min="250" max="250" width="6.33203125" style="70" bestFit="1" customWidth="1"/>
    <col min="251" max="251" width="7.33203125" style="70" bestFit="1" customWidth="1"/>
    <col min="252" max="252" width="6.33203125" style="70" bestFit="1" customWidth="1"/>
    <col min="253" max="253" width="7.33203125" style="70" bestFit="1" customWidth="1"/>
    <col min="254" max="254" width="6.33203125" style="70" bestFit="1" customWidth="1"/>
    <col min="255" max="255" width="7.33203125" style="70" bestFit="1" customWidth="1"/>
    <col min="256" max="256" width="4.83203125" style="70" bestFit="1" customWidth="1"/>
    <col min="257" max="257" width="7.33203125" style="70" bestFit="1" customWidth="1"/>
    <col min="258" max="258" width="5.6640625" style="70" bestFit="1" customWidth="1"/>
    <col min="259" max="259" width="7.33203125" style="70" bestFit="1" customWidth="1"/>
    <col min="260" max="260" width="5.6640625" style="70" bestFit="1" customWidth="1"/>
    <col min="261" max="261" width="7.33203125" style="70" bestFit="1" customWidth="1"/>
    <col min="262" max="262" width="6.33203125" style="70" bestFit="1" customWidth="1"/>
    <col min="263" max="263" width="7.33203125" style="70" bestFit="1" customWidth="1"/>
    <col min="264" max="264" width="5.6640625" style="70" bestFit="1" customWidth="1"/>
    <col min="265" max="265" width="7.33203125" style="70" bestFit="1" customWidth="1"/>
    <col min="266" max="266" width="6.33203125" style="70" bestFit="1" customWidth="1"/>
    <col min="267" max="267" width="7.33203125" style="70" bestFit="1" customWidth="1"/>
    <col min="268" max="268" width="5.6640625" style="70" bestFit="1" customWidth="1"/>
    <col min="269" max="269" width="7.33203125" style="70" bestFit="1" customWidth="1"/>
    <col min="270" max="270" width="5.6640625" style="70" bestFit="1" customWidth="1"/>
    <col min="271" max="271" width="7.33203125" style="70" bestFit="1" customWidth="1"/>
    <col min="272" max="272" width="6.33203125" style="70" bestFit="1" customWidth="1"/>
    <col min="273" max="273" width="7.33203125" style="70" bestFit="1" customWidth="1"/>
    <col min="274" max="274" width="5.6640625" style="70" bestFit="1" customWidth="1"/>
    <col min="275" max="275" width="7.33203125" style="70" bestFit="1" customWidth="1"/>
    <col min="276" max="276" width="5.6640625" style="70" bestFit="1" customWidth="1"/>
    <col min="277" max="277" width="7.33203125" style="70" bestFit="1" customWidth="1"/>
    <col min="278" max="278" width="5.6640625" style="70" bestFit="1" customWidth="1"/>
    <col min="279" max="279" width="7.33203125" style="70" bestFit="1" customWidth="1"/>
    <col min="280" max="280" width="5.6640625" style="70" bestFit="1" customWidth="1"/>
    <col min="281" max="281" width="7.33203125" style="70" bestFit="1" customWidth="1"/>
    <col min="282" max="282" width="6.33203125" style="70" bestFit="1" customWidth="1"/>
    <col min="283" max="283" width="7.33203125" style="70" bestFit="1" customWidth="1"/>
    <col min="284" max="284" width="6.83203125" style="70" bestFit="1" customWidth="1"/>
    <col min="285" max="285" width="7.33203125" style="70" bestFit="1" customWidth="1"/>
    <col min="286" max="286" width="5.6640625" style="70" bestFit="1" customWidth="1"/>
    <col min="287" max="287" width="7.33203125" style="70" bestFit="1" customWidth="1"/>
    <col min="288" max="288" width="6.83203125" style="70" bestFit="1" customWidth="1"/>
    <col min="289" max="289" width="7.33203125" style="70" bestFit="1" customWidth="1"/>
    <col min="290" max="290" width="12.1640625" style="70" customWidth="1"/>
    <col min="291" max="291" width="7.33203125" style="70" bestFit="1" customWidth="1"/>
    <col min="292" max="292" width="10.83203125" style="68"/>
    <col min="293" max="293" width="8" style="68" bestFit="1" customWidth="1"/>
    <col min="294" max="303" width="10.83203125" style="68"/>
    <col min="304" max="304" width="15" style="68" customWidth="1"/>
    <col min="305" max="16384" width="10.83203125" style="68"/>
  </cols>
  <sheetData>
    <row r="1" spans="1:293" s="83" customFormat="1">
      <c r="A1" s="82"/>
      <c r="B1" s="82"/>
      <c r="AZ1" s="83">
        <v>1</v>
      </c>
      <c r="BA1" s="83">
        <v>3</v>
      </c>
      <c r="BB1" s="83">
        <v>4</v>
      </c>
      <c r="BC1" s="83">
        <v>11</v>
      </c>
      <c r="BD1" s="83">
        <v>12</v>
      </c>
      <c r="BE1" s="83">
        <v>13</v>
      </c>
      <c r="BF1" s="83">
        <v>13</v>
      </c>
      <c r="BG1" s="83">
        <v>13</v>
      </c>
      <c r="BH1" s="83">
        <v>13</v>
      </c>
      <c r="BI1" s="83">
        <v>13</v>
      </c>
      <c r="BJ1" s="83">
        <v>13</v>
      </c>
      <c r="BK1" s="83">
        <v>14</v>
      </c>
      <c r="BL1" s="83">
        <v>14</v>
      </c>
      <c r="BM1" s="83">
        <v>14</v>
      </c>
      <c r="BN1" s="83">
        <v>14</v>
      </c>
      <c r="BO1" s="83">
        <v>14</v>
      </c>
      <c r="BP1" s="83">
        <v>14</v>
      </c>
      <c r="BQ1" s="83">
        <v>15</v>
      </c>
      <c r="BR1" s="83">
        <v>15</v>
      </c>
      <c r="BS1" s="83">
        <v>15</v>
      </c>
      <c r="BT1" s="83">
        <v>15</v>
      </c>
      <c r="BU1" s="83">
        <v>15</v>
      </c>
      <c r="BV1" s="83">
        <v>15</v>
      </c>
      <c r="BW1" s="83">
        <v>16</v>
      </c>
      <c r="BX1" s="83">
        <v>16</v>
      </c>
      <c r="BY1" s="83">
        <v>16</v>
      </c>
      <c r="BZ1" s="83">
        <v>16</v>
      </c>
      <c r="CA1" s="83">
        <v>16</v>
      </c>
      <c r="CB1" s="83">
        <v>16</v>
      </c>
      <c r="CC1" s="83">
        <v>17</v>
      </c>
      <c r="CD1" s="83">
        <v>17</v>
      </c>
      <c r="CE1" s="83">
        <v>17</v>
      </c>
      <c r="CF1" s="83">
        <v>17</v>
      </c>
      <c r="CG1" s="83">
        <v>17</v>
      </c>
      <c r="CH1" s="83">
        <v>17</v>
      </c>
      <c r="CI1" s="83">
        <v>18</v>
      </c>
      <c r="CJ1" s="83">
        <v>18</v>
      </c>
      <c r="CK1" s="83">
        <v>18</v>
      </c>
      <c r="CL1" s="83">
        <v>18</v>
      </c>
      <c r="CM1" s="83">
        <v>18</v>
      </c>
      <c r="CN1" s="83">
        <v>18</v>
      </c>
      <c r="CO1" s="83">
        <v>19</v>
      </c>
      <c r="CP1" s="83">
        <v>19</v>
      </c>
      <c r="CQ1" s="83">
        <v>19</v>
      </c>
      <c r="CR1" s="83">
        <v>19</v>
      </c>
      <c r="CS1" s="83">
        <v>19</v>
      </c>
      <c r="CT1" s="83">
        <v>19</v>
      </c>
      <c r="CU1" s="83">
        <v>20</v>
      </c>
      <c r="CV1" s="83">
        <v>20</v>
      </c>
      <c r="CW1" s="83">
        <v>20</v>
      </c>
      <c r="CX1" s="83">
        <v>20</v>
      </c>
      <c r="CY1" s="83">
        <v>20</v>
      </c>
      <c r="CZ1" s="83">
        <v>20</v>
      </c>
      <c r="DA1" s="83">
        <v>21</v>
      </c>
      <c r="DB1" s="83">
        <v>21</v>
      </c>
      <c r="DC1" s="83">
        <v>21</v>
      </c>
      <c r="DD1" s="83">
        <v>21</v>
      </c>
      <c r="DE1" s="83">
        <v>21</v>
      </c>
      <c r="DF1" s="83">
        <v>21</v>
      </c>
      <c r="DG1" s="83">
        <v>22</v>
      </c>
      <c r="DH1" s="83">
        <v>22</v>
      </c>
      <c r="DI1" s="83">
        <v>22</v>
      </c>
      <c r="DJ1" s="83">
        <v>22</v>
      </c>
      <c r="DK1" s="83">
        <v>22</v>
      </c>
      <c r="DL1" s="83">
        <v>22</v>
      </c>
      <c r="DM1" s="83">
        <v>23</v>
      </c>
      <c r="DN1" s="83">
        <v>23</v>
      </c>
      <c r="DO1" s="83">
        <v>23</v>
      </c>
      <c r="DP1" s="83">
        <v>23</v>
      </c>
      <c r="DQ1" s="83">
        <v>23</v>
      </c>
      <c r="DR1" s="83">
        <v>23</v>
      </c>
      <c r="DS1" s="83">
        <v>24</v>
      </c>
      <c r="DT1" s="83">
        <v>24</v>
      </c>
      <c r="DU1" s="83">
        <v>24</v>
      </c>
      <c r="DV1" s="83">
        <v>24</v>
      </c>
      <c r="DW1" s="83">
        <v>24</v>
      </c>
      <c r="DX1" s="83">
        <v>24</v>
      </c>
      <c r="DY1" s="83">
        <v>25</v>
      </c>
      <c r="DZ1" s="83">
        <v>25</v>
      </c>
      <c r="EA1" s="83">
        <v>25</v>
      </c>
      <c r="EB1" s="83">
        <v>25</v>
      </c>
      <c r="EC1" s="83">
        <v>25</v>
      </c>
      <c r="ED1" s="83">
        <v>25</v>
      </c>
      <c r="EE1" s="83">
        <v>26</v>
      </c>
      <c r="EF1" s="83">
        <v>26</v>
      </c>
      <c r="EG1" s="83">
        <v>26</v>
      </c>
      <c r="EH1" s="83">
        <v>26</v>
      </c>
      <c r="EI1" s="83">
        <v>26</v>
      </c>
      <c r="EJ1" s="83">
        <v>26</v>
      </c>
      <c r="EK1" s="83">
        <v>27</v>
      </c>
      <c r="EL1" s="83">
        <v>27</v>
      </c>
      <c r="EM1" s="83">
        <v>27</v>
      </c>
      <c r="EN1" s="83">
        <v>27</v>
      </c>
      <c r="EO1" s="83">
        <v>27</v>
      </c>
      <c r="EP1" s="83">
        <v>27</v>
      </c>
      <c r="EQ1" s="83">
        <v>28</v>
      </c>
      <c r="ER1" s="83">
        <v>28</v>
      </c>
      <c r="ES1" s="83">
        <v>28</v>
      </c>
      <c r="ET1" s="83">
        <v>28</v>
      </c>
      <c r="EU1" s="83">
        <v>28</v>
      </c>
      <c r="EV1" s="83">
        <v>28</v>
      </c>
      <c r="EW1" s="83">
        <v>29</v>
      </c>
      <c r="EX1" s="83">
        <v>29</v>
      </c>
      <c r="EY1" s="83">
        <v>29</v>
      </c>
      <c r="EZ1" s="83">
        <v>29</v>
      </c>
      <c r="FA1" s="83">
        <v>29</v>
      </c>
      <c r="FB1" s="83">
        <v>29</v>
      </c>
      <c r="FC1" s="83">
        <v>30</v>
      </c>
      <c r="FD1" s="83">
        <v>30</v>
      </c>
      <c r="FE1" s="83">
        <v>30</v>
      </c>
      <c r="FF1" s="83">
        <v>30</v>
      </c>
      <c r="FG1" s="83">
        <v>30</v>
      </c>
      <c r="FH1" s="83">
        <v>30</v>
      </c>
      <c r="FI1" s="83">
        <v>31</v>
      </c>
      <c r="FJ1" s="83">
        <v>31</v>
      </c>
      <c r="FK1" s="83">
        <v>31</v>
      </c>
      <c r="FL1" s="83">
        <v>31</v>
      </c>
      <c r="FM1" s="83">
        <v>31</v>
      </c>
      <c r="FN1" s="83">
        <v>31</v>
      </c>
      <c r="FO1" s="83">
        <v>32</v>
      </c>
      <c r="FP1" s="83">
        <v>32</v>
      </c>
      <c r="FQ1" s="83">
        <v>32</v>
      </c>
      <c r="FR1" s="83">
        <v>32</v>
      </c>
      <c r="FS1" s="83">
        <v>32</v>
      </c>
      <c r="FT1" s="83">
        <v>32</v>
      </c>
      <c r="FU1" s="83">
        <v>33</v>
      </c>
      <c r="FV1" s="83">
        <v>33</v>
      </c>
      <c r="FW1" s="83">
        <v>33</v>
      </c>
      <c r="FX1" s="83">
        <v>33</v>
      </c>
      <c r="FY1" s="83">
        <v>33</v>
      </c>
      <c r="FZ1" s="83">
        <v>33</v>
      </c>
      <c r="GA1" s="83">
        <v>34</v>
      </c>
      <c r="GB1" s="83">
        <v>34</v>
      </c>
      <c r="GC1" s="83">
        <v>34</v>
      </c>
      <c r="GD1" s="83">
        <v>34</v>
      </c>
      <c r="GE1" s="83">
        <v>34</v>
      </c>
      <c r="GF1" s="83">
        <v>34</v>
      </c>
      <c r="GG1" s="83">
        <v>35</v>
      </c>
      <c r="GH1" s="83">
        <v>35</v>
      </c>
      <c r="GI1" s="83">
        <v>35</v>
      </c>
      <c r="GJ1" s="83">
        <v>35</v>
      </c>
      <c r="GK1" s="83">
        <v>35</v>
      </c>
      <c r="GL1" s="83">
        <v>35</v>
      </c>
      <c r="GM1" s="83">
        <v>36</v>
      </c>
      <c r="GN1" s="83">
        <v>36</v>
      </c>
      <c r="GO1" s="83">
        <v>36</v>
      </c>
      <c r="GP1" s="83">
        <v>36</v>
      </c>
      <c r="GQ1" s="83">
        <v>36</v>
      </c>
      <c r="GR1" s="83">
        <v>36</v>
      </c>
      <c r="GS1" s="83">
        <v>37</v>
      </c>
      <c r="GT1" s="83">
        <v>37</v>
      </c>
      <c r="GU1" s="83">
        <v>37</v>
      </c>
      <c r="GV1" s="83">
        <v>37</v>
      </c>
      <c r="GW1" s="83">
        <v>37</v>
      </c>
      <c r="GX1" s="83">
        <v>37</v>
      </c>
      <c r="GY1" s="83">
        <v>38</v>
      </c>
      <c r="GZ1" s="83">
        <v>38</v>
      </c>
      <c r="HA1" s="83">
        <v>38</v>
      </c>
      <c r="HB1" s="83">
        <v>38</v>
      </c>
      <c r="HC1" s="83">
        <v>38</v>
      </c>
      <c r="HD1" s="83">
        <v>38</v>
      </c>
    </row>
    <row r="2" spans="1:293" s="74" customFormat="1">
      <c r="A2" s="73" t="s">
        <v>0</v>
      </c>
      <c r="B2" s="73" t="s">
        <v>358</v>
      </c>
      <c r="C2" s="87" t="s">
        <v>1</v>
      </c>
      <c r="D2" s="87" t="s">
        <v>2</v>
      </c>
      <c r="E2" s="87" t="s">
        <v>3</v>
      </c>
      <c r="F2" s="87" t="s">
        <v>4</v>
      </c>
      <c r="G2" s="88" t="s">
        <v>5</v>
      </c>
      <c r="H2" s="88" t="s">
        <v>6</v>
      </c>
      <c r="I2" s="89" t="s">
        <v>7</v>
      </c>
      <c r="J2" s="89" t="s">
        <v>8</v>
      </c>
      <c r="K2" s="89" t="s">
        <v>9</v>
      </c>
      <c r="L2" s="89" t="s">
        <v>10</v>
      </c>
      <c r="M2" s="89" t="s">
        <v>11</v>
      </c>
      <c r="N2" s="89" t="s">
        <v>12</v>
      </c>
      <c r="O2" s="89" t="s">
        <v>13</v>
      </c>
      <c r="P2" s="89" t="s">
        <v>14</v>
      </c>
      <c r="Q2" s="89" t="s">
        <v>15</v>
      </c>
      <c r="R2" s="89" t="s">
        <v>16</v>
      </c>
      <c r="S2" s="89" t="s">
        <v>17</v>
      </c>
      <c r="T2" s="89" t="s">
        <v>18</v>
      </c>
      <c r="U2" s="89" t="s">
        <v>19</v>
      </c>
      <c r="V2" s="89" t="s">
        <v>20</v>
      </c>
      <c r="W2" s="89" t="s">
        <v>21</v>
      </c>
      <c r="X2" s="89" t="s">
        <v>22</v>
      </c>
      <c r="Y2" s="89" t="s">
        <v>23</v>
      </c>
      <c r="Z2" s="89" t="s">
        <v>24</v>
      </c>
      <c r="AA2" s="89" t="s">
        <v>25</v>
      </c>
      <c r="AB2" s="89" t="s">
        <v>26</v>
      </c>
      <c r="AC2" s="111" t="s">
        <v>27</v>
      </c>
      <c r="AD2" s="111" t="s">
        <v>28</v>
      </c>
      <c r="AE2" s="111" t="s">
        <v>29</v>
      </c>
      <c r="AF2" s="112" t="s">
        <v>30</v>
      </c>
      <c r="AG2" s="112" t="s">
        <v>31</v>
      </c>
      <c r="AH2" s="112" t="s">
        <v>32</v>
      </c>
      <c r="AI2" s="112" t="s">
        <v>33</v>
      </c>
      <c r="AJ2" s="112" t="s">
        <v>34</v>
      </c>
      <c r="AK2" s="113" t="s">
        <v>35</v>
      </c>
      <c r="AL2" s="112" t="s">
        <v>36</v>
      </c>
      <c r="AM2" s="113" t="s">
        <v>37</v>
      </c>
      <c r="AN2" s="112" t="s">
        <v>38</v>
      </c>
      <c r="AO2" s="113" t="s">
        <v>39</v>
      </c>
      <c r="AP2" s="112" t="s">
        <v>40</v>
      </c>
      <c r="AQ2" s="113" t="s">
        <v>41</v>
      </c>
      <c r="AR2" s="112" t="s">
        <v>42</v>
      </c>
      <c r="AS2" s="113" t="s">
        <v>43</v>
      </c>
      <c r="AT2" s="112" t="s">
        <v>44</v>
      </c>
      <c r="AU2" s="113" t="s">
        <v>45</v>
      </c>
      <c r="AV2" s="112" t="s">
        <v>46</v>
      </c>
      <c r="AW2" s="113" t="s">
        <v>47</v>
      </c>
      <c r="AX2" s="112" t="s">
        <v>48</v>
      </c>
      <c r="AY2" s="113" t="s">
        <v>49</v>
      </c>
      <c r="AZ2" s="138" t="s">
        <v>50</v>
      </c>
      <c r="BA2" s="138" t="s">
        <v>51</v>
      </c>
      <c r="BB2" s="138" t="s">
        <v>52</v>
      </c>
      <c r="BC2" s="138" t="s">
        <v>59</v>
      </c>
      <c r="BD2" s="138" t="s">
        <v>60</v>
      </c>
      <c r="BE2" s="138" t="s">
        <v>61</v>
      </c>
      <c r="BF2" s="138" t="s">
        <v>62</v>
      </c>
      <c r="BG2" s="138" t="s">
        <v>63</v>
      </c>
      <c r="BH2" s="138" t="s">
        <v>64</v>
      </c>
      <c r="BI2" s="138" t="s">
        <v>65</v>
      </c>
      <c r="BJ2" s="138" t="s">
        <v>66</v>
      </c>
      <c r="BK2" s="138" t="s">
        <v>67</v>
      </c>
      <c r="BL2" s="138" t="s">
        <v>68</v>
      </c>
      <c r="BM2" s="138" t="s">
        <v>69</v>
      </c>
      <c r="BN2" s="138" t="s">
        <v>70</v>
      </c>
      <c r="BO2" s="138" t="s">
        <v>71</v>
      </c>
      <c r="BP2" s="138" t="s">
        <v>72</v>
      </c>
      <c r="BQ2" s="138" t="s">
        <v>73</v>
      </c>
      <c r="BR2" s="138" t="s">
        <v>74</v>
      </c>
      <c r="BS2" s="138" t="s">
        <v>75</v>
      </c>
      <c r="BT2" s="138" t="s">
        <v>76</v>
      </c>
      <c r="BU2" s="138" t="s">
        <v>77</v>
      </c>
      <c r="BV2" s="138" t="s">
        <v>78</v>
      </c>
      <c r="BW2" s="138" t="s">
        <v>79</v>
      </c>
      <c r="BX2" s="138" t="s">
        <v>80</v>
      </c>
      <c r="BY2" s="138" t="s">
        <v>81</v>
      </c>
      <c r="BZ2" s="138" t="s">
        <v>82</v>
      </c>
      <c r="CA2" s="138" t="s">
        <v>83</v>
      </c>
      <c r="CB2" s="138" t="s">
        <v>527</v>
      </c>
      <c r="CC2" s="138" t="s">
        <v>84</v>
      </c>
      <c r="CD2" s="138" t="s">
        <v>85</v>
      </c>
      <c r="CE2" s="138" t="s">
        <v>86</v>
      </c>
      <c r="CF2" s="138" t="s">
        <v>87</v>
      </c>
      <c r="CG2" s="138" t="s">
        <v>88</v>
      </c>
      <c r="CH2" s="138" t="s">
        <v>89</v>
      </c>
      <c r="CI2" s="138" t="s">
        <v>90</v>
      </c>
      <c r="CJ2" s="138" t="s">
        <v>91</v>
      </c>
      <c r="CK2" s="138" t="s">
        <v>92</v>
      </c>
      <c r="CL2" s="138" t="s">
        <v>93</v>
      </c>
      <c r="CM2" s="138" t="s">
        <v>94</v>
      </c>
      <c r="CN2" s="138" t="s">
        <v>95</v>
      </c>
      <c r="CO2" s="138" t="s">
        <v>96</v>
      </c>
      <c r="CP2" s="138" t="s">
        <v>97</v>
      </c>
      <c r="CQ2" s="138" t="s">
        <v>98</v>
      </c>
      <c r="CR2" s="138" t="s">
        <v>99</v>
      </c>
      <c r="CS2" s="138" t="s">
        <v>100</v>
      </c>
      <c r="CT2" s="138" t="s">
        <v>101</v>
      </c>
      <c r="CU2" s="138" t="s">
        <v>102</v>
      </c>
      <c r="CV2" s="138" t="s">
        <v>103</v>
      </c>
      <c r="CW2" s="138" t="s">
        <v>104</v>
      </c>
      <c r="CX2" s="138" t="s">
        <v>105</v>
      </c>
      <c r="CY2" s="138" t="s">
        <v>106</v>
      </c>
      <c r="CZ2" s="138" t="s">
        <v>107</v>
      </c>
      <c r="DA2" s="138" t="s">
        <v>108</v>
      </c>
      <c r="DB2" s="138" t="s">
        <v>109</v>
      </c>
      <c r="DC2" s="138" t="s">
        <v>110</v>
      </c>
      <c r="DD2" s="138" t="s">
        <v>111</v>
      </c>
      <c r="DE2" s="138" t="s">
        <v>112</v>
      </c>
      <c r="DF2" s="138" t="s">
        <v>113</v>
      </c>
      <c r="DG2" s="138" t="s">
        <v>114</v>
      </c>
      <c r="DH2" s="138" t="s">
        <v>115</v>
      </c>
      <c r="DI2" s="138" t="s">
        <v>116</v>
      </c>
      <c r="DJ2" s="138" t="s">
        <v>117</v>
      </c>
      <c r="DK2" s="138" t="s">
        <v>118</v>
      </c>
      <c r="DL2" s="138" t="s">
        <v>119</v>
      </c>
      <c r="DM2" s="138" t="s">
        <v>120</v>
      </c>
      <c r="DN2" s="138" t="s">
        <v>121</v>
      </c>
      <c r="DO2" s="138" t="s">
        <v>122</v>
      </c>
      <c r="DP2" s="138" t="s">
        <v>123</v>
      </c>
      <c r="DQ2" s="138" t="s">
        <v>124</v>
      </c>
      <c r="DR2" s="138" t="s">
        <v>125</v>
      </c>
      <c r="DS2" s="138" t="s">
        <v>126</v>
      </c>
      <c r="DT2" s="138" t="s">
        <v>127</v>
      </c>
      <c r="DU2" s="138" t="s">
        <v>128</v>
      </c>
      <c r="DV2" s="138" t="s">
        <v>129</v>
      </c>
      <c r="DW2" s="138" t="s">
        <v>130</v>
      </c>
      <c r="DX2" s="138" t="s">
        <v>131</v>
      </c>
      <c r="DY2" s="138" t="s">
        <v>132</v>
      </c>
      <c r="DZ2" s="138" t="s">
        <v>133</v>
      </c>
      <c r="EA2" s="138" t="s">
        <v>134</v>
      </c>
      <c r="EB2" s="138" t="s">
        <v>135</v>
      </c>
      <c r="EC2" s="138" t="s">
        <v>136</v>
      </c>
      <c r="ED2" s="138" t="s">
        <v>137</v>
      </c>
      <c r="EE2" s="138" t="s">
        <v>138</v>
      </c>
      <c r="EF2" s="138" t="s">
        <v>139</v>
      </c>
      <c r="EG2" s="138" t="s">
        <v>140</v>
      </c>
      <c r="EH2" s="138" t="s">
        <v>141</v>
      </c>
      <c r="EI2" s="138" t="s">
        <v>142</v>
      </c>
      <c r="EJ2" s="138" t="s">
        <v>143</v>
      </c>
      <c r="EK2" s="138" t="s">
        <v>144</v>
      </c>
      <c r="EL2" s="138" t="s">
        <v>145</v>
      </c>
      <c r="EM2" s="138" t="s">
        <v>146</v>
      </c>
      <c r="EN2" s="138" t="s">
        <v>147</v>
      </c>
      <c r="EO2" s="138" t="s">
        <v>148</v>
      </c>
      <c r="EP2" s="138" t="s">
        <v>149</v>
      </c>
      <c r="EQ2" s="138" t="s">
        <v>150</v>
      </c>
      <c r="ER2" s="138" t="s">
        <v>151</v>
      </c>
      <c r="ES2" s="138" t="s">
        <v>152</v>
      </c>
      <c r="ET2" s="138" t="s">
        <v>153</v>
      </c>
      <c r="EU2" s="138" t="s">
        <v>154</v>
      </c>
      <c r="EV2" s="138" t="s">
        <v>155</v>
      </c>
      <c r="EW2" s="138" t="s">
        <v>156</v>
      </c>
      <c r="EX2" s="138" t="s">
        <v>157</v>
      </c>
      <c r="EY2" s="138" t="s">
        <v>158</v>
      </c>
      <c r="EZ2" s="138" t="s">
        <v>159</v>
      </c>
      <c r="FA2" s="138" t="s">
        <v>160</v>
      </c>
      <c r="FB2" s="138" t="s">
        <v>161</v>
      </c>
      <c r="FC2" s="138" t="s">
        <v>162</v>
      </c>
      <c r="FD2" s="138" t="s">
        <v>163</v>
      </c>
      <c r="FE2" s="138" t="s">
        <v>164</v>
      </c>
      <c r="FF2" s="138" t="s">
        <v>165</v>
      </c>
      <c r="FG2" s="138" t="s">
        <v>166</v>
      </c>
      <c r="FH2" s="138" t="s">
        <v>167</v>
      </c>
      <c r="FI2" s="138" t="s">
        <v>168</v>
      </c>
      <c r="FJ2" s="138" t="s">
        <v>169</v>
      </c>
      <c r="FK2" s="138" t="s">
        <v>170</v>
      </c>
      <c r="FL2" s="138" t="s">
        <v>171</v>
      </c>
      <c r="FM2" s="138" t="s">
        <v>172</v>
      </c>
      <c r="FN2" s="138" t="s">
        <v>173</v>
      </c>
      <c r="FO2" s="138" t="s">
        <v>174</v>
      </c>
      <c r="FP2" s="138" t="s">
        <v>175</v>
      </c>
      <c r="FQ2" s="138" t="s">
        <v>176</v>
      </c>
      <c r="FR2" s="138" t="s">
        <v>177</v>
      </c>
      <c r="FS2" s="138" t="s">
        <v>178</v>
      </c>
      <c r="FT2" s="138" t="s">
        <v>179</v>
      </c>
      <c r="FU2" s="138" t="s">
        <v>180</v>
      </c>
      <c r="FV2" s="138" t="s">
        <v>181</v>
      </c>
      <c r="FW2" s="138" t="s">
        <v>182</v>
      </c>
      <c r="FX2" s="138" t="s">
        <v>183</v>
      </c>
      <c r="FY2" s="138" t="s">
        <v>184</v>
      </c>
      <c r="FZ2" s="138" t="s">
        <v>185</v>
      </c>
      <c r="GA2" s="138" t="s">
        <v>186</v>
      </c>
      <c r="GB2" s="138" t="s">
        <v>187</v>
      </c>
      <c r="GC2" s="138" t="s">
        <v>188</v>
      </c>
      <c r="GD2" s="138" t="s">
        <v>189</v>
      </c>
      <c r="GE2" s="138" t="s">
        <v>190</v>
      </c>
      <c r="GF2" s="138" t="s">
        <v>191</v>
      </c>
      <c r="GG2" s="138" t="s">
        <v>192</v>
      </c>
      <c r="GH2" s="138" t="s">
        <v>193</v>
      </c>
      <c r="GI2" s="138" t="s">
        <v>194</v>
      </c>
      <c r="GJ2" s="138" t="s">
        <v>195</v>
      </c>
      <c r="GK2" s="138" t="s">
        <v>196</v>
      </c>
      <c r="GL2" s="138" t="s">
        <v>197</v>
      </c>
      <c r="GM2" s="138" t="s">
        <v>198</v>
      </c>
      <c r="GN2" s="138" t="s">
        <v>199</v>
      </c>
      <c r="GO2" s="138" t="s">
        <v>200</v>
      </c>
      <c r="GP2" s="138" t="s">
        <v>201</v>
      </c>
      <c r="GQ2" s="138" t="s">
        <v>202</v>
      </c>
      <c r="GR2" s="138" t="s">
        <v>203</v>
      </c>
      <c r="GS2" s="138" t="s">
        <v>204</v>
      </c>
      <c r="GT2" s="138" t="s">
        <v>205</v>
      </c>
      <c r="GU2" s="138" t="s">
        <v>206</v>
      </c>
      <c r="GV2" s="138" t="s">
        <v>207</v>
      </c>
      <c r="GW2" s="138" t="s">
        <v>208</v>
      </c>
      <c r="GX2" s="138" t="s">
        <v>209</v>
      </c>
      <c r="GY2" s="138" t="s">
        <v>210</v>
      </c>
      <c r="GZ2" s="138" t="s">
        <v>211</v>
      </c>
      <c r="HA2" s="138" t="s">
        <v>212</v>
      </c>
      <c r="HB2" s="138" t="s">
        <v>213</v>
      </c>
      <c r="HC2" s="138" t="s">
        <v>214</v>
      </c>
      <c r="HD2" s="138" t="s">
        <v>215</v>
      </c>
      <c r="HE2" s="75"/>
      <c r="HF2" s="75" t="s">
        <v>308</v>
      </c>
      <c r="HG2" s="75" t="s">
        <v>309</v>
      </c>
      <c r="HH2" s="75" t="s">
        <v>310</v>
      </c>
      <c r="HI2" s="75" t="s">
        <v>309</v>
      </c>
      <c r="HJ2" s="75" t="s">
        <v>311</v>
      </c>
      <c r="HK2" s="75" t="s">
        <v>309</v>
      </c>
      <c r="HL2" s="75" t="s">
        <v>312</v>
      </c>
      <c r="HM2" s="75" t="s">
        <v>309</v>
      </c>
      <c r="HN2" s="75" t="s">
        <v>313</v>
      </c>
      <c r="HO2" s="75" t="s">
        <v>309</v>
      </c>
      <c r="HP2" s="70" t="s">
        <v>314</v>
      </c>
      <c r="HQ2" s="70" t="s">
        <v>309</v>
      </c>
      <c r="HR2" s="75" t="s">
        <v>315</v>
      </c>
      <c r="HS2" s="75" t="s">
        <v>309</v>
      </c>
      <c r="HT2" s="75" t="s">
        <v>316</v>
      </c>
      <c r="HU2" s="75" t="s">
        <v>309</v>
      </c>
      <c r="HV2" s="75" t="s">
        <v>317</v>
      </c>
      <c r="HW2" s="75" t="s">
        <v>309</v>
      </c>
      <c r="HX2" s="75" t="s">
        <v>318</v>
      </c>
      <c r="HY2" s="75" t="s">
        <v>309</v>
      </c>
      <c r="HZ2" s="75" t="s">
        <v>319</v>
      </c>
      <c r="IA2" s="75" t="s">
        <v>309</v>
      </c>
      <c r="IB2" s="75" t="s">
        <v>320</v>
      </c>
      <c r="IC2" s="75" t="s">
        <v>309</v>
      </c>
      <c r="ID2" s="75" t="s">
        <v>321</v>
      </c>
      <c r="IE2" s="75" t="s">
        <v>309</v>
      </c>
      <c r="IF2" s="75" t="s">
        <v>322</v>
      </c>
      <c r="IG2" s="75" t="s">
        <v>309</v>
      </c>
      <c r="IH2" s="75" t="s">
        <v>323</v>
      </c>
      <c r="II2" s="75" t="s">
        <v>309</v>
      </c>
      <c r="IJ2" s="75" t="s">
        <v>324</v>
      </c>
      <c r="IK2" s="75" t="s">
        <v>309</v>
      </c>
      <c r="IL2" s="75" t="s">
        <v>325</v>
      </c>
      <c r="IM2" s="75" t="s">
        <v>309</v>
      </c>
      <c r="IN2" s="75" t="s">
        <v>326</v>
      </c>
      <c r="IO2" s="75" t="s">
        <v>309</v>
      </c>
      <c r="IP2" s="75" t="s">
        <v>327</v>
      </c>
      <c r="IQ2" s="75" t="s">
        <v>309</v>
      </c>
      <c r="IR2" s="75" t="s">
        <v>328</v>
      </c>
      <c r="IS2" s="75" t="s">
        <v>309</v>
      </c>
      <c r="IT2" s="75" t="s">
        <v>329</v>
      </c>
      <c r="IU2" s="75" t="s">
        <v>309</v>
      </c>
      <c r="IV2" s="70" t="s">
        <v>330</v>
      </c>
      <c r="IW2" s="70" t="s">
        <v>309</v>
      </c>
      <c r="IX2" s="75" t="s">
        <v>331</v>
      </c>
      <c r="IY2" s="75" t="s">
        <v>309</v>
      </c>
      <c r="IZ2" s="75" t="s">
        <v>332</v>
      </c>
      <c r="JA2" s="75" t="s">
        <v>309</v>
      </c>
      <c r="JB2" s="75" t="s">
        <v>333</v>
      </c>
      <c r="JC2" s="75" t="s">
        <v>309</v>
      </c>
      <c r="JD2" s="75" t="s">
        <v>334</v>
      </c>
      <c r="JE2" s="75" t="s">
        <v>309</v>
      </c>
      <c r="JF2" s="75" t="s">
        <v>335</v>
      </c>
      <c r="JG2" s="75" t="s">
        <v>309</v>
      </c>
      <c r="JH2" s="75" t="s">
        <v>336</v>
      </c>
      <c r="JI2" s="75" t="s">
        <v>309</v>
      </c>
      <c r="JJ2" s="75" t="s">
        <v>337</v>
      </c>
      <c r="JK2" s="75" t="s">
        <v>309</v>
      </c>
      <c r="JL2" s="75" t="s">
        <v>338</v>
      </c>
      <c r="JM2" s="75" t="s">
        <v>309</v>
      </c>
      <c r="JN2" s="75" t="s">
        <v>339</v>
      </c>
      <c r="JO2" s="75" t="s">
        <v>309</v>
      </c>
      <c r="JP2" s="75" t="s">
        <v>340</v>
      </c>
      <c r="JQ2" s="75" t="s">
        <v>309</v>
      </c>
      <c r="JR2" s="75" t="s">
        <v>341</v>
      </c>
      <c r="JS2" s="75" t="s">
        <v>309</v>
      </c>
      <c r="JT2" s="75" t="s">
        <v>342</v>
      </c>
      <c r="JU2" s="75" t="s">
        <v>309</v>
      </c>
      <c r="JV2" s="75" t="s">
        <v>343</v>
      </c>
      <c r="JW2" s="75" t="s">
        <v>309</v>
      </c>
      <c r="JX2" s="75" t="s">
        <v>344</v>
      </c>
      <c r="JY2" s="75" t="s">
        <v>309</v>
      </c>
      <c r="JZ2" s="75" t="s">
        <v>345</v>
      </c>
      <c r="KA2" s="75" t="s">
        <v>309</v>
      </c>
      <c r="KB2" s="75" t="s">
        <v>346</v>
      </c>
      <c r="KC2" s="75" t="s">
        <v>309</v>
      </c>
      <c r="KD2" s="75"/>
      <c r="KE2" s="75" t="s">
        <v>347</v>
      </c>
      <c r="KG2" s="74" t="s">
        <v>355</v>
      </c>
    </row>
    <row r="3" spans="1:293">
      <c r="A3" s="180" t="s">
        <v>227</v>
      </c>
      <c r="B3" s="76" t="s">
        <v>359</v>
      </c>
      <c r="C3" s="90">
        <v>200800</v>
      </c>
      <c r="D3" s="90">
        <v>2014</v>
      </c>
      <c r="E3" s="90">
        <v>1</v>
      </c>
      <c r="F3" s="91">
        <v>9</v>
      </c>
      <c r="G3" s="92">
        <v>7301</v>
      </c>
      <c r="H3" s="92">
        <v>6603</v>
      </c>
      <c r="I3" s="93">
        <v>468263830</v>
      </c>
      <c r="J3" s="93">
        <v>486141875</v>
      </c>
      <c r="K3" s="94">
        <v>4934069</v>
      </c>
      <c r="L3" s="93">
        <v>5177252</v>
      </c>
      <c r="M3" s="93">
        <v>32925002</v>
      </c>
      <c r="N3" s="93">
        <v>30212547</v>
      </c>
      <c r="O3" s="93">
        <v>68088888</v>
      </c>
      <c r="P3" s="93">
        <v>73371134</v>
      </c>
      <c r="Q3" s="93">
        <v>73999582</v>
      </c>
      <c r="R3" s="93">
        <v>407923165</v>
      </c>
      <c r="S3" s="93">
        <v>362588199</v>
      </c>
      <c r="T3" s="93">
        <v>376532901</v>
      </c>
      <c r="U3" s="93">
        <v>22341</v>
      </c>
      <c r="V3" s="93">
        <v>22167</v>
      </c>
      <c r="W3" s="93">
        <v>31061</v>
      </c>
      <c r="X3" s="93">
        <v>30716</v>
      </c>
      <c r="Y3" s="93">
        <v>24044</v>
      </c>
      <c r="Z3" s="93">
        <v>23304</v>
      </c>
      <c r="AA3" s="93">
        <v>32532</v>
      </c>
      <c r="AB3" s="93">
        <v>31464</v>
      </c>
      <c r="AC3" s="114">
        <v>8</v>
      </c>
      <c r="AD3" s="114">
        <v>10</v>
      </c>
      <c r="AE3" s="114">
        <v>1</v>
      </c>
      <c r="AF3" s="115">
        <v>4082602</v>
      </c>
      <c r="AG3" s="115">
        <v>2621654</v>
      </c>
      <c r="AH3" s="115">
        <v>291451</v>
      </c>
      <c r="AI3" s="115">
        <v>133689</v>
      </c>
      <c r="AJ3" s="115">
        <v>295959</v>
      </c>
      <c r="AK3" s="116">
        <v>6</v>
      </c>
      <c r="AL3" s="115">
        <v>253679</v>
      </c>
      <c r="AM3" s="116">
        <v>7</v>
      </c>
      <c r="AN3" s="115">
        <v>123283</v>
      </c>
      <c r="AO3" s="116">
        <v>8</v>
      </c>
      <c r="AP3" s="115">
        <v>109585</v>
      </c>
      <c r="AQ3" s="116">
        <v>9</v>
      </c>
      <c r="AR3" s="115">
        <v>103452</v>
      </c>
      <c r="AS3" s="116">
        <v>19</v>
      </c>
      <c r="AT3" s="115">
        <v>98279</v>
      </c>
      <c r="AU3" s="116">
        <v>20</v>
      </c>
      <c r="AV3" s="115">
        <v>61957</v>
      </c>
      <c r="AW3" s="116">
        <v>14.5</v>
      </c>
      <c r="AX3" s="115">
        <v>56148</v>
      </c>
      <c r="AY3" s="116">
        <v>16</v>
      </c>
      <c r="AZ3" s="139">
        <v>1029547</v>
      </c>
      <c r="BA3" s="139">
        <v>1100000</v>
      </c>
      <c r="BB3" s="139">
        <v>1310500</v>
      </c>
      <c r="BC3" s="139">
        <v>0</v>
      </c>
      <c r="BD3" s="139">
        <v>0</v>
      </c>
      <c r="BE3" s="139">
        <v>21145</v>
      </c>
      <c r="BF3" s="139">
        <v>56793</v>
      </c>
      <c r="BG3" s="139">
        <v>17905</v>
      </c>
      <c r="BH3" s="139">
        <v>522008</v>
      </c>
      <c r="BI3" s="139">
        <v>24275</v>
      </c>
      <c r="BJ3" s="139">
        <v>642126</v>
      </c>
      <c r="BK3" s="139">
        <v>39285</v>
      </c>
      <c r="BL3" s="139">
        <v>0</v>
      </c>
      <c r="BM3" s="139">
        <v>2882</v>
      </c>
      <c r="BN3" s="139">
        <v>57781</v>
      </c>
      <c r="BO3" s="139">
        <v>96905</v>
      </c>
      <c r="BP3" s="139">
        <v>196853</v>
      </c>
      <c r="BQ3" s="139">
        <v>4809</v>
      </c>
      <c r="BR3" s="139">
        <v>732</v>
      </c>
      <c r="BS3" s="139">
        <v>635</v>
      </c>
      <c r="BT3" s="139">
        <v>93321</v>
      </c>
      <c r="BU3" s="139">
        <v>452543</v>
      </c>
      <c r="BV3" s="139">
        <v>552040</v>
      </c>
      <c r="BW3" s="139">
        <v>2330425</v>
      </c>
      <c r="BX3" s="139">
        <v>753479</v>
      </c>
      <c r="BY3" s="139">
        <v>58114</v>
      </c>
      <c r="BZ3" s="139">
        <v>959243</v>
      </c>
      <c r="CA3" s="139">
        <v>28673005</v>
      </c>
      <c r="CB3" s="139">
        <v>32774266</v>
      </c>
      <c r="CC3" s="139">
        <v>2643681</v>
      </c>
      <c r="CD3" s="139">
        <v>423827</v>
      </c>
      <c r="CE3" s="139">
        <v>413765</v>
      </c>
      <c r="CF3" s="139">
        <v>3307943</v>
      </c>
      <c r="CG3" s="139">
        <v>51642</v>
      </c>
      <c r="CH3" s="139">
        <v>6840858</v>
      </c>
      <c r="CI3" s="139">
        <v>425000</v>
      </c>
      <c r="CJ3" s="139">
        <v>216000</v>
      </c>
      <c r="CK3" s="139">
        <v>4000</v>
      </c>
      <c r="CL3" s="139">
        <v>15500</v>
      </c>
      <c r="CM3" s="139">
        <v>0</v>
      </c>
      <c r="CN3" s="139">
        <v>660500</v>
      </c>
      <c r="CO3" s="139">
        <v>1750515</v>
      </c>
      <c r="CP3" s="139">
        <v>1067782</v>
      </c>
      <c r="CQ3" s="139">
        <v>595408</v>
      </c>
      <c r="CR3" s="139">
        <v>2212271</v>
      </c>
      <c r="CS3" s="139">
        <v>0</v>
      </c>
      <c r="CT3" s="139">
        <v>5625976</v>
      </c>
      <c r="CU3" s="139">
        <v>0</v>
      </c>
      <c r="CV3" s="139">
        <v>0</v>
      </c>
      <c r="CW3" s="139">
        <v>0</v>
      </c>
      <c r="CX3" s="139">
        <v>0</v>
      </c>
      <c r="CY3" s="139">
        <v>0</v>
      </c>
      <c r="CZ3" s="139">
        <v>0</v>
      </c>
      <c r="DA3" s="139">
        <v>293598</v>
      </c>
      <c r="DB3" s="139">
        <v>163140</v>
      </c>
      <c r="DC3" s="139">
        <v>57960</v>
      </c>
      <c r="DD3" s="139">
        <v>396873</v>
      </c>
      <c r="DE3" s="139">
        <v>3970592</v>
      </c>
      <c r="DF3" s="139">
        <v>4882163</v>
      </c>
      <c r="DG3" s="139">
        <v>0</v>
      </c>
      <c r="DH3" s="139">
        <v>0</v>
      </c>
      <c r="DI3" s="139">
        <v>0</v>
      </c>
      <c r="DJ3" s="139">
        <v>0</v>
      </c>
      <c r="DK3" s="139">
        <v>0</v>
      </c>
      <c r="DL3" s="139">
        <v>0</v>
      </c>
      <c r="DM3" s="139">
        <v>0</v>
      </c>
      <c r="DN3" s="139">
        <v>0</v>
      </c>
      <c r="DO3" s="139">
        <v>0</v>
      </c>
      <c r="DP3" s="139">
        <v>0</v>
      </c>
      <c r="DQ3" s="139">
        <v>0</v>
      </c>
      <c r="DR3" s="139">
        <v>0</v>
      </c>
      <c r="DS3" s="139">
        <v>152866</v>
      </c>
      <c r="DT3" s="139">
        <v>78635</v>
      </c>
      <c r="DU3" s="139">
        <v>50416</v>
      </c>
      <c r="DV3" s="139">
        <v>144978</v>
      </c>
      <c r="DW3" s="139">
        <v>4392</v>
      </c>
      <c r="DX3" s="139">
        <v>431287</v>
      </c>
      <c r="DY3" s="139">
        <v>661544</v>
      </c>
      <c r="DZ3" s="139">
        <v>284020</v>
      </c>
      <c r="EA3" s="139">
        <v>123537</v>
      </c>
      <c r="EB3" s="139">
        <v>808475</v>
      </c>
      <c r="EC3" s="139">
        <v>102558</v>
      </c>
      <c r="ED3" s="139">
        <v>1980134</v>
      </c>
      <c r="EE3" s="139">
        <v>180049</v>
      </c>
      <c r="EF3" s="139">
        <v>56992</v>
      </c>
      <c r="EG3" s="139">
        <v>34114</v>
      </c>
      <c r="EH3" s="139">
        <v>299735</v>
      </c>
      <c r="EI3" s="139">
        <v>241460</v>
      </c>
      <c r="EJ3" s="139">
        <v>812350</v>
      </c>
      <c r="EK3" s="139">
        <v>228135</v>
      </c>
      <c r="EL3" s="139">
        <v>210854</v>
      </c>
      <c r="EM3" s="139">
        <v>78893</v>
      </c>
      <c r="EN3" s="139">
        <v>139933</v>
      </c>
      <c r="EO3" s="139">
        <v>0</v>
      </c>
      <c r="EP3" s="139">
        <v>657815</v>
      </c>
      <c r="EQ3" s="139">
        <v>2869</v>
      </c>
      <c r="ER3" s="139">
        <v>1762</v>
      </c>
      <c r="ES3" s="139">
        <v>5109</v>
      </c>
      <c r="ET3" s="139">
        <v>3915</v>
      </c>
      <c r="EU3" s="139">
        <v>522447</v>
      </c>
      <c r="EV3" s="139">
        <v>536102</v>
      </c>
      <c r="EW3" s="139">
        <v>11206</v>
      </c>
      <c r="EX3" s="139">
        <v>15197</v>
      </c>
      <c r="EY3" s="139">
        <v>12030</v>
      </c>
      <c r="EZ3" s="139">
        <v>278907</v>
      </c>
      <c r="FA3" s="139">
        <v>21167</v>
      </c>
      <c r="FB3" s="139">
        <v>338507</v>
      </c>
      <c r="FC3" s="139">
        <v>391750</v>
      </c>
      <c r="FD3" s="139">
        <v>10437</v>
      </c>
      <c r="FE3" s="139">
        <v>6554</v>
      </c>
      <c r="FF3" s="139">
        <v>62128</v>
      </c>
      <c r="FG3" s="139">
        <v>5913967</v>
      </c>
      <c r="FH3" s="139">
        <v>6384836</v>
      </c>
      <c r="FI3" s="139">
        <v>0</v>
      </c>
      <c r="FJ3" s="139">
        <v>0</v>
      </c>
      <c r="FK3" s="139">
        <v>0</v>
      </c>
      <c r="FL3" s="139">
        <v>0</v>
      </c>
      <c r="FM3" s="139">
        <v>71406</v>
      </c>
      <c r="FN3" s="139">
        <v>71406</v>
      </c>
      <c r="FO3" s="139">
        <v>0</v>
      </c>
      <c r="FP3" s="139">
        <v>0</v>
      </c>
      <c r="FQ3" s="139">
        <v>0</v>
      </c>
      <c r="FR3" s="139">
        <v>0</v>
      </c>
      <c r="FS3" s="139">
        <v>0</v>
      </c>
      <c r="FT3" s="139">
        <v>0</v>
      </c>
      <c r="FU3" s="139">
        <v>121</v>
      </c>
      <c r="FV3" s="139">
        <v>1117</v>
      </c>
      <c r="FW3" s="139">
        <v>882</v>
      </c>
      <c r="FX3" s="139">
        <v>714</v>
      </c>
      <c r="FY3" s="139">
        <v>366211</v>
      </c>
      <c r="FZ3" s="139">
        <v>369045</v>
      </c>
      <c r="GA3" s="139">
        <v>2920</v>
      </c>
      <c r="GB3" s="139">
        <v>1139</v>
      </c>
      <c r="GC3" s="139">
        <v>1520</v>
      </c>
      <c r="GD3" s="139">
        <v>8454</v>
      </c>
      <c r="GE3" s="139">
        <v>259794</v>
      </c>
      <c r="GF3" s="139">
        <v>273827</v>
      </c>
      <c r="GG3" s="139">
        <v>402701</v>
      </c>
      <c r="GH3" s="139">
        <v>117116</v>
      </c>
      <c r="GI3" s="139">
        <v>61960</v>
      </c>
      <c r="GJ3" s="139">
        <v>224955</v>
      </c>
      <c r="GK3" s="139">
        <v>1379148</v>
      </c>
      <c r="GL3" s="139">
        <v>2185880</v>
      </c>
      <c r="GM3" s="139">
        <v>7146955</v>
      </c>
      <c r="GN3" s="139">
        <v>2648018</v>
      </c>
      <c r="GO3" s="139">
        <v>1446148</v>
      </c>
      <c r="GP3" s="139">
        <v>7904781</v>
      </c>
      <c r="GQ3" s="139">
        <v>12904784</v>
      </c>
      <c r="GR3" s="139">
        <v>32050686</v>
      </c>
      <c r="GS3" s="139">
        <v>0</v>
      </c>
      <c r="GT3" s="139">
        <v>0</v>
      </c>
      <c r="GU3" s="139">
        <v>0</v>
      </c>
      <c r="GV3" s="139">
        <v>0</v>
      </c>
      <c r="GW3" s="139">
        <v>0</v>
      </c>
      <c r="GX3" s="139">
        <v>0</v>
      </c>
      <c r="GY3" s="139">
        <v>7146955</v>
      </c>
      <c r="GZ3" s="139">
        <v>2648018</v>
      </c>
      <c r="HA3" s="139">
        <v>1446148</v>
      </c>
      <c r="HB3" s="139">
        <v>7904781</v>
      </c>
      <c r="HC3" s="139">
        <v>12904784</v>
      </c>
      <c r="HD3" s="139">
        <v>32050686</v>
      </c>
      <c r="HF3" s="70">
        <f>SUM(AZ3:AZ3)</f>
        <v>1029547</v>
      </c>
      <c r="HG3" s="70" t="e">
        <f>#REF!-HF3</f>
        <v>#REF!</v>
      </c>
      <c r="HH3" s="70" t="e">
        <f>SUM(#REF!)</f>
        <v>#REF!</v>
      </c>
      <c r="HI3" s="70" t="e">
        <f>#REF!-HH3</f>
        <v>#REF!</v>
      </c>
      <c r="HJ3" s="70">
        <f>SUM(BA3:BA3)</f>
        <v>1100000</v>
      </c>
      <c r="HK3" s="70" t="e">
        <f>#REF!-HJ3</f>
        <v>#REF!</v>
      </c>
      <c r="HL3" s="70" t="e">
        <f>SUM(#REF!)</f>
        <v>#REF!</v>
      </c>
      <c r="HM3" s="70" t="e">
        <f>BB3-HL3</f>
        <v>#REF!</v>
      </c>
      <c r="HN3" s="70" t="e">
        <f>SUM(#REF!)</f>
        <v>#REF!</v>
      </c>
      <c r="HO3" s="70" t="e">
        <f>#REF!-HN3</f>
        <v>#REF!</v>
      </c>
      <c r="HP3" s="70" t="e">
        <f>SUM(#REF!)</f>
        <v>#REF!</v>
      </c>
      <c r="HQ3" s="70" t="e">
        <f>#REF!-HP3</f>
        <v>#REF!</v>
      </c>
      <c r="HR3" s="70" t="e">
        <f>SUM(#REF!)</f>
        <v>#REF!</v>
      </c>
      <c r="HS3" s="70" t="e">
        <f>#REF!-HR3</f>
        <v>#REF!</v>
      </c>
      <c r="HT3" s="70" t="e">
        <f>SUM(#REF!)</f>
        <v>#REF!</v>
      </c>
      <c r="HU3" s="70" t="e">
        <f>#REF!-HT3</f>
        <v>#REF!</v>
      </c>
      <c r="HV3" s="70" t="e">
        <f>SUM(#REF!)</f>
        <v>#REF!</v>
      </c>
      <c r="HW3" s="70" t="e">
        <f>#REF!-HV3</f>
        <v>#REF!</v>
      </c>
      <c r="HX3" s="70" t="e">
        <f>SUM(#REF!)</f>
        <v>#REF!</v>
      </c>
      <c r="HY3" s="70" t="e">
        <f>#REF!-HX3</f>
        <v>#REF!</v>
      </c>
      <c r="HZ3" s="70">
        <f>SUM(BC3:BC3)</f>
        <v>0</v>
      </c>
      <c r="IA3" s="70" t="e">
        <f>#REF!-HZ3</f>
        <v>#REF!</v>
      </c>
      <c r="IB3" s="70">
        <f>SUM(BD3:BD3)</f>
        <v>0</v>
      </c>
      <c r="IC3" s="70" t="e">
        <f>#REF!-IB3</f>
        <v>#REF!</v>
      </c>
      <c r="ID3" s="70">
        <f t="shared" ref="ID3:ID32" si="0">SUM(BE3:BI3)</f>
        <v>642126</v>
      </c>
      <c r="IE3" s="70">
        <f t="shared" ref="IE3:IE32" si="1">BJ3-ID3</f>
        <v>0</v>
      </c>
      <c r="IF3" s="70">
        <f t="shared" ref="IF3:IF32" si="2">SUM(BK3:BO3)</f>
        <v>196853</v>
      </c>
      <c r="IG3" s="70">
        <f t="shared" ref="IG3:IG32" si="3">BP3-IF3</f>
        <v>0</v>
      </c>
      <c r="IH3" s="70">
        <f t="shared" ref="IH3:IH32" si="4">SUM(BQ3:BU3)</f>
        <v>552040</v>
      </c>
      <c r="II3" s="70">
        <f t="shared" ref="II3:II32" si="5">BV3-IH3</f>
        <v>0</v>
      </c>
      <c r="IJ3" s="70">
        <f t="shared" ref="IJ3:IJ32" si="6">SUM(BW3:CA3)</f>
        <v>32774266</v>
      </c>
      <c r="IK3" s="70">
        <f t="shared" ref="IK3:IK32" si="7">CB3-IJ3</f>
        <v>0</v>
      </c>
      <c r="IL3" s="70">
        <f t="shared" ref="IL3:IL32" si="8">SUM(CC3:CG3)</f>
        <v>6840858</v>
      </c>
      <c r="IM3" s="70">
        <f t="shared" ref="IM3:IM32" si="9">CH3-IL3</f>
        <v>0</v>
      </c>
      <c r="IN3" s="70">
        <f t="shared" ref="IN3:IN32" si="10">SUM(CI3:CM3)</f>
        <v>660500</v>
      </c>
      <c r="IO3" s="70">
        <f t="shared" ref="IO3:IO32" si="11">CN3-IN3</f>
        <v>0</v>
      </c>
      <c r="IP3" s="70">
        <f t="shared" ref="IP3:IP32" si="12">SUM(CO3:CS3)</f>
        <v>5625976</v>
      </c>
      <c r="IQ3" s="70">
        <f t="shared" ref="IQ3:IQ32" si="13">CT3-IP3</f>
        <v>0</v>
      </c>
      <c r="IR3" s="70">
        <f t="shared" ref="IR3:IR14" si="14">SUM(CU3:CY3)</f>
        <v>0</v>
      </c>
      <c r="IS3" s="70">
        <f t="shared" ref="IS3:IS14" si="15">CZ3-IR3</f>
        <v>0</v>
      </c>
      <c r="IT3" s="70">
        <f t="shared" ref="IT3:IT32" si="16">SUM(DA3:DE3)</f>
        <v>4882163</v>
      </c>
      <c r="IU3" s="70">
        <f t="shared" ref="IU3:IU32" si="17">DF3-IT3</f>
        <v>0</v>
      </c>
      <c r="IV3" s="70">
        <f t="shared" ref="IV3:IV32" si="18">SUM(DG3:DK3)</f>
        <v>0</v>
      </c>
      <c r="IW3" s="70">
        <f t="shared" ref="IW3:IW32" si="19">DL3-IV3</f>
        <v>0</v>
      </c>
      <c r="IX3" s="70">
        <f t="shared" ref="IX3:IX32" si="20">SUM(DM3:DQ3)</f>
        <v>0</v>
      </c>
      <c r="IY3" s="70">
        <f t="shared" ref="IY3:IY32" si="21">DR3-IX3</f>
        <v>0</v>
      </c>
      <c r="IZ3" s="70">
        <f t="shared" ref="IZ3:IZ32" si="22">SUM(DS3:DW3)</f>
        <v>431287</v>
      </c>
      <c r="JA3" s="70">
        <f t="shared" ref="JA3:JA32" si="23">DX3-IZ3</f>
        <v>0</v>
      </c>
      <c r="JB3" s="70">
        <f t="shared" ref="JB3:JB32" si="24">SUM(DY3:EC3)</f>
        <v>1980134</v>
      </c>
      <c r="JC3" s="70">
        <f t="shared" ref="JC3:JC32" si="25">ED3-JB3</f>
        <v>0</v>
      </c>
      <c r="JD3" s="70">
        <f t="shared" ref="JD3:JD32" si="26">SUM(EE3:EI3)</f>
        <v>812350</v>
      </c>
      <c r="JE3" s="70">
        <f t="shared" ref="JE3:JE32" si="27">EJ3-JD3</f>
        <v>0</v>
      </c>
      <c r="JF3" s="70">
        <f t="shared" ref="JF3:JF32" si="28">SUM(EK3:EO3)</f>
        <v>657815</v>
      </c>
      <c r="JG3" s="70">
        <f t="shared" ref="JG3:JG32" si="29">EP3-JF3</f>
        <v>0</v>
      </c>
      <c r="JH3" s="70">
        <f t="shared" ref="JH3:JH32" si="30">SUM(EQ3:EU3)</f>
        <v>536102</v>
      </c>
      <c r="JI3" s="70">
        <f t="shared" ref="JI3:JI32" si="31">EV3-JH3</f>
        <v>0</v>
      </c>
      <c r="JJ3" s="70">
        <f t="shared" ref="JJ3:JJ32" si="32">SUM(EW3:FA3)</f>
        <v>338507</v>
      </c>
      <c r="JK3" s="70">
        <f t="shared" ref="JK3:JK32" si="33">FB3-JJ3</f>
        <v>0</v>
      </c>
      <c r="JL3" s="70">
        <f t="shared" ref="JL3:JL32" si="34">SUM(FC3:FG3)</f>
        <v>6384836</v>
      </c>
      <c r="JM3" s="70">
        <f t="shared" ref="JM3:JM32" si="35">FH3-JL3</f>
        <v>0</v>
      </c>
      <c r="JN3" s="70">
        <f t="shared" ref="JN3:JN32" si="36">SUM(FI3:FM3)</f>
        <v>71406</v>
      </c>
      <c r="JO3" s="70">
        <f t="shared" ref="JO3:JO32" si="37">FN3-JN3</f>
        <v>0</v>
      </c>
      <c r="JP3" s="70">
        <f t="shared" ref="JP3:JP32" si="38">SUM(FO3:FS3)</f>
        <v>0</v>
      </c>
      <c r="JQ3" s="70">
        <f t="shared" ref="JQ3:JQ32" si="39">FT3-JP3</f>
        <v>0</v>
      </c>
      <c r="JR3" s="70">
        <f t="shared" ref="JR3:JR32" si="40">SUM(FU3:FY3)</f>
        <v>369045</v>
      </c>
      <c r="JS3" s="70">
        <f t="shared" ref="JS3:JS32" si="41">FZ3-JR3</f>
        <v>0</v>
      </c>
      <c r="JT3" s="70">
        <f t="shared" ref="JT3:JT32" si="42">SUM(GA3:GE3)</f>
        <v>273827</v>
      </c>
      <c r="JU3" s="70">
        <f t="shared" ref="JU3:JU32" si="43">GF3-JT3</f>
        <v>0</v>
      </c>
      <c r="JV3" s="70">
        <f t="shared" ref="JV3:JV32" si="44">SUM(GG3:GK3)</f>
        <v>2185880</v>
      </c>
      <c r="JW3" s="70">
        <f t="shared" ref="JW3:JW32" si="45">GL3-JV3</f>
        <v>0</v>
      </c>
      <c r="JX3" s="70">
        <f t="shared" ref="JX3:JX32" si="46">SUM(GM3:GQ3)</f>
        <v>32050686</v>
      </c>
      <c r="JY3" s="70">
        <f t="shared" ref="JY3:JY32" si="47">GR3-JX3</f>
        <v>0</v>
      </c>
      <c r="JZ3" s="70">
        <f t="shared" ref="JZ3:JZ32" si="48">SUM(GS3:GW3)</f>
        <v>0</v>
      </c>
      <c r="KA3" s="70">
        <f t="shared" ref="KA3:KA32" si="49">GX3-JZ3</f>
        <v>0</v>
      </c>
      <c r="KB3" s="70">
        <f t="shared" ref="KB3:KB32" si="50">SUM(GY3:HC3)</f>
        <v>32050686</v>
      </c>
      <c r="KC3" s="70">
        <f t="shared" ref="KC3:KC32" si="51">HD3-KB3</f>
        <v>0</v>
      </c>
      <c r="KE3" s="70" t="e">
        <f t="shared" ref="KE3:KE32" si="52">SUM(HG3,HI3,HK3,HM3,HO3,HQ3,HS3,HU3,HW3,HY3,IA3,IC3,IE3,IG3,II3,IK3,IM3,IO3,IQ3,IS3,IU3,IY3,JA3,,JE3,JG3,JI3,JK3,JM3,JO3,JQ3,JS3,JU3,JW3,JY3,KA3,KC3)</f>
        <v>#REF!</v>
      </c>
      <c r="KG3" s="68" t="e">
        <f>IF(KE3=0,0,1)</f>
        <v>#REF!</v>
      </c>
    </row>
    <row r="4" spans="1:293">
      <c r="A4" s="180" t="s">
        <v>478</v>
      </c>
      <c r="B4" s="76" t="s">
        <v>359</v>
      </c>
      <c r="C4" s="90">
        <v>100751</v>
      </c>
      <c r="D4" s="90">
        <v>2014</v>
      </c>
      <c r="E4" s="90">
        <v>1</v>
      </c>
      <c r="F4" s="91">
        <v>5</v>
      </c>
      <c r="G4" s="92">
        <v>13558</v>
      </c>
      <c r="H4" s="92">
        <v>15885</v>
      </c>
      <c r="I4" s="93">
        <v>800668320</v>
      </c>
      <c r="J4" s="93">
        <v>755944606</v>
      </c>
      <c r="K4" s="93">
        <v>14699437</v>
      </c>
      <c r="L4" s="93">
        <v>15980449</v>
      </c>
      <c r="M4" s="93">
        <v>59474482</v>
      </c>
      <c r="N4" s="93">
        <v>54096080</v>
      </c>
      <c r="O4" s="93">
        <v>160726840</v>
      </c>
      <c r="P4" s="93">
        <v>181873032</v>
      </c>
      <c r="Q4" s="93">
        <v>820468996</v>
      </c>
      <c r="R4" s="93">
        <v>669328631</v>
      </c>
      <c r="S4" s="93">
        <v>572616077</v>
      </c>
      <c r="T4" s="93">
        <v>539010817</v>
      </c>
      <c r="U4" s="93">
        <v>24206</v>
      </c>
      <c r="V4" s="93">
        <v>23200</v>
      </c>
      <c r="W4" s="93">
        <v>38706</v>
      </c>
      <c r="X4" s="93">
        <v>36950</v>
      </c>
      <c r="Y4" s="93">
        <v>27870</v>
      </c>
      <c r="Z4" s="93">
        <v>27532</v>
      </c>
      <c r="AA4" s="93">
        <v>42724</v>
      </c>
      <c r="AB4" s="93">
        <v>42612</v>
      </c>
      <c r="AC4" s="114">
        <v>9</v>
      </c>
      <c r="AD4" s="114">
        <v>12</v>
      </c>
      <c r="AE4" s="114">
        <v>0</v>
      </c>
      <c r="AF4" s="115">
        <v>6228557</v>
      </c>
      <c r="AG4" s="115">
        <v>5480558</v>
      </c>
      <c r="AH4" s="115">
        <v>1708683</v>
      </c>
      <c r="AI4" s="115">
        <v>484972</v>
      </c>
      <c r="AJ4" s="115">
        <v>1588069</v>
      </c>
      <c r="AK4" s="116">
        <v>6</v>
      </c>
      <c r="AL4" s="115">
        <v>1361202</v>
      </c>
      <c r="AM4" s="116">
        <v>7</v>
      </c>
      <c r="AN4" s="115">
        <v>283096</v>
      </c>
      <c r="AO4" s="116">
        <v>9</v>
      </c>
      <c r="AP4" s="115">
        <v>254786</v>
      </c>
      <c r="AQ4" s="116">
        <v>10</v>
      </c>
      <c r="AR4" s="115">
        <v>408175</v>
      </c>
      <c r="AS4" s="116">
        <v>20.5</v>
      </c>
      <c r="AT4" s="115">
        <v>334703</v>
      </c>
      <c r="AU4" s="116">
        <v>25</v>
      </c>
      <c r="AV4" s="115">
        <v>111577</v>
      </c>
      <c r="AW4" s="116">
        <v>19.5</v>
      </c>
      <c r="AX4" s="115">
        <v>90656</v>
      </c>
      <c r="AY4" s="116">
        <v>24</v>
      </c>
      <c r="AZ4" s="139">
        <v>34915615</v>
      </c>
      <c r="BA4" s="139">
        <v>0</v>
      </c>
      <c r="BB4" s="139">
        <v>32196689</v>
      </c>
      <c r="BC4" s="139">
        <v>58622</v>
      </c>
      <c r="BD4" s="139">
        <v>4547853</v>
      </c>
      <c r="BE4" s="139">
        <v>730580</v>
      </c>
      <c r="BF4" s="139">
        <v>0</v>
      </c>
      <c r="BG4" s="139">
        <v>0</v>
      </c>
      <c r="BH4" s="139">
        <v>71655</v>
      </c>
      <c r="BI4" s="139">
        <v>1011148</v>
      </c>
      <c r="BJ4" s="139">
        <v>1813383</v>
      </c>
      <c r="BK4" s="139">
        <v>389908</v>
      </c>
      <c r="BL4" s="139">
        <v>30330</v>
      </c>
      <c r="BM4" s="139">
        <v>17834</v>
      </c>
      <c r="BN4" s="139">
        <v>133861</v>
      </c>
      <c r="BO4" s="139">
        <v>10164716</v>
      </c>
      <c r="BP4" s="139">
        <v>10736649</v>
      </c>
      <c r="BQ4" s="139">
        <v>8884347</v>
      </c>
      <c r="BR4" s="139">
        <v>758547</v>
      </c>
      <c r="BS4" s="139">
        <v>3558</v>
      </c>
      <c r="BT4" s="139">
        <v>519644</v>
      </c>
      <c r="BU4" s="139">
        <v>1789509</v>
      </c>
      <c r="BV4" s="139">
        <v>11955605</v>
      </c>
      <c r="BW4" s="139">
        <v>95262742</v>
      </c>
      <c r="BX4" s="139">
        <v>14706295</v>
      </c>
      <c r="BY4" s="139">
        <v>856285</v>
      </c>
      <c r="BZ4" s="139">
        <v>10363267</v>
      </c>
      <c r="CA4" s="139">
        <v>32045684</v>
      </c>
      <c r="CB4" s="139">
        <v>153234273</v>
      </c>
      <c r="CC4" s="139">
        <v>3832908</v>
      </c>
      <c r="CD4" s="139">
        <v>554574</v>
      </c>
      <c r="CE4" s="139">
        <v>671408</v>
      </c>
      <c r="CF4" s="139">
        <v>6650225</v>
      </c>
      <c r="CG4" s="139">
        <v>2223760</v>
      </c>
      <c r="CH4" s="139">
        <v>13932875</v>
      </c>
      <c r="CI4" s="139">
        <v>2650000</v>
      </c>
      <c r="CJ4" s="139">
        <v>291000</v>
      </c>
      <c r="CK4" s="139">
        <v>50000</v>
      </c>
      <c r="CL4" s="139">
        <v>72602</v>
      </c>
      <c r="CM4" s="139">
        <v>0</v>
      </c>
      <c r="CN4" s="139">
        <v>3063602</v>
      </c>
      <c r="CO4" s="139">
        <v>12843289</v>
      </c>
      <c r="CP4" s="139">
        <v>2835863</v>
      </c>
      <c r="CQ4" s="139">
        <v>919496</v>
      </c>
      <c r="CR4" s="139">
        <v>6020958</v>
      </c>
      <c r="CS4" s="139">
        <v>0</v>
      </c>
      <c r="CT4" s="139">
        <v>22619606</v>
      </c>
      <c r="CU4" s="139">
        <v>256766</v>
      </c>
      <c r="CV4" s="139">
        <v>12676</v>
      </c>
      <c r="CW4" s="139">
        <v>4980</v>
      </c>
      <c r="CX4" s="139">
        <v>265040</v>
      </c>
      <c r="CY4" s="139">
        <v>0</v>
      </c>
      <c r="CZ4" s="139">
        <v>539462</v>
      </c>
      <c r="DA4" s="139">
        <v>2647170</v>
      </c>
      <c r="DB4" s="139">
        <v>239853</v>
      </c>
      <c r="DC4" s="139">
        <v>252123</v>
      </c>
      <c r="DD4" s="139">
        <v>547688</v>
      </c>
      <c r="DE4" s="139">
        <v>17985649</v>
      </c>
      <c r="DF4" s="139">
        <v>21672483</v>
      </c>
      <c r="DG4" s="139">
        <v>15630</v>
      </c>
      <c r="DH4" s="139">
        <v>0</v>
      </c>
      <c r="DI4" s="139">
        <v>0</v>
      </c>
      <c r="DJ4" s="139">
        <v>23750</v>
      </c>
      <c r="DK4" s="139">
        <v>100702</v>
      </c>
      <c r="DL4" s="139">
        <v>140082</v>
      </c>
      <c r="DM4" s="139">
        <v>127420</v>
      </c>
      <c r="DN4" s="139">
        <v>21347</v>
      </c>
      <c r="DO4" s="139">
        <v>0</v>
      </c>
      <c r="DP4" s="139">
        <v>37415</v>
      </c>
      <c r="DQ4" s="139">
        <v>85958</v>
      </c>
      <c r="DR4" s="139">
        <v>272140</v>
      </c>
      <c r="DS4" s="139">
        <v>1275684</v>
      </c>
      <c r="DT4" s="139">
        <v>219456</v>
      </c>
      <c r="DU4" s="139">
        <v>109261</v>
      </c>
      <c r="DV4" s="139">
        <v>589254</v>
      </c>
      <c r="DW4" s="139">
        <v>0</v>
      </c>
      <c r="DX4" s="139">
        <v>2193655</v>
      </c>
      <c r="DY4" s="139">
        <v>2531141</v>
      </c>
      <c r="DZ4" s="139">
        <v>840444</v>
      </c>
      <c r="EA4" s="139">
        <v>507362</v>
      </c>
      <c r="EB4" s="139">
        <v>2858581</v>
      </c>
      <c r="EC4" s="139">
        <v>0</v>
      </c>
      <c r="ED4" s="139">
        <v>6737528</v>
      </c>
      <c r="EE4" s="139">
        <v>1673670</v>
      </c>
      <c r="EF4" s="139">
        <v>139301</v>
      </c>
      <c r="EG4" s="139">
        <v>114782</v>
      </c>
      <c r="EH4" s="139">
        <v>1261641</v>
      </c>
      <c r="EI4" s="139">
        <v>3939</v>
      </c>
      <c r="EJ4" s="139">
        <v>3193333</v>
      </c>
      <c r="EK4" s="139">
        <v>2785685</v>
      </c>
      <c r="EL4" s="139">
        <v>385560</v>
      </c>
      <c r="EM4" s="139">
        <v>159002</v>
      </c>
      <c r="EN4" s="139">
        <v>725192</v>
      </c>
      <c r="EO4" s="139">
        <v>0</v>
      </c>
      <c r="EP4" s="139">
        <v>4055439</v>
      </c>
      <c r="EQ4" s="139">
        <v>4264139</v>
      </c>
      <c r="ER4" s="139">
        <v>226280</v>
      </c>
      <c r="ES4" s="139">
        <v>35944</v>
      </c>
      <c r="ET4" s="139">
        <v>274866</v>
      </c>
      <c r="EU4" s="139">
        <v>1612485</v>
      </c>
      <c r="EV4" s="139">
        <v>6413714</v>
      </c>
      <c r="EW4" s="139">
        <v>601283</v>
      </c>
      <c r="EX4" s="139">
        <v>0</v>
      </c>
      <c r="EY4" s="139">
        <v>0</v>
      </c>
      <c r="EZ4" s="139">
        <v>33213</v>
      </c>
      <c r="FA4" s="139">
        <v>601381</v>
      </c>
      <c r="FB4" s="139">
        <v>1235877</v>
      </c>
      <c r="FC4" s="139">
        <v>2297931</v>
      </c>
      <c r="FD4" s="139">
        <v>124106</v>
      </c>
      <c r="FE4" s="139">
        <v>16564</v>
      </c>
      <c r="FF4" s="139">
        <v>538994</v>
      </c>
      <c r="FG4" s="139">
        <v>18895919</v>
      </c>
      <c r="FH4" s="139">
        <v>21873514</v>
      </c>
      <c r="FI4" s="139">
        <v>187768</v>
      </c>
      <c r="FJ4" s="139">
        <v>147276</v>
      </c>
      <c r="FK4" s="139">
        <v>79593</v>
      </c>
      <c r="FL4" s="139">
        <v>147900</v>
      </c>
      <c r="FM4" s="139">
        <v>0</v>
      </c>
      <c r="FN4" s="139">
        <v>562537</v>
      </c>
      <c r="FO4" s="139">
        <v>0</v>
      </c>
      <c r="FP4" s="139">
        <v>0</v>
      </c>
      <c r="FQ4" s="139">
        <v>0</v>
      </c>
      <c r="FR4" s="139">
        <v>0</v>
      </c>
      <c r="FS4" s="139">
        <v>0</v>
      </c>
      <c r="FT4" s="139">
        <v>0</v>
      </c>
      <c r="FU4" s="139">
        <v>1240808</v>
      </c>
      <c r="FV4" s="139">
        <v>118476</v>
      </c>
      <c r="FW4" s="139">
        <v>34625</v>
      </c>
      <c r="FX4" s="139">
        <v>803090</v>
      </c>
      <c r="FY4" s="139">
        <v>277146</v>
      </c>
      <c r="FZ4" s="139">
        <v>2474145</v>
      </c>
      <c r="GA4" s="139">
        <v>3210</v>
      </c>
      <c r="GB4" s="139">
        <v>985</v>
      </c>
      <c r="GC4" s="139">
        <v>947</v>
      </c>
      <c r="GD4" s="139">
        <v>16076</v>
      </c>
      <c r="GE4" s="139">
        <v>116106</v>
      </c>
      <c r="GF4" s="139">
        <v>137324</v>
      </c>
      <c r="GG4" s="139">
        <v>2758525</v>
      </c>
      <c r="GH4" s="139">
        <v>321932</v>
      </c>
      <c r="GI4" s="139">
        <v>160865</v>
      </c>
      <c r="GJ4" s="139">
        <v>811274</v>
      </c>
      <c r="GK4" s="139">
        <v>5014216</v>
      </c>
      <c r="GL4" s="139">
        <v>9066812</v>
      </c>
      <c r="GM4" s="139">
        <v>41993027</v>
      </c>
      <c r="GN4" s="139">
        <v>6479129</v>
      </c>
      <c r="GO4" s="139">
        <v>3116952</v>
      </c>
      <c r="GP4" s="139">
        <v>21677759</v>
      </c>
      <c r="GQ4" s="139">
        <v>46917261</v>
      </c>
      <c r="GR4" s="139">
        <v>120184128</v>
      </c>
      <c r="GS4" s="139">
        <v>0</v>
      </c>
      <c r="GT4" s="139">
        <v>0</v>
      </c>
      <c r="GU4" s="139">
        <v>0</v>
      </c>
      <c r="GV4" s="139">
        <v>0</v>
      </c>
      <c r="GW4" s="139">
        <v>9116334</v>
      </c>
      <c r="GX4" s="139">
        <v>9116334</v>
      </c>
      <c r="GY4" s="139">
        <v>41993027</v>
      </c>
      <c r="GZ4" s="139">
        <v>6479129</v>
      </c>
      <c r="HA4" s="139">
        <v>3116952</v>
      </c>
      <c r="HB4" s="139">
        <v>21677759</v>
      </c>
      <c r="HC4" s="139">
        <v>56033595</v>
      </c>
      <c r="HD4" s="139">
        <v>129300462</v>
      </c>
      <c r="HF4" s="70">
        <f>SUM(AZ4:AZ4)</f>
        <v>34915615</v>
      </c>
      <c r="HG4" s="70" t="e">
        <f>#REF!-HF4</f>
        <v>#REF!</v>
      </c>
      <c r="HH4" s="70" t="e">
        <f>SUM(#REF!)</f>
        <v>#REF!</v>
      </c>
      <c r="HI4" s="70" t="e">
        <f>#REF!-HH4</f>
        <v>#REF!</v>
      </c>
      <c r="HJ4" s="70">
        <f>SUM(BA4:BA4)</f>
        <v>0</v>
      </c>
      <c r="HK4" s="70" t="e">
        <f>#REF!-HJ4</f>
        <v>#REF!</v>
      </c>
      <c r="HL4" s="70" t="e">
        <f>SUM(#REF!)</f>
        <v>#REF!</v>
      </c>
      <c r="HM4" s="70" t="e">
        <f>BB4-HL4</f>
        <v>#REF!</v>
      </c>
      <c r="HN4" s="70" t="e">
        <f>SUM(#REF!)</f>
        <v>#REF!</v>
      </c>
      <c r="HO4" s="70" t="e">
        <f>#REF!-HN4</f>
        <v>#REF!</v>
      </c>
      <c r="HP4" s="70" t="e">
        <f>SUM(#REF!)</f>
        <v>#REF!</v>
      </c>
      <c r="HQ4" s="70" t="e">
        <f>#REF!-HP4</f>
        <v>#REF!</v>
      </c>
      <c r="HR4" s="70" t="e">
        <f>SUM(#REF!)</f>
        <v>#REF!</v>
      </c>
      <c r="HS4" s="70" t="e">
        <f>#REF!-HR4</f>
        <v>#REF!</v>
      </c>
      <c r="HT4" s="70" t="e">
        <f>SUM(#REF!)</f>
        <v>#REF!</v>
      </c>
      <c r="HU4" s="70" t="e">
        <f>#REF!-HT4</f>
        <v>#REF!</v>
      </c>
      <c r="HV4" s="70" t="e">
        <f>SUM(#REF!)</f>
        <v>#REF!</v>
      </c>
      <c r="HW4" s="70" t="e">
        <f>#REF!-HV4</f>
        <v>#REF!</v>
      </c>
      <c r="HX4" s="70" t="e">
        <f>SUM(#REF!)</f>
        <v>#REF!</v>
      </c>
      <c r="HY4" s="70" t="e">
        <f>#REF!-HX4</f>
        <v>#REF!</v>
      </c>
      <c r="HZ4" s="70">
        <f>SUM(BC4:BC4)</f>
        <v>58622</v>
      </c>
      <c r="IA4" s="70" t="e">
        <f>#REF!-HZ4</f>
        <v>#REF!</v>
      </c>
      <c r="IB4" s="70">
        <f>SUM(BD4:BD4)</f>
        <v>4547853</v>
      </c>
      <c r="IC4" s="70" t="e">
        <f>#REF!-IB4</f>
        <v>#REF!</v>
      </c>
      <c r="ID4" s="70">
        <f t="shared" si="0"/>
        <v>1813383</v>
      </c>
      <c r="IE4" s="70">
        <f t="shared" si="1"/>
        <v>0</v>
      </c>
      <c r="IF4" s="70">
        <f t="shared" si="2"/>
        <v>10736649</v>
      </c>
      <c r="IG4" s="70">
        <f t="shared" si="3"/>
        <v>0</v>
      </c>
      <c r="IH4" s="70">
        <f t="shared" si="4"/>
        <v>11955605</v>
      </c>
      <c r="II4" s="70">
        <f t="shared" si="5"/>
        <v>0</v>
      </c>
      <c r="IJ4" s="70">
        <f t="shared" si="6"/>
        <v>153234273</v>
      </c>
      <c r="IK4" s="70">
        <f t="shared" si="7"/>
        <v>0</v>
      </c>
      <c r="IL4" s="70">
        <f t="shared" si="8"/>
        <v>13932875</v>
      </c>
      <c r="IM4" s="70">
        <f t="shared" si="9"/>
        <v>0</v>
      </c>
      <c r="IN4" s="70">
        <f t="shared" si="10"/>
        <v>3063602</v>
      </c>
      <c r="IO4" s="70">
        <f t="shared" si="11"/>
        <v>0</v>
      </c>
      <c r="IP4" s="70">
        <f t="shared" si="12"/>
        <v>22619606</v>
      </c>
      <c r="IQ4" s="70">
        <f t="shared" si="13"/>
        <v>0</v>
      </c>
      <c r="IR4" s="70">
        <f t="shared" si="14"/>
        <v>539462</v>
      </c>
      <c r="IS4" s="70">
        <f t="shared" si="15"/>
        <v>0</v>
      </c>
      <c r="IT4" s="70">
        <f t="shared" si="16"/>
        <v>21672483</v>
      </c>
      <c r="IU4" s="70">
        <f t="shared" si="17"/>
        <v>0</v>
      </c>
      <c r="IV4" s="70">
        <f t="shared" si="18"/>
        <v>140082</v>
      </c>
      <c r="IW4" s="70">
        <f t="shared" si="19"/>
        <v>0</v>
      </c>
      <c r="IX4" s="70">
        <f t="shared" si="20"/>
        <v>272140</v>
      </c>
      <c r="IY4" s="70">
        <f t="shared" si="21"/>
        <v>0</v>
      </c>
      <c r="IZ4" s="70">
        <f t="shared" si="22"/>
        <v>2193655</v>
      </c>
      <c r="JA4" s="70">
        <f t="shared" si="23"/>
        <v>0</v>
      </c>
      <c r="JB4" s="70">
        <f t="shared" si="24"/>
        <v>6737528</v>
      </c>
      <c r="JC4" s="70">
        <f t="shared" si="25"/>
        <v>0</v>
      </c>
      <c r="JD4" s="70">
        <f t="shared" si="26"/>
        <v>3193333</v>
      </c>
      <c r="JE4" s="70">
        <f t="shared" si="27"/>
        <v>0</v>
      </c>
      <c r="JF4" s="70">
        <f t="shared" si="28"/>
        <v>4055439</v>
      </c>
      <c r="JG4" s="70">
        <f t="shared" si="29"/>
        <v>0</v>
      </c>
      <c r="JH4" s="70">
        <f t="shared" si="30"/>
        <v>6413714</v>
      </c>
      <c r="JI4" s="70">
        <f t="shared" si="31"/>
        <v>0</v>
      </c>
      <c r="JJ4" s="70">
        <f t="shared" si="32"/>
        <v>1235877</v>
      </c>
      <c r="JK4" s="70">
        <f t="shared" si="33"/>
        <v>0</v>
      </c>
      <c r="JL4" s="70">
        <f t="shared" si="34"/>
        <v>21873514</v>
      </c>
      <c r="JM4" s="70">
        <f t="shared" si="35"/>
        <v>0</v>
      </c>
      <c r="JN4" s="70">
        <f t="shared" si="36"/>
        <v>562537</v>
      </c>
      <c r="JO4" s="70">
        <f t="shared" si="37"/>
        <v>0</v>
      </c>
      <c r="JP4" s="70">
        <f t="shared" si="38"/>
        <v>0</v>
      </c>
      <c r="JQ4" s="70">
        <f t="shared" si="39"/>
        <v>0</v>
      </c>
      <c r="JR4" s="70">
        <f t="shared" si="40"/>
        <v>2474145</v>
      </c>
      <c r="JS4" s="70">
        <f t="shared" si="41"/>
        <v>0</v>
      </c>
      <c r="JT4" s="70">
        <f t="shared" si="42"/>
        <v>137324</v>
      </c>
      <c r="JU4" s="70">
        <f t="shared" si="43"/>
        <v>0</v>
      </c>
      <c r="JV4" s="70">
        <f t="shared" si="44"/>
        <v>9066812</v>
      </c>
      <c r="JW4" s="70">
        <f t="shared" si="45"/>
        <v>0</v>
      </c>
      <c r="JX4" s="70">
        <f t="shared" si="46"/>
        <v>120184128</v>
      </c>
      <c r="JY4" s="70">
        <f t="shared" si="47"/>
        <v>0</v>
      </c>
      <c r="JZ4" s="70">
        <f t="shared" si="48"/>
        <v>9116334</v>
      </c>
      <c r="KA4" s="70">
        <f t="shared" si="49"/>
        <v>0</v>
      </c>
      <c r="KB4" s="70">
        <f t="shared" si="50"/>
        <v>129300462</v>
      </c>
      <c r="KC4" s="70">
        <f t="shared" si="51"/>
        <v>0</v>
      </c>
      <c r="KE4" s="70" t="e">
        <f t="shared" si="52"/>
        <v>#REF!</v>
      </c>
      <c r="KG4" s="68" t="e">
        <f t="shared" ref="KG4:KG65" si="53">IF(KE4=0,0,1)</f>
        <v>#REF!</v>
      </c>
    </row>
    <row r="5" spans="1:293">
      <c r="A5" s="180" t="s">
        <v>548</v>
      </c>
      <c r="B5" s="76" t="s">
        <v>365</v>
      </c>
      <c r="C5" s="90">
        <v>100663</v>
      </c>
      <c r="D5" s="90">
        <v>2014</v>
      </c>
      <c r="E5" s="90">
        <v>1</v>
      </c>
      <c r="F5" s="91">
        <v>8</v>
      </c>
      <c r="G5" s="92">
        <v>3501</v>
      </c>
      <c r="H5" s="92">
        <v>4856</v>
      </c>
      <c r="I5" s="93">
        <v>1126577040</v>
      </c>
      <c r="J5" s="93">
        <v>1044121372</v>
      </c>
      <c r="K5" s="93">
        <v>0</v>
      </c>
      <c r="L5" s="93">
        <v>0</v>
      </c>
      <c r="M5" s="93">
        <v>19361454</v>
      </c>
      <c r="N5" s="93">
        <v>16010937</v>
      </c>
      <c r="O5" s="93">
        <v>0</v>
      </c>
      <c r="P5" s="93">
        <v>0</v>
      </c>
      <c r="Q5" s="93">
        <v>436539862</v>
      </c>
      <c r="R5" s="93">
        <v>451678129</v>
      </c>
      <c r="S5" s="93">
        <v>821907835</v>
      </c>
      <c r="T5" s="93">
        <v>902513823</v>
      </c>
      <c r="U5" s="93">
        <v>19119</v>
      </c>
      <c r="V5" s="93">
        <v>19918</v>
      </c>
      <c r="W5" s="93">
        <v>28671</v>
      </c>
      <c r="X5" s="93">
        <v>27112</v>
      </c>
      <c r="Y5" s="93">
        <v>24539</v>
      </c>
      <c r="Z5" s="93">
        <v>24572</v>
      </c>
      <c r="AA5" s="93">
        <v>34780</v>
      </c>
      <c r="AB5" s="93">
        <v>32191</v>
      </c>
      <c r="AC5" s="114">
        <v>6</v>
      </c>
      <c r="AD5" s="114">
        <v>12</v>
      </c>
      <c r="AE5" s="114">
        <v>0</v>
      </c>
      <c r="AF5" s="115">
        <v>4058861</v>
      </c>
      <c r="AG5" s="115">
        <v>2731142</v>
      </c>
      <c r="AH5" s="115">
        <v>320001</v>
      </c>
      <c r="AI5" s="115">
        <v>210291</v>
      </c>
      <c r="AJ5" s="115">
        <v>306868</v>
      </c>
      <c r="AK5" s="116">
        <v>6</v>
      </c>
      <c r="AL5" s="115">
        <v>306868</v>
      </c>
      <c r="AM5" s="116">
        <v>6</v>
      </c>
      <c r="AN5" s="115">
        <v>106302</v>
      </c>
      <c r="AO5" s="116">
        <v>9.27</v>
      </c>
      <c r="AP5" s="115">
        <v>98542</v>
      </c>
      <c r="AQ5" s="116">
        <v>10</v>
      </c>
      <c r="AR5" s="115">
        <v>155781</v>
      </c>
      <c r="AS5" s="116">
        <v>17</v>
      </c>
      <c r="AT5" s="115">
        <v>155781</v>
      </c>
      <c r="AU5" s="116">
        <v>17</v>
      </c>
      <c r="AV5" s="115">
        <v>76185</v>
      </c>
      <c r="AW5" s="116">
        <v>11</v>
      </c>
      <c r="AX5" s="115">
        <v>76185</v>
      </c>
      <c r="AY5" s="116">
        <v>11</v>
      </c>
      <c r="AZ5" s="139">
        <v>471801</v>
      </c>
      <c r="BA5" s="139">
        <v>1700000</v>
      </c>
      <c r="BB5" s="139">
        <v>3205602</v>
      </c>
      <c r="BC5" s="139">
        <v>0</v>
      </c>
      <c r="BD5" s="139">
        <v>257600</v>
      </c>
      <c r="BE5" s="139">
        <v>0</v>
      </c>
      <c r="BF5" s="139">
        <v>0</v>
      </c>
      <c r="BG5" s="139">
        <v>0</v>
      </c>
      <c r="BH5" s="139">
        <v>0</v>
      </c>
      <c r="BI5" s="139">
        <v>0</v>
      </c>
      <c r="BJ5" s="139">
        <v>0</v>
      </c>
      <c r="BK5" s="139">
        <v>3038</v>
      </c>
      <c r="BL5" s="139">
        <v>2898</v>
      </c>
      <c r="BM5" s="139">
        <v>1374</v>
      </c>
      <c r="BN5" s="139">
        <v>3931</v>
      </c>
      <c r="BO5" s="139">
        <v>20673</v>
      </c>
      <c r="BP5" s="139">
        <v>31914</v>
      </c>
      <c r="BQ5" s="139">
        <v>754938</v>
      </c>
      <c r="BR5" s="139">
        <v>161992</v>
      </c>
      <c r="BS5" s="139">
        <v>380</v>
      </c>
      <c r="BT5" s="139">
        <v>52936</v>
      </c>
      <c r="BU5" s="139">
        <v>179890</v>
      </c>
      <c r="BV5" s="139">
        <v>1150136</v>
      </c>
      <c r="BW5" s="139">
        <v>9045186</v>
      </c>
      <c r="BX5" s="139">
        <v>3627699</v>
      </c>
      <c r="BY5" s="139">
        <v>1718491</v>
      </c>
      <c r="BZ5" s="139">
        <v>7630448</v>
      </c>
      <c r="CA5" s="139">
        <v>9527693</v>
      </c>
      <c r="CB5" s="139">
        <v>31549517</v>
      </c>
      <c r="CC5" s="139">
        <v>2650160</v>
      </c>
      <c r="CD5" s="139">
        <v>406347</v>
      </c>
      <c r="CE5" s="139">
        <v>492174</v>
      </c>
      <c r="CF5" s="139">
        <v>3241322</v>
      </c>
      <c r="CG5" s="139">
        <v>345182</v>
      </c>
      <c r="CH5" s="139">
        <v>7135185</v>
      </c>
      <c r="CI5" s="139">
        <v>304364</v>
      </c>
      <c r="CJ5" s="139">
        <v>264659</v>
      </c>
      <c r="CK5" s="139">
        <v>26500</v>
      </c>
      <c r="CL5" s="139">
        <v>26958</v>
      </c>
      <c r="CM5" s="139">
        <v>0</v>
      </c>
      <c r="CN5" s="139">
        <v>622481</v>
      </c>
      <c r="CO5" s="139">
        <v>2382378</v>
      </c>
      <c r="CP5" s="139">
        <v>1339035</v>
      </c>
      <c r="CQ5" s="139">
        <v>639805</v>
      </c>
      <c r="CR5" s="139">
        <v>1951732</v>
      </c>
      <c r="CS5" s="139">
        <v>0</v>
      </c>
      <c r="CT5" s="139">
        <v>6312950</v>
      </c>
      <c r="CU5" s="139">
        <v>0</v>
      </c>
      <c r="CV5" s="139">
        <v>0</v>
      </c>
      <c r="CW5" s="139">
        <v>0</v>
      </c>
      <c r="CX5" s="139">
        <v>0</v>
      </c>
      <c r="CY5" s="139">
        <v>0</v>
      </c>
      <c r="CZ5" s="139">
        <v>0</v>
      </c>
      <c r="DA5" s="139">
        <v>409845</v>
      </c>
      <c r="DB5" s="139">
        <v>64024</v>
      </c>
      <c r="DC5" s="139">
        <v>61461</v>
      </c>
      <c r="DD5" s="139">
        <v>102953</v>
      </c>
      <c r="DE5" s="139">
        <v>4905625</v>
      </c>
      <c r="DF5" s="139">
        <v>5543908</v>
      </c>
      <c r="DG5" s="139">
        <v>0</v>
      </c>
      <c r="DH5" s="139">
        <v>0</v>
      </c>
      <c r="DI5" s="139">
        <v>0</v>
      </c>
      <c r="DJ5" s="139">
        <v>0</v>
      </c>
      <c r="DK5" s="139">
        <v>0</v>
      </c>
      <c r="DL5" s="139">
        <v>0</v>
      </c>
      <c r="DM5" s="139">
        <v>146225</v>
      </c>
      <c r="DN5" s="139">
        <v>0</v>
      </c>
      <c r="DO5" s="139">
        <v>0</v>
      </c>
      <c r="DP5" s="139">
        <v>0</v>
      </c>
      <c r="DQ5" s="139">
        <v>0</v>
      </c>
      <c r="DR5" s="139">
        <v>146225</v>
      </c>
      <c r="DS5" s="139">
        <v>164268</v>
      </c>
      <c r="DT5" s="139">
        <v>100242</v>
      </c>
      <c r="DU5" s="139">
        <v>62436</v>
      </c>
      <c r="DV5" s="139">
        <v>203346</v>
      </c>
      <c r="DW5" s="139">
        <v>8451</v>
      </c>
      <c r="DX5" s="139">
        <v>538743</v>
      </c>
      <c r="DY5" s="139">
        <v>723656</v>
      </c>
      <c r="DZ5" s="139">
        <v>439819</v>
      </c>
      <c r="EA5" s="139">
        <v>201976</v>
      </c>
      <c r="EB5" s="139">
        <v>1148296</v>
      </c>
      <c r="EC5" s="139">
        <v>4778</v>
      </c>
      <c r="ED5" s="139">
        <v>2518525</v>
      </c>
      <c r="EE5" s="139">
        <v>418285</v>
      </c>
      <c r="EF5" s="139">
        <v>38825</v>
      </c>
      <c r="EG5" s="139">
        <v>32379</v>
      </c>
      <c r="EH5" s="139">
        <v>311935</v>
      </c>
      <c r="EI5" s="139">
        <v>224769</v>
      </c>
      <c r="EJ5" s="139">
        <v>1026193</v>
      </c>
      <c r="EK5" s="139">
        <v>84445</v>
      </c>
      <c r="EL5" s="139">
        <v>119350</v>
      </c>
      <c r="EM5" s="139">
        <v>72056</v>
      </c>
      <c r="EN5" s="139">
        <v>124565</v>
      </c>
      <c r="EO5" s="139">
        <v>136111</v>
      </c>
      <c r="EP5" s="139">
        <v>536527</v>
      </c>
      <c r="EQ5" s="139">
        <v>21</v>
      </c>
      <c r="ER5" s="139">
        <v>0</v>
      </c>
      <c r="ES5" s="139">
        <v>0</v>
      </c>
      <c r="ET5" s="139">
        <v>0</v>
      </c>
      <c r="EU5" s="139">
        <v>577567</v>
      </c>
      <c r="EV5" s="139">
        <v>577588</v>
      </c>
      <c r="EW5" s="139">
        <v>0</v>
      </c>
      <c r="EX5" s="139">
        <v>0</v>
      </c>
      <c r="EY5" s="139">
        <v>0</v>
      </c>
      <c r="EZ5" s="139">
        <v>0</v>
      </c>
      <c r="FA5" s="139">
        <v>0</v>
      </c>
      <c r="FB5" s="139">
        <v>0</v>
      </c>
      <c r="FC5" s="139">
        <v>87714</v>
      </c>
      <c r="FD5" s="139">
        <v>47445</v>
      </c>
      <c r="FE5" s="139">
        <v>44775</v>
      </c>
      <c r="FF5" s="139">
        <v>147506</v>
      </c>
      <c r="FG5" s="139">
        <v>767378</v>
      </c>
      <c r="FH5" s="139">
        <v>1094818</v>
      </c>
      <c r="FI5" s="139">
        <v>481789</v>
      </c>
      <c r="FJ5" s="139">
        <v>0</v>
      </c>
      <c r="FK5" s="139">
        <v>0</v>
      </c>
      <c r="FL5" s="139">
        <v>0</v>
      </c>
      <c r="FM5" s="139">
        <v>248781</v>
      </c>
      <c r="FN5" s="139">
        <v>730570</v>
      </c>
      <c r="FO5" s="139">
        <v>21885</v>
      </c>
      <c r="FP5" s="139">
        <v>3438</v>
      </c>
      <c r="FQ5" s="139">
        <v>896</v>
      </c>
      <c r="FR5" s="139">
        <v>147351</v>
      </c>
      <c r="FS5" s="139">
        <v>249613</v>
      </c>
      <c r="FT5" s="139">
        <v>423183</v>
      </c>
      <c r="FU5" s="139">
        <v>0</v>
      </c>
      <c r="FV5" s="139">
        <v>0</v>
      </c>
      <c r="FW5" s="139">
        <v>825</v>
      </c>
      <c r="FX5" s="139">
        <v>0</v>
      </c>
      <c r="FY5" s="139">
        <v>590351</v>
      </c>
      <c r="FZ5" s="139">
        <v>591176</v>
      </c>
      <c r="GA5" s="139">
        <v>2768</v>
      </c>
      <c r="GB5" s="139">
        <v>1125</v>
      </c>
      <c r="GC5" s="139">
        <v>865</v>
      </c>
      <c r="GD5" s="139">
        <v>3435</v>
      </c>
      <c r="GE5" s="139">
        <v>299777</v>
      </c>
      <c r="GF5" s="139">
        <v>307970</v>
      </c>
      <c r="GG5" s="139">
        <v>1100161</v>
      </c>
      <c r="GH5" s="139">
        <v>139859</v>
      </c>
      <c r="GI5" s="139">
        <v>78959</v>
      </c>
      <c r="GJ5" s="139">
        <v>311562</v>
      </c>
      <c r="GK5" s="139">
        <v>1068588</v>
      </c>
      <c r="GL5" s="139">
        <v>2699129</v>
      </c>
      <c r="GM5" s="139">
        <v>8977964</v>
      </c>
      <c r="GN5" s="139">
        <v>2964168</v>
      </c>
      <c r="GO5" s="139">
        <v>1715107</v>
      </c>
      <c r="GP5" s="139">
        <v>7720961</v>
      </c>
      <c r="GQ5" s="139">
        <v>9426971</v>
      </c>
      <c r="GR5" s="139">
        <v>30805171</v>
      </c>
      <c r="GS5" s="139">
        <v>0</v>
      </c>
      <c r="GT5" s="139">
        <v>0</v>
      </c>
      <c r="GU5" s="139">
        <v>0</v>
      </c>
      <c r="GV5" s="139">
        <v>0</v>
      </c>
      <c r="GW5" s="139">
        <v>0</v>
      </c>
      <c r="GX5" s="139">
        <v>0</v>
      </c>
      <c r="GY5" s="139">
        <v>8977964</v>
      </c>
      <c r="GZ5" s="139">
        <v>2964168</v>
      </c>
      <c r="HA5" s="139">
        <v>1715107</v>
      </c>
      <c r="HB5" s="139">
        <v>7720961</v>
      </c>
      <c r="HC5" s="139">
        <v>9426971</v>
      </c>
      <c r="HD5" s="139">
        <v>30805171</v>
      </c>
      <c r="HF5" s="70">
        <f>SUM(AZ5:AZ5)</f>
        <v>471801</v>
      </c>
      <c r="HG5" s="70" t="e">
        <f>#REF!-HF5</f>
        <v>#REF!</v>
      </c>
      <c r="HH5" s="70" t="e">
        <f>SUM(#REF!)</f>
        <v>#REF!</v>
      </c>
      <c r="HI5" s="70" t="e">
        <f>#REF!-HH5</f>
        <v>#REF!</v>
      </c>
      <c r="HJ5" s="70">
        <f>SUM(BA5:BA5)</f>
        <v>1700000</v>
      </c>
      <c r="HK5" s="70" t="e">
        <f>#REF!-HJ5</f>
        <v>#REF!</v>
      </c>
      <c r="HL5" s="70" t="e">
        <f>SUM(#REF!)</f>
        <v>#REF!</v>
      </c>
      <c r="HM5" s="70" t="e">
        <f>BB5-HL5</f>
        <v>#REF!</v>
      </c>
      <c r="HN5" s="70" t="e">
        <f>SUM(#REF!)</f>
        <v>#REF!</v>
      </c>
      <c r="HO5" s="70" t="e">
        <f>#REF!-HN5</f>
        <v>#REF!</v>
      </c>
      <c r="HP5" s="70" t="e">
        <f>SUM(#REF!)</f>
        <v>#REF!</v>
      </c>
      <c r="HQ5" s="70" t="e">
        <f>#REF!-HP5</f>
        <v>#REF!</v>
      </c>
      <c r="HR5" s="70" t="e">
        <f>SUM(#REF!)</f>
        <v>#REF!</v>
      </c>
      <c r="HS5" s="70" t="e">
        <f>#REF!-HR5</f>
        <v>#REF!</v>
      </c>
      <c r="HT5" s="70" t="e">
        <f>SUM(#REF!)</f>
        <v>#REF!</v>
      </c>
      <c r="HU5" s="70" t="e">
        <f>#REF!-HT5</f>
        <v>#REF!</v>
      </c>
      <c r="HV5" s="70" t="e">
        <f>SUM(#REF!)</f>
        <v>#REF!</v>
      </c>
      <c r="HW5" s="70" t="e">
        <f>#REF!-HV5</f>
        <v>#REF!</v>
      </c>
      <c r="HX5" s="70" t="e">
        <f>SUM(#REF!)</f>
        <v>#REF!</v>
      </c>
      <c r="HY5" s="70" t="e">
        <f>#REF!-HX5</f>
        <v>#REF!</v>
      </c>
      <c r="HZ5" s="70">
        <f>SUM(BC5:BC5)</f>
        <v>0</v>
      </c>
      <c r="IA5" s="70" t="e">
        <f>#REF!-HZ5</f>
        <v>#REF!</v>
      </c>
      <c r="IB5" s="70">
        <f>SUM(BD5:BD5)</f>
        <v>257600</v>
      </c>
      <c r="IC5" s="70" t="e">
        <f>#REF!-IB5</f>
        <v>#REF!</v>
      </c>
      <c r="ID5" s="70">
        <f t="shared" si="0"/>
        <v>0</v>
      </c>
      <c r="IE5" s="70">
        <f t="shared" si="1"/>
        <v>0</v>
      </c>
      <c r="IF5" s="70">
        <f t="shared" si="2"/>
        <v>31914</v>
      </c>
      <c r="IG5" s="70">
        <f t="shared" si="3"/>
        <v>0</v>
      </c>
      <c r="IH5" s="70">
        <f t="shared" si="4"/>
        <v>1150136</v>
      </c>
      <c r="II5" s="70">
        <f t="shared" si="5"/>
        <v>0</v>
      </c>
      <c r="IJ5" s="70">
        <f t="shared" si="6"/>
        <v>31549517</v>
      </c>
      <c r="IK5" s="70">
        <f t="shared" si="7"/>
        <v>0</v>
      </c>
      <c r="IL5" s="70">
        <f t="shared" si="8"/>
        <v>7135185</v>
      </c>
      <c r="IM5" s="70">
        <f t="shared" si="9"/>
        <v>0</v>
      </c>
      <c r="IN5" s="70">
        <f t="shared" si="10"/>
        <v>622481</v>
      </c>
      <c r="IO5" s="70">
        <f t="shared" si="11"/>
        <v>0</v>
      </c>
      <c r="IP5" s="70">
        <f t="shared" si="12"/>
        <v>6312950</v>
      </c>
      <c r="IQ5" s="70">
        <f t="shared" si="13"/>
        <v>0</v>
      </c>
      <c r="IR5" s="70">
        <f t="shared" si="14"/>
        <v>0</v>
      </c>
      <c r="IS5" s="70">
        <f t="shared" si="15"/>
        <v>0</v>
      </c>
      <c r="IT5" s="70">
        <f t="shared" si="16"/>
        <v>5543908</v>
      </c>
      <c r="IU5" s="70">
        <f t="shared" si="17"/>
        <v>0</v>
      </c>
      <c r="IV5" s="70">
        <f t="shared" si="18"/>
        <v>0</v>
      </c>
      <c r="IW5" s="70">
        <f t="shared" si="19"/>
        <v>0</v>
      </c>
      <c r="IX5" s="70">
        <f t="shared" si="20"/>
        <v>146225</v>
      </c>
      <c r="IY5" s="70">
        <f t="shared" si="21"/>
        <v>0</v>
      </c>
      <c r="IZ5" s="70">
        <f t="shared" si="22"/>
        <v>538743</v>
      </c>
      <c r="JA5" s="70">
        <f t="shared" si="23"/>
        <v>0</v>
      </c>
      <c r="JB5" s="70">
        <f t="shared" si="24"/>
        <v>2518525</v>
      </c>
      <c r="JC5" s="70">
        <f t="shared" si="25"/>
        <v>0</v>
      </c>
      <c r="JD5" s="70">
        <f t="shared" si="26"/>
        <v>1026193</v>
      </c>
      <c r="JE5" s="70">
        <f t="shared" si="27"/>
        <v>0</v>
      </c>
      <c r="JF5" s="70">
        <f t="shared" si="28"/>
        <v>536527</v>
      </c>
      <c r="JG5" s="70">
        <f t="shared" si="29"/>
        <v>0</v>
      </c>
      <c r="JH5" s="70">
        <f t="shared" si="30"/>
        <v>577588</v>
      </c>
      <c r="JI5" s="70">
        <f t="shared" si="31"/>
        <v>0</v>
      </c>
      <c r="JJ5" s="70">
        <f t="shared" si="32"/>
        <v>0</v>
      </c>
      <c r="JK5" s="70">
        <f t="shared" si="33"/>
        <v>0</v>
      </c>
      <c r="JL5" s="70">
        <f t="shared" si="34"/>
        <v>1094818</v>
      </c>
      <c r="JM5" s="70">
        <f t="shared" si="35"/>
        <v>0</v>
      </c>
      <c r="JN5" s="70">
        <f t="shared" si="36"/>
        <v>730570</v>
      </c>
      <c r="JO5" s="70">
        <f t="shared" si="37"/>
        <v>0</v>
      </c>
      <c r="JP5" s="70">
        <f t="shared" si="38"/>
        <v>423183</v>
      </c>
      <c r="JQ5" s="70">
        <f t="shared" si="39"/>
        <v>0</v>
      </c>
      <c r="JR5" s="70">
        <f t="shared" si="40"/>
        <v>591176</v>
      </c>
      <c r="JS5" s="70">
        <f t="shared" si="41"/>
        <v>0</v>
      </c>
      <c r="JT5" s="70">
        <f t="shared" si="42"/>
        <v>307970</v>
      </c>
      <c r="JU5" s="70">
        <f t="shared" si="43"/>
        <v>0</v>
      </c>
      <c r="JV5" s="70">
        <f t="shared" si="44"/>
        <v>2699129</v>
      </c>
      <c r="JW5" s="70">
        <f t="shared" si="45"/>
        <v>0</v>
      </c>
      <c r="JX5" s="70">
        <f t="shared" si="46"/>
        <v>30805171</v>
      </c>
      <c r="JY5" s="70">
        <f t="shared" si="47"/>
        <v>0</v>
      </c>
      <c r="JZ5" s="70">
        <f t="shared" si="48"/>
        <v>0</v>
      </c>
      <c r="KA5" s="70">
        <f t="shared" si="49"/>
        <v>0</v>
      </c>
      <c r="KB5" s="70">
        <f t="shared" si="50"/>
        <v>30805171</v>
      </c>
      <c r="KC5" s="70">
        <f t="shared" si="51"/>
        <v>0</v>
      </c>
      <c r="KE5" s="70" t="e">
        <f t="shared" si="52"/>
        <v>#REF!</v>
      </c>
      <c r="KG5" s="68" t="e">
        <f t="shared" si="53"/>
        <v>#REF!</v>
      </c>
    </row>
    <row r="6" spans="1:293">
      <c r="A6" s="180" t="s">
        <v>228</v>
      </c>
      <c r="B6" s="76" t="s">
        <v>359</v>
      </c>
      <c r="C6" s="90">
        <v>104179</v>
      </c>
      <c r="D6" s="90">
        <v>2014</v>
      </c>
      <c r="E6" s="90">
        <v>1</v>
      </c>
      <c r="F6" s="91">
        <v>4</v>
      </c>
      <c r="G6" s="92">
        <v>1511</v>
      </c>
      <c r="H6" s="92">
        <v>16559</v>
      </c>
      <c r="I6" s="93">
        <v>1702741000</v>
      </c>
      <c r="J6" s="93">
        <v>1651325000</v>
      </c>
      <c r="K6" s="93">
        <v>5122710</v>
      </c>
      <c r="L6" s="93">
        <v>5446775</v>
      </c>
      <c r="M6" s="93">
        <v>106136925</v>
      </c>
      <c r="N6" s="93">
        <v>104826684</v>
      </c>
      <c r="O6" s="93">
        <v>86660000</v>
      </c>
      <c r="P6" s="93">
        <v>87575000</v>
      </c>
      <c r="Q6" s="93">
        <v>1259686000</v>
      </c>
      <c r="R6" s="93">
        <v>1287755000</v>
      </c>
      <c r="S6" s="93">
        <v>1425022000</v>
      </c>
      <c r="T6" s="93">
        <v>1381026000</v>
      </c>
      <c r="U6" s="93">
        <v>22988</v>
      </c>
      <c r="V6" s="93">
        <v>22512</v>
      </c>
      <c r="W6" s="93">
        <v>39670</v>
      </c>
      <c r="X6" s="93">
        <v>37708</v>
      </c>
      <c r="Y6" s="93">
        <v>25228</v>
      </c>
      <c r="Z6" s="93">
        <v>24794</v>
      </c>
      <c r="AA6" s="93">
        <v>41910</v>
      </c>
      <c r="AB6" s="93">
        <v>40974</v>
      </c>
      <c r="AC6" s="114">
        <v>8</v>
      </c>
      <c r="AD6" s="114">
        <v>12</v>
      </c>
      <c r="AE6" s="114">
        <v>0</v>
      </c>
      <c r="AF6" s="115">
        <v>6009951</v>
      </c>
      <c r="AG6" s="115">
        <v>4790949</v>
      </c>
      <c r="AH6" s="115">
        <v>974945</v>
      </c>
      <c r="AI6" s="115">
        <v>406654</v>
      </c>
      <c r="AJ6" s="115">
        <v>1004514</v>
      </c>
      <c r="AK6" s="116">
        <v>6</v>
      </c>
      <c r="AL6" s="115">
        <v>861912</v>
      </c>
      <c r="AM6" s="116">
        <v>7</v>
      </c>
      <c r="AN6" s="115">
        <v>167103</v>
      </c>
      <c r="AO6" s="116">
        <v>9</v>
      </c>
      <c r="AP6" s="115">
        <v>150393</v>
      </c>
      <c r="AQ6" s="116">
        <v>10</v>
      </c>
      <c r="AR6" s="115">
        <v>248710</v>
      </c>
      <c r="AS6" s="116">
        <v>20</v>
      </c>
      <c r="AT6" s="115">
        <v>207258</v>
      </c>
      <c r="AU6" s="116">
        <v>24</v>
      </c>
      <c r="AV6" s="115">
        <v>90779</v>
      </c>
      <c r="AW6" s="116">
        <v>18</v>
      </c>
      <c r="AX6" s="115">
        <v>74274</v>
      </c>
      <c r="AY6" s="116">
        <v>22</v>
      </c>
      <c r="AZ6" s="139">
        <v>6696752</v>
      </c>
      <c r="BA6" s="139">
        <v>250000</v>
      </c>
      <c r="BB6" s="139">
        <v>44264977</v>
      </c>
      <c r="BC6" s="139">
        <v>762986</v>
      </c>
      <c r="BD6" s="139">
        <v>3154263</v>
      </c>
      <c r="BE6" s="139">
        <v>0</v>
      </c>
      <c r="BF6" s="139">
        <v>0</v>
      </c>
      <c r="BG6" s="139">
        <v>0</v>
      </c>
      <c r="BH6" s="139">
        <v>0</v>
      </c>
      <c r="BI6" s="139">
        <v>0</v>
      </c>
      <c r="BJ6" s="139">
        <v>0</v>
      </c>
      <c r="BK6" s="139">
        <v>124786</v>
      </c>
      <c r="BL6" s="139">
        <v>97425</v>
      </c>
      <c r="BM6" s="139">
        <v>4649</v>
      </c>
      <c r="BN6" s="139">
        <v>123389</v>
      </c>
      <c r="BO6" s="140">
        <v>150778</v>
      </c>
      <c r="BP6" s="139">
        <v>501027</v>
      </c>
      <c r="BQ6" s="139">
        <v>0</v>
      </c>
      <c r="BR6" s="139">
        <v>0</v>
      </c>
      <c r="BS6" s="139">
        <v>0</v>
      </c>
      <c r="BT6" s="139">
        <v>0</v>
      </c>
      <c r="BU6" s="139">
        <v>771423</v>
      </c>
      <c r="BV6" s="139">
        <v>771423</v>
      </c>
      <c r="BW6" s="139">
        <v>29947494</v>
      </c>
      <c r="BX6" s="139">
        <v>27972286</v>
      </c>
      <c r="BY6" s="139">
        <v>598959</v>
      </c>
      <c r="BZ6" s="139">
        <v>6213634</v>
      </c>
      <c r="CA6" s="139">
        <v>35178661</v>
      </c>
      <c r="CB6" s="139">
        <v>99911034</v>
      </c>
      <c r="CC6" s="139">
        <v>3644661</v>
      </c>
      <c r="CD6" s="139">
        <v>498843</v>
      </c>
      <c r="CE6" s="139">
        <v>639237</v>
      </c>
      <c r="CF6" s="139">
        <v>6018159</v>
      </c>
      <c r="CG6" s="139">
        <v>0</v>
      </c>
      <c r="CH6" s="139">
        <v>10800900</v>
      </c>
      <c r="CI6" s="139">
        <v>1120000</v>
      </c>
      <c r="CJ6" s="139">
        <v>486000</v>
      </c>
      <c r="CK6" s="139">
        <v>78500</v>
      </c>
      <c r="CL6" s="139">
        <v>210571</v>
      </c>
      <c r="CM6" s="139">
        <v>0</v>
      </c>
      <c r="CN6" s="139">
        <v>1895071</v>
      </c>
      <c r="CO6" s="139">
        <v>5849362</v>
      </c>
      <c r="CP6" s="139">
        <v>3811578</v>
      </c>
      <c r="CQ6" s="139">
        <v>750257</v>
      </c>
      <c r="CR6" s="139">
        <v>3728040</v>
      </c>
      <c r="CS6" s="139">
        <v>0</v>
      </c>
      <c r="CT6" s="139">
        <v>14139237</v>
      </c>
      <c r="CU6" s="139">
        <v>375000</v>
      </c>
      <c r="CV6" s="139">
        <v>417500</v>
      </c>
      <c r="CW6" s="139">
        <v>37800</v>
      </c>
      <c r="CX6" s="139">
        <v>297650</v>
      </c>
      <c r="CY6" s="139">
        <v>0</v>
      </c>
      <c r="CZ6" s="139">
        <v>1127950</v>
      </c>
      <c r="DA6" s="139">
        <v>951783</v>
      </c>
      <c r="DB6" s="139">
        <v>303272</v>
      </c>
      <c r="DC6" s="139">
        <v>135831</v>
      </c>
      <c r="DD6" s="139">
        <v>206296</v>
      </c>
      <c r="DE6" s="139">
        <v>11012360</v>
      </c>
      <c r="DF6" s="139">
        <v>12609542</v>
      </c>
      <c r="DG6" s="139">
        <v>0</v>
      </c>
      <c r="DH6" s="139">
        <v>0</v>
      </c>
      <c r="DI6" s="139">
        <v>0</v>
      </c>
      <c r="DJ6" s="139">
        <v>0</v>
      </c>
      <c r="DK6" s="139">
        <v>9600</v>
      </c>
      <c r="DL6" s="139">
        <v>9600</v>
      </c>
      <c r="DM6" s="139">
        <v>0</v>
      </c>
      <c r="DN6" s="139">
        <v>0</v>
      </c>
      <c r="DO6" s="139">
        <v>0</v>
      </c>
      <c r="DP6" s="139">
        <v>0</v>
      </c>
      <c r="DQ6" s="139">
        <v>0</v>
      </c>
      <c r="DR6" s="139">
        <v>0</v>
      </c>
      <c r="DS6" s="139">
        <v>594381</v>
      </c>
      <c r="DT6" s="139">
        <v>211300</v>
      </c>
      <c r="DU6" s="139">
        <v>137824</v>
      </c>
      <c r="DV6" s="139">
        <v>438094</v>
      </c>
      <c r="DW6" s="139">
        <v>0</v>
      </c>
      <c r="DX6" s="139">
        <v>1381599</v>
      </c>
      <c r="DY6" s="139">
        <v>2169243</v>
      </c>
      <c r="DZ6" s="139">
        <v>1218398</v>
      </c>
      <c r="EA6" s="139">
        <v>496291</v>
      </c>
      <c r="EB6" s="139">
        <v>2326031</v>
      </c>
      <c r="EC6" s="139">
        <v>0</v>
      </c>
      <c r="ED6" s="139">
        <v>6209963</v>
      </c>
      <c r="EE6" s="139">
        <v>930914</v>
      </c>
      <c r="EF6" s="139">
        <v>98312</v>
      </c>
      <c r="EG6" s="139">
        <v>25673</v>
      </c>
      <c r="EH6" s="139">
        <v>740653</v>
      </c>
      <c r="EI6" s="139">
        <v>0</v>
      </c>
      <c r="EJ6" s="139">
        <v>1795552</v>
      </c>
      <c r="EK6" s="139">
        <v>2088861</v>
      </c>
      <c r="EL6" s="139">
        <v>1946546</v>
      </c>
      <c r="EM6" s="139">
        <v>140110</v>
      </c>
      <c r="EN6" s="139">
        <v>623633</v>
      </c>
      <c r="EO6" s="139">
        <v>0</v>
      </c>
      <c r="EP6" s="139">
        <v>4799150</v>
      </c>
      <c r="EQ6" s="139">
        <v>307863</v>
      </c>
      <c r="ER6" s="139">
        <v>35647</v>
      </c>
      <c r="ES6" s="139">
        <v>48610</v>
      </c>
      <c r="ET6" s="139">
        <v>732389</v>
      </c>
      <c r="EU6" s="139">
        <v>0</v>
      </c>
      <c r="EV6" s="139">
        <v>1124509</v>
      </c>
      <c r="EW6" s="139">
        <v>0</v>
      </c>
      <c r="EX6" s="139">
        <v>0</v>
      </c>
      <c r="EY6" s="139">
        <v>0</v>
      </c>
      <c r="EZ6" s="139">
        <v>0</v>
      </c>
      <c r="FA6" s="139">
        <v>0</v>
      </c>
      <c r="FB6" s="139">
        <v>0</v>
      </c>
      <c r="FC6" s="139">
        <v>1252713</v>
      </c>
      <c r="FD6" s="139">
        <v>1500016</v>
      </c>
      <c r="FE6" s="139">
        <v>26694</v>
      </c>
      <c r="FF6" s="139">
        <v>694553</v>
      </c>
      <c r="FG6" s="139">
        <v>26663349</v>
      </c>
      <c r="FH6" s="139">
        <v>30137325</v>
      </c>
      <c r="FI6" s="139">
        <v>60493</v>
      </c>
      <c r="FJ6" s="139">
        <v>7005</v>
      </c>
      <c r="FK6" s="139">
        <v>9552</v>
      </c>
      <c r="FL6" s="139">
        <v>143910</v>
      </c>
      <c r="FM6" s="139">
        <v>0</v>
      </c>
      <c r="FN6" s="139">
        <v>220960</v>
      </c>
      <c r="FO6" s="139">
        <v>312847</v>
      </c>
      <c r="FP6" s="139">
        <v>36225</v>
      </c>
      <c r="FQ6" s="139">
        <v>49397</v>
      </c>
      <c r="FR6" s="139">
        <v>744246</v>
      </c>
      <c r="FS6" s="139">
        <v>0</v>
      </c>
      <c r="FT6" s="139">
        <v>1142715</v>
      </c>
      <c r="FU6" s="139">
        <v>262805</v>
      </c>
      <c r="FV6" s="139">
        <v>30430</v>
      </c>
      <c r="FW6" s="139">
        <v>41495</v>
      </c>
      <c r="FX6" s="139">
        <v>625199</v>
      </c>
      <c r="FY6" s="139">
        <v>0</v>
      </c>
      <c r="FZ6" s="139">
        <v>959929</v>
      </c>
      <c r="GA6" s="139">
        <v>32785</v>
      </c>
      <c r="GB6" s="139">
        <v>3796</v>
      </c>
      <c r="GC6" s="139">
        <v>5177</v>
      </c>
      <c r="GD6" s="139">
        <v>77994</v>
      </c>
      <c r="GE6" s="139">
        <v>0</v>
      </c>
      <c r="GF6" s="139">
        <v>119752</v>
      </c>
      <c r="GG6" s="139">
        <v>1930254</v>
      </c>
      <c r="GH6" s="139">
        <v>223503</v>
      </c>
      <c r="GI6" s="139">
        <v>304777</v>
      </c>
      <c r="GJ6" s="139">
        <v>4591972</v>
      </c>
      <c r="GK6" s="139">
        <v>0</v>
      </c>
      <c r="GL6" s="139">
        <v>7050506</v>
      </c>
      <c r="GM6" s="139">
        <v>21883965</v>
      </c>
      <c r="GN6" s="139">
        <v>10828371</v>
      </c>
      <c r="GO6" s="139">
        <v>2927225</v>
      </c>
      <c r="GP6" s="139">
        <v>22199390</v>
      </c>
      <c r="GQ6" s="139">
        <v>37685309</v>
      </c>
      <c r="GR6" s="139">
        <v>95524260</v>
      </c>
      <c r="GS6" s="139">
        <v>0</v>
      </c>
      <c r="GT6" s="139">
        <v>0</v>
      </c>
      <c r="GU6" s="139">
        <v>0</v>
      </c>
      <c r="GV6" s="139">
        <v>0</v>
      </c>
      <c r="GW6" s="139">
        <v>0</v>
      </c>
      <c r="GX6" s="139">
        <v>0</v>
      </c>
      <c r="GY6" s="139">
        <v>21883965</v>
      </c>
      <c r="GZ6" s="139">
        <v>10828371</v>
      </c>
      <c r="HA6" s="139">
        <v>2927225</v>
      </c>
      <c r="HB6" s="139">
        <v>22199390</v>
      </c>
      <c r="HC6" s="139">
        <v>37685309</v>
      </c>
      <c r="HD6" s="139">
        <v>95524260</v>
      </c>
      <c r="HF6" s="70">
        <f>SUM(AZ6:AZ6)</f>
        <v>6696752</v>
      </c>
      <c r="HG6" s="70" t="e">
        <f>#REF!-HF6</f>
        <v>#REF!</v>
      </c>
      <c r="HH6" s="70" t="e">
        <f>SUM(#REF!)</f>
        <v>#REF!</v>
      </c>
      <c r="HI6" s="70" t="e">
        <f>#REF!-HH6</f>
        <v>#REF!</v>
      </c>
      <c r="HJ6" s="70">
        <f>SUM(BA6:BA6)</f>
        <v>250000</v>
      </c>
      <c r="HK6" s="70" t="e">
        <f>#REF!-HJ6</f>
        <v>#REF!</v>
      </c>
      <c r="HL6" s="70" t="e">
        <f>SUM(#REF!)</f>
        <v>#REF!</v>
      </c>
      <c r="HM6" s="70" t="e">
        <f>BB6-HL6</f>
        <v>#REF!</v>
      </c>
      <c r="HN6" s="70" t="e">
        <f>SUM(#REF!)</f>
        <v>#REF!</v>
      </c>
      <c r="HO6" s="70" t="e">
        <f>#REF!-HN6</f>
        <v>#REF!</v>
      </c>
      <c r="HP6" s="70" t="e">
        <f>SUM(#REF!)</f>
        <v>#REF!</v>
      </c>
      <c r="HQ6" s="70" t="e">
        <f>#REF!-HP6</f>
        <v>#REF!</v>
      </c>
      <c r="HR6" s="70" t="e">
        <f>SUM(#REF!)</f>
        <v>#REF!</v>
      </c>
      <c r="HS6" s="70" t="e">
        <f>#REF!-HR6</f>
        <v>#REF!</v>
      </c>
      <c r="HT6" s="70" t="e">
        <f>SUM(#REF!)</f>
        <v>#REF!</v>
      </c>
      <c r="HU6" s="70" t="e">
        <f>#REF!-HT6</f>
        <v>#REF!</v>
      </c>
      <c r="HV6" s="70" t="e">
        <f>SUM(#REF!)</f>
        <v>#REF!</v>
      </c>
      <c r="HW6" s="70" t="e">
        <f>#REF!-HV6</f>
        <v>#REF!</v>
      </c>
      <c r="HX6" s="70" t="e">
        <f>SUM(#REF!)</f>
        <v>#REF!</v>
      </c>
      <c r="HY6" s="70" t="e">
        <f>#REF!-HX6</f>
        <v>#REF!</v>
      </c>
      <c r="HZ6" s="70">
        <f>SUM(BC6:BC6)</f>
        <v>762986</v>
      </c>
      <c r="IA6" s="70" t="e">
        <f>#REF!-HZ6</f>
        <v>#REF!</v>
      </c>
      <c r="IB6" s="70">
        <f>SUM(BD6:BD6)</f>
        <v>3154263</v>
      </c>
      <c r="IC6" s="70" t="e">
        <f>#REF!-IB6</f>
        <v>#REF!</v>
      </c>
      <c r="ID6" s="70">
        <f t="shared" si="0"/>
        <v>0</v>
      </c>
      <c r="IE6" s="70">
        <f t="shared" si="1"/>
        <v>0</v>
      </c>
      <c r="IF6" s="70">
        <f t="shared" si="2"/>
        <v>501027</v>
      </c>
      <c r="IG6" s="70">
        <f t="shared" si="3"/>
        <v>0</v>
      </c>
      <c r="IH6" s="70">
        <f t="shared" si="4"/>
        <v>771423</v>
      </c>
      <c r="II6" s="70">
        <f t="shared" si="5"/>
        <v>0</v>
      </c>
      <c r="IJ6" s="70">
        <f t="shared" si="6"/>
        <v>99911034</v>
      </c>
      <c r="IK6" s="70">
        <f t="shared" si="7"/>
        <v>0</v>
      </c>
      <c r="IL6" s="70">
        <f t="shared" si="8"/>
        <v>10800900</v>
      </c>
      <c r="IM6" s="70">
        <f t="shared" si="9"/>
        <v>0</v>
      </c>
      <c r="IN6" s="70">
        <f t="shared" si="10"/>
        <v>1895071</v>
      </c>
      <c r="IO6" s="70">
        <f t="shared" si="11"/>
        <v>0</v>
      </c>
      <c r="IP6" s="70">
        <f t="shared" si="12"/>
        <v>14139237</v>
      </c>
      <c r="IQ6" s="70">
        <f t="shared" si="13"/>
        <v>0</v>
      </c>
      <c r="IR6" s="70">
        <f t="shared" si="14"/>
        <v>1127950</v>
      </c>
      <c r="IS6" s="70">
        <f t="shared" si="15"/>
        <v>0</v>
      </c>
      <c r="IT6" s="70">
        <f t="shared" si="16"/>
        <v>12609542</v>
      </c>
      <c r="IU6" s="70">
        <f t="shared" si="17"/>
        <v>0</v>
      </c>
      <c r="IV6" s="70">
        <f t="shared" si="18"/>
        <v>9600</v>
      </c>
      <c r="IW6" s="70">
        <f t="shared" si="19"/>
        <v>0</v>
      </c>
      <c r="IX6" s="70">
        <f t="shared" si="20"/>
        <v>0</v>
      </c>
      <c r="IY6" s="70">
        <f t="shared" si="21"/>
        <v>0</v>
      </c>
      <c r="IZ6" s="70">
        <f t="shared" si="22"/>
        <v>1381599</v>
      </c>
      <c r="JA6" s="70">
        <f t="shared" si="23"/>
        <v>0</v>
      </c>
      <c r="JB6" s="70">
        <f t="shared" si="24"/>
        <v>6209963</v>
      </c>
      <c r="JC6" s="70">
        <f t="shared" si="25"/>
        <v>0</v>
      </c>
      <c r="JD6" s="70">
        <f t="shared" si="26"/>
        <v>1795552</v>
      </c>
      <c r="JE6" s="70">
        <f t="shared" si="27"/>
        <v>0</v>
      </c>
      <c r="JF6" s="70">
        <f t="shared" si="28"/>
        <v>4799150</v>
      </c>
      <c r="JG6" s="70">
        <f t="shared" si="29"/>
        <v>0</v>
      </c>
      <c r="JH6" s="70">
        <f t="shared" si="30"/>
        <v>1124509</v>
      </c>
      <c r="JI6" s="70">
        <f t="shared" si="31"/>
        <v>0</v>
      </c>
      <c r="JJ6" s="70">
        <f t="shared" si="32"/>
        <v>0</v>
      </c>
      <c r="JK6" s="70">
        <f t="shared" si="33"/>
        <v>0</v>
      </c>
      <c r="JL6" s="70">
        <f t="shared" si="34"/>
        <v>30137325</v>
      </c>
      <c r="JM6" s="70">
        <f t="shared" si="35"/>
        <v>0</v>
      </c>
      <c r="JN6" s="70">
        <f t="shared" si="36"/>
        <v>220960</v>
      </c>
      <c r="JO6" s="70">
        <f t="shared" si="37"/>
        <v>0</v>
      </c>
      <c r="JP6" s="70">
        <f t="shared" si="38"/>
        <v>1142715</v>
      </c>
      <c r="JQ6" s="70">
        <f t="shared" si="39"/>
        <v>0</v>
      </c>
      <c r="JR6" s="70">
        <f t="shared" si="40"/>
        <v>959929</v>
      </c>
      <c r="JS6" s="70">
        <f t="shared" si="41"/>
        <v>0</v>
      </c>
      <c r="JT6" s="70">
        <f t="shared" si="42"/>
        <v>119752</v>
      </c>
      <c r="JU6" s="70">
        <f t="shared" si="43"/>
        <v>0</v>
      </c>
      <c r="JV6" s="70">
        <f t="shared" si="44"/>
        <v>7050506</v>
      </c>
      <c r="JW6" s="70">
        <f t="shared" si="45"/>
        <v>0</v>
      </c>
      <c r="JX6" s="70">
        <f t="shared" si="46"/>
        <v>95524260</v>
      </c>
      <c r="JY6" s="70">
        <f t="shared" si="47"/>
        <v>0</v>
      </c>
      <c r="JZ6" s="70">
        <f t="shared" si="48"/>
        <v>0</v>
      </c>
      <c r="KA6" s="70">
        <f t="shared" si="49"/>
        <v>0</v>
      </c>
      <c r="KB6" s="70">
        <f t="shared" si="50"/>
        <v>95524260</v>
      </c>
      <c r="KC6" s="70">
        <f t="shared" si="51"/>
        <v>0</v>
      </c>
      <c r="KE6" s="70" t="e">
        <f t="shared" si="52"/>
        <v>#REF!</v>
      </c>
      <c r="KG6" s="68" t="e">
        <f t="shared" si="53"/>
        <v>#REF!</v>
      </c>
    </row>
    <row r="7" spans="1:293">
      <c r="A7" s="180" t="s">
        <v>229</v>
      </c>
      <c r="B7" s="76" t="s">
        <v>359</v>
      </c>
      <c r="C7" s="90">
        <v>104151</v>
      </c>
      <c r="D7" s="90">
        <v>2014</v>
      </c>
      <c r="E7" s="90">
        <v>1</v>
      </c>
      <c r="F7" s="91">
        <v>4</v>
      </c>
      <c r="G7" s="92">
        <v>26590</v>
      </c>
      <c r="H7" s="92">
        <v>25699</v>
      </c>
      <c r="I7" s="93">
        <v>1796805000</v>
      </c>
      <c r="J7" s="93">
        <v>1644537000</v>
      </c>
      <c r="K7" s="93">
        <v>3741000</v>
      </c>
      <c r="L7" s="93">
        <v>3740000</v>
      </c>
      <c r="M7" s="93">
        <v>113267000</v>
      </c>
      <c r="N7" s="93">
        <v>99821000</v>
      </c>
      <c r="O7" s="93">
        <v>29930000</v>
      </c>
      <c r="P7" s="93">
        <v>32305000</v>
      </c>
      <c r="Q7" s="93">
        <v>1372649000</v>
      </c>
      <c r="R7" s="93">
        <v>1321417000</v>
      </c>
      <c r="S7" s="93">
        <v>1553985000</v>
      </c>
      <c r="T7" s="93">
        <v>1418036000</v>
      </c>
      <c r="U7" s="93">
        <v>22764</v>
      </c>
      <c r="V7" s="94">
        <v>21756</v>
      </c>
      <c r="W7" s="93">
        <v>36416</v>
      </c>
      <c r="X7" s="94">
        <v>35009</v>
      </c>
      <c r="Y7" s="93">
        <v>24476</v>
      </c>
      <c r="Z7" s="94">
        <v>24212</v>
      </c>
      <c r="AA7" s="93">
        <v>38128</v>
      </c>
      <c r="AB7" s="93">
        <v>37465</v>
      </c>
      <c r="AC7" s="114">
        <v>9</v>
      </c>
      <c r="AD7" s="114">
        <v>13</v>
      </c>
      <c r="AE7" s="114">
        <v>0</v>
      </c>
      <c r="AF7" s="115">
        <v>6805548</v>
      </c>
      <c r="AG7" s="115">
        <v>4915967</v>
      </c>
      <c r="AH7" s="115">
        <v>837033</v>
      </c>
      <c r="AI7" s="115">
        <v>271963</v>
      </c>
      <c r="AJ7" s="115">
        <v>1180135</v>
      </c>
      <c r="AK7" s="116">
        <v>6</v>
      </c>
      <c r="AL7" s="115">
        <v>1011544</v>
      </c>
      <c r="AM7" s="116">
        <v>7</v>
      </c>
      <c r="AN7" s="115">
        <v>246015</v>
      </c>
      <c r="AO7" s="116">
        <v>9</v>
      </c>
      <c r="AP7" s="115">
        <v>201285</v>
      </c>
      <c r="AQ7" s="116">
        <v>11</v>
      </c>
      <c r="AR7" s="115">
        <v>252640</v>
      </c>
      <c r="AS7" s="116">
        <v>21.5</v>
      </c>
      <c r="AT7" s="115">
        <v>208914</v>
      </c>
      <c r="AU7" s="116">
        <v>26</v>
      </c>
      <c r="AV7" s="115">
        <v>92466</v>
      </c>
      <c r="AW7" s="116">
        <v>18.5</v>
      </c>
      <c r="AX7" s="115">
        <v>74375</v>
      </c>
      <c r="AY7" s="116">
        <v>23</v>
      </c>
      <c r="AZ7" s="139">
        <v>10391260</v>
      </c>
      <c r="BA7" s="139">
        <v>1400000</v>
      </c>
      <c r="BB7" s="139">
        <v>13499765</v>
      </c>
      <c r="BC7" s="139">
        <v>1709480</v>
      </c>
      <c r="BD7" s="139">
        <v>7603616</v>
      </c>
      <c r="BE7" s="139">
        <v>177527</v>
      </c>
      <c r="BF7" s="139">
        <v>0</v>
      </c>
      <c r="BG7" s="139">
        <v>0</v>
      </c>
      <c r="BH7" s="139">
        <v>8436</v>
      </c>
      <c r="BI7" s="139">
        <v>-1074</v>
      </c>
      <c r="BJ7" s="139">
        <v>184889</v>
      </c>
      <c r="BK7" s="139">
        <v>5431</v>
      </c>
      <c r="BL7" s="139">
        <v>0</v>
      </c>
      <c r="BM7" s="139">
        <v>0</v>
      </c>
      <c r="BN7" s="139">
        <v>78659</v>
      </c>
      <c r="BO7" s="139">
        <v>129649</v>
      </c>
      <c r="BP7" s="139">
        <v>213739</v>
      </c>
      <c r="BQ7" s="139">
        <v>534286</v>
      </c>
      <c r="BR7" s="139">
        <v>54148</v>
      </c>
      <c r="BS7" s="139">
        <v>3540</v>
      </c>
      <c r="BT7" s="139">
        <v>56450</v>
      </c>
      <c r="BU7" s="139">
        <v>196309</v>
      </c>
      <c r="BV7" s="139">
        <v>844733</v>
      </c>
      <c r="BW7" s="139">
        <v>49058255</v>
      </c>
      <c r="BX7" s="139">
        <v>7704098</v>
      </c>
      <c r="BY7" s="139">
        <v>541533</v>
      </c>
      <c r="BZ7" s="139">
        <v>3740896</v>
      </c>
      <c r="CA7" s="139">
        <v>13684487</v>
      </c>
      <c r="CB7" s="139">
        <v>74729269</v>
      </c>
      <c r="CC7" s="139">
        <v>4394057</v>
      </c>
      <c r="CD7" s="139">
        <v>590601</v>
      </c>
      <c r="CE7" s="139">
        <v>629513</v>
      </c>
      <c r="CF7" s="139">
        <v>6107344</v>
      </c>
      <c r="CG7" s="139">
        <v>980310</v>
      </c>
      <c r="CH7" s="139">
        <v>12701825</v>
      </c>
      <c r="CI7" s="139">
        <v>745000</v>
      </c>
      <c r="CJ7" s="139">
        <v>575163</v>
      </c>
      <c r="CK7" s="139">
        <v>34193</v>
      </c>
      <c r="CL7" s="139">
        <v>92650</v>
      </c>
      <c r="CM7" s="139">
        <v>0</v>
      </c>
      <c r="CN7" s="139">
        <v>1447006</v>
      </c>
      <c r="CO7" s="139">
        <v>7514427</v>
      </c>
      <c r="CP7" s="139">
        <v>3051547</v>
      </c>
      <c r="CQ7" s="139">
        <v>1303647</v>
      </c>
      <c r="CR7" s="139">
        <v>4567709</v>
      </c>
      <c r="CS7" s="139">
        <v>0</v>
      </c>
      <c r="CT7" s="139">
        <v>16437330</v>
      </c>
      <c r="CU7" s="139">
        <v>73851</v>
      </c>
      <c r="CV7" s="139">
        <v>23186</v>
      </c>
      <c r="CW7" s="139">
        <v>25351</v>
      </c>
      <c r="CX7" s="139">
        <v>153409</v>
      </c>
      <c r="CY7" s="139">
        <v>0</v>
      </c>
      <c r="CZ7" s="139">
        <v>275797</v>
      </c>
      <c r="DA7" s="139">
        <v>1254278</v>
      </c>
      <c r="DB7" s="139">
        <v>188074</v>
      </c>
      <c r="DC7" s="139">
        <v>138615</v>
      </c>
      <c r="DD7" s="139">
        <v>337231</v>
      </c>
      <c r="DE7" s="139">
        <v>8450586</v>
      </c>
      <c r="DF7" s="139">
        <v>10368784</v>
      </c>
      <c r="DG7" s="139">
        <v>1757</v>
      </c>
      <c r="DH7" s="139">
        <v>1180</v>
      </c>
      <c r="DI7" s="139">
        <v>1180</v>
      </c>
      <c r="DJ7" s="139">
        <v>1990</v>
      </c>
      <c r="DK7" s="139">
        <v>140022</v>
      </c>
      <c r="DL7" s="139">
        <v>146129</v>
      </c>
      <c r="DM7" s="139">
        <v>0</v>
      </c>
      <c r="DN7" s="139">
        <v>0</v>
      </c>
      <c r="DO7" s="139">
        <v>0</v>
      </c>
      <c r="DP7" s="139">
        <v>0</v>
      </c>
      <c r="DQ7" s="139">
        <v>0</v>
      </c>
      <c r="DR7" s="139">
        <v>0</v>
      </c>
      <c r="DS7" s="139">
        <v>518543</v>
      </c>
      <c r="DT7" s="139">
        <v>180576</v>
      </c>
      <c r="DU7" s="139">
        <v>81849</v>
      </c>
      <c r="DV7" s="139">
        <v>328028</v>
      </c>
      <c r="DW7" s="139">
        <v>0</v>
      </c>
      <c r="DX7" s="139">
        <v>1108996</v>
      </c>
      <c r="DY7" s="139">
        <v>2067495</v>
      </c>
      <c r="DZ7" s="139">
        <v>805385</v>
      </c>
      <c r="EA7" s="139">
        <v>162827</v>
      </c>
      <c r="EB7" s="139">
        <v>1993541</v>
      </c>
      <c r="EC7" s="139">
        <v>29340</v>
      </c>
      <c r="ED7" s="139">
        <v>5058588</v>
      </c>
      <c r="EE7" s="139">
        <v>1740317</v>
      </c>
      <c r="EF7" s="139">
        <v>211181</v>
      </c>
      <c r="EG7" s="139">
        <v>112681</v>
      </c>
      <c r="EH7" s="139">
        <v>1118608</v>
      </c>
      <c r="EI7" s="139">
        <v>767002</v>
      </c>
      <c r="EJ7" s="139">
        <v>3949789</v>
      </c>
      <c r="EK7" s="139">
        <v>2609162</v>
      </c>
      <c r="EL7" s="139">
        <v>361306</v>
      </c>
      <c r="EM7" s="139">
        <v>154837</v>
      </c>
      <c r="EN7" s="139">
        <v>386363</v>
      </c>
      <c r="EO7" s="139">
        <v>1932</v>
      </c>
      <c r="EP7" s="139">
        <v>3513600</v>
      </c>
      <c r="EQ7" s="139">
        <v>4068979</v>
      </c>
      <c r="ER7" s="139">
        <v>461509</v>
      </c>
      <c r="ES7" s="139">
        <v>38439</v>
      </c>
      <c r="ET7" s="139">
        <v>396307</v>
      </c>
      <c r="EU7" s="139">
        <v>929501</v>
      </c>
      <c r="EV7" s="139">
        <v>5894735</v>
      </c>
      <c r="EW7" s="139">
        <v>178822</v>
      </c>
      <c r="EX7" s="139">
        <v>0</v>
      </c>
      <c r="EY7" s="139">
        <v>0</v>
      </c>
      <c r="EZ7" s="139">
        <v>10305</v>
      </c>
      <c r="FA7" s="139">
        <v>161</v>
      </c>
      <c r="FB7" s="139">
        <v>189288</v>
      </c>
      <c r="FC7" s="139">
        <v>1199359</v>
      </c>
      <c r="FD7" s="139">
        <v>568803</v>
      </c>
      <c r="FE7" s="139">
        <v>542116</v>
      </c>
      <c r="FF7" s="139">
        <v>1281665</v>
      </c>
      <c r="FG7" s="139">
        <v>2150185</v>
      </c>
      <c r="FH7" s="139">
        <v>5742128</v>
      </c>
      <c r="FI7" s="139">
        <v>0</v>
      </c>
      <c r="FJ7" s="139">
        <v>0</v>
      </c>
      <c r="FK7" s="139">
        <v>0</v>
      </c>
      <c r="FL7" s="139">
        <v>0</v>
      </c>
      <c r="FM7" s="139">
        <v>0</v>
      </c>
      <c r="FN7" s="139">
        <v>0</v>
      </c>
      <c r="FO7" s="139">
        <v>0</v>
      </c>
      <c r="FP7" s="139">
        <v>0</v>
      </c>
      <c r="FQ7" s="139">
        <v>0</v>
      </c>
      <c r="FR7" s="139">
        <v>0</v>
      </c>
      <c r="FS7" s="139">
        <v>1531535</v>
      </c>
      <c r="FT7" s="139">
        <v>1531535</v>
      </c>
      <c r="FU7" s="139">
        <v>371639</v>
      </c>
      <c r="FV7" s="139">
        <v>78563</v>
      </c>
      <c r="FW7" s="139">
        <v>22301</v>
      </c>
      <c r="FX7" s="139">
        <v>964053</v>
      </c>
      <c r="FY7" s="139">
        <v>159286</v>
      </c>
      <c r="FZ7" s="139">
        <v>1595842</v>
      </c>
      <c r="GA7" s="139">
        <v>2320</v>
      </c>
      <c r="GB7" s="139">
        <v>3375</v>
      </c>
      <c r="GC7" s="139">
        <v>2920</v>
      </c>
      <c r="GD7" s="139">
        <v>30410</v>
      </c>
      <c r="GE7" s="139">
        <v>23120</v>
      </c>
      <c r="GF7" s="139">
        <v>62145</v>
      </c>
      <c r="GG7" s="139">
        <v>1129842</v>
      </c>
      <c r="GH7" s="139">
        <v>309040</v>
      </c>
      <c r="GI7" s="139">
        <v>102002</v>
      </c>
      <c r="GJ7" s="139">
        <v>983328</v>
      </c>
      <c r="GK7" s="139">
        <v>2005375</v>
      </c>
      <c r="GL7" s="139">
        <v>4529587</v>
      </c>
      <c r="GM7" s="139">
        <v>27869848</v>
      </c>
      <c r="GN7" s="139">
        <v>7409489</v>
      </c>
      <c r="GO7" s="139">
        <v>3352471</v>
      </c>
      <c r="GP7" s="139">
        <v>18752941</v>
      </c>
      <c r="GQ7" s="139">
        <v>17168355</v>
      </c>
      <c r="GR7" s="139">
        <v>74553104</v>
      </c>
      <c r="GS7" s="139">
        <v>0</v>
      </c>
      <c r="GT7" s="139">
        <v>0</v>
      </c>
      <c r="GU7" s="139">
        <v>0</v>
      </c>
      <c r="GV7" s="139">
        <v>0</v>
      </c>
      <c r="GW7" s="139">
        <v>0</v>
      </c>
      <c r="GX7" s="139">
        <v>0</v>
      </c>
      <c r="GY7" s="139">
        <v>27869848</v>
      </c>
      <c r="GZ7" s="139">
        <v>7409489</v>
      </c>
      <c r="HA7" s="139">
        <v>3352471</v>
      </c>
      <c r="HB7" s="139">
        <v>18752941</v>
      </c>
      <c r="HC7" s="139">
        <v>17168355</v>
      </c>
      <c r="HD7" s="139">
        <v>74553104</v>
      </c>
      <c r="HF7" s="70">
        <f>SUM(AZ7:AZ7)</f>
        <v>10391260</v>
      </c>
      <c r="HG7" s="70" t="e">
        <f>#REF!-HF7</f>
        <v>#REF!</v>
      </c>
      <c r="HH7" s="70" t="e">
        <f>SUM(#REF!)</f>
        <v>#REF!</v>
      </c>
      <c r="HI7" s="70" t="e">
        <f>#REF!-HH7</f>
        <v>#REF!</v>
      </c>
      <c r="HJ7" s="70">
        <f>SUM(BA7:BA7)</f>
        <v>1400000</v>
      </c>
      <c r="HK7" s="70" t="e">
        <f>#REF!-HJ7</f>
        <v>#REF!</v>
      </c>
      <c r="HL7" s="70" t="e">
        <f>SUM(#REF!)</f>
        <v>#REF!</v>
      </c>
      <c r="HM7" s="70" t="e">
        <f>BB7-HL7</f>
        <v>#REF!</v>
      </c>
      <c r="HN7" s="70" t="e">
        <f>SUM(#REF!)</f>
        <v>#REF!</v>
      </c>
      <c r="HO7" s="70" t="e">
        <f>#REF!-HN7</f>
        <v>#REF!</v>
      </c>
      <c r="HP7" s="70" t="e">
        <f>SUM(#REF!)</f>
        <v>#REF!</v>
      </c>
      <c r="HQ7" s="70" t="e">
        <f>#REF!-HP7</f>
        <v>#REF!</v>
      </c>
      <c r="HR7" s="70" t="e">
        <f>SUM(#REF!)</f>
        <v>#REF!</v>
      </c>
      <c r="HS7" s="70" t="e">
        <f>#REF!-HR7</f>
        <v>#REF!</v>
      </c>
      <c r="HT7" s="70" t="e">
        <f>SUM(#REF!)</f>
        <v>#REF!</v>
      </c>
      <c r="HU7" s="70" t="e">
        <f>#REF!-HT7</f>
        <v>#REF!</v>
      </c>
      <c r="HV7" s="70" t="e">
        <f>SUM(#REF!)</f>
        <v>#REF!</v>
      </c>
      <c r="HW7" s="70" t="e">
        <f>#REF!-HV7</f>
        <v>#REF!</v>
      </c>
      <c r="HX7" s="70" t="e">
        <f>SUM(#REF!)</f>
        <v>#REF!</v>
      </c>
      <c r="HY7" s="70" t="e">
        <f>#REF!-HX7</f>
        <v>#REF!</v>
      </c>
      <c r="HZ7" s="70">
        <f>SUM(BC7:BC7)</f>
        <v>1709480</v>
      </c>
      <c r="IA7" s="70" t="e">
        <f>#REF!-HZ7</f>
        <v>#REF!</v>
      </c>
      <c r="IB7" s="70">
        <f>SUM(BD7:BD7)</f>
        <v>7603616</v>
      </c>
      <c r="IC7" s="70" t="e">
        <f>#REF!-IB7</f>
        <v>#REF!</v>
      </c>
      <c r="ID7" s="70">
        <f t="shared" si="0"/>
        <v>184889</v>
      </c>
      <c r="IE7" s="70">
        <f t="shared" si="1"/>
        <v>0</v>
      </c>
      <c r="IF7" s="70">
        <f t="shared" si="2"/>
        <v>213739</v>
      </c>
      <c r="IG7" s="70">
        <f t="shared" si="3"/>
        <v>0</v>
      </c>
      <c r="IH7" s="70">
        <f t="shared" si="4"/>
        <v>844733</v>
      </c>
      <c r="II7" s="70">
        <f t="shared" si="5"/>
        <v>0</v>
      </c>
      <c r="IJ7" s="70">
        <f t="shared" si="6"/>
        <v>74729269</v>
      </c>
      <c r="IK7" s="70">
        <f t="shared" si="7"/>
        <v>0</v>
      </c>
      <c r="IL7" s="70">
        <f t="shared" si="8"/>
        <v>12701825</v>
      </c>
      <c r="IM7" s="70">
        <f t="shared" si="9"/>
        <v>0</v>
      </c>
      <c r="IN7" s="70">
        <f t="shared" si="10"/>
        <v>1447006</v>
      </c>
      <c r="IO7" s="70">
        <f t="shared" si="11"/>
        <v>0</v>
      </c>
      <c r="IP7" s="70">
        <f t="shared" si="12"/>
        <v>16437330</v>
      </c>
      <c r="IQ7" s="70">
        <f t="shared" si="13"/>
        <v>0</v>
      </c>
      <c r="IR7" s="70">
        <f t="shared" si="14"/>
        <v>275797</v>
      </c>
      <c r="IS7" s="70">
        <f t="shared" si="15"/>
        <v>0</v>
      </c>
      <c r="IT7" s="70">
        <f t="shared" si="16"/>
        <v>10368784</v>
      </c>
      <c r="IU7" s="70">
        <f t="shared" si="17"/>
        <v>0</v>
      </c>
      <c r="IV7" s="70">
        <f t="shared" si="18"/>
        <v>146129</v>
      </c>
      <c r="IW7" s="70">
        <f t="shared" si="19"/>
        <v>0</v>
      </c>
      <c r="IX7" s="70">
        <f t="shared" si="20"/>
        <v>0</v>
      </c>
      <c r="IY7" s="70">
        <f t="shared" si="21"/>
        <v>0</v>
      </c>
      <c r="IZ7" s="70">
        <f t="shared" si="22"/>
        <v>1108996</v>
      </c>
      <c r="JA7" s="70">
        <f t="shared" si="23"/>
        <v>0</v>
      </c>
      <c r="JB7" s="70">
        <f t="shared" si="24"/>
        <v>5058588</v>
      </c>
      <c r="JC7" s="70">
        <f t="shared" si="25"/>
        <v>0</v>
      </c>
      <c r="JD7" s="70">
        <f t="shared" si="26"/>
        <v>3949789</v>
      </c>
      <c r="JE7" s="70">
        <f t="shared" si="27"/>
        <v>0</v>
      </c>
      <c r="JF7" s="70">
        <f t="shared" si="28"/>
        <v>3513600</v>
      </c>
      <c r="JG7" s="70">
        <f t="shared" si="29"/>
        <v>0</v>
      </c>
      <c r="JH7" s="70">
        <f t="shared" si="30"/>
        <v>5894735</v>
      </c>
      <c r="JI7" s="70">
        <f t="shared" si="31"/>
        <v>0</v>
      </c>
      <c r="JJ7" s="70">
        <f t="shared" si="32"/>
        <v>189288</v>
      </c>
      <c r="JK7" s="70">
        <f t="shared" si="33"/>
        <v>0</v>
      </c>
      <c r="JL7" s="70">
        <f t="shared" si="34"/>
        <v>5742128</v>
      </c>
      <c r="JM7" s="70">
        <f t="shared" si="35"/>
        <v>0</v>
      </c>
      <c r="JN7" s="70">
        <f t="shared" si="36"/>
        <v>0</v>
      </c>
      <c r="JO7" s="70">
        <f t="shared" si="37"/>
        <v>0</v>
      </c>
      <c r="JP7" s="70">
        <f t="shared" si="38"/>
        <v>1531535</v>
      </c>
      <c r="JQ7" s="70">
        <f t="shared" si="39"/>
        <v>0</v>
      </c>
      <c r="JR7" s="70">
        <f t="shared" si="40"/>
        <v>1595842</v>
      </c>
      <c r="JS7" s="70">
        <f t="shared" si="41"/>
        <v>0</v>
      </c>
      <c r="JT7" s="70">
        <f t="shared" si="42"/>
        <v>62145</v>
      </c>
      <c r="JU7" s="70">
        <f t="shared" si="43"/>
        <v>0</v>
      </c>
      <c r="JV7" s="70">
        <f t="shared" si="44"/>
        <v>4529587</v>
      </c>
      <c r="JW7" s="70">
        <f t="shared" si="45"/>
        <v>0</v>
      </c>
      <c r="JX7" s="70">
        <f t="shared" si="46"/>
        <v>74553104</v>
      </c>
      <c r="JY7" s="70">
        <f t="shared" si="47"/>
        <v>0</v>
      </c>
      <c r="JZ7" s="70">
        <f t="shared" si="48"/>
        <v>0</v>
      </c>
      <c r="KA7" s="70">
        <f t="shared" si="49"/>
        <v>0</v>
      </c>
      <c r="KB7" s="70">
        <f t="shared" si="50"/>
        <v>74553104</v>
      </c>
      <c r="KC7" s="70">
        <f t="shared" si="51"/>
        <v>0</v>
      </c>
      <c r="KE7" s="70" t="e">
        <f t="shared" si="52"/>
        <v>#REF!</v>
      </c>
      <c r="KG7" s="68" t="e">
        <f t="shared" si="53"/>
        <v>#REF!</v>
      </c>
    </row>
    <row r="8" spans="1:293">
      <c r="A8" s="180" t="s">
        <v>230</v>
      </c>
      <c r="B8" s="76" t="s">
        <v>359</v>
      </c>
      <c r="C8" s="90">
        <v>106397</v>
      </c>
      <c r="D8" s="90">
        <v>2014</v>
      </c>
      <c r="E8" s="90">
        <v>1</v>
      </c>
      <c r="F8" s="91">
        <v>5</v>
      </c>
      <c r="G8" s="92">
        <v>8990</v>
      </c>
      <c r="H8" s="92">
        <v>9465</v>
      </c>
      <c r="I8" s="93">
        <v>713833706</v>
      </c>
      <c r="J8" s="93">
        <v>685449295</v>
      </c>
      <c r="K8" s="93">
        <v>12404986</v>
      </c>
      <c r="L8" s="93">
        <v>9806660</v>
      </c>
      <c r="M8" s="93">
        <v>46080522</v>
      </c>
      <c r="N8" s="93">
        <v>38889892</v>
      </c>
      <c r="O8" s="93">
        <v>71737565</v>
      </c>
      <c r="P8" s="93">
        <v>81364538</v>
      </c>
      <c r="Q8" s="93">
        <v>710588792</v>
      </c>
      <c r="R8" s="93">
        <v>701812672</v>
      </c>
      <c r="S8" s="93">
        <v>484080050</v>
      </c>
      <c r="T8" s="93">
        <v>462278337</v>
      </c>
      <c r="U8" s="93">
        <v>17660</v>
      </c>
      <c r="V8" s="93">
        <v>17025</v>
      </c>
      <c r="W8" s="93">
        <v>28916</v>
      </c>
      <c r="X8" s="93">
        <v>27906</v>
      </c>
      <c r="Y8" s="93">
        <v>22212</v>
      </c>
      <c r="Z8" s="93">
        <v>21472</v>
      </c>
      <c r="AA8" s="93">
        <v>33468</v>
      </c>
      <c r="AB8" s="93">
        <v>32352</v>
      </c>
      <c r="AC8" s="114">
        <v>8</v>
      </c>
      <c r="AD8" s="114">
        <v>11</v>
      </c>
      <c r="AE8" s="114">
        <v>0</v>
      </c>
      <c r="AF8" s="115">
        <v>4645323</v>
      </c>
      <c r="AG8" s="115">
        <v>3946733</v>
      </c>
      <c r="AH8" s="115">
        <v>1194822</v>
      </c>
      <c r="AI8" s="115">
        <v>469195</v>
      </c>
      <c r="AJ8" s="115">
        <v>1240708</v>
      </c>
      <c r="AK8" s="116">
        <v>6</v>
      </c>
      <c r="AL8" s="115">
        <v>1240708</v>
      </c>
      <c r="AM8" s="116">
        <v>6</v>
      </c>
      <c r="AN8" s="115">
        <v>247000</v>
      </c>
      <c r="AO8" s="116">
        <v>9</v>
      </c>
      <c r="AP8" s="115">
        <v>247000</v>
      </c>
      <c r="AQ8" s="116">
        <v>9</v>
      </c>
      <c r="AR8" s="115">
        <v>322684</v>
      </c>
      <c r="AS8" s="116">
        <v>18</v>
      </c>
      <c r="AT8" s="115">
        <v>322684</v>
      </c>
      <c r="AU8" s="116">
        <v>18</v>
      </c>
      <c r="AV8" s="115">
        <v>87478</v>
      </c>
      <c r="AW8" s="116">
        <v>17</v>
      </c>
      <c r="AX8" s="115">
        <v>87478</v>
      </c>
      <c r="AY8" s="116">
        <v>17</v>
      </c>
      <c r="AZ8" s="139">
        <v>25584626</v>
      </c>
      <c r="BA8" s="139">
        <v>300000</v>
      </c>
      <c r="BB8" s="139">
        <v>21276161</v>
      </c>
      <c r="BC8" s="139">
        <v>985453</v>
      </c>
      <c r="BD8" s="139">
        <v>40000</v>
      </c>
      <c r="BE8" s="139">
        <v>1449</v>
      </c>
      <c r="BF8" s="139">
        <v>838</v>
      </c>
      <c r="BG8" s="139">
        <v>1109</v>
      </c>
      <c r="BH8" s="139">
        <v>10065</v>
      </c>
      <c r="BI8" s="139">
        <v>322</v>
      </c>
      <c r="BJ8" s="139">
        <v>13783</v>
      </c>
      <c r="BK8" s="139">
        <v>3357</v>
      </c>
      <c r="BL8" s="139">
        <v>3714</v>
      </c>
      <c r="BM8" s="139">
        <v>19377</v>
      </c>
      <c r="BN8" s="139">
        <v>106552</v>
      </c>
      <c r="BO8" s="139">
        <v>2260611</v>
      </c>
      <c r="BP8" s="139">
        <v>2393611</v>
      </c>
      <c r="BQ8" s="139">
        <v>80552</v>
      </c>
      <c r="BR8" s="139">
        <v>0</v>
      </c>
      <c r="BS8" s="139">
        <v>0</v>
      </c>
      <c r="BT8" s="139">
        <v>92121</v>
      </c>
      <c r="BU8" s="139">
        <v>521262</v>
      </c>
      <c r="BV8" s="139">
        <v>693935</v>
      </c>
      <c r="BW8" s="139">
        <v>57057800</v>
      </c>
      <c r="BX8" s="139">
        <v>15807555</v>
      </c>
      <c r="BY8" s="139">
        <v>237981</v>
      </c>
      <c r="BZ8" s="139">
        <v>4693419</v>
      </c>
      <c r="CA8" s="139">
        <v>18997217</v>
      </c>
      <c r="CB8" s="139">
        <v>96793972</v>
      </c>
      <c r="CC8" s="139">
        <v>2861509</v>
      </c>
      <c r="CD8" s="139">
        <v>451360</v>
      </c>
      <c r="CE8" s="139">
        <v>452823</v>
      </c>
      <c r="CF8" s="139">
        <v>4826364</v>
      </c>
      <c r="CG8" s="139">
        <v>462950</v>
      </c>
      <c r="CH8" s="139">
        <v>9055006</v>
      </c>
      <c r="CI8" s="139">
        <v>2350000</v>
      </c>
      <c r="CJ8" s="139">
        <v>739788</v>
      </c>
      <c r="CK8" s="139">
        <v>89044</v>
      </c>
      <c r="CL8" s="139">
        <v>140240</v>
      </c>
      <c r="CM8" s="139">
        <v>0</v>
      </c>
      <c r="CN8" s="139">
        <v>3319072</v>
      </c>
      <c r="CO8" s="139">
        <v>7674626</v>
      </c>
      <c r="CP8" s="139">
        <v>3390874</v>
      </c>
      <c r="CQ8" s="139">
        <v>1039263</v>
      </c>
      <c r="CR8" s="139">
        <v>4857939</v>
      </c>
      <c r="CS8" s="139">
        <v>0</v>
      </c>
      <c r="CT8" s="139">
        <v>16962702</v>
      </c>
      <c r="CU8" s="139">
        <v>0</v>
      </c>
      <c r="CV8" s="139">
        <v>0</v>
      </c>
      <c r="CW8" s="139">
        <v>0</v>
      </c>
      <c r="CX8" s="139">
        <v>175000</v>
      </c>
      <c r="CY8" s="139">
        <v>0</v>
      </c>
      <c r="CZ8" s="139">
        <v>175000</v>
      </c>
      <c r="DA8" s="139">
        <v>920857</v>
      </c>
      <c r="DB8" s="139">
        <v>435403</v>
      </c>
      <c r="DC8" s="139">
        <v>237826</v>
      </c>
      <c r="DD8" s="139">
        <v>388953</v>
      </c>
      <c r="DE8" s="139">
        <v>15704914</v>
      </c>
      <c r="DF8" s="139">
        <v>17687953</v>
      </c>
      <c r="DG8" s="139">
        <v>0</v>
      </c>
      <c r="DH8" s="139">
        <v>0</v>
      </c>
      <c r="DI8" s="139">
        <v>0</v>
      </c>
      <c r="DJ8" s="139">
        <v>0</v>
      </c>
      <c r="DK8" s="139">
        <v>0</v>
      </c>
      <c r="DL8" s="139">
        <v>0</v>
      </c>
      <c r="DM8" s="139">
        <v>0</v>
      </c>
      <c r="DN8" s="139">
        <v>0</v>
      </c>
      <c r="DO8" s="139">
        <v>84094</v>
      </c>
      <c r="DP8" s="139">
        <v>0</v>
      </c>
      <c r="DQ8" s="139">
        <v>0</v>
      </c>
      <c r="DR8" s="139">
        <v>84094</v>
      </c>
      <c r="DS8" s="139">
        <v>686514</v>
      </c>
      <c r="DT8" s="139">
        <v>237383</v>
      </c>
      <c r="DU8" s="139">
        <v>134834</v>
      </c>
      <c r="DV8" s="139">
        <v>605286</v>
      </c>
      <c r="DW8" s="139">
        <v>0</v>
      </c>
      <c r="DX8" s="139">
        <v>1664017</v>
      </c>
      <c r="DY8" s="139">
        <v>1674104</v>
      </c>
      <c r="DZ8" s="139">
        <v>845103</v>
      </c>
      <c r="EA8" s="139">
        <v>698534</v>
      </c>
      <c r="EB8" s="139">
        <v>3340711</v>
      </c>
      <c r="EC8" s="139">
        <v>0</v>
      </c>
      <c r="ED8" s="139">
        <v>6558452</v>
      </c>
      <c r="EE8" s="139">
        <v>912682</v>
      </c>
      <c r="EF8" s="139">
        <v>82469</v>
      </c>
      <c r="EG8" s="139">
        <v>61591</v>
      </c>
      <c r="EH8" s="139">
        <v>968535</v>
      </c>
      <c r="EI8" s="139">
        <v>0</v>
      </c>
      <c r="EJ8" s="139">
        <v>2025277</v>
      </c>
      <c r="EK8" s="139">
        <v>2282738</v>
      </c>
      <c r="EL8" s="139">
        <v>737346</v>
      </c>
      <c r="EM8" s="139">
        <v>244547</v>
      </c>
      <c r="EN8" s="139">
        <v>913732</v>
      </c>
      <c r="EO8" s="139">
        <v>0</v>
      </c>
      <c r="EP8" s="139">
        <v>4178363</v>
      </c>
      <c r="EQ8" s="139">
        <v>286377</v>
      </c>
      <c r="ER8" s="139">
        <v>76254</v>
      </c>
      <c r="ES8" s="139">
        <v>10581</v>
      </c>
      <c r="ET8" s="139">
        <v>54932</v>
      </c>
      <c r="EU8" s="139">
        <v>1549017</v>
      </c>
      <c r="EV8" s="139">
        <v>1977161</v>
      </c>
      <c r="EW8" s="139">
        <v>0</v>
      </c>
      <c r="EX8" s="139">
        <v>0</v>
      </c>
      <c r="EY8" s="139">
        <v>0</v>
      </c>
      <c r="EZ8" s="139">
        <v>0</v>
      </c>
      <c r="FA8" s="139">
        <v>0</v>
      </c>
      <c r="FB8" s="139">
        <v>0</v>
      </c>
      <c r="FC8" s="139">
        <v>6443543</v>
      </c>
      <c r="FD8" s="139">
        <v>435508</v>
      </c>
      <c r="FE8" s="139">
        <v>434162</v>
      </c>
      <c r="FF8" s="139">
        <v>4149016</v>
      </c>
      <c r="FG8" s="139">
        <v>6710560</v>
      </c>
      <c r="FH8" s="139">
        <v>18172789</v>
      </c>
      <c r="FI8" s="139">
        <v>0</v>
      </c>
      <c r="FJ8" s="139">
        <v>0</v>
      </c>
      <c r="FK8" s="139">
        <v>0</v>
      </c>
      <c r="FL8" s="139">
        <v>0</v>
      </c>
      <c r="FM8" s="139">
        <v>0</v>
      </c>
      <c r="FN8" s="139">
        <v>0</v>
      </c>
      <c r="FO8" s="139">
        <v>0</v>
      </c>
      <c r="FP8" s="139">
        <v>0</v>
      </c>
      <c r="FQ8" s="139">
        <v>0</v>
      </c>
      <c r="FR8" s="139">
        <v>0</v>
      </c>
      <c r="FS8" s="139">
        <v>0</v>
      </c>
      <c r="FT8" s="139">
        <v>0</v>
      </c>
      <c r="FU8" s="139">
        <v>260290</v>
      </c>
      <c r="FV8" s="139">
        <v>31717</v>
      </c>
      <c r="FW8" s="139">
        <v>49987</v>
      </c>
      <c r="FX8" s="139">
        <v>610827</v>
      </c>
      <c r="FY8" s="139">
        <v>576127</v>
      </c>
      <c r="FZ8" s="139">
        <v>1528948</v>
      </c>
      <c r="GA8" s="139">
        <v>1508</v>
      </c>
      <c r="GB8" s="139">
        <v>0</v>
      </c>
      <c r="GC8" s="139">
        <v>3290</v>
      </c>
      <c r="GD8" s="139">
        <v>11125</v>
      </c>
      <c r="GE8" s="139">
        <v>48257</v>
      </c>
      <c r="GF8" s="139">
        <v>64180</v>
      </c>
      <c r="GG8" s="139">
        <v>1719951</v>
      </c>
      <c r="GH8" s="139">
        <v>218723</v>
      </c>
      <c r="GI8" s="139">
        <v>160394</v>
      </c>
      <c r="GJ8" s="139">
        <v>727398</v>
      </c>
      <c r="GK8" s="139">
        <v>7386733</v>
      </c>
      <c r="GL8" s="139">
        <v>10213199</v>
      </c>
      <c r="GM8" s="139">
        <v>28074699</v>
      </c>
      <c r="GN8" s="139">
        <v>7681928</v>
      </c>
      <c r="GO8" s="139">
        <v>3700970</v>
      </c>
      <c r="GP8" s="139">
        <v>21770058</v>
      </c>
      <c r="GQ8" s="139">
        <v>33412753</v>
      </c>
      <c r="GR8" s="139">
        <v>94640408</v>
      </c>
      <c r="GS8" s="139">
        <v>0</v>
      </c>
      <c r="GT8" s="139">
        <v>0</v>
      </c>
      <c r="GU8" s="139">
        <v>0</v>
      </c>
      <c r="GV8" s="139">
        <v>0</v>
      </c>
      <c r="GW8" s="139">
        <v>105015</v>
      </c>
      <c r="GX8" s="139">
        <v>105015</v>
      </c>
      <c r="GY8" s="139">
        <v>28074699</v>
      </c>
      <c r="GZ8" s="139">
        <v>7681928</v>
      </c>
      <c r="HA8" s="139">
        <v>3700970</v>
      </c>
      <c r="HB8" s="139">
        <v>21770058</v>
      </c>
      <c r="HC8" s="139">
        <v>33517768</v>
      </c>
      <c r="HD8" s="139">
        <v>94745423</v>
      </c>
      <c r="HF8" s="70">
        <f>SUM(AZ8:AZ8)</f>
        <v>25584626</v>
      </c>
      <c r="HG8" s="70" t="e">
        <f>#REF!-HF8</f>
        <v>#REF!</v>
      </c>
      <c r="HH8" s="70" t="e">
        <f>SUM(#REF!)</f>
        <v>#REF!</v>
      </c>
      <c r="HI8" s="70" t="e">
        <f>#REF!-HH8</f>
        <v>#REF!</v>
      </c>
      <c r="HJ8" s="70">
        <f>SUM(BA8:BA8)</f>
        <v>300000</v>
      </c>
      <c r="HK8" s="70" t="e">
        <f>#REF!-HJ8</f>
        <v>#REF!</v>
      </c>
      <c r="HL8" s="70" t="e">
        <f>SUM(#REF!)</f>
        <v>#REF!</v>
      </c>
      <c r="HM8" s="70" t="e">
        <f>BB8-HL8</f>
        <v>#REF!</v>
      </c>
      <c r="HN8" s="70" t="e">
        <f>SUM(#REF!)</f>
        <v>#REF!</v>
      </c>
      <c r="HO8" s="70" t="e">
        <f>#REF!-HN8</f>
        <v>#REF!</v>
      </c>
      <c r="HP8" s="70" t="e">
        <f>SUM(#REF!)</f>
        <v>#REF!</v>
      </c>
      <c r="HQ8" s="70" t="e">
        <f>#REF!-HP8</f>
        <v>#REF!</v>
      </c>
      <c r="HR8" s="70" t="e">
        <f>SUM(#REF!)</f>
        <v>#REF!</v>
      </c>
      <c r="HS8" s="70" t="e">
        <f>#REF!-HR8</f>
        <v>#REF!</v>
      </c>
      <c r="HT8" s="70" t="e">
        <f>SUM(#REF!)</f>
        <v>#REF!</v>
      </c>
      <c r="HU8" s="70" t="e">
        <f>#REF!-HT8</f>
        <v>#REF!</v>
      </c>
      <c r="HV8" s="70" t="e">
        <f>SUM(#REF!)</f>
        <v>#REF!</v>
      </c>
      <c r="HW8" s="70" t="e">
        <f>#REF!-HV8</f>
        <v>#REF!</v>
      </c>
      <c r="HX8" s="70" t="e">
        <f>SUM(#REF!)</f>
        <v>#REF!</v>
      </c>
      <c r="HY8" s="70" t="e">
        <f>#REF!-HX8</f>
        <v>#REF!</v>
      </c>
      <c r="HZ8" s="70">
        <f>SUM(BC8:BC8)</f>
        <v>985453</v>
      </c>
      <c r="IA8" s="70" t="e">
        <f>#REF!-HZ8</f>
        <v>#REF!</v>
      </c>
      <c r="IB8" s="70">
        <f>SUM(BD8:BD8)</f>
        <v>40000</v>
      </c>
      <c r="IC8" s="70" t="e">
        <f>#REF!-IB8</f>
        <v>#REF!</v>
      </c>
      <c r="ID8" s="70">
        <f t="shared" si="0"/>
        <v>13783</v>
      </c>
      <c r="IE8" s="70">
        <f t="shared" si="1"/>
        <v>0</v>
      </c>
      <c r="IF8" s="70">
        <f t="shared" si="2"/>
        <v>2393611</v>
      </c>
      <c r="IG8" s="70">
        <f t="shared" si="3"/>
        <v>0</v>
      </c>
      <c r="IH8" s="70">
        <f t="shared" si="4"/>
        <v>693935</v>
      </c>
      <c r="II8" s="70">
        <f t="shared" si="5"/>
        <v>0</v>
      </c>
      <c r="IJ8" s="70">
        <f t="shared" si="6"/>
        <v>96793972</v>
      </c>
      <c r="IK8" s="70">
        <f t="shared" si="7"/>
        <v>0</v>
      </c>
      <c r="IL8" s="70">
        <f t="shared" si="8"/>
        <v>9055006</v>
      </c>
      <c r="IM8" s="70">
        <f t="shared" si="9"/>
        <v>0</v>
      </c>
      <c r="IN8" s="70">
        <f t="shared" si="10"/>
        <v>3319072</v>
      </c>
      <c r="IO8" s="70">
        <f t="shared" si="11"/>
        <v>0</v>
      </c>
      <c r="IP8" s="70">
        <f t="shared" si="12"/>
        <v>16962702</v>
      </c>
      <c r="IQ8" s="70">
        <f t="shared" si="13"/>
        <v>0</v>
      </c>
      <c r="IR8" s="70">
        <f t="shared" si="14"/>
        <v>175000</v>
      </c>
      <c r="IS8" s="70">
        <f t="shared" si="15"/>
        <v>0</v>
      </c>
      <c r="IT8" s="70">
        <f t="shared" si="16"/>
        <v>17687953</v>
      </c>
      <c r="IU8" s="70">
        <f t="shared" si="17"/>
        <v>0</v>
      </c>
      <c r="IV8" s="70">
        <f t="shared" si="18"/>
        <v>0</v>
      </c>
      <c r="IW8" s="70">
        <f t="shared" si="19"/>
        <v>0</v>
      </c>
      <c r="IX8" s="70">
        <f t="shared" si="20"/>
        <v>84094</v>
      </c>
      <c r="IY8" s="70">
        <f t="shared" si="21"/>
        <v>0</v>
      </c>
      <c r="IZ8" s="70">
        <f t="shared" si="22"/>
        <v>1664017</v>
      </c>
      <c r="JA8" s="70">
        <f t="shared" si="23"/>
        <v>0</v>
      </c>
      <c r="JB8" s="70">
        <f t="shared" si="24"/>
        <v>6558452</v>
      </c>
      <c r="JC8" s="70">
        <f t="shared" si="25"/>
        <v>0</v>
      </c>
      <c r="JD8" s="70">
        <f t="shared" si="26"/>
        <v>2025277</v>
      </c>
      <c r="JE8" s="70">
        <f t="shared" si="27"/>
        <v>0</v>
      </c>
      <c r="JF8" s="70">
        <f t="shared" si="28"/>
        <v>4178363</v>
      </c>
      <c r="JG8" s="70">
        <f t="shared" si="29"/>
        <v>0</v>
      </c>
      <c r="JH8" s="70">
        <f t="shared" si="30"/>
        <v>1977161</v>
      </c>
      <c r="JI8" s="70">
        <f t="shared" si="31"/>
        <v>0</v>
      </c>
      <c r="JJ8" s="70">
        <f t="shared" si="32"/>
        <v>0</v>
      </c>
      <c r="JK8" s="70">
        <f t="shared" si="33"/>
        <v>0</v>
      </c>
      <c r="JL8" s="70">
        <f t="shared" si="34"/>
        <v>18172789</v>
      </c>
      <c r="JM8" s="70">
        <f t="shared" si="35"/>
        <v>0</v>
      </c>
      <c r="JN8" s="70">
        <f t="shared" si="36"/>
        <v>0</v>
      </c>
      <c r="JO8" s="70">
        <f t="shared" si="37"/>
        <v>0</v>
      </c>
      <c r="JP8" s="70">
        <f t="shared" si="38"/>
        <v>0</v>
      </c>
      <c r="JQ8" s="70">
        <f t="shared" si="39"/>
        <v>0</v>
      </c>
      <c r="JR8" s="70">
        <f t="shared" si="40"/>
        <v>1528948</v>
      </c>
      <c r="JS8" s="70">
        <f t="shared" si="41"/>
        <v>0</v>
      </c>
      <c r="JT8" s="70">
        <f t="shared" si="42"/>
        <v>64180</v>
      </c>
      <c r="JU8" s="70">
        <f t="shared" si="43"/>
        <v>0</v>
      </c>
      <c r="JV8" s="70">
        <f t="shared" si="44"/>
        <v>10213199</v>
      </c>
      <c r="JW8" s="70">
        <f t="shared" si="45"/>
        <v>0</v>
      </c>
      <c r="JX8" s="70">
        <f t="shared" si="46"/>
        <v>94640408</v>
      </c>
      <c r="JY8" s="70">
        <f t="shared" si="47"/>
        <v>0</v>
      </c>
      <c r="JZ8" s="70">
        <f t="shared" si="48"/>
        <v>105015</v>
      </c>
      <c r="KA8" s="70">
        <f t="shared" si="49"/>
        <v>0</v>
      </c>
      <c r="KB8" s="70">
        <f t="shared" si="50"/>
        <v>94745423</v>
      </c>
      <c r="KC8" s="70">
        <f t="shared" si="51"/>
        <v>0</v>
      </c>
      <c r="KE8" s="70" t="e">
        <f t="shared" si="52"/>
        <v>#REF!</v>
      </c>
      <c r="KG8" s="68" t="e">
        <f t="shared" si="53"/>
        <v>#REF!</v>
      </c>
    </row>
    <row r="9" spans="1:293">
      <c r="A9" s="181" t="s">
        <v>231</v>
      </c>
      <c r="B9" s="76" t="s">
        <v>359</v>
      </c>
      <c r="C9" s="90">
        <v>106458</v>
      </c>
      <c r="D9" s="90">
        <v>2014</v>
      </c>
      <c r="E9" s="90">
        <v>1</v>
      </c>
      <c r="F9" s="91">
        <v>11</v>
      </c>
      <c r="G9" s="92">
        <v>3252</v>
      </c>
      <c r="H9" s="92">
        <v>4305</v>
      </c>
      <c r="I9" s="93">
        <v>195652950</v>
      </c>
      <c r="J9" s="93"/>
      <c r="K9" s="93">
        <v>0</v>
      </c>
      <c r="L9" s="93"/>
      <c r="M9" s="93">
        <v>11710281</v>
      </c>
      <c r="N9" s="93"/>
      <c r="O9" s="93">
        <v>0</v>
      </c>
      <c r="P9" s="93"/>
      <c r="Q9" s="93">
        <v>158584939</v>
      </c>
      <c r="R9" s="93"/>
      <c r="S9" s="93">
        <v>140868407</v>
      </c>
      <c r="T9" s="93"/>
      <c r="U9" s="93">
        <v>16585</v>
      </c>
      <c r="V9" s="93"/>
      <c r="W9" s="93">
        <v>22525</v>
      </c>
      <c r="X9" s="93"/>
      <c r="Y9" s="93">
        <v>20014</v>
      </c>
      <c r="Z9" s="93"/>
      <c r="AA9" s="93">
        <v>25654</v>
      </c>
      <c r="AB9" s="93"/>
      <c r="AC9" s="114">
        <v>7</v>
      </c>
      <c r="AD9" s="114">
        <v>8</v>
      </c>
      <c r="AE9" s="114">
        <v>0</v>
      </c>
      <c r="AF9" s="115">
        <v>3009596</v>
      </c>
      <c r="AG9" s="115">
        <v>2064311</v>
      </c>
      <c r="AH9" s="115">
        <v>293373</v>
      </c>
      <c r="AI9" s="115">
        <v>134309</v>
      </c>
      <c r="AJ9" s="115">
        <v>127818</v>
      </c>
      <c r="AK9" s="116">
        <v>4.5</v>
      </c>
      <c r="AL9" s="115">
        <v>115036</v>
      </c>
      <c r="AM9" s="116">
        <v>5</v>
      </c>
      <c r="AN9" s="115">
        <v>69448</v>
      </c>
      <c r="AO9" s="116">
        <v>6.5</v>
      </c>
      <c r="AP9" s="115">
        <v>64488</v>
      </c>
      <c r="AQ9" s="116">
        <v>7</v>
      </c>
      <c r="AR9" s="115">
        <v>85722</v>
      </c>
      <c r="AS9" s="116">
        <v>15.5</v>
      </c>
      <c r="AT9" s="115">
        <v>78158</v>
      </c>
      <c r="AU9" s="116">
        <v>17</v>
      </c>
      <c r="AV9" s="115">
        <v>48120</v>
      </c>
      <c r="AW9" s="116">
        <v>6.5</v>
      </c>
      <c r="AX9" s="115">
        <v>39097</v>
      </c>
      <c r="AY9" s="116">
        <v>8</v>
      </c>
      <c r="AZ9" s="139">
        <v>1084748</v>
      </c>
      <c r="BA9" s="139">
        <v>1700000</v>
      </c>
      <c r="BB9" s="139">
        <v>1560468</v>
      </c>
      <c r="BC9" s="139">
        <v>265803</v>
      </c>
      <c r="BD9" s="139">
        <v>0</v>
      </c>
      <c r="BE9" s="139">
        <v>0</v>
      </c>
      <c r="BF9" s="139">
        <v>0</v>
      </c>
      <c r="BG9" s="139">
        <v>0</v>
      </c>
      <c r="BH9" s="139">
        <v>0</v>
      </c>
      <c r="BI9" s="139">
        <v>0</v>
      </c>
      <c r="BJ9" s="139">
        <v>0</v>
      </c>
      <c r="BK9" s="139">
        <v>0</v>
      </c>
      <c r="BL9" s="139">
        <v>0</v>
      </c>
      <c r="BM9" s="139">
        <v>0</v>
      </c>
      <c r="BN9" s="139">
        <v>0</v>
      </c>
      <c r="BO9" s="139">
        <v>191572</v>
      </c>
      <c r="BP9" s="139">
        <v>191572</v>
      </c>
      <c r="BQ9" s="139">
        <v>178116</v>
      </c>
      <c r="BR9" s="139">
        <v>32027</v>
      </c>
      <c r="BS9" s="139">
        <v>31627</v>
      </c>
      <c r="BT9" s="139">
        <v>2800</v>
      </c>
      <c r="BU9" s="139">
        <v>210651</v>
      </c>
      <c r="BV9" s="139">
        <v>455221</v>
      </c>
      <c r="BW9" s="139">
        <v>5450565</v>
      </c>
      <c r="BX9" s="139">
        <v>1302602</v>
      </c>
      <c r="BY9" s="139">
        <v>749519</v>
      </c>
      <c r="BZ9" s="139">
        <v>2754903</v>
      </c>
      <c r="CA9" s="139">
        <v>9894204</v>
      </c>
      <c r="CB9" s="139">
        <v>20151793</v>
      </c>
      <c r="CC9" s="139">
        <v>1973627</v>
      </c>
      <c r="CD9" s="139">
        <v>312466</v>
      </c>
      <c r="CE9" s="139">
        <v>356948</v>
      </c>
      <c r="CF9" s="139">
        <v>2430866</v>
      </c>
      <c r="CG9" s="139">
        <v>310139</v>
      </c>
      <c r="CH9" s="139">
        <v>5384046</v>
      </c>
      <c r="CI9" s="139">
        <v>550000</v>
      </c>
      <c r="CJ9" s="139">
        <v>20000</v>
      </c>
      <c r="CK9" s="139">
        <v>4500</v>
      </c>
      <c r="CL9" s="139">
        <v>14382</v>
      </c>
      <c r="CM9" s="139">
        <v>0</v>
      </c>
      <c r="CN9" s="139">
        <v>588882</v>
      </c>
      <c r="CO9" s="139">
        <v>1151429</v>
      </c>
      <c r="CP9" s="139">
        <v>424384</v>
      </c>
      <c r="CQ9" s="139">
        <v>290201</v>
      </c>
      <c r="CR9" s="139">
        <v>802045</v>
      </c>
      <c r="CS9" s="139">
        <v>0</v>
      </c>
      <c r="CT9" s="139">
        <v>2668059</v>
      </c>
      <c r="CU9" s="139">
        <v>685033</v>
      </c>
      <c r="CV9" s="139">
        <v>298148</v>
      </c>
      <c r="CW9" s="139">
        <v>26300</v>
      </c>
      <c r="CX9" s="139">
        <v>85037</v>
      </c>
      <c r="CY9" s="139">
        <v>0</v>
      </c>
      <c r="CZ9" s="139">
        <v>1094518</v>
      </c>
      <c r="DA9" s="139">
        <v>420971</v>
      </c>
      <c r="DB9" s="139">
        <v>65533</v>
      </c>
      <c r="DC9" s="139">
        <v>41298</v>
      </c>
      <c r="DD9" s="139">
        <v>34767</v>
      </c>
      <c r="DE9" s="139">
        <v>1884328</v>
      </c>
      <c r="DF9" s="139">
        <v>2446897</v>
      </c>
      <c r="DG9" s="139">
        <v>11017</v>
      </c>
      <c r="DH9" s="139">
        <v>0</v>
      </c>
      <c r="DI9" s="139">
        <v>0</v>
      </c>
      <c r="DJ9" s="139">
        <v>0</v>
      </c>
      <c r="DK9" s="139">
        <v>80569</v>
      </c>
      <c r="DL9" s="139">
        <v>91586</v>
      </c>
      <c r="DM9" s="139">
        <v>0</v>
      </c>
      <c r="DN9" s="139">
        <v>0</v>
      </c>
      <c r="DO9" s="139">
        <v>0</v>
      </c>
      <c r="DP9" s="139">
        <v>0</v>
      </c>
      <c r="DQ9" s="139">
        <v>0</v>
      </c>
      <c r="DR9" s="139">
        <v>0</v>
      </c>
      <c r="DS9" s="139">
        <v>205077</v>
      </c>
      <c r="DT9" s="139">
        <v>48950</v>
      </c>
      <c r="DU9" s="139">
        <v>59845</v>
      </c>
      <c r="DV9" s="139">
        <v>113810</v>
      </c>
      <c r="DW9" s="139">
        <v>4386</v>
      </c>
      <c r="DX9" s="139">
        <v>432068</v>
      </c>
      <c r="DY9" s="139">
        <v>1006715</v>
      </c>
      <c r="DZ9" s="139">
        <v>298612</v>
      </c>
      <c r="EA9" s="139">
        <v>223458</v>
      </c>
      <c r="EB9" s="139">
        <v>703389</v>
      </c>
      <c r="EC9" s="139">
        <v>26671</v>
      </c>
      <c r="ED9" s="139">
        <v>2258845</v>
      </c>
      <c r="EE9" s="139">
        <v>804116</v>
      </c>
      <c r="EF9" s="139">
        <v>81513</v>
      </c>
      <c r="EG9" s="139">
        <v>59028</v>
      </c>
      <c r="EH9" s="139">
        <v>384464</v>
      </c>
      <c r="EI9" s="139">
        <v>285670</v>
      </c>
      <c r="EJ9" s="139">
        <v>1614791</v>
      </c>
      <c r="EK9" s="139">
        <v>161698</v>
      </c>
      <c r="EL9" s="139">
        <v>124981</v>
      </c>
      <c r="EM9" s="139">
        <v>71660</v>
      </c>
      <c r="EN9" s="139">
        <v>75233</v>
      </c>
      <c r="EO9" s="139">
        <v>50819</v>
      </c>
      <c r="EP9" s="139">
        <v>484391</v>
      </c>
      <c r="EQ9" s="139">
        <v>191420</v>
      </c>
      <c r="ER9" s="139">
        <v>31723</v>
      </c>
      <c r="ES9" s="139">
        <v>29338</v>
      </c>
      <c r="ET9" s="139">
        <v>1742</v>
      </c>
      <c r="EU9" s="139">
        <v>125467</v>
      </c>
      <c r="EV9" s="139">
        <v>379690</v>
      </c>
      <c r="EW9" s="139">
        <v>0</v>
      </c>
      <c r="EX9" s="139">
        <v>0</v>
      </c>
      <c r="EY9" s="139">
        <v>0</v>
      </c>
      <c r="EZ9" s="139">
        <v>0</v>
      </c>
      <c r="FA9" s="139">
        <v>0</v>
      </c>
      <c r="FB9" s="139">
        <v>0</v>
      </c>
      <c r="FC9" s="139">
        <v>5356</v>
      </c>
      <c r="FD9" s="139">
        <v>0</v>
      </c>
      <c r="FE9" s="139">
        <v>13</v>
      </c>
      <c r="FF9" s="139">
        <v>1568</v>
      </c>
      <c r="FG9" s="139">
        <v>355788</v>
      </c>
      <c r="FH9" s="139">
        <v>362725</v>
      </c>
      <c r="FI9" s="139">
        <v>169684</v>
      </c>
      <c r="FJ9" s="139">
        <v>31110</v>
      </c>
      <c r="FK9" s="139">
        <v>31109</v>
      </c>
      <c r="FL9" s="139">
        <v>0</v>
      </c>
      <c r="FM9" s="139">
        <v>0</v>
      </c>
      <c r="FN9" s="139">
        <v>231903</v>
      </c>
      <c r="FO9" s="139">
        <v>0</v>
      </c>
      <c r="FP9" s="139">
        <v>0</v>
      </c>
      <c r="FQ9" s="139">
        <v>0</v>
      </c>
      <c r="FR9" s="139">
        <v>0</v>
      </c>
      <c r="FS9" s="139">
        <v>0</v>
      </c>
      <c r="FT9" s="139">
        <v>0</v>
      </c>
      <c r="FU9" s="139">
        <v>7150</v>
      </c>
      <c r="FV9" s="139">
        <v>0</v>
      </c>
      <c r="FW9" s="139">
        <v>0</v>
      </c>
      <c r="FX9" s="139">
        <f>7525+375-FU9-FV9-FW9</f>
        <v>750</v>
      </c>
      <c r="FY9" s="139">
        <v>162397</v>
      </c>
      <c r="FZ9" s="139">
        <v>170297</v>
      </c>
      <c r="GA9" s="139">
        <v>1710</v>
      </c>
      <c r="GB9" s="139">
        <v>2055</v>
      </c>
      <c r="GC9" s="139">
        <v>450</v>
      </c>
      <c r="GD9" s="139">
        <f>4635+4969-GA9-GB9-GC9</f>
        <v>5389</v>
      </c>
      <c r="GE9" s="139">
        <v>123985</v>
      </c>
      <c r="GF9" s="139">
        <v>133589</v>
      </c>
      <c r="GG9" s="139">
        <v>244996</v>
      </c>
      <c r="GH9" s="139">
        <v>54857</v>
      </c>
      <c r="GI9" s="139">
        <v>40001</v>
      </c>
      <c r="GJ9" s="139">
        <f>328760+75090-GG9-GH9-GI9</f>
        <v>63996</v>
      </c>
      <c r="GK9" s="139">
        <v>1405656</v>
      </c>
      <c r="GL9" s="139">
        <v>1809506</v>
      </c>
      <c r="GM9" s="139">
        <v>7589999</v>
      </c>
      <c r="GN9" s="139">
        <v>1794332</v>
      </c>
      <c r="GO9" s="139">
        <v>1234149</v>
      </c>
      <c r="GP9" s="139">
        <f>11115897+4220021-GM9-GN9-GO9</f>
        <v>4717438</v>
      </c>
      <c r="GQ9" s="139">
        <v>4815875</v>
      </c>
      <c r="GR9" s="139">
        <v>20151793</v>
      </c>
      <c r="GS9" s="139">
        <v>0</v>
      </c>
      <c r="GT9" s="139">
        <v>0</v>
      </c>
      <c r="GU9" s="139">
        <v>0</v>
      </c>
      <c r="GV9" s="139">
        <v>0</v>
      </c>
      <c r="GW9" s="139">
        <v>0</v>
      </c>
      <c r="GX9" s="139">
        <v>0</v>
      </c>
      <c r="GY9" s="139">
        <v>7589999</v>
      </c>
      <c r="GZ9" s="139">
        <v>1794332</v>
      </c>
      <c r="HA9" s="139">
        <v>1234149</v>
      </c>
      <c r="HB9" s="139">
        <f>11115897+4220021-GY9-GZ9-HA9</f>
        <v>4717438</v>
      </c>
      <c r="HC9" s="139">
        <v>4815875</v>
      </c>
      <c r="HD9" s="139">
        <v>20151793</v>
      </c>
      <c r="HF9" s="70">
        <f>SUM(AZ9:AZ9)</f>
        <v>1084748</v>
      </c>
      <c r="HG9" s="70" t="e">
        <f>#REF!-HF9</f>
        <v>#REF!</v>
      </c>
      <c r="HH9" s="70" t="e">
        <f>SUM(#REF!)</f>
        <v>#REF!</v>
      </c>
      <c r="HI9" s="70" t="e">
        <f>#REF!-HH9</f>
        <v>#REF!</v>
      </c>
      <c r="HJ9" s="70">
        <f>SUM(BA9:BA9)</f>
        <v>1700000</v>
      </c>
      <c r="HK9" s="70" t="e">
        <f>#REF!-HJ9</f>
        <v>#REF!</v>
      </c>
      <c r="HL9" s="70" t="e">
        <f>SUM(#REF!)</f>
        <v>#REF!</v>
      </c>
      <c r="HM9" s="70" t="e">
        <f>BB9-HL9</f>
        <v>#REF!</v>
      </c>
      <c r="HN9" s="70" t="e">
        <f>SUM(#REF!)</f>
        <v>#REF!</v>
      </c>
      <c r="HO9" s="70" t="e">
        <f>#REF!-HN9</f>
        <v>#REF!</v>
      </c>
      <c r="HP9" s="70" t="e">
        <f>SUM(#REF!)</f>
        <v>#REF!</v>
      </c>
      <c r="HQ9" s="70" t="e">
        <f>#REF!-HP9</f>
        <v>#REF!</v>
      </c>
      <c r="HR9" s="70" t="e">
        <f>SUM(#REF!)</f>
        <v>#REF!</v>
      </c>
      <c r="HS9" s="70" t="e">
        <f>#REF!-HR9</f>
        <v>#REF!</v>
      </c>
      <c r="HT9" s="70" t="e">
        <f>SUM(#REF!)</f>
        <v>#REF!</v>
      </c>
      <c r="HU9" s="70" t="e">
        <f>#REF!-HT9</f>
        <v>#REF!</v>
      </c>
      <c r="HV9" s="70" t="e">
        <f>SUM(#REF!)</f>
        <v>#REF!</v>
      </c>
      <c r="HW9" s="70" t="e">
        <f>#REF!-HV9</f>
        <v>#REF!</v>
      </c>
      <c r="HX9" s="70" t="e">
        <f>SUM(#REF!)</f>
        <v>#REF!</v>
      </c>
      <c r="HY9" s="70" t="e">
        <f>#REF!-HX9</f>
        <v>#REF!</v>
      </c>
      <c r="HZ9" s="70">
        <f>SUM(BC9:BC9)</f>
        <v>265803</v>
      </c>
      <c r="IA9" s="70" t="e">
        <f>#REF!-HZ9</f>
        <v>#REF!</v>
      </c>
      <c r="IB9" s="70">
        <f>SUM(BD9:BD9)</f>
        <v>0</v>
      </c>
      <c r="IC9" s="70" t="e">
        <f>#REF!-IB9</f>
        <v>#REF!</v>
      </c>
      <c r="ID9" s="70">
        <f t="shared" si="0"/>
        <v>0</v>
      </c>
      <c r="IE9" s="70">
        <f t="shared" si="1"/>
        <v>0</v>
      </c>
      <c r="IF9" s="70">
        <f t="shared" si="2"/>
        <v>191572</v>
      </c>
      <c r="IG9" s="70">
        <f t="shared" si="3"/>
        <v>0</v>
      </c>
      <c r="IH9" s="70">
        <f t="shared" si="4"/>
        <v>455221</v>
      </c>
      <c r="II9" s="70">
        <f t="shared" si="5"/>
        <v>0</v>
      </c>
      <c r="IJ9" s="70">
        <f t="shared" si="6"/>
        <v>20151793</v>
      </c>
      <c r="IK9" s="70">
        <f t="shared" si="7"/>
        <v>0</v>
      </c>
      <c r="IL9" s="70">
        <f t="shared" si="8"/>
        <v>5384046</v>
      </c>
      <c r="IM9" s="70">
        <f t="shared" si="9"/>
        <v>0</v>
      </c>
      <c r="IN9" s="70">
        <f t="shared" si="10"/>
        <v>588882</v>
      </c>
      <c r="IO9" s="70">
        <f t="shared" si="11"/>
        <v>0</v>
      </c>
      <c r="IP9" s="70">
        <f t="shared" si="12"/>
        <v>2668059</v>
      </c>
      <c r="IQ9" s="70">
        <f t="shared" si="13"/>
        <v>0</v>
      </c>
      <c r="IR9" s="70">
        <f t="shared" si="14"/>
        <v>1094518</v>
      </c>
      <c r="IS9" s="70">
        <f t="shared" si="15"/>
        <v>0</v>
      </c>
      <c r="IT9" s="70">
        <f t="shared" si="16"/>
        <v>2446897</v>
      </c>
      <c r="IU9" s="70">
        <f t="shared" si="17"/>
        <v>0</v>
      </c>
      <c r="IV9" s="70">
        <f t="shared" si="18"/>
        <v>91586</v>
      </c>
      <c r="IW9" s="70">
        <f t="shared" si="19"/>
        <v>0</v>
      </c>
      <c r="IX9" s="70">
        <f t="shared" si="20"/>
        <v>0</v>
      </c>
      <c r="IY9" s="70">
        <f t="shared" si="21"/>
        <v>0</v>
      </c>
      <c r="IZ9" s="70">
        <f t="shared" si="22"/>
        <v>432068</v>
      </c>
      <c r="JA9" s="70">
        <f t="shared" si="23"/>
        <v>0</v>
      </c>
      <c r="JB9" s="70">
        <f t="shared" si="24"/>
        <v>2258845</v>
      </c>
      <c r="JC9" s="70">
        <f t="shared" si="25"/>
        <v>0</v>
      </c>
      <c r="JD9" s="70">
        <f t="shared" si="26"/>
        <v>1614791</v>
      </c>
      <c r="JE9" s="70">
        <f t="shared" si="27"/>
        <v>0</v>
      </c>
      <c r="JF9" s="70">
        <f t="shared" si="28"/>
        <v>484391</v>
      </c>
      <c r="JG9" s="70">
        <f t="shared" si="29"/>
        <v>0</v>
      </c>
      <c r="JH9" s="70">
        <f t="shared" si="30"/>
        <v>379690</v>
      </c>
      <c r="JI9" s="70">
        <f t="shared" si="31"/>
        <v>0</v>
      </c>
      <c r="JJ9" s="70">
        <f t="shared" si="32"/>
        <v>0</v>
      </c>
      <c r="JK9" s="70">
        <f t="shared" si="33"/>
        <v>0</v>
      </c>
      <c r="JL9" s="70">
        <f t="shared" si="34"/>
        <v>362725</v>
      </c>
      <c r="JM9" s="70">
        <f t="shared" si="35"/>
        <v>0</v>
      </c>
      <c r="JN9" s="70">
        <f t="shared" si="36"/>
        <v>231903</v>
      </c>
      <c r="JO9" s="70">
        <f t="shared" si="37"/>
        <v>0</v>
      </c>
      <c r="JP9" s="70">
        <f t="shared" si="38"/>
        <v>0</v>
      </c>
      <c r="JQ9" s="70">
        <f t="shared" si="39"/>
        <v>0</v>
      </c>
      <c r="JR9" s="70">
        <f t="shared" si="40"/>
        <v>170297</v>
      </c>
      <c r="JS9" s="70">
        <f t="shared" si="41"/>
        <v>0</v>
      </c>
      <c r="JT9" s="70">
        <f t="shared" si="42"/>
        <v>133589</v>
      </c>
      <c r="JU9" s="70">
        <f t="shared" si="43"/>
        <v>0</v>
      </c>
      <c r="JV9" s="70">
        <f t="shared" si="44"/>
        <v>1809506</v>
      </c>
      <c r="JW9" s="70">
        <f t="shared" si="45"/>
        <v>0</v>
      </c>
      <c r="JX9" s="70">
        <f t="shared" si="46"/>
        <v>20151793</v>
      </c>
      <c r="JY9" s="70">
        <f t="shared" si="47"/>
        <v>0</v>
      </c>
      <c r="JZ9" s="70">
        <f t="shared" si="48"/>
        <v>0</v>
      </c>
      <c r="KA9" s="70">
        <f t="shared" si="49"/>
        <v>0</v>
      </c>
      <c r="KB9" s="70">
        <f t="shared" si="50"/>
        <v>20151793</v>
      </c>
      <c r="KC9" s="70">
        <f t="shared" si="51"/>
        <v>0</v>
      </c>
      <c r="KE9" s="70" t="e">
        <f t="shared" si="52"/>
        <v>#REF!</v>
      </c>
      <c r="KG9" s="68" t="e">
        <f t="shared" si="53"/>
        <v>#REF!</v>
      </c>
    </row>
    <row r="10" spans="1:293">
      <c r="A10" s="180" t="s">
        <v>232</v>
      </c>
      <c r="B10" s="76" t="s">
        <v>359</v>
      </c>
      <c r="C10" s="90">
        <v>100858</v>
      </c>
      <c r="D10" s="90">
        <v>2014</v>
      </c>
      <c r="E10" s="90">
        <v>1</v>
      </c>
      <c r="F10" s="91">
        <v>5</v>
      </c>
      <c r="G10" s="92">
        <v>10108</v>
      </c>
      <c r="H10" s="92">
        <v>9691</v>
      </c>
      <c r="I10" s="93">
        <v>943732935</v>
      </c>
      <c r="J10" s="93">
        <v>899378944</v>
      </c>
      <c r="K10" s="93">
        <v>10880487</v>
      </c>
      <c r="L10" s="93">
        <v>9973080</v>
      </c>
      <c r="M10" s="93">
        <v>56078696</v>
      </c>
      <c r="N10" s="93">
        <v>55746898</v>
      </c>
      <c r="O10" s="93">
        <v>109408700</v>
      </c>
      <c r="P10" s="93">
        <v>108778201</v>
      </c>
      <c r="Q10" s="93">
        <v>715231442</v>
      </c>
      <c r="R10" s="93">
        <v>735818791</v>
      </c>
      <c r="S10" s="93">
        <v>805178034</v>
      </c>
      <c r="T10" s="93">
        <v>777233141</v>
      </c>
      <c r="U10" s="93">
        <v>22204</v>
      </c>
      <c r="V10" s="93">
        <v>20852</v>
      </c>
      <c r="W10" s="93">
        <v>38716</v>
      </c>
      <c r="X10" s="93">
        <v>39596</v>
      </c>
      <c r="Y10" s="93">
        <v>28098</v>
      </c>
      <c r="Z10" s="93">
        <v>26548</v>
      </c>
      <c r="AA10" s="93">
        <v>44610</v>
      </c>
      <c r="AB10" s="93">
        <v>42292</v>
      </c>
      <c r="AC10" s="114">
        <v>9</v>
      </c>
      <c r="AD10" s="114">
        <v>12</v>
      </c>
      <c r="AE10" s="114">
        <v>0</v>
      </c>
      <c r="AF10" s="115">
        <v>6881490</v>
      </c>
      <c r="AG10" s="115">
        <v>4914289</v>
      </c>
      <c r="AH10" s="115">
        <v>2061288</v>
      </c>
      <c r="AI10" s="115">
        <v>645332</v>
      </c>
      <c r="AJ10" s="115">
        <v>1372335</v>
      </c>
      <c r="AK10" s="116">
        <v>5.96</v>
      </c>
      <c r="AL10" s="115">
        <v>1168445</v>
      </c>
      <c r="AM10" s="116">
        <v>7</v>
      </c>
      <c r="AN10" s="115">
        <v>246216</v>
      </c>
      <c r="AO10" s="116">
        <v>8.9499999999999993</v>
      </c>
      <c r="AP10" s="115">
        <v>220364</v>
      </c>
      <c r="AQ10" s="116">
        <v>10</v>
      </c>
      <c r="AR10" s="115">
        <v>379990</v>
      </c>
      <c r="AS10" s="116">
        <v>20.79</v>
      </c>
      <c r="AT10" s="115">
        <v>303846</v>
      </c>
      <c r="AU10" s="116">
        <v>26</v>
      </c>
      <c r="AV10" s="115">
        <v>103291</v>
      </c>
      <c r="AW10" s="116">
        <v>20.22</v>
      </c>
      <c r="AX10" s="115">
        <v>83541</v>
      </c>
      <c r="AY10" s="116">
        <v>25</v>
      </c>
      <c r="AZ10" s="139">
        <v>28233894</v>
      </c>
      <c r="BA10" s="139">
        <v>0</v>
      </c>
      <c r="BB10" s="139">
        <v>39409078</v>
      </c>
      <c r="BC10" s="139">
        <v>1619899</v>
      </c>
      <c r="BD10" s="139">
        <v>357</v>
      </c>
      <c r="BE10" s="139">
        <v>0</v>
      </c>
      <c r="BF10" s="139">
        <v>0</v>
      </c>
      <c r="BG10" s="139">
        <v>0</v>
      </c>
      <c r="BH10" s="139">
        <v>0</v>
      </c>
      <c r="BI10" s="139">
        <v>0</v>
      </c>
      <c r="BJ10" s="139">
        <v>0</v>
      </c>
      <c r="BK10" s="139">
        <v>17712</v>
      </c>
      <c r="BL10" s="139">
        <v>1501</v>
      </c>
      <c r="BM10" s="139">
        <v>946</v>
      </c>
      <c r="BN10" s="139">
        <v>88002</v>
      </c>
      <c r="BO10" s="139">
        <v>1100392</v>
      </c>
      <c r="BP10" s="139">
        <v>1208553</v>
      </c>
      <c r="BQ10" s="139">
        <v>778581</v>
      </c>
      <c r="BR10" s="139">
        <v>1449</v>
      </c>
      <c r="BS10" s="139">
        <v>3762</v>
      </c>
      <c r="BT10" s="139">
        <v>65823</v>
      </c>
      <c r="BU10" s="139">
        <v>776883</v>
      </c>
      <c r="BV10" s="139">
        <v>1626498</v>
      </c>
      <c r="BW10" s="139">
        <v>83326956</v>
      </c>
      <c r="BX10" s="139">
        <v>10125052</v>
      </c>
      <c r="BY10" s="139">
        <v>87749</v>
      </c>
      <c r="BZ10" s="139">
        <v>1186305</v>
      </c>
      <c r="CA10" s="139">
        <v>18989942</v>
      </c>
      <c r="CB10" s="139">
        <v>113716004</v>
      </c>
      <c r="CC10" s="139">
        <v>4413252</v>
      </c>
      <c r="CD10" s="139">
        <v>564411</v>
      </c>
      <c r="CE10" s="139">
        <v>553780</v>
      </c>
      <c r="CF10" s="139">
        <v>6264336</v>
      </c>
      <c r="CG10" s="139">
        <v>208824</v>
      </c>
      <c r="CH10" s="139">
        <v>12004603</v>
      </c>
      <c r="CI10" s="139">
        <v>4275000</v>
      </c>
      <c r="CJ10" s="139">
        <v>633330</v>
      </c>
      <c r="CK10" s="139">
        <v>68000</v>
      </c>
      <c r="CL10" s="139">
        <v>132869</v>
      </c>
      <c r="CM10" s="139">
        <v>0</v>
      </c>
      <c r="CN10" s="139">
        <v>5109199</v>
      </c>
      <c r="CO10" s="139">
        <v>10470552</v>
      </c>
      <c r="CP10" s="139">
        <v>3239705</v>
      </c>
      <c r="CQ10" s="139">
        <v>1290523</v>
      </c>
      <c r="CR10" s="139">
        <v>5370499</v>
      </c>
      <c r="CS10" s="139">
        <v>0</v>
      </c>
      <c r="CT10" s="139">
        <v>20371279</v>
      </c>
      <c r="CU10" s="139">
        <v>0</v>
      </c>
      <c r="CV10" s="139">
        <v>0</v>
      </c>
      <c r="CW10" s="139">
        <v>0</v>
      </c>
      <c r="CX10" s="139">
        <v>0</v>
      </c>
      <c r="CY10" s="139">
        <v>0</v>
      </c>
      <c r="CZ10" s="139">
        <v>0</v>
      </c>
      <c r="DA10" s="139">
        <v>3176950</v>
      </c>
      <c r="DB10" s="139">
        <v>410317</v>
      </c>
      <c r="DC10" s="139">
        <v>315156</v>
      </c>
      <c r="DD10" s="139">
        <v>594244</v>
      </c>
      <c r="DE10" s="139">
        <v>15415035</v>
      </c>
      <c r="DF10" s="139">
        <v>19911702</v>
      </c>
      <c r="DG10" s="139">
        <v>0</v>
      </c>
      <c r="DH10" s="139">
        <v>0</v>
      </c>
      <c r="DI10" s="139">
        <v>0</v>
      </c>
      <c r="DJ10" s="139">
        <v>0</v>
      </c>
      <c r="DK10" s="139">
        <v>0</v>
      </c>
      <c r="DL10" s="139">
        <v>0</v>
      </c>
      <c r="DM10" s="139">
        <v>4055763</v>
      </c>
      <c r="DN10" s="139">
        <v>390899</v>
      </c>
      <c r="DO10" s="139">
        <v>0</v>
      </c>
      <c r="DP10" s="139">
        <v>400000</v>
      </c>
      <c r="DQ10" s="139">
        <v>0</v>
      </c>
      <c r="DR10" s="139">
        <v>4846662</v>
      </c>
      <c r="DS10" s="139">
        <v>1280265</v>
      </c>
      <c r="DT10" s="139">
        <v>494358</v>
      </c>
      <c r="DU10" s="139">
        <v>185339</v>
      </c>
      <c r="DV10" s="139">
        <v>746658</v>
      </c>
      <c r="DW10" s="139">
        <v>2908</v>
      </c>
      <c r="DX10" s="139">
        <v>2709528</v>
      </c>
      <c r="DY10" s="139">
        <v>3233548</v>
      </c>
      <c r="DZ10" s="139">
        <v>553502</v>
      </c>
      <c r="EA10" s="139">
        <v>582633</v>
      </c>
      <c r="EB10" s="139">
        <v>2451947</v>
      </c>
      <c r="EC10" s="139">
        <v>109467</v>
      </c>
      <c r="ED10" s="139">
        <v>6931097</v>
      </c>
      <c r="EE10" s="139">
        <v>1285771</v>
      </c>
      <c r="EF10" s="139">
        <v>208701</v>
      </c>
      <c r="EG10" s="139">
        <v>71542</v>
      </c>
      <c r="EH10" s="139">
        <v>1177733</v>
      </c>
      <c r="EI10" s="139">
        <v>341923</v>
      </c>
      <c r="EJ10" s="139">
        <v>3085670</v>
      </c>
      <c r="EK10" s="139">
        <v>2909496</v>
      </c>
      <c r="EL10" s="139">
        <v>420135</v>
      </c>
      <c r="EM10" s="139">
        <v>202476</v>
      </c>
      <c r="EN10" s="139">
        <v>583887</v>
      </c>
      <c r="EO10" s="139">
        <v>156363</v>
      </c>
      <c r="EP10" s="139">
        <v>4272357</v>
      </c>
      <c r="EQ10" s="139">
        <v>4784817</v>
      </c>
      <c r="ER10" s="139">
        <v>1097513</v>
      </c>
      <c r="ES10" s="139">
        <v>57693</v>
      </c>
      <c r="ET10" s="139">
        <v>92002</v>
      </c>
      <c r="EU10" s="139">
        <v>1136034</v>
      </c>
      <c r="EV10" s="139">
        <v>7168059</v>
      </c>
      <c r="EW10" s="139">
        <v>0</v>
      </c>
      <c r="EX10" s="139">
        <v>0</v>
      </c>
      <c r="EY10" s="139">
        <v>0</v>
      </c>
      <c r="EZ10" s="139">
        <v>0</v>
      </c>
      <c r="FA10" s="139">
        <v>0</v>
      </c>
      <c r="FB10" s="139">
        <v>0</v>
      </c>
      <c r="FC10" s="139">
        <v>4549547</v>
      </c>
      <c r="FD10" s="139">
        <v>1652096</v>
      </c>
      <c r="FE10" s="139">
        <v>1221517</v>
      </c>
      <c r="FF10" s="139">
        <v>5839392</v>
      </c>
      <c r="FG10" s="139">
        <v>14514918</v>
      </c>
      <c r="FH10" s="139">
        <v>27777470</v>
      </c>
      <c r="FI10" s="139">
        <v>588226</v>
      </c>
      <c r="FJ10" s="139">
        <v>88013</v>
      </c>
      <c r="FK10" s="139">
        <v>87195</v>
      </c>
      <c r="FL10" s="139">
        <v>0</v>
      </c>
      <c r="FM10" s="139">
        <v>0</v>
      </c>
      <c r="FN10" s="139">
        <v>763434</v>
      </c>
      <c r="FO10" s="139">
        <v>0</v>
      </c>
      <c r="FP10" s="139">
        <v>0</v>
      </c>
      <c r="FQ10" s="139">
        <v>0</v>
      </c>
      <c r="FR10" s="139">
        <v>0</v>
      </c>
      <c r="FS10" s="139">
        <v>0</v>
      </c>
      <c r="FT10" s="139">
        <v>0</v>
      </c>
      <c r="FU10" s="139">
        <v>261608</v>
      </c>
      <c r="FV10" s="139">
        <v>45702</v>
      </c>
      <c r="FW10" s="139">
        <v>31205</v>
      </c>
      <c r="FX10" s="139">
        <v>202270</v>
      </c>
      <c r="FY10" s="139">
        <v>493726</v>
      </c>
      <c r="FZ10" s="139">
        <v>1034511</v>
      </c>
      <c r="GA10" s="139">
        <v>85420</v>
      </c>
      <c r="GB10" s="139">
        <v>20912</v>
      </c>
      <c r="GC10" s="139">
        <v>16615</v>
      </c>
      <c r="GD10" s="139">
        <v>40731</v>
      </c>
      <c r="GE10" s="139">
        <v>40963</v>
      </c>
      <c r="GF10" s="139">
        <v>204641</v>
      </c>
      <c r="GG10" s="139">
        <v>4269043</v>
      </c>
      <c r="GH10" s="139">
        <v>425931</v>
      </c>
      <c r="GI10" s="139">
        <v>108271</v>
      </c>
      <c r="GJ10" s="139">
        <v>691984</v>
      </c>
      <c r="GK10" s="139">
        <v>4785161</v>
      </c>
      <c r="GL10" s="139">
        <v>10280390</v>
      </c>
      <c r="GM10" s="139">
        <v>49639258</v>
      </c>
      <c r="GN10" s="139">
        <v>10245525</v>
      </c>
      <c r="GO10" s="139">
        <v>4791945</v>
      </c>
      <c r="GP10" s="139">
        <v>24588552</v>
      </c>
      <c r="GQ10" s="139">
        <v>37205322</v>
      </c>
      <c r="GR10" s="139">
        <v>126470602</v>
      </c>
      <c r="GS10" s="139">
        <v>507056</v>
      </c>
      <c r="GT10" s="139">
        <v>15981</v>
      </c>
      <c r="GU10" s="139">
        <v>45991</v>
      </c>
      <c r="GV10" s="139">
        <v>0</v>
      </c>
      <c r="GW10" s="139">
        <v>300750</v>
      </c>
      <c r="GX10" s="139">
        <v>869778</v>
      </c>
      <c r="GY10" s="139">
        <v>50146314</v>
      </c>
      <c r="GZ10" s="139">
        <v>10261506</v>
      </c>
      <c r="HA10" s="139">
        <v>4837936</v>
      </c>
      <c r="HB10" s="139">
        <v>24588552</v>
      </c>
      <c r="HC10" s="139">
        <v>37506072</v>
      </c>
      <c r="HD10" s="139">
        <v>127340380</v>
      </c>
      <c r="HF10" s="70">
        <f>SUM(AZ10:AZ10)</f>
        <v>28233894</v>
      </c>
      <c r="HG10" s="70" t="e">
        <f>#REF!-HF10</f>
        <v>#REF!</v>
      </c>
      <c r="HH10" s="70" t="e">
        <f>SUM(#REF!)</f>
        <v>#REF!</v>
      </c>
      <c r="HI10" s="70" t="e">
        <f>#REF!-HH10</f>
        <v>#REF!</v>
      </c>
      <c r="HJ10" s="70">
        <f>SUM(BA10:BA10)</f>
        <v>0</v>
      </c>
      <c r="HK10" s="70" t="e">
        <f>#REF!-HJ10</f>
        <v>#REF!</v>
      </c>
      <c r="HL10" s="70" t="e">
        <f>SUM(#REF!)</f>
        <v>#REF!</v>
      </c>
      <c r="HM10" s="70" t="e">
        <f>BB10-HL10</f>
        <v>#REF!</v>
      </c>
      <c r="HN10" s="70" t="e">
        <f>SUM(#REF!)</f>
        <v>#REF!</v>
      </c>
      <c r="HO10" s="70" t="e">
        <f>#REF!-HN10</f>
        <v>#REF!</v>
      </c>
      <c r="HP10" s="70" t="e">
        <f>SUM(#REF!)</f>
        <v>#REF!</v>
      </c>
      <c r="HQ10" s="70" t="e">
        <f>#REF!-HP10</f>
        <v>#REF!</v>
      </c>
      <c r="HR10" s="70" t="e">
        <f>SUM(#REF!)</f>
        <v>#REF!</v>
      </c>
      <c r="HS10" s="70" t="e">
        <f>#REF!-HR10</f>
        <v>#REF!</v>
      </c>
      <c r="HT10" s="70" t="e">
        <f>SUM(#REF!)</f>
        <v>#REF!</v>
      </c>
      <c r="HU10" s="70" t="e">
        <f>#REF!-HT10</f>
        <v>#REF!</v>
      </c>
      <c r="HV10" s="70" t="e">
        <f>SUM(#REF!)</f>
        <v>#REF!</v>
      </c>
      <c r="HW10" s="70" t="e">
        <f>#REF!-HV10</f>
        <v>#REF!</v>
      </c>
      <c r="HX10" s="70" t="e">
        <f>SUM(#REF!)</f>
        <v>#REF!</v>
      </c>
      <c r="HY10" s="70" t="e">
        <f>#REF!-HX10</f>
        <v>#REF!</v>
      </c>
      <c r="HZ10" s="70">
        <f>SUM(BC10:BC10)</f>
        <v>1619899</v>
      </c>
      <c r="IA10" s="70" t="e">
        <f>#REF!-HZ10</f>
        <v>#REF!</v>
      </c>
      <c r="IB10" s="70">
        <f>SUM(BD10:BD10)</f>
        <v>357</v>
      </c>
      <c r="IC10" s="70" t="e">
        <f>#REF!-IB10</f>
        <v>#REF!</v>
      </c>
      <c r="ID10" s="70">
        <f t="shared" si="0"/>
        <v>0</v>
      </c>
      <c r="IE10" s="70">
        <f t="shared" si="1"/>
        <v>0</v>
      </c>
      <c r="IF10" s="70">
        <f t="shared" si="2"/>
        <v>1208553</v>
      </c>
      <c r="IG10" s="70">
        <f t="shared" si="3"/>
        <v>0</v>
      </c>
      <c r="IH10" s="70">
        <f t="shared" si="4"/>
        <v>1626498</v>
      </c>
      <c r="II10" s="70">
        <f t="shared" si="5"/>
        <v>0</v>
      </c>
      <c r="IJ10" s="70">
        <f t="shared" si="6"/>
        <v>113716004</v>
      </c>
      <c r="IK10" s="70">
        <f t="shared" si="7"/>
        <v>0</v>
      </c>
      <c r="IL10" s="70">
        <f t="shared" si="8"/>
        <v>12004603</v>
      </c>
      <c r="IM10" s="70">
        <f t="shared" si="9"/>
        <v>0</v>
      </c>
      <c r="IN10" s="70">
        <f t="shared" si="10"/>
        <v>5109199</v>
      </c>
      <c r="IO10" s="70">
        <f t="shared" si="11"/>
        <v>0</v>
      </c>
      <c r="IP10" s="70">
        <f t="shared" si="12"/>
        <v>20371279</v>
      </c>
      <c r="IQ10" s="70">
        <f t="shared" si="13"/>
        <v>0</v>
      </c>
      <c r="IR10" s="70">
        <f t="shared" si="14"/>
        <v>0</v>
      </c>
      <c r="IS10" s="70">
        <f t="shared" si="15"/>
        <v>0</v>
      </c>
      <c r="IT10" s="70">
        <f t="shared" si="16"/>
        <v>19911702</v>
      </c>
      <c r="IU10" s="70">
        <f t="shared" si="17"/>
        <v>0</v>
      </c>
      <c r="IV10" s="70">
        <f t="shared" si="18"/>
        <v>0</v>
      </c>
      <c r="IW10" s="70">
        <f t="shared" si="19"/>
        <v>0</v>
      </c>
      <c r="IX10" s="70">
        <f t="shared" si="20"/>
        <v>4846662</v>
      </c>
      <c r="IY10" s="70">
        <f t="shared" si="21"/>
        <v>0</v>
      </c>
      <c r="IZ10" s="70">
        <f t="shared" si="22"/>
        <v>2709528</v>
      </c>
      <c r="JA10" s="70">
        <f t="shared" si="23"/>
        <v>0</v>
      </c>
      <c r="JB10" s="70">
        <f t="shared" si="24"/>
        <v>6931097</v>
      </c>
      <c r="JC10" s="70">
        <f t="shared" si="25"/>
        <v>0</v>
      </c>
      <c r="JD10" s="70">
        <f t="shared" si="26"/>
        <v>3085670</v>
      </c>
      <c r="JE10" s="70">
        <f t="shared" si="27"/>
        <v>0</v>
      </c>
      <c r="JF10" s="70">
        <f t="shared" si="28"/>
        <v>4272357</v>
      </c>
      <c r="JG10" s="70">
        <f t="shared" si="29"/>
        <v>0</v>
      </c>
      <c r="JH10" s="70">
        <f t="shared" si="30"/>
        <v>7168059</v>
      </c>
      <c r="JI10" s="70">
        <f t="shared" si="31"/>
        <v>0</v>
      </c>
      <c r="JJ10" s="70">
        <f t="shared" si="32"/>
        <v>0</v>
      </c>
      <c r="JK10" s="70">
        <f t="shared" si="33"/>
        <v>0</v>
      </c>
      <c r="JL10" s="70">
        <f t="shared" si="34"/>
        <v>27777470</v>
      </c>
      <c r="JM10" s="70">
        <f t="shared" si="35"/>
        <v>0</v>
      </c>
      <c r="JN10" s="70">
        <f t="shared" si="36"/>
        <v>763434</v>
      </c>
      <c r="JO10" s="70">
        <f t="shared" si="37"/>
        <v>0</v>
      </c>
      <c r="JP10" s="70">
        <f t="shared" si="38"/>
        <v>0</v>
      </c>
      <c r="JQ10" s="70">
        <f t="shared" si="39"/>
        <v>0</v>
      </c>
      <c r="JR10" s="70">
        <f t="shared" si="40"/>
        <v>1034511</v>
      </c>
      <c r="JS10" s="70">
        <f t="shared" si="41"/>
        <v>0</v>
      </c>
      <c r="JT10" s="70">
        <f t="shared" si="42"/>
        <v>204641</v>
      </c>
      <c r="JU10" s="70">
        <f t="shared" si="43"/>
        <v>0</v>
      </c>
      <c r="JV10" s="70">
        <f t="shared" si="44"/>
        <v>10280390</v>
      </c>
      <c r="JW10" s="70">
        <f t="shared" si="45"/>
        <v>0</v>
      </c>
      <c r="JX10" s="70">
        <f t="shared" si="46"/>
        <v>126470602</v>
      </c>
      <c r="JY10" s="70">
        <f t="shared" si="47"/>
        <v>0</v>
      </c>
      <c r="JZ10" s="70">
        <f t="shared" si="48"/>
        <v>869778</v>
      </c>
      <c r="KA10" s="70">
        <f t="shared" si="49"/>
        <v>0</v>
      </c>
      <c r="KB10" s="70">
        <f t="shared" si="50"/>
        <v>127340380</v>
      </c>
      <c r="KC10" s="70">
        <f t="shared" si="51"/>
        <v>0</v>
      </c>
      <c r="KE10" s="70" t="e">
        <f t="shared" si="52"/>
        <v>#REF!</v>
      </c>
      <c r="KG10" s="68" t="e">
        <f t="shared" si="53"/>
        <v>#REF!</v>
      </c>
    </row>
    <row r="11" spans="1:293">
      <c r="A11" s="180" t="s">
        <v>233</v>
      </c>
      <c r="B11" s="76" t="s">
        <v>359</v>
      </c>
      <c r="C11" s="90">
        <v>150136</v>
      </c>
      <c r="D11" s="90">
        <v>2014</v>
      </c>
      <c r="E11" s="90">
        <v>1</v>
      </c>
      <c r="F11" s="91">
        <v>9</v>
      </c>
      <c r="G11" s="92">
        <v>6877</v>
      </c>
      <c r="H11" s="92">
        <v>9423</v>
      </c>
      <c r="I11" s="93">
        <v>471361488</v>
      </c>
      <c r="J11" s="93">
        <v>449299380</v>
      </c>
      <c r="K11" s="93">
        <v>0</v>
      </c>
      <c r="L11" s="93">
        <v>0</v>
      </c>
      <c r="M11" s="93">
        <v>13350000</v>
      </c>
      <c r="N11" s="93">
        <v>11475000</v>
      </c>
      <c r="O11" s="93">
        <v>0</v>
      </c>
      <c r="P11" s="93">
        <v>0</v>
      </c>
      <c r="Q11" s="93">
        <v>196510000</v>
      </c>
      <c r="R11" s="93">
        <v>168775000</v>
      </c>
      <c r="S11" s="93">
        <v>430258102</v>
      </c>
      <c r="T11" s="93">
        <v>403151444</v>
      </c>
      <c r="U11" s="93">
        <v>19158</v>
      </c>
      <c r="V11" s="93">
        <v>18770</v>
      </c>
      <c r="W11" s="93">
        <v>34112</v>
      </c>
      <c r="X11" s="93">
        <v>33440</v>
      </c>
      <c r="Y11" s="93">
        <v>22528</v>
      </c>
      <c r="Z11" s="93">
        <v>21638</v>
      </c>
      <c r="AA11" s="93">
        <v>37992</v>
      </c>
      <c r="AB11" s="93">
        <v>36728</v>
      </c>
      <c r="AC11" s="114">
        <v>7</v>
      </c>
      <c r="AD11" s="114">
        <v>12</v>
      </c>
      <c r="AE11" s="114">
        <v>0</v>
      </c>
      <c r="AF11" s="115">
        <v>3681394</v>
      </c>
      <c r="AG11" s="115">
        <v>3316911</v>
      </c>
      <c r="AH11" s="115">
        <v>257743</v>
      </c>
      <c r="AI11" s="115">
        <v>133581</v>
      </c>
      <c r="AJ11" s="115">
        <v>211028</v>
      </c>
      <c r="AK11" s="116">
        <v>7</v>
      </c>
      <c r="AL11" s="115">
        <v>211028</v>
      </c>
      <c r="AM11" s="116">
        <v>7</v>
      </c>
      <c r="AN11" s="115">
        <v>98099</v>
      </c>
      <c r="AO11" s="116">
        <v>10</v>
      </c>
      <c r="AP11" s="115">
        <v>98099</v>
      </c>
      <c r="AQ11" s="116">
        <v>10</v>
      </c>
      <c r="AR11" s="115">
        <v>98689</v>
      </c>
      <c r="AS11" s="116">
        <v>17.25</v>
      </c>
      <c r="AT11" s="115">
        <v>94577</v>
      </c>
      <c r="AU11" s="116">
        <v>18</v>
      </c>
      <c r="AV11" s="115">
        <v>56898</v>
      </c>
      <c r="AW11" s="116">
        <v>11.5</v>
      </c>
      <c r="AX11" s="115">
        <v>50333</v>
      </c>
      <c r="AY11" s="116">
        <v>13</v>
      </c>
      <c r="AZ11" s="139">
        <v>775432</v>
      </c>
      <c r="BA11" s="139">
        <v>825620</v>
      </c>
      <c r="BB11" s="139">
        <v>697601</v>
      </c>
      <c r="BC11" s="139">
        <v>68748</v>
      </c>
      <c r="BD11" s="139">
        <v>0</v>
      </c>
      <c r="BE11" s="139">
        <v>40007</v>
      </c>
      <c r="BF11" s="139">
        <v>19645</v>
      </c>
      <c r="BG11" s="139">
        <v>78537</v>
      </c>
      <c r="BH11" s="139">
        <v>251507</v>
      </c>
      <c r="BI11" s="139">
        <v>-3737</v>
      </c>
      <c r="BJ11" s="139">
        <v>385959</v>
      </c>
      <c r="BK11" s="139">
        <v>0</v>
      </c>
      <c r="BL11" s="139">
        <v>0</v>
      </c>
      <c r="BM11" s="139">
        <v>0</v>
      </c>
      <c r="BN11" s="139">
        <v>0</v>
      </c>
      <c r="BO11" s="139">
        <v>0</v>
      </c>
      <c r="BP11" s="139">
        <v>0</v>
      </c>
      <c r="BQ11" s="139">
        <v>0</v>
      </c>
      <c r="BR11" s="139">
        <v>0</v>
      </c>
      <c r="BS11" s="139">
        <v>0</v>
      </c>
      <c r="BT11" s="139">
        <v>0</v>
      </c>
      <c r="BU11" s="139">
        <v>250271</v>
      </c>
      <c r="BV11" s="139">
        <v>250271</v>
      </c>
      <c r="BW11" s="139">
        <v>2304285</v>
      </c>
      <c r="BX11" s="139">
        <v>376833</v>
      </c>
      <c r="BY11" s="139">
        <v>103716</v>
      </c>
      <c r="BZ11" s="139">
        <v>499515</v>
      </c>
      <c r="CA11" s="139">
        <v>20140010</v>
      </c>
      <c r="CB11" s="139">
        <v>23424359</v>
      </c>
      <c r="CC11" s="139">
        <v>2693930</v>
      </c>
      <c r="CD11" s="139">
        <v>439969</v>
      </c>
      <c r="CE11" s="139">
        <v>468465</v>
      </c>
      <c r="CF11" s="139">
        <v>3395941</v>
      </c>
      <c r="CG11" s="139">
        <v>0</v>
      </c>
      <c r="CH11" s="139">
        <v>6998305</v>
      </c>
      <c r="CI11" s="139">
        <v>150000</v>
      </c>
      <c r="CJ11" s="139">
        <v>13000</v>
      </c>
      <c r="CK11" s="139">
        <v>1500</v>
      </c>
      <c r="CL11" s="139">
        <v>0</v>
      </c>
      <c r="CM11" s="139">
        <v>0</v>
      </c>
      <c r="CN11" s="139">
        <v>164500</v>
      </c>
      <c r="CO11" s="139">
        <v>1698141</v>
      </c>
      <c r="CP11" s="139">
        <v>667592</v>
      </c>
      <c r="CQ11" s="139">
        <v>491932</v>
      </c>
      <c r="CR11" s="139">
        <v>1957239</v>
      </c>
      <c r="CS11" s="139">
        <v>0</v>
      </c>
      <c r="CT11" s="139">
        <v>4814904</v>
      </c>
      <c r="CU11" s="139">
        <v>0</v>
      </c>
      <c r="CV11" s="139">
        <v>0</v>
      </c>
      <c r="CW11" s="139">
        <v>0</v>
      </c>
      <c r="CX11" s="139">
        <v>0</v>
      </c>
      <c r="CY11" s="139">
        <v>0</v>
      </c>
      <c r="CZ11" s="139">
        <v>0</v>
      </c>
      <c r="DA11" s="139">
        <v>500119</v>
      </c>
      <c r="DB11" s="139">
        <v>60040</v>
      </c>
      <c r="DC11" s="139">
        <v>90409</v>
      </c>
      <c r="DD11" s="139">
        <v>0</v>
      </c>
      <c r="DE11" s="139">
        <v>2995176</v>
      </c>
      <c r="DF11" s="139">
        <v>3645744</v>
      </c>
      <c r="DG11" s="139">
        <v>0</v>
      </c>
      <c r="DH11" s="139">
        <v>0</v>
      </c>
      <c r="DI11" s="139">
        <v>0</v>
      </c>
      <c r="DJ11" s="139">
        <v>0</v>
      </c>
      <c r="DK11" s="139">
        <v>0</v>
      </c>
      <c r="DL11" s="139">
        <v>0</v>
      </c>
      <c r="DM11" s="139">
        <v>0</v>
      </c>
      <c r="DN11" s="139">
        <v>131016</v>
      </c>
      <c r="DO11" s="139">
        <v>0</v>
      </c>
      <c r="DP11" s="139">
        <v>0</v>
      </c>
      <c r="DQ11" s="139">
        <v>0</v>
      </c>
      <c r="DR11" s="139">
        <v>131016</v>
      </c>
      <c r="DS11" s="139">
        <v>120394</v>
      </c>
      <c r="DT11" s="139">
        <v>82869</v>
      </c>
      <c r="DU11" s="139">
        <v>58892</v>
      </c>
      <c r="DV11" s="139">
        <v>129169</v>
      </c>
      <c r="DW11" s="139">
        <v>5152</v>
      </c>
      <c r="DX11" s="139">
        <v>396476</v>
      </c>
      <c r="DY11" s="139">
        <v>1033643</v>
      </c>
      <c r="DZ11" s="139">
        <v>193986</v>
      </c>
      <c r="EA11" s="139">
        <v>177934</v>
      </c>
      <c r="EB11" s="139">
        <v>1002693</v>
      </c>
      <c r="EC11" s="139">
        <v>24754</v>
      </c>
      <c r="ED11" s="139">
        <v>2433010</v>
      </c>
      <c r="EE11" s="139">
        <v>301287</v>
      </c>
      <c r="EF11" s="139">
        <v>31723</v>
      </c>
      <c r="EG11" s="139">
        <v>18623</v>
      </c>
      <c r="EH11" s="139">
        <v>271279</v>
      </c>
      <c r="EI11" s="139">
        <v>1535766</v>
      </c>
      <c r="EJ11" s="139">
        <v>2158678</v>
      </c>
      <c r="EK11" s="139">
        <v>65241</v>
      </c>
      <c r="EL11" s="139">
        <v>80805</v>
      </c>
      <c r="EM11" s="139">
        <v>54195</v>
      </c>
      <c r="EN11" s="139">
        <v>108010</v>
      </c>
      <c r="EO11" s="139">
        <v>286206</v>
      </c>
      <c r="EP11" s="139">
        <v>594457</v>
      </c>
      <c r="EQ11" s="139">
        <v>1750</v>
      </c>
      <c r="ER11" s="139">
        <v>0</v>
      </c>
      <c r="ES11" s="139">
        <v>495</v>
      </c>
      <c r="ET11" s="139">
        <v>2170</v>
      </c>
      <c r="EU11" s="139">
        <v>267205</v>
      </c>
      <c r="EV11" s="139">
        <v>271620</v>
      </c>
      <c r="EW11" s="139">
        <v>21165</v>
      </c>
      <c r="EX11" s="139">
        <v>10834</v>
      </c>
      <c r="EY11" s="139">
        <v>8809</v>
      </c>
      <c r="EZ11" s="139">
        <v>19365</v>
      </c>
      <c r="FA11" s="139">
        <v>85896</v>
      </c>
      <c r="FB11" s="139">
        <v>146069</v>
      </c>
      <c r="FC11" s="139">
        <v>15921</v>
      </c>
      <c r="FD11" s="139">
        <v>4478</v>
      </c>
      <c r="FE11" s="139">
        <v>202</v>
      </c>
      <c r="FF11" s="139">
        <v>6829</v>
      </c>
      <c r="FG11" s="139">
        <v>48587</v>
      </c>
      <c r="FH11" s="139">
        <v>76017</v>
      </c>
      <c r="FI11" s="139">
        <v>0</v>
      </c>
      <c r="FJ11" s="139">
        <v>0</v>
      </c>
      <c r="FK11" s="139">
        <v>0</v>
      </c>
      <c r="FL11" s="139">
        <v>0</v>
      </c>
      <c r="FM11" s="139">
        <v>25812</v>
      </c>
      <c r="FN11" s="139">
        <v>25812</v>
      </c>
      <c r="FO11" s="139">
        <v>0</v>
      </c>
      <c r="FP11" s="139">
        <v>0</v>
      </c>
      <c r="FQ11" s="139">
        <v>0</v>
      </c>
      <c r="FR11" s="139">
        <v>0</v>
      </c>
      <c r="FS11" s="139">
        <v>1399962</v>
      </c>
      <c r="FT11" s="139">
        <v>1399962</v>
      </c>
      <c r="FU11" s="139">
        <v>175902</v>
      </c>
      <c r="FV11" s="139">
        <v>19851</v>
      </c>
      <c r="FW11" s="139">
        <v>7948</v>
      </c>
      <c r="FX11" s="139">
        <v>102580</v>
      </c>
      <c r="FY11" s="139">
        <v>436764</v>
      </c>
      <c r="FZ11" s="139">
        <v>743045</v>
      </c>
      <c r="GA11" s="139">
        <v>3028</v>
      </c>
      <c r="GB11" s="139">
        <v>2665</v>
      </c>
      <c r="GC11" s="139">
        <v>800</v>
      </c>
      <c r="GD11" s="139">
        <v>7359</v>
      </c>
      <c r="GE11" s="139">
        <v>266414</v>
      </c>
      <c r="GF11" s="139">
        <v>280266</v>
      </c>
      <c r="GG11" s="139">
        <v>53091</v>
      </c>
      <c r="GH11" s="139">
        <v>102461</v>
      </c>
      <c r="GI11" s="139">
        <v>47762</v>
      </c>
      <c r="GJ11" s="139">
        <v>118602</v>
      </c>
      <c r="GK11" s="139">
        <v>643653</v>
      </c>
      <c r="GL11" s="139">
        <v>965569</v>
      </c>
      <c r="GM11" s="139">
        <v>6833612</v>
      </c>
      <c r="GN11" s="139">
        <v>1841289</v>
      </c>
      <c r="GO11" s="139">
        <v>1427966</v>
      </c>
      <c r="GP11" s="139">
        <v>7121236</v>
      </c>
      <c r="GQ11" s="139">
        <v>8021347</v>
      </c>
      <c r="GR11" s="139">
        <v>25245450</v>
      </c>
      <c r="GS11" s="139">
        <v>0</v>
      </c>
      <c r="GT11" s="139">
        <v>0</v>
      </c>
      <c r="GU11" s="139">
        <v>0</v>
      </c>
      <c r="GV11" s="139">
        <v>0</v>
      </c>
      <c r="GW11" s="139">
        <v>0</v>
      </c>
      <c r="GX11" s="139">
        <v>0</v>
      </c>
      <c r="GY11" s="139">
        <v>6833612</v>
      </c>
      <c r="GZ11" s="139">
        <v>1841289</v>
      </c>
      <c r="HA11" s="139">
        <v>1427966</v>
      </c>
      <c r="HB11" s="139">
        <v>7121236</v>
      </c>
      <c r="HC11" s="139">
        <v>8021347</v>
      </c>
      <c r="HD11" s="139">
        <v>25245450</v>
      </c>
      <c r="HF11" s="70">
        <f>SUM(AZ11:AZ11)</f>
        <v>775432</v>
      </c>
      <c r="HG11" s="70" t="e">
        <f>#REF!-HF11</f>
        <v>#REF!</v>
      </c>
      <c r="HH11" s="70" t="e">
        <f>SUM(#REF!)</f>
        <v>#REF!</v>
      </c>
      <c r="HI11" s="70" t="e">
        <f>#REF!-HH11</f>
        <v>#REF!</v>
      </c>
      <c r="HJ11" s="70">
        <f>SUM(BA11:BA11)</f>
        <v>825620</v>
      </c>
      <c r="HK11" s="70" t="e">
        <f>#REF!-HJ11</f>
        <v>#REF!</v>
      </c>
      <c r="HL11" s="70" t="e">
        <f>SUM(#REF!)</f>
        <v>#REF!</v>
      </c>
      <c r="HM11" s="70" t="e">
        <f>BB11-HL11</f>
        <v>#REF!</v>
      </c>
      <c r="HN11" s="70" t="e">
        <f>SUM(#REF!)</f>
        <v>#REF!</v>
      </c>
      <c r="HO11" s="70" t="e">
        <f>#REF!-HN11</f>
        <v>#REF!</v>
      </c>
      <c r="HP11" s="70" t="e">
        <f>SUM(#REF!)</f>
        <v>#REF!</v>
      </c>
      <c r="HQ11" s="70" t="e">
        <f>#REF!-HP11</f>
        <v>#REF!</v>
      </c>
      <c r="HR11" s="70" t="e">
        <f>SUM(#REF!)</f>
        <v>#REF!</v>
      </c>
      <c r="HS11" s="70" t="e">
        <f>#REF!-HR11</f>
        <v>#REF!</v>
      </c>
      <c r="HT11" s="70" t="e">
        <f>SUM(#REF!)</f>
        <v>#REF!</v>
      </c>
      <c r="HU11" s="70" t="e">
        <f>#REF!-HT11</f>
        <v>#REF!</v>
      </c>
      <c r="HV11" s="70" t="e">
        <f>SUM(#REF!)</f>
        <v>#REF!</v>
      </c>
      <c r="HW11" s="70" t="e">
        <f>#REF!-HV11</f>
        <v>#REF!</v>
      </c>
      <c r="HX11" s="70" t="e">
        <f>SUM(#REF!)</f>
        <v>#REF!</v>
      </c>
      <c r="HY11" s="70" t="e">
        <f>#REF!-HX11</f>
        <v>#REF!</v>
      </c>
      <c r="HZ11" s="70">
        <f>SUM(BC11:BC11)</f>
        <v>68748</v>
      </c>
      <c r="IA11" s="70" t="e">
        <f>#REF!-HZ11</f>
        <v>#REF!</v>
      </c>
      <c r="IB11" s="70">
        <f>SUM(BD11:BD11)</f>
        <v>0</v>
      </c>
      <c r="IC11" s="70" t="e">
        <f>#REF!-IB11</f>
        <v>#REF!</v>
      </c>
      <c r="ID11" s="70">
        <f t="shared" si="0"/>
        <v>385959</v>
      </c>
      <c r="IE11" s="70">
        <f t="shared" si="1"/>
        <v>0</v>
      </c>
      <c r="IF11" s="70">
        <f t="shared" si="2"/>
        <v>0</v>
      </c>
      <c r="IG11" s="70">
        <f t="shared" si="3"/>
        <v>0</v>
      </c>
      <c r="IH11" s="70">
        <f t="shared" si="4"/>
        <v>250271</v>
      </c>
      <c r="II11" s="70">
        <f t="shared" si="5"/>
        <v>0</v>
      </c>
      <c r="IJ11" s="70">
        <f t="shared" si="6"/>
        <v>23424359</v>
      </c>
      <c r="IK11" s="70">
        <f t="shared" si="7"/>
        <v>0</v>
      </c>
      <c r="IL11" s="70">
        <f t="shared" si="8"/>
        <v>6998305</v>
      </c>
      <c r="IM11" s="70">
        <f t="shared" si="9"/>
        <v>0</v>
      </c>
      <c r="IN11" s="70">
        <f t="shared" si="10"/>
        <v>164500</v>
      </c>
      <c r="IO11" s="70">
        <f t="shared" si="11"/>
        <v>0</v>
      </c>
      <c r="IP11" s="70">
        <f t="shared" si="12"/>
        <v>4814904</v>
      </c>
      <c r="IQ11" s="70">
        <f t="shared" si="13"/>
        <v>0</v>
      </c>
      <c r="IR11" s="70">
        <f t="shared" si="14"/>
        <v>0</v>
      </c>
      <c r="IS11" s="70">
        <f t="shared" si="15"/>
        <v>0</v>
      </c>
      <c r="IT11" s="70">
        <f t="shared" si="16"/>
        <v>3645744</v>
      </c>
      <c r="IU11" s="70">
        <f t="shared" si="17"/>
        <v>0</v>
      </c>
      <c r="IV11" s="70">
        <f t="shared" si="18"/>
        <v>0</v>
      </c>
      <c r="IW11" s="70">
        <f t="shared" si="19"/>
        <v>0</v>
      </c>
      <c r="IX11" s="70">
        <f t="shared" si="20"/>
        <v>131016</v>
      </c>
      <c r="IY11" s="70">
        <f t="shared" si="21"/>
        <v>0</v>
      </c>
      <c r="IZ11" s="70">
        <f t="shared" si="22"/>
        <v>396476</v>
      </c>
      <c r="JA11" s="70">
        <f t="shared" si="23"/>
        <v>0</v>
      </c>
      <c r="JB11" s="70">
        <f t="shared" si="24"/>
        <v>2433010</v>
      </c>
      <c r="JC11" s="70">
        <f t="shared" si="25"/>
        <v>0</v>
      </c>
      <c r="JD11" s="70">
        <f t="shared" si="26"/>
        <v>2158678</v>
      </c>
      <c r="JE11" s="70">
        <f t="shared" si="27"/>
        <v>0</v>
      </c>
      <c r="JF11" s="70">
        <f t="shared" si="28"/>
        <v>594457</v>
      </c>
      <c r="JG11" s="70">
        <f t="shared" si="29"/>
        <v>0</v>
      </c>
      <c r="JH11" s="70">
        <f t="shared" si="30"/>
        <v>271620</v>
      </c>
      <c r="JI11" s="70">
        <f t="shared" si="31"/>
        <v>0</v>
      </c>
      <c r="JJ11" s="70">
        <f t="shared" si="32"/>
        <v>146069</v>
      </c>
      <c r="JK11" s="70">
        <f t="shared" si="33"/>
        <v>0</v>
      </c>
      <c r="JL11" s="70">
        <f t="shared" si="34"/>
        <v>76017</v>
      </c>
      <c r="JM11" s="70">
        <f t="shared" si="35"/>
        <v>0</v>
      </c>
      <c r="JN11" s="70">
        <f t="shared" si="36"/>
        <v>25812</v>
      </c>
      <c r="JO11" s="70">
        <f t="shared" si="37"/>
        <v>0</v>
      </c>
      <c r="JP11" s="70">
        <f t="shared" si="38"/>
        <v>1399962</v>
      </c>
      <c r="JQ11" s="70">
        <f t="shared" si="39"/>
        <v>0</v>
      </c>
      <c r="JR11" s="70">
        <f t="shared" si="40"/>
        <v>743045</v>
      </c>
      <c r="JS11" s="70">
        <f t="shared" si="41"/>
        <v>0</v>
      </c>
      <c r="JT11" s="70">
        <f t="shared" si="42"/>
        <v>280266</v>
      </c>
      <c r="JU11" s="70">
        <f t="shared" si="43"/>
        <v>0</v>
      </c>
      <c r="JV11" s="70">
        <f t="shared" si="44"/>
        <v>965569</v>
      </c>
      <c r="JW11" s="70">
        <f t="shared" si="45"/>
        <v>0</v>
      </c>
      <c r="JX11" s="70">
        <f t="shared" si="46"/>
        <v>25245450</v>
      </c>
      <c r="JY11" s="70">
        <f t="shared" si="47"/>
        <v>0</v>
      </c>
      <c r="JZ11" s="70">
        <f t="shared" si="48"/>
        <v>0</v>
      </c>
      <c r="KA11" s="70">
        <f t="shared" si="49"/>
        <v>0</v>
      </c>
      <c r="KB11" s="70">
        <f t="shared" si="50"/>
        <v>25245450</v>
      </c>
      <c r="KC11" s="70">
        <f t="shared" si="51"/>
        <v>0</v>
      </c>
      <c r="KE11" s="70" t="e">
        <f t="shared" si="52"/>
        <v>#REF!</v>
      </c>
      <c r="KG11" s="68" t="e">
        <f t="shared" si="53"/>
        <v>#REF!</v>
      </c>
    </row>
    <row r="12" spans="1:293">
      <c r="A12" s="180" t="s">
        <v>234</v>
      </c>
      <c r="B12" s="76" t="s">
        <v>359</v>
      </c>
      <c r="C12" s="90">
        <v>142115</v>
      </c>
      <c r="D12" s="90">
        <v>2014</v>
      </c>
      <c r="E12" s="90">
        <v>1</v>
      </c>
      <c r="F12" s="91">
        <v>10</v>
      </c>
      <c r="G12" s="92">
        <v>6023</v>
      </c>
      <c r="H12" s="92">
        <v>6404</v>
      </c>
      <c r="I12" s="93">
        <v>330277822</v>
      </c>
      <c r="J12" s="93">
        <v>319371835</v>
      </c>
      <c r="K12" s="93">
        <v>4166475</v>
      </c>
      <c r="L12" s="93">
        <v>4225386</v>
      </c>
      <c r="M12" s="93">
        <v>18439677</v>
      </c>
      <c r="N12" s="93">
        <v>18294686</v>
      </c>
      <c r="O12" s="93">
        <v>53257111</v>
      </c>
      <c r="P12" s="93">
        <v>55096585</v>
      </c>
      <c r="Q12" s="93">
        <v>229734174</v>
      </c>
      <c r="R12" s="93">
        <v>237851435</v>
      </c>
      <c r="S12" s="93">
        <v>263982000</v>
      </c>
      <c r="T12" s="93">
        <v>252804000</v>
      </c>
      <c r="U12" s="93">
        <v>16796</v>
      </c>
      <c r="V12" s="93">
        <v>16242</v>
      </c>
      <c r="W12" s="93">
        <v>29396</v>
      </c>
      <c r="X12" s="93">
        <v>27682</v>
      </c>
      <c r="Y12" s="93">
        <v>20390</v>
      </c>
      <c r="Z12" s="93">
        <v>19796</v>
      </c>
      <c r="AA12" s="93">
        <v>33444</v>
      </c>
      <c r="AB12" s="93">
        <v>31702</v>
      </c>
      <c r="AC12" s="114">
        <v>8</v>
      </c>
      <c r="AD12" s="114">
        <v>12</v>
      </c>
      <c r="AE12" s="114">
        <v>0</v>
      </c>
      <c r="AF12" s="115">
        <v>3347715</v>
      </c>
      <c r="AG12" s="115">
        <v>3122643</v>
      </c>
      <c r="AH12" s="115">
        <v>422588</v>
      </c>
      <c r="AI12" s="115">
        <v>166381</v>
      </c>
      <c r="AJ12" s="115">
        <v>510475</v>
      </c>
      <c r="AK12" s="116">
        <v>5.5</v>
      </c>
      <c r="AL12" s="115">
        <v>467935</v>
      </c>
      <c r="AM12" s="116">
        <v>6</v>
      </c>
      <c r="AN12" s="115">
        <v>114578</v>
      </c>
      <c r="AO12" s="116">
        <v>9.5</v>
      </c>
      <c r="AP12" s="115">
        <v>98952</v>
      </c>
      <c r="AQ12" s="116">
        <v>11</v>
      </c>
      <c r="AR12" s="115">
        <v>224240</v>
      </c>
      <c r="AS12" s="116">
        <v>16.940000000000001</v>
      </c>
      <c r="AT12" s="115">
        <v>199927</v>
      </c>
      <c r="AU12" s="116">
        <v>19</v>
      </c>
      <c r="AV12" s="115">
        <v>64726</v>
      </c>
      <c r="AW12" s="116">
        <v>14.75</v>
      </c>
      <c r="AX12" s="115">
        <v>53039</v>
      </c>
      <c r="AY12" s="116">
        <v>18</v>
      </c>
      <c r="AZ12" s="139">
        <v>7470941</v>
      </c>
      <c r="BA12" s="139">
        <v>575000</v>
      </c>
      <c r="BB12" s="139">
        <v>11050334</v>
      </c>
      <c r="BC12" s="139">
        <v>918339</v>
      </c>
      <c r="BD12" s="139">
        <v>4080208</v>
      </c>
      <c r="BE12" s="139">
        <v>299300</v>
      </c>
      <c r="BF12" s="139">
        <v>17658</v>
      </c>
      <c r="BG12" s="139">
        <v>11803</v>
      </c>
      <c r="BH12" s="139">
        <v>355745</v>
      </c>
      <c r="BI12" s="139">
        <v>0</v>
      </c>
      <c r="BJ12" s="139">
        <v>684506</v>
      </c>
      <c r="BK12" s="139">
        <v>0</v>
      </c>
      <c r="BL12" s="139">
        <v>0</v>
      </c>
      <c r="BM12" s="139">
        <v>0</v>
      </c>
      <c r="BN12" s="139">
        <v>0</v>
      </c>
      <c r="BO12" s="139">
        <v>0</v>
      </c>
      <c r="BP12" s="139">
        <v>0</v>
      </c>
      <c r="BQ12" s="139">
        <v>1531614</v>
      </c>
      <c r="BR12" s="139">
        <v>0</v>
      </c>
      <c r="BS12" s="139">
        <v>0</v>
      </c>
      <c r="BT12" s="139">
        <v>32396</v>
      </c>
      <c r="BU12" s="139">
        <v>1017935</v>
      </c>
      <c r="BV12" s="139">
        <v>2581945</v>
      </c>
      <c r="BW12" s="139">
        <v>26242552</v>
      </c>
      <c r="BX12" s="139">
        <v>3219542</v>
      </c>
      <c r="BY12" s="139">
        <v>830515</v>
      </c>
      <c r="BZ12" s="139">
        <v>4650971</v>
      </c>
      <c r="CA12" s="139">
        <v>10762756</v>
      </c>
      <c r="CB12" s="139">
        <v>45706336</v>
      </c>
      <c r="CC12" s="139">
        <v>2199155</v>
      </c>
      <c r="CD12" s="139">
        <v>405743</v>
      </c>
      <c r="CE12" s="139">
        <v>443033</v>
      </c>
      <c r="CF12" s="139">
        <v>3422427</v>
      </c>
      <c r="CG12" s="139">
        <v>456017</v>
      </c>
      <c r="CH12" s="139">
        <v>6926375</v>
      </c>
      <c r="CI12" s="139">
        <v>625000</v>
      </c>
      <c r="CJ12" s="139">
        <v>95000</v>
      </c>
      <c r="CK12" s="139">
        <v>45573</v>
      </c>
      <c r="CL12" s="139">
        <v>5373</v>
      </c>
      <c r="CM12" s="139">
        <v>0</v>
      </c>
      <c r="CN12" s="139">
        <v>770946</v>
      </c>
      <c r="CO12" s="139">
        <v>4891141</v>
      </c>
      <c r="CP12" s="139">
        <v>1070012</v>
      </c>
      <c r="CQ12" s="139">
        <v>496052</v>
      </c>
      <c r="CR12" s="139">
        <v>2192212</v>
      </c>
      <c r="CS12" s="139">
        <v>0</v>
      </c>
      <c r="CT12" s="139">
        <v>8649417</v>
      </c>
      <c r="CU12" s="139">
        <v>0</v>
      </c>
      <c r="CV12" s="139">
        <v>0</v>
      </c>
      <c r="CW12" s="139">
        <v>0</v>
      </c>
      <c r="CX12" s="139">
        <v>0</v>
      </c>
      <c r="CY12" s="139">
        <v>0</v>
      </c>
      <c r="CZ12" s="139">
        <v>0</v>
      </c>
      <c r="DA12" s="139">
        <v>825014</v>
      </c>
      <c r="DB12" s="139">
        <v>67470</v>
      </c>
      <c r="DC12" s="139">
        <v>57374</v>
      </c>
      <c r="DD12" s="139">
        <v>0</v>
      </c>
      <c r="DE12" s="139">
        <v>5204499</v>
      </c>
      <c r="DF12" s="139">
        <v>6154357</v>
      </c>
      <c r="DG12" s="139">
        <v>0</v>
      </c>
      <c r="DH12" s="139">
        <v>0</v>
      </c>
      <c r="DI12" s="139">
        <v>0</v>
      </c>
      <c r="DJ12" s="139">
        <v>0</v>
      </c>
      <c r="DK12" s="139">
        <v>0</v>
      </c>
      <c r="DL12" s="139">
        <v>0</v>
      </c>
      <c r="DM12" s="139">
        <v>0</v>
      </c>
      <c r="DN12" s="139">
        <v>0</v>
      </c>
      <c r="DO12" s="139">
        <v>0</v>
      </c>
      <c r="DP12" s="139">
        <v>0</v>
      </c>
      <c r="DQ12" s="139">
        <v>0</v>
      </c>
      <c r="DR12" s="139">
        <v>0</v>
      </c>
      <c r="DS12" s="139">
        <v>286511</v>
      </c>
      <c r="DT12" s="139">
        <v>104524</v>
      </c>
      <c r="DU12" s="139">
        <v>63459</v>
      </c>
      <c r="DV12" s="139">
        <v>134475</v>
      </c>
      <c r="DW12" s="139">
        <v>0</v>
      </c>
      <c r="DX12" s="139">
        <v>588969</v>
      </c>
      <c r="DY12" s="139">
        <v>681073</v>
      </c>
      <c r="DZ12" s="139">
        <v>214159</v>
      </c>
      <c r="EA12" s="139">
        <v>208989</v>
      </c>
      <c r="EB12" s="139">
        <v>1123685</v>
      </c>
      <c r="EC12" s="139">
        <v>14311</v>
      </c>
      <c r="ED12" s="139">
        <v>2242217</v>
      </c>
      <c r="EE12" s="139">
        <v>720209</v>
      </c>
      <c r="EF12" s="139">
        <v>82130</v>
      </c>
      <c r="EG12" s="139">
        <v>30169</v>
      </c>
      <c r="EH12" s="139">
        <v>304746</v>
      </c>
      <c r="EI12" s="139">
        <v>595345</v>
      </c>
      <c r="EJ12" s="139">
        <v>1732599</v>
      </c>
      <c r="EK12" s="139">
        <v>0</v>
      </c>
      <c r="EL12" s="139">
        <v>0</v>
      </c>
      <c r="EM12" s="139">
        <v>0</v>
      </c>
      <c r="EN12" s="139">
        <v>0</v>
      </c>
      <c r="EO12" s="139">
        <v>1548458</v>
      </c>
      <c r="EP12" s="139">
        <v>1548458</v>
      </c>
      <c r="EQ12" s="139">
        <v>0</v>
      </c>
      <c r="ER12" s="139">
        <v>0</v>
      </c>
      <c r="ES12" s="139">
        <v>0</v>
      </c>
      <c r="ET12" s="139">
        <v>0</v>
      </c>
      <c r="EU12" s="139">
        <v>335124</v>
      </c>
      <c r="EV12" s="139">
        <v>335124</v>
      </c>
      <c r="EW12" s="139">
        <v>209847</v>
      </c>
      <c r="EX12" s="139">
        <v>10353</v>
      </c>
      <c r="EY12" s="139">
        <v>7371</v>
      </c>
      <c r="EZ12" s="139">
        <v>255401</v>
      </c>
      <c r="FA12" s="139">
        <v>0</v>
      </c>
      <c r="FB12" s="139">
        <v>482972</v>
      </c>
      <c r="FC12" s="139">
        <v>6861197</v>
      </c>
      <c r="FD12" s="139">
        <v>168973</v>
      </c>
      <c r="FE12" s="139">
        <v>95204</v>
      </c>
      <c r="FF12" s="139">
        <v>400188</v>
      </c>
      <c r="FG12" s="139">
        <v>2163449</v>
      </c>
      <c r="FH12" s="139">
        <v>9689011</v>
      </c>
      <c r="FI12" s="139">
        <v>0</v>
      </c>
      <c r="FJ12" s="139">
        <v>0</v>
      </c>
      <c r="FK12" s="139">
        <v>0</v>
      </c>
      <c r="FL12" s="139">
        <v>0</v>
      </c>
      <c r="FM12" s="139">
        <v>175748</v>
      </c>
      <c r="FN12" s="139">
        <v>175748</v>
      </c>
      <c r="FO12" s="139">
        <v>0</v>
      </c>
      <c r="FP12" s="139">
        <v>0</v>
      </c>
      <c r="FQ12" s="139">
        <v>0</v>
      </c>
      <c r="FR12" s="139">
        <v>0</v>
      </c>
      <c r="FS12" s="139">
        <v>1974714</v>
      </c>
      <c r="FT12" s="139">
        <v>1974714</v>
      </c>
      <c r="FU12" s="139">
        <v>0</v>
      </c>
      <c r="FV12" s="139">
        <v>0</v>
      </c>
      <c r="FW12" s="139">
        <v>0</v>
      </c>
      <c r="FX12" s="139">
        <v>0</v>
      </c>
      <c r="FY12" s="139">
        <v>750743</v>
      </c>
      <c r="FZ12" s="139">
        <v>750743</v>
      </c>
      <c r="GA12" s="139" t="s">
        <v>237</v>
      </c>
      <c r="GB12" s="139">
        <v>176</v>
      </c>
      <c r="GC12" s="139">
        <v>18</v>
      </c>
      <c r="GD12" s="139">
        <v>9520</v>
      </c>
      <c r="GE12" s="139">
        <v>657043</v>
      </c>
      <c r="GF12" s="139">
        <v>666757</v>
      </c>
      <c r="GG12" s="139">
        <v>1766394</v>
      </c>
      <c r="GH12" s="139">
        <v>6995</v>
      </c>
      <c r="GI12" s="139">
        <v>6224</v>
      </c>
      <c r="GJ12" s="139">
        <v>9476</v>
      </c>
      <c r="GK12" s="139">
        <v>1203305</v>
      </c>
      <c r="GL12" s="139">
        <v>2992394</v>
      </c>
      <c r="GM12" s="139">
        <v>19065541</v>
      </c>
      <c r="GN12" s="139">
        <v>2225535</v>
      </c>
      <c r="GO12" s="139">
        <v>1453466</v>
      </c>
      <c r="GP12" s="139">
        <v>7857503</v>
      </c>
      <c r="GQ12" s="139">
        <v>15078756</v>
      </c>
      <c r="GR12" s="139">
        <v>45680801</v>
      </c>
      <c r="GS12" s="139">
        <v>0</v>
      </c>
      <c r="GT12" s="139">
        <v>0</v>
      </c>
      <c r="GU12" s="139">
        <v>0</v>
      </c>
      <c r="GV12" s="139">
        <v>0</v>
      </c>
      <c r="GW12" s="139">
        <v>0</v>
      </c>
      <c r="GX12" s="139">
        <v>0</v>
      </c>
      <c r="GY12" s="139">
        <v>19065541</v>
      </c>
      <c r="GZ12" s="139">
        <v>2225535</v>
      </c>
      <c r="HA12" s="139">
        <v>1453466</v>
      </c>
      <c r="HB12" s="139">
        <v>7857503</v>
      </c>
      <c r="HC12" s="139">
        <v>15078756</v>
      </c>
      <c r="HD12" s="139">
        <v>45680801</v>
      </c>
      <c r="HF12" s="70">
        <f>SUM(AZ12:AZ12)</f>
        <v>7470941</v>
      </c>
      <c r="HG12" s="70" t="e">
        <f>#REF!-HF12</f>
        <v>#REF!</v>
      </c>
      <c r="HH12" s="70" t="e">
        <f>SUM(#REF!)</f>
        <v>#REF!</v>
      </c>
      <c r="HI12" s="70" t="e">
        <f>#REF!-HH12</f>
        <v>#REF!</v>
      </c>
      <c r="HJ12" s="70">
        <f>SUM(BA12:BA12)</f>
        <v>575000</v>
      </c>
      <c r="HK12" s="70" t="e">
        <f>#REF!-HJ12</f>
        <v>#REF!</v>
      </c>
      <c r="HL12" s="70" t="e">
        <f>SUM(#REF!)</f>
        <v>#REF!</v>
      </c>
      <c r="HM12" s="70" t="e">
        <f>BB12-HL12</f>
        <v>#REF!</v>
      </c>
      <c r="HN12" s="70" t="e">
        <f>SUM(#REF!)</f>
        <v>#REF!</v>
      </c>
      <c r="HO12" s="70" t="e">
        <f>#REF!-HN12</f>
        <v>#REF!</v>
      </c>
      <c r="HP12" s="70" t="e">
        <f>SUM(#REF!)</f>
        <v>#REF!</v>
      </c>
      <c r="HQ12" s="70" t="e">
        <f>#REF!-HP12</f>
        <v>#REF!</v>
      </c>
      <c r="HR12" s="70" t="e">
        <f>SUM(#REF!)</f>
        <v>#REF!</v>
      </c>
      <c r="HS12" s="70" t="e">
        <f>#REF!-HR12</f>
        <v>#REF!</v>
      </c>
      <c r="HT12" s="70" t="e">
        <f>SUM(#REF!)</f>
        <v>#REF!</v>
      </c>
      <c r="HU12" s="70" t="e">
        <f>#REF!-HT12</f>
        <v>#REF!</v>
      </c>
      <c r="HV12" s="70" t="e">
        <f>SUM(#REF!)</f>
        <v>#REF!</v>
      </c>
      <c r="HW12" s="70" t="e">
        <f>#REF!-HV12</f>
        <v>#REF!</v>
      </c>
      <c r="HX12" s="70" t="e">
        <f>SUM(#REF!)</f>
        <v>#REF!</v>
      </c>
      <c r="HY12" s="70" t="e">
        <f>#REF!-HX12</f>
        <v>#REF!</v>
      </c>
      <c r="HZ12" s="70">
        <f>SUM(BC12:BC12)</f>
        <v>918339</v>
      </c>
      <c r="IA12" s="70" t="e">
        <f>#REF!-HZ12</f>
        <v>#REF!</v>
      </c>
      <c r="IB12" s="70">
        <f>SUM(BD12:BD12)</f>
        <v>4080208</v>
      </c>
      <c r="IC12" s="70" t="e">
        <f>#REF!-IB12</f>
        <v>#REF!</v>
      </c>
      <c r="ID12" s="70">
        <f t="shared" si="0"/>
        <v>684506</v>
      </c>
      <c r="IE12" s="70">
        <f t="shared" si="1"/>
        <v>0</v>
      </c>
      <c r="IF12" s="70">
        <f t="shared" si="2"/>
        <v>0</v>
      </c>
      <c r="IG12" s="70">
        <f t="shared" si="3"/>
        <v>0</v>
      </c>
      <c r="IH12" s="70">
        <f t="shared" si="4"/>
        <v>2581945</v>
      </c>
      <c r="II12" s="70">
        <f t="shared" si="5"/>
        <v>0</v>
      </c>
      <c r="IJ12" s="70">
        <f t="shared" si="6"/>
        <v>45706336</v>
      </c>
      <c r="IK12" s="70">
        <f t="shared" si="7"/>
        <v>0</v>
      </c>
      <c r="IL12" s="70">
        <f t="shared" si="8"/>
        <v>6926375</v>
      </c>
      <c r="IM12" s="70">
        <f t="shared" si="9"/>
        <v>0</v>
      </c>
      <c r="IN12" s="70">
        <f t="shared" si="10"/>
        <v>770946</v>
      </c>
      <c r="IO12" s="70">
        <f t="shared" si="11"/>
        <v>0</v>
      </c>
      <c r="IP12" s="70">
        <f t="shared" si="12"/>
        <v>8649417</v>
      </c>
      <c r="IQ12" s="70">
        <f t="shared" si="13"/>
        <v>0</v>
      </c>
      <c r="IR12" s="70">
        <f t="shared" si="14"/>
        <v>0</v>
      </c>
      <c r="IS12" s="70">
        <f t="shared" si="15"/>
        <v>0</v>
      </c>
      <c r="IT12" s="70">
        <f t="shared" si="16"/>
        <v>6154357</v>
      </c>
      <c r="IU12" s="70">
        <f t="shared" si="17"/>
        <v>0</v>
      </c>
      <c r="IV12" s="70">
        <f t="shared" si="18"/>
        <v>0</v>
      </c>
      <c r="IW12" s="70">
        <f t="shared" si="19"/>
        <v>0</v>
      </c>
      <c r="IX12" s="70">
        <f t="shared" si="20"/>
        <v>0</v>
      </c>
      <c r="IY12" s="70">
        <f t="shared" si="21"/>
        <v>0</v>
      </c>
      <c r="IZ12" s="70">
        <f t="shared" si="22"/>
        <v>588969</v>
      </c>
      <c r="JA12" s="70">
        <f t="shared" si="23"/>
        <v>0</v>
      </c>
      <c r="JB12" s="70">
        <f t="shared" si="24"/>
        <v>2242217</v>
      </c>
      <c r="JC12" s="70">
        <f t="shared" si="25"/>
        <v>0</v>
      </c>
      <c r="JD12" s="70">
        <f t="shared" si="26"/>
        <v>1732599</v>
      </c>
      <c r="JE12" s="70">
        <f t="shared" si="27"/>
        <v>0</v>
      </c>
      <c r="JF12" s="70">
        <f t="shared" si="28"/>
        <v>1548458</v>
      </c>
      <c r="JG12" s="70">
        <f t="shared" si="29"/>
        <v>0</v>
      </c>
      <c r="JH12" s="70">
        <f t="shared" si="30"/>
        <v>335124</v>
      </c>
      <c r="JI12" s="70">
        <f t="shared" si="31"/>
        <v>0</v>
      </c>
      <c r="JJ12" s="70">
        <f t="shared" si="32"/>
        <v>482972</v>
      </c>
      <c r="JK12" s="70">
        <f t="shared" si="33"/>
        <v>0</v>
      </c>
      <c r="JL12" s="70">
        <f t="shared" si="34"/>
        <v>9689011</v>
      </c>
      <c r="JM12" s="70">
        <f t="shared" si="35"/>
        <v>0</v>
      </c>
      <c r="JN12" s="70">
        <f t="shared" si="36"/>
        <v>175748</v>
      </c>
      <c r="JO12" s="70">
        <f t="shared" si="37"/>
        <v>0</v>
      </c>
      <c r="JP12" s="70">
        <f t="shared" si="38"/>
        <v>1974714</v>
      </c>
      <c r="JQ12" s="70">
        <f t="shared" si="39"/>
        <v>0</v>
      </c>
      <c r="JR12" s="70">
        <f t="shared" si="40"/>
        <v>750743</v>
      </c>
      <c r="JS12" s="70">
        <f t="shared" si="41"/>
        <v>0</v>
      </c>
      <c r="JT12" s="70">
        <f t="shared" si="42"/>
        <v>666757</v>
      </c>
      <c r="JU12" s="70">
        <f t="shared" si="43"/>
        <v>0</v>
      </c>
      <c r="JV12" s="70">
        <f t="shared" si="44"/>
        <v>2992394</v>
      </c>
      <c r="JW12" s="70">
        <f t="shared" si="45"/>
        <v>0</v>
      </c>
      <c r="JX12" s="70">
        <f t="shared" si="46"/>
        <v>45680801</v>
      </c>
      <c r="JY12" s="70">
        <f t="shared" si="47"/>
        <v>0</v>
      </c>
      <c r="JZ12" s="70">
        <f t="shared" si="48"/>
        <v>0</v>
      </c>
      <c r="KA12" s="70">
        <f t="shared" si="49"/>
        <v>0</v>
      </c>
      <c r="KB12" s="70">
        <f t="shared" si="50"/>
        <v>45680801</v>
      </c>
      <c r="KC12" s="70">
        <f t="shared" si="51"/>
        <v>0</v>
      </c>
      <c r="KE12" s="70" t="e">
        <f t="shared" si="52"/>
        <v>#REF!</v>
      </c>
      <c r="KG12" s="68" t="e">
        <f t="shared" si="53"/>
        <v>#REF!</v>
      </c>
    </row>
    <row r="13" spans="1:293">
      <c r="A13" s="180" t="s">
        <v>235</v>
      </c>
      <c r="B13" s="76" t="s">
        <v>359</v>
      </c>
      <c r="C13" s="90">
        <v>201441</v>
      </c>
      <c r="D13" s="90">
        <v>2014</v>
      </c>
      <c r="E13" s="90">
        <v>1</v>
      </c>
      <c r="F13" s="91">
        <v>9</v>
      </c>
      <c r="G13" s="92">
        <v>6370</v>
      </c>
      <c r="H13" s="92">
        <v>8107</v>
      </c>
      <c r="I13" s="93">
        <v>350242619</v>
      </c>
      <c r="J13" s="93">
        <v>35221734</v>
      </c>
      <c r="K13" s="93">
        <v>2157287</v>
      </c>
      <c r="L13" s="93">
        <v>2201922</v>
      </c>
      <c r="M13" s="93">
        <v>15344858</v>
      </c>
      <c r="N13" s="93">
        <v>15220604</v>
      </c>
      <c r="O13" s="93">
        <v>52392737</v>
      </c>
      <c r="P13" s="93">
        <v>33684360</v>
      </c>
      <c r="Q13" s="93">
        <v>184222233</v>
      </c>
      <c r="R13" s="93">
        <v>114215000</v>
      </c>
      <c r="S13" s="93">
        <v>249337563</v>
      </c>
      <c r="T13" s="93">
        <v>273071207</v>
      </c>
      <c r="U13" s="93">
        <v>21454</v>
      </c>
      <c r="V13" s="93">
        <v>20311</v>
      </c>
      <c r="W13" s="93">
        <v>28762</v>
      </c>
      <c r="X13" s="93">
        <v>27619</v>
      </c>
      <c r="Y13" s="93">
        <v>25778</v>
      </c>
      <c r="Z13" s="93">
        <v>24437</v>
      </c>
      <c r="AA13" s="93">
        <v>33086</v>
      </c>
      <c r="AB13" s="93">
        <v>31636</v>
      </c>
      <c r="AC13" s="114">
        <v>7</v>
      </c>
      <c r="AD13" s="114">
        <v>11</v>
      </c>
      <c r="AE13" s="114">
        <v>0</v>
      </c>
      <c r="AF13" s="115">
        <v>3582188</v>
      </c>
      <c r="AG13" s="115">
        <v>2181043</v>
      </c>
      <c r="AH13" s="115">
        <v>222774</v>
      </c>
      <c r="AI13" s="115">
        <v>138043</v>
      </c>
      <c r="AJ13" s="115">
        <v>218324</v>
      </c>
      <c r="AK13" s="116">
        <v>6.3</v>
      </c>
      <c r="AL13" s="115">
        <v>196492</v>
      </c>
      <c r="AM13" s="116">
        <v>7</v>
      </c>
      <c r="AN13" s="115">
        <v>94112</v>
      </c>
      <c r="AO13" s="116">
        <v>8.6999999999999993</v>
      </c>
      <c r="AP13" s="115">
        <v>90975</v>
      </c>
      <c r="AQ13" s="116">
        <v>9</v>
      </c>
      <c r="AR13" s="115">
        <v>100269</v>
      </c>
      <c r="AS13" s="116">
        <v>18.399999999999999</v>
      </c>
      <c r="AT13" s="115">
        <v>92248</v>
      </c>
      <c r="AU13" s="116">
        <v>20</v>
      </c>
      <c r="AV13" s="115">
        <v>45461</v>
      </c>
      <c r="AW13" s="116">
        <v>15</v>
      </c>
      <c r="AX13" s="115">
        <v>40113</v>
      </c>
      <c r="AY13" s="116">
        <v>17</v>
      </c>
      <c r="AZ13" s="139">
        <v>1471323</v>
      </c>
      <c r="BA13" s="139">
        <v>1000000</v>
      </c>
      <c r="BB13" s="139">
        <v>1452756</v>
      </c>
      <c r="BC13" s="139">
        <v>118882</v>
      </c>
      <c r="BD13" s="139">
        <v>0</v>
      </c>
      <c r="BE13" s="139">
        <v>28809</v>
      </c>
      <c r="BF13" s="139">
        <v>3190</v>
      </c>
      <c r="BG13" s="139">
        <v>0</v>
      </c>
      <c r="BH13" s="139">
        <v>203407</v>
      </c>
      <c r="BI13" s="139">
        <v>174519</v>
      </c>
      <c r="BJ13" s="139">
        <v>409925</v>
      </c>
      <c r="BK13" s="139">
        <v>0</v>
      </c>
      <c r="BL13" s="139">
        <v>0</v>
      </c>
      <c r="BM13" s="139">
        <v>0</v>
      </c>
      <c r="BN13" s="139">
        <v>0</v>
      </c>
      <c r="BO13" s="139">
        <v>204494</v>
      </c>
      <c r="BP13" s="139">
        <v>204494</v>
      </c>
      <c r="BQ13" s="139">
        <v>383405</v>
      </c>
      <c r="BR13" s="139">
        <v>0</v>
      </c>
      <c r="BS13" s="139">
        <v>0</v>
      </c>
      <c r="BT13" s="139">
        <v>39314</v>
      </c>
      <c r="BU13" s="139">
        <v>81962</v>
      </c>
      <c r="BV13" s="139">
        <v>504681</v>
      </c>
      <c r="BW13" s="139">
        <v>3321370</v>
      </c>
      <c r="BX13" s="139">
        <v>658668</v>
      </c>
      <c r="BY13" s="139">
        <v>281381</v>
      </c>
      <c r="BZ13" s="139">
        <v>1154502</v>
      </c>
      <c r="CA13" s="139">
        <v>18053743</v>
      </c>
      <c r="CB13" s="139">
        <v>23469664</v>
      </c>
      <c r="CC13" s="139">
        <v>2185887</v>
      </c>
      <c r="CD13" s="139">
        <v>414862</v>
      </c>
      <c r="CE13" s="139">
        <v>305777</v>
      </c>
      <c r="CF13" s="139">
        <v>2856705</v>
      </c>
      <c r="CG13" s="139">
        <v>5174</v>
      </c>
      <c r="CH13" s="139">
        <v>5768405</v>
      </c>
      <c r="CI13" s="139">
        <v>460000</v>
      </c>
      <c r="CJ13" s="139">
        <v>78000</v>
      </c>
      <c r="CK13" s="139">
        <v>4000</v>
      </c>
      <c r="CL13" s="139">
        <v>7500</v>
      </c>
      <c r="CM13" s="139">
        <v>0</v>
      </c>
      <c r="CN13" s="139">
        <v>549500</v>
      </c>
      <c r="CO13" s="139">
        <v>1809392</v>
      </c>
      <c r="CP13" s="139">
        <v>553187</v>
      </c>
      <c r="CQ13" s="139">
        <v>459955</v>
      </c>
      <c r="CR13" s="139">
        <v>1898552</v>
      </c>
      <c r="CS13" s="139">
        <v>0</v>
      </c>
      <c r="CT13" s="139">
        <v>4721086</v>
      </c>
      <c r="CU13" s="139">
        <v>0</v>
      </c>
      <c r="CV13" s="139">
        <v>0</v>
      </c>
      <c r="CW13" s="139">
        <v>0</v>
      </c>
      <c r="CX13" s="139">
        <v>0</v>
      </c>
      <c r="CY13" s="139">
        <v>0</v>
      </c>
      <c r="CZ13" s="139">
        <v>0</v>
      </c>
      <c r="DA13" s="139">
        <v>346248</v>
      </c>
      <c r="DB13" s="139">
        <v>41214</v>
      </c>
      <c r="DC13" s="139">
        <v>43737</v>
      </c>
      <c r="DD13" s="139">
        <v>57892</v>
      </c>
      <c r="DE13" s="139">
        <v>2533659</v>
      </c>
      <c r="DF13" s="139">
        <v>3022750</v>
      </c>
      <c r="DG13" s="139">
        <v>0</v>
      </c>
      <c r="DH13" s="139">
        <v>0</v>
      </c>
      <c r="DI13" s="139">
        <v>0</v>
      </c>
      <c r="DJ13" s="139">
        <v>0</v>
      </c>
      <c r="DK13" s="139">
        <v>0</v>
      </c>
      <c r="DL13" s="139">
        <v>0</v>
      </c>
      <c r="DM13" s="139">
        <v>0</v>
      </c>
      <c r="DN13" s="139">
        <v>0</v>
      </c>
      <c r="DO13" s="139">
        <v>0</v>
      </c>
      <c r="DP13" s="139">
        <v>0</v>
      </c>
      <c r="DQ13" s="139">
        <v>0</v>
      </c>
      <c r="DR13" s="139">
        <v>0</v>
      </c>
      <c r="DS13" s="139">
        <v>84553</v>
      </c>
      <c r="DT13" s="139">
        <v>63389</v>
      </c>
      <c r="DU13" s="139">
        <v>56366</v>
      </c>
      <c r="DV13" s="139">
        <v>156509</v>
      </c>
      <c r="DW13" s="139">
        <v>600</v>
      </c>
      <c r="DX13" s="139">
        <v>361417</v>
      </c>
      <c r="DY13" s="139">
        <v>655491</v>
      </c>
      <c r="DZ13" s="139">
        <v>156136</v>
      </c>
      <c r="EA13" s="139">
        <v>120924</v>
      </c>
      <c r="EB13" s="139">
        <v>910811</v>
      </c>
      <c r="EC13" s="139">
        <v>553</v>
      </c>
      <c r="ED13" s="139">
        <v>1843915</v>
      </c>
      <c r="EE13" s="139">
        <v>317313</v>
      </c>
      <c r="EF13" s="139">
        <v>47091</v>
      </c>
      <c r="EG13" s="139">
        <v>46818</v>
      </c>
      <c r="EH13" s="139">
        <v>500625</v>
      </c>
      <c r="EI13" s="139">
        <v>137242</v>
      </c>
      <c r="EJ13" s="139">
        <v>1049089</v>
      </c>
      <c r="EK13" s="139">
        <v>0</v>
      </c>
      <c r="EL13" s="139">
        <v>36620</v>
      </c>
      <c r="EM13" s="139">
        <v>48913</v>
      </c>
      <c r="EN13" s="139">
        <v>70272</v>
      </c>
      <c r="EO13" s="139">
        <v>166737</v>
      </c>
      <c r="EP13" s="139">
        <v>322542</v>
      </c>
      <c r="EQ13" s="139">
        <v>0</v>
      </c>
      <c r="ER13" s="139">
        <v>0</v>
      </c>
      <c r="ES13" s="139">
        <v>0</v>
      </c>
      <c r="ET13" s="139">
        <v>0</v>
      </c>
      <c r="EU13" s="139">
        <v>187096</v>
      </c>
      <c r="EV13" s="139">
        <v>187096</v>
      </c>
      <c r="EW13" s="139">
        <v>35460</v>
      </c>
      <c r="EX13" s="139">
        <v>8495</v>
      </c>
      <c r="EY13" s="139">
        <v>0</v>
      </c>
      <c r="EZ13" s="139">
        <v>122837</v>
      </c>
      <c r="FA13" s="139">
        <v>155319</v>
      </c>
      <c r="FB13" s="139">
        <v>322111</v>
      </c>
      <c r="FC13" s="139">
        <v>0</v>
      </c>
      <c r="FD13" s="139">
        <v>0</v>
      </c>
      <c r="FE13" s="139">
        <v>0</v>
      </c>
      <c r="FF13" s="139">
        <v>0</v>
      </c>
      <c r="FG13" s="139">
        <v>691483</v>
      </c>
      <c r="FH13" s="139">
        <v>691483</v>
      </c>
      <c r="FI13" s="139">
        <v>0</v>
      </c>
      <c r="FJ13" s="139">
        <v>0</v>
      </c>
      <c r="FK13" s="139">
        <v>0</v>
      </c>
      <c r="FL13" s="139">
        <v>0</v>
      </c>
      <c r="FM13" s="139">
        <v>0</v>
      </c>
      <c r="FN13" s="139">
        <v>0</v>
      </c>
      <c r="FO13" s="139">
        <v>0</v>
      </c>
      <c r="FP13" s="139">
        <v>0</v>
      </c>
      <c r="FQ13" s="139">
        <v>0</v>
      </c>
      <c r="FR13" s="139">
        <v>0</v>
      </c>
      <c r="FS13" s="139">
        <v>2003838</v>
      </c>
      <c r="FT13" s="139">
        <v>2003838</v>
      </c>
      <c r="FU13" s="139">
        <v>0</v>
      </c>
      <c r="FV13" s="139">
        <v>0</v>
      </c>
      <c r="FW13" s="139">
        <v>0</v>
      </c>
      <c r="FX13" s="139">
        <v>0</v>
      </c>
      <c r="FY13" s="139">
        <v>141932</v>
      </c>
      <c r="FZ13" s="139">
        <v>141932</v>
      </c>
      <c r="GA13" s="139">
        <v>0</v>
      </c>
      <c r="GB13" s="139">
        <v>0</v>
      </c>
      <c r="GC13" s="139">
        <v>0</v>
      </c>
      <c r="GD13" s="139">
        <v>0</v>
      </c>
      <c r="GE13" s="139">
        <v>290939</v>
      </c>
      <c r="GF13" s="139">
        <v>290939</v>
      </c>
      <c r="GG13" s="139">
        <v>0</v>
      </c>
      <c r="GH13" s="139">
        <v>0</v>
      </c>
      <c r="GI13" s="139">
        <v>0</v>
      </c>
      <c r="GJ13" s="139">
        <v>0</v>
      </c>
      <c r="GK13" s="139">
        <v>2030862</v>
      </c>
      <c r="GL13" s="139">
        <v>2030862</v>
      </c>
      <c r="GM13" s="139">
        <v>5894344</v>
      </c>
      <c r="GN13" s="139">
        <v>1398994</v>
      </c>
      <c r="GO13" s="139">
        <v>1086490</v>
      </c>
      <c r="GP13" s="139">
        <v>6581703</v>
      </c>
      <c r="GQ13" s="139">
        <v>8345434</v>
      </c>
      <c r="GR13" s="139">
        <v>23306965</v>
      </c>
      <c r="GS13" s="139">
        <v>0</v>
      </c>
      <c r="GT13" s="139">
        <v>0</v>
      </c>
      <c r="GU13" s="139">
        <v>0</v>
      </c>
      <c r="GV13" s="139">
        <v>0</v>
      </c>
      <c r="GW13" s="139">
        <v>0</v>
      </c>
      <c r="GX13" s="139">
        <v>0</v>
      </c>
      <c r="GY13" s="139">
        <v>5894344</v>
      </c>
      <c r="GZ13" s="139">
        <v>1398994</v>
      </c>
      <c r="HA13" s="139">
        <v>1086490</v>
      </c>
      <c r="HB13" s="139">
        <v>6581703</v>
      </c>
      <c r="HC13" s="139">
        <v>8345434</v>
      </c>
      <c r="HD13" s="139">
        <v>23306965</v>
      </c>
      <c r="HF13" s="70">
        <f>SUM(AZ13:AZ13)</f>
        <v>1471323</v>
      </c>
      <c r="HG13" s="70" t="e">
        <f>#REF!-HF13</f>
        <v>#REF!</v>
      </c>
      <c r="HH13" s="70" t="e">
        <f>SUM(#REF!)</f>
        <v>#REF!</v>
      </c>
      <c r="HI13" s="70" t="e">
        <f>#REF!-HH13</f>
        <v>#REF!</v>
      </c>
      <c r="HJ13" s="70">
        <f>SUM(BA13:BA13)</f>
        <v>1000000</v>
      </c>
      <c r="HK13" s="70" t="e">
        <f>#REF!-HJ13</f>
        <v>#REF!</v>
      </c>
      <c r="HL13" s="70" t="e">
        <f>SUM(#REF!)</f>
        <v>#REF!</v>
      </c>
      <c r="HM13" s="70" t="e">
        <f>BB13-HL13</f>
        <v>#REF!</v>
      </c>
      <c r="HN13" s="70" t="e">
        <f>SUM(#REF!)</f>
        <v>#REF!</v>
      </c>
      <c r="HO13" s="70" t="e">
        <f>#REF!-HN13</f>
        <v>#REF!</v>
      </c>
      <c r="HP13" s="70" t="e">
        <f>SUM(#REF!)</f>
        <v>#REF!</v>
      </c>
      <c r="HQ13" s="70" t="e">
        <f>#REF!-HP13</f>
        <v>#REF!</v>
      </c>
      <c r="HR13" s="70" t="e">
        <f>SUM(#REF!)</f>
        <v>#REF!</v>
      </c>
      <c r="HS13" s="70" t="e">
        <f>#REF!-HR13</f>
        <v>#REF!</v>
      </c>
      <c r="HT13" s="70" t="e">
        <f>SUM(#REF!)</f>
        <v>#REF!</v>
      </c>
      <c r="HU13" s="70" t="e">
        <f>#REF!-HT13</f>
        <v>#REF!</v>
      </c>
      <c r="HV13" s="70" t="e">
        <f>SUM(#REF!)</f>
        <v>#REF!</v>
      </c>
      <c r="HW13" s="70" t="e">
        <f>#REF!-HV13</f>
        <v>#REF!</v>
      </c>
      <c r="HX13" s="70" t="e">
        <f>SUM(#REF!)</f>
        <v>#REF!</v>
      </c>
      <c r="HY13" s="70" t="e">
        <f>#REF!-HX13</f>
        <v>#REF!</v>
      </c>
      <c r="HZ13" s="70">
        <f>SUM(BC13:BC13)</f>
        <v>118882</v>
      </c>
      <c r="IA13" s="70" t="e">
        <f>#REF!-HZ13</f>
        <v>#REF!</v>
      </c>
      <c r="IB13" s="70">
        <f>SUM(BD13:BD13)</f>
        <v>0</v>
      </c>
      <c r="IC13" s="70" t="e">
        <f>#REF!-IB13</f>
        <v>#REF!</v>
      </c>
      <c r="ID13" s="70">
        <f t="shared" si="0"/>
        <v>409925</v>
      </c>
      <c r="IE13" s="70">
        <f t="shared" si="1"/>
        <v>0</v>
      </c>
      <c r="IF13" s="70">
        <f t="shared" si="2"/>
        <v>204494</v>
      </c>
      <c r="IG13" s="70">
        <f t="shared" si="3"/>
        <v>0</v>
      </c>
      <c r="IH13" s="70">
        <f t="shared" si="4"/>
        <v>504681</v>
      </c>
      <c r="II13" s="70">
        <f t="shared" si="5"/>
        <v>0</v>
      </c>
      <c r="IJ13" s="70">
        <f t="shared" si="6"/>
        <v>23469664</v>
      </c>
      <c r="IK13" s="70">
        <f t="shared" si="7"/>
        <v>0</v>
      </c>
      <c r="IL13" s="70">
        <f t="shared" si="8"/>
        <v>5768405</v>
      </c>
      <c r="IM13" s="70">
        <f t="shared" si="9"/>
        <v>0</v>
      </c>
      <c r="IN13" s="70">
        <f t="shared" si="10"/>
        <v>549500</v>
      </c>
      <c r="IO13" s="70">
        <f t="shared" si="11"/>
        <v>0</v>
      </c>
      <c r="IP13" s="70">
        <f t="shared" si="12"/>
        <v>4721086</v>
      </c>
      <c r="IQ13" s="70">
        <f t="shared" si="13"/>
        <v>0</v>
      </c>
      <c r="IR13" s="70">
        <f t="shared" si="14"/>
        <v>0</v>
      </c>
      <c r="IS13" s="70">
        <f t="shared" si="15"/>
        <v>0</v>
      </c>
      <c r="IT13" s="70">
        <f t="shared" si="16"/>
        <v>3022750</v>
      </c>
      <c r="IU13" s="70">
        <f t="shared" si="17"/>
        <v>0</v>
      </c>
      <c r="IV13" s="70">
        <f t="shared" si="18"/>
        <v>0</v>
      </c>
      <c r="IW13" s="70">
        <f t="shared" si="19"/>
        <v>0</v>
      </c>
      <c r="IX13" s="70">
        <f t="shared" si="20"/>
        <v>0</v>
      </c>
      <c r="IY13" s="70">
        <f t="shared" si="21"/>
        <v>0</v>
      </c>
      <c r="IZ13" s="70">
        <f t="shared" si="22"/>
        <v>361417</v>
      </c>
      <c r="JA13" s="70">
        <f t="shared" si="23"/>
        <v>0</v>
      </c>
      <c r="JB13" s="70">
        <f t="shared" si="24"/>
        <v>1843915</v>
      </c>
      <c r="JC13" s="70">
        <f t="shared" si="25"/>
        <v>0</v>
      </c>
      <c r="JD13" s="70">
        <f t="shared" si="26"/>
        <v>1049089</v>
      </c>
      <c r="JE13" s="70">
        <f t="shared" si="27"/>
        <v>0</v>
      </c>
      <c r="JF13" s="70">
        <f t="shared" si="28"/>
        <v>322542</v>
      </c>
      <c r="JG13" s="70">
        <f t="shared" si="29"/>
        <v>0</v>
      </c>
      <c r="JH13" s="70">
        <f t="shared" si="30"/>
        <v>187096</v>
      </c>
      <c r="JI13" s="70">
        <f t="shared" si="31"/>
        <v>0</v>
      </c>
      <c r="JJ13" s="70">
        <f t="shared" si="32"/>
        <v>322111</v>
      </c>
      <c r="JK13" s="70">
        <f t="shared" si="33"/>
        <v>0</v>
      </c>
      <c r="JL13" s="70">
        <f t="shared" si="34"/>
        <v>691483</v>
      </c>
      <c r="JM13" s="70">
        <f t="shared" si="35"/>
        <v>0</v>
      </c>
      <c r="JN13" s="70">
        <f t="shared" si="36"/>
        <v>0</v>
      </c>
      <c r="JO13" s="70">
        <f t="shared" si="37"/>
        <v>0</v>
      </c>
      <c r="JP13" s="70">
        <f t="shared" si="38"/>
        <v>2003838</v>
      </c>
      <c r="JQ13" s="70">
        <f t="shared" si="39"/>
        <v>0</v>
      </c>
      <c r="JR13" s="70">
        <f t="shared" si="40"/>
        <v>141932</v>
      </c>
      <c r="JS13" s="70">
        <f t="shared" si="41"/>
        <v>0</v>
      </c>
      <c r="JT13" s="70">
        <f t="shared" si="42"/>
        <v>290939</v>
      </c>
      <c r="JU13" s="70">
        <f t="shared" si="43"/>
        <v>0</v>
      </c>
      <c r="JV13" s="70">
        <f t="shared" si="44"/>
        <v>2030862</v>
      </c>
      <c r="JW13" s="70">
        <f t="shared" si="45"/>
        <v>0</v>
      </c>
      <c r="JX13" s="70">
        <f t="shared" si="46"/>
        <v>23306965</v>
      </c>
      <c r="JY13" s="70">
        <f t="shared" si="47"/>
        <v>0</v>
      </c>
      <c r="JZ13" s="70">
        <f t="shared" si="48"/>
        <v>0</v>
      </c>
      <c r="KA13" s="70">
        <f t="shared" si="49"/>
        <v>0</v>
      </c>
      <c r="KB13" s="70">
        <f t="shared" si="50"/>
        <v>23306965</v>
      </c>
      <c r="KC13" s="70">
        <f t="shared" si="51"/>
        <v>0</v>
      </c>
      <c r="KE13" s="70" t="e">
        <f t="shared" si="52"/>
        <v>#REF!</v>
      </c>
      <c r="KG13" s="68" t="e">
        <f t="shared" si="53"/>
        <v>#REF!</v>
      </c>
    </row>
    <row r="14" spans="1:293">
      <c r="A14" s="181" t="s">
        <v>236</v>
      </c>
      <c r="B14" s="76" t="s">
        <v>359</v>
      </c>
      <c r="C14" s="90">
        <v>196088</v>
      </c>
      <c r="D14" s="90">
        <v>2014</v>
      </c>
      <c r="E14" s="90">
        <v>1</v>
      </c>
      <c r="F14" s="91">
        <v>9</v>
      </c>
      <c r="G14" s="92"/>
      <c r="H14" s="92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14"/>
      <c r="AD14" s="114"/>
      <c r="AE14" s="114"/>
      <c r="AF14" s="115"/>
      <c r="AG14" s="115"/>
      <c r="AH14" s="115"/>
      <c r="AI14" s="115"/>
      <c r="AJ14" s="115"/>
      <c r="AK14" s="116"/>
      <c r="AL14" s="115"/>
      <c r="AM14" s="116"/>
      <c r="AN14" s="115"/>
      <c r="AO14" s="116"/>
      <c r="AP14" s="115"/>
      <c r="AQ14" s="116"/>
      <c r="AR14" s="115"/>
      <c r="AS14" s="116"/>
      <c r="AT14" s="115"/>
      <c r="AU14" s="116"/>
      <c r="AV14" s="115"/>
      <c r="AW14" s="116"/>
      <c r="AX14" s="115"/>
      <c r="AY14" s="116"/>
      <c r="AZ14" s="139">
        <v>902461</v>
      </c>
      <c r="BA14" s="139">
        <v>1150000</v>
      </c>
      <c r="BB14" s="139">
        <v>600252</v>
      </c>
      <c r="BC14" s="139">
        <v>35656</v>
      </c>
      <c r="BD14" s="139">
        <v>259321</v>
      </c>
      <c r="BE14" s="139">
        <v>13151</v>
      </c>
      <c r="BF14" s="139">
        <v>27772</v>
      </c>
      <c r="BG14" s="139">
        <v>2757</v>
      </c>
      <c r="BH14" s="139">
        <v>181738</v>
      </c>
      <c r="BI14" s="139">
        <v>24490</v>
      </c>
      <c r="BJ14" s="139">
        <v>249908</v>
      </c>
      <c r="BK14" s="139">
        <v>80119</v>
      </c>
      <c r="BL14" s="139">
        <v>63801</v>
      </c>
      <c r="BM14" s="139">
        <v>0</v>
      </c>
      <c r="BN14" s="139">
        <v>12487</v>
      </c>
      <c r="BO14" s="139">
        <v>0</v>
      </c>
      <c r="BP14" s="139">
        <v>156407</v>
      </c>
      <c r="BQ14" s="139">
        <v>1586</v>
      </c>
      <c r="BR14" s="139">
        <v>483</v>
      </c>
      <c r="BS14" s="139">
        <v>2659</v>
      </c>
      <c r="BT14" s="139">
        <v>7936</v>
      </c>
      <c r="BU14" s="139">
        <v>188034</v>
      </c>
      <c r="BV14" s="139">
        <v>200698</v>
      </c>
      <c r="BW14" s="139">
        <v>6699385</v>
      </c>
      <c r="BX14" s="139">
        <v>1871085</v>
      </c>
      <c r="BY14" s="139">
        <v>1238975</v>
      </c>
      <c r="BZ14" s="139">
        <v>8116069</v>
      </c>
      <c r="CA14" s="139">
        <v>13352466</v>
      </c>
      <c r="CB14" s="139">
        <v>31277980</v>
      </c>
      <c r="CC14" s="139">
        <v>2760455</v>
      </c>
      <c r="CD14" s="139">
        <v>428731</v>
      </c>
      <c r="CE14" s="139">
        <v>430928</v>
      </c>
      <c r="CF14" s="139">
        <v>4015067</v>
      </c>
      <c r="CG14" s="139">
        <v>0</v>
      </c>
      <c r="CH14" s="139">
        <v>7635181</v>
      </c>
      <c r="CI14" s="139">
        <v>429450</v>
      </c>
      <c r="CJ14" s="139">
        <v>138858</v>
      </c>
      <c r="CK14" s="139">
        <v>2250</v>
      </c>
      <c r="CL14" s="139">
        <v>8529</v>
      </c>
      <c r="CM14" s="139">
        <v>0</v>
      </c>
      <c r="CN14" s="139">
        <v>579087</v>
      </c>
      <c r="CO14" s="139">
        <v>1401996</v>
      </c>
      <c r="CP14" s="139">
        <v>569621</v>
      </c>
      <c r="CQ14" s="139">
        <v>420484</v>
      </c>
      <c r="CR14" s="139">
        <v>1593588</v>
      </c>
      <c r="CS14" s="139">
        <v>0</v>
      </c>
      <c r="CT14" s="139">
        <v>3985689</v>
      </c>
      <c r="CU14" s="139">
        <v>4707</v>
      </c>
      <c r="CV14" s="139">
        <v>22382</v>
      </c>
      <c r="CW14" s="139">
        <v>4005</v>
      </c>
      <c r="CX14" s="139">
        <v>137909</v>
      </c>
      <c r="CY14" s="139">
        <v>0</v>
      </c>
      <c r="CZ14" s="139">
        <v>169003</v>
      </c>
      <c r="DA14" s="139">
        <v>0</v>
      </c>
      <c r="DB14" s="139">
        <v>0</v>
      </c>
      <c r="DC14" s="139">
        <v>0</v>
      </c>
      <c r="DD14" s="139">
        <v>0</v>
      </c>
      <c r="DE14" s="139">
        <v>4987646</v>
      </c>
      <c r="DF14" s="139">
        <v>4987646</v>
      </c>
      <c r="DG14" s="139">
        <v>0</v>
      </c>
      <c r="DH14" s="139">
        <v>0</v>
      </c>
      <c r="DI14" s="139">
        <v>0</v>
      </c>
      <c r="DJ14" s="139">
        <v>0</v>
      </c>
      <c r="DK14" s="139">
        <v>0</v>
      </c>
      <c r="DL14" s="139">
        <v>0</v>
      </c>
      <c r="DM14" s="139">
        <v>32150</v>
      </c>
      <c r="DN14" s="139">
        <v>190485</v>
      </c>
      <c r="DO14" s="139">
        <v>19344</v>
      </c>
      <c r="DP14" s="139">
        <v>257685</v>
      </c>
      <c r="DQ14" s="139">
        <v>8688</v>
      </c>
      <c r="DR14" s="139">
        <v>508352</v>
      </c>
      <c r="DS14" s="139">
        <v>164403</v>
      </c>
      <c r="DT14" s="139">
        <v>144257</v>
      </c>
      <c r="DU14" s="139">
        <v>50517</v>
      </c>
      <c r="DV14" s="139">
        <v>167358</v>
      </c>
      <c r="DW14" s="139">
        <v>594</v>
      </c>
      <c r="DX14" s="139">
        <v>527129</v>
      </c>
      <c r="DY14" s="139">
        <v>904018</v>
      </c>
      <c r="DZ14" s="139">
        <v>171246</v>
      </c>
      <c r="EA14" s="139">
        <v>157967</v>
      </c>
      <c r="EB14" s="139">
        <v>1131703</v>
      </c>
      <c r="EC14" s="139">
        <v>766548</v>
      </c>
      <c r="ED14" s="139">
        <v>3131482</v>
      </c>
      <c r="EE14" s="139">
        <v>416129</v>
      </c>
      <c r="EF14" s="139">
        <v>26320</v>
      </c>
      <c r="EG14" s="139">
        <v>46024</v>
      </c>
      <c r="EH14" s="139">
        <v>325849</v>
      </c>
      <c r="EI14" s="139">
        <v>64628</v>
      </c>
      <c r="EJ14" s="139">
        <v>878950</v>
      </c>
      <c r="EK14" s="139">
        <v>351568</v>
      </c>
      <c r="EL14" s="139">
        <v>112881</v>
      </c>
      <c r="EM14" s="139">
        <v>78731</v>
      </c>
      <c r="EN14" s="139">
        <v>72732</v>
      </c>
      <c r="EO14" s="139">
        <v>181704</v>
      </c>
      <c r="EP14" s="139">
        <v>797616</v>
      </c>
      <c r="EQ14" s="139">
        <v>0</v>
      </c>
      <c r="ER14" s="139">
        <v>0</v>
      </c>
      <c r="ES14" s="139">
        <v>0</v>
      </c>
      <c r="ET14" s="139">
        <v>476</v>
      </c>
      <c r="EU14" s="139">
        <v>1263901</v>
      </c>
      <c r="EV14" s="139">
        <v>1264377</v>
      </c>
      <c r="EW14" s="139">
        <v>13151</v>
      </c>
      <c r="EX14" s="139">
        <v>27772</v>
      </c>
      <c r="EY14" s="139">
        <v>2757</v>
      </c>
      <c r="EZ14" s="139">
        <v>181738</v>
      </c>
      <c r="FA14" s="139">
        <v>24490</v>
      </c>
      <c r="FB14" s="139">
        <v>249908</v>
      </c>
      <c r="FC14" s="139">
        <v>55290</v>
      </c>
      <c r="FD14" s="139">
        <v>0</v>
      </c>
      <c r="FE14" s="139">
        <v>450</v>
      </c>
      <c r="FF14" s="139">
        <v>54658</v>
      </c>
      <c r="FG14" s="139">
        <v>1211490</v>
      </c>
      <c r="FH14" s="139">
        <v>1321888</v>
      </c>
      <c r="FI14" s="139">
        <v>0</v>
      </c>
      <c r="FJ14" s="139">
        <v>0</v>
      </c>
      <c r="FK14" s="139">
        <v>0</v>
      </c>
      <c r="FL14" s="139">
        <v>0</v>
      </c>
      <c r="FM14" s="139">
        <v>14782</v>
      </c>
      <c r="FN14" s="139">
        <v>14782</v>
      </c>
      <c r="FO14" s="139">
        <v>0</v>
      </c>
      <c r="FP14" s="139">
        <v>0</v>
      </c>
      <c r="FQ14" s="139">
        <v>0</v>
      </c>
      <c r="FR14" s="139">
        <v>0</v>
      </c>
      <c r="FS14" s="139">
        <v>2228622</v>
      </c>
      <c r="FT14" s="139">
        <v>2228622</v>
      </c>
      <c r="FU14" s="139">
        <v>65243</v>
      </c>
      <c r="FV14" s="139">
        <v>19997</v>
      </c>
      <c r="FW14" s="139">
        <v>10831</v>
      </c>
      <c r="FX14" s="139">
        <v>60810</v>
      </c>
      <c r="FY14" s="139">
        <v>440536</v>
      </c>
      <c r="FZ14" s="139">
        <v>597417</v>
      </c>
      <c r="GA14" s="139">
        <v>2380</v>
      </c>
      <c r="GB14" s="139">
        <v>2210</v>
      </c>
      <c r="GC14" s="139">
        <v>1465</v>
      </c>
      <c r="GD14" s="139">
        <v>8953</v>
      </c>
      <c r="GE14" s="139">
        <v>415974</v>
      </c>
      <c r="GF14" s="139">
        <v>430982</v>
      </c>
      <c r="GG14" s="139">
        <v>98445</v>
      </c>
      <c r="GH14" s="139">
        <v>16325</v>
      </c>
      <c r="GI14" s="139">
        <v>13222</v>
      </c>
      <c r="GJ14" s="139">
        <v>99014</v>
      </c>
      <c r="GK14" s="139">
        <v>1599032</v>
      </c>
      <c r="GL14" s="139">
        <v>1826038</v>
      </c>
      <c r="GM14" s="139">
        <v>6699385</v>
      </c>
      <c r="GN14" s="139">
        <v>1871085</v>
      </c>
      <c r="GO14" s="139">
        <v>1238975</v>
      </c>
      <c r="GP14" s="139">
        <v>8116069</v>
      </c>
      <c r="GQ14" s="139">
        <v>13208635</v>
      </c>
      <c r="GR14" s="139">
        <v>31134149</v>
      </c>
      <c r="GS14" s="139">
        <v>0</v>
      </c>
      <c r="GT14" s="139">
        <v>0</v>
      </c>
      <c r="GU14" s="139">
        <v>0</v>
      </c>
      <c r="GV14" s="139">
        <v>0</v>
      </c>
      <c r="GW14" s="139">
        <v>0</v>
      </c>
      <c r="GX14" s="139">
        <v>0</v>
      </c>
      <c r="GY14" s="139">
        <v>6699385</v>
      </c>
      <c r="GZ14" s="139">
        <v>1871085</v>
      </c>
      <c r="HA14" s="139">
        <v>1238975</v>
      </c>
      <c r="HB14" s="139">
        <v>8116069</v>
      </c>
      <c r="HC14" s="139">
        <v>13208635</v>
      </c>
      <c r="HD14" s="139">
        <v>31134149</v>
      </c>
      <c r="HF14" s="70">
        <f>SUM(AZ14:AZ14)</f>
        <v>902461</v>
      </c>
      <c r="HG14" s="70" t="e">
        <f>#REF!-HF14</f>
        <v>#REF!</v>
      </c>
      <c r="HH14" s="70" t="e">
        <f>SUM(#REF!)</f>
        <v>#REF!</v>
      </c>
      <c r="HI14" s="70" t="e">
        <f>#REF!-HH14</f>
        <v>#REF!</v>
      </c>
      <c r="HJ14" s="70">
        <f>SUM(BA14:BA14)</f>
        <v>1150000</v>
      </c>
      <c r="HK14" s="70" t="e">
        <f>#REF!-HJ14</f>
        <v>#REF!</v>
      </c>
      <c r="HL14" s="70" t="e">
        <f>SUM(#REF!)</f>
        <v>#REF!</v>
      </c>
      <c r="HM14" s="70" t="e">
        <f>BB14-HL14</f>
        <v>#REF!</v>
      </c>
      <c r="HN14" s="70" t="e">
        <f>SUM(#REF!)</f>
        <v>#REF!</v>
      </c>
      <c r="HO14" s="70" t="e">
        <f>#REF!-HN14</f>
        <v>#REF!</v>
      </c>
      <c r="HP14" s="70" t="e">
        <f>SUM(#REF!)</f>
        <v>#REF!</v>
      </c>
      <c r="HQ14" s="70" t="e">
        <f>#REF!-HP14</f>
        <v>#REF!</v>
      </c>
      <c r="HR14" s="70" t="e">
        <f>SUM(#REF!)</f>
        <v>#REF!</v>
      </c>
      <c r="HS14" s="70" t="e">
        <f>#REF!-HR14</f>
        <v>#REF!</v>
      </c>
      <c r="HT14" s="70" t="e">
        <f>SUM(#REF!)</f>
        <v>#REF!</v>
      </c>
      <c r="HU14" s="70" t="e">
        <f>#REF!-HT14</f>
        <v>#REF!</v>
      </c>
      <c r="HV14" s="70" t="e">
        <f>SUM(#REF!)</f>
        <v>#REF!</v>
      </c>
      <c r="HW14" s="70" t="e">
        <f>#REF!-HV14</f>
        <v>#REF!</v>
      </c>
      <c r="HX14" s="70" t="e">
        <f>SUM(#REF!)</f>
        <v>#REF!</v>
      </c>
      <c r="HY14" s="70" t="e">
        <f>#REF!-HX14</f>
        <v>#REF!</v>
      </c>
      <c r="HZ14" s="70">
        <f>SUM(BC14:BC14)</f>
        <v>35656</v>
      </c>
      <c r="IA14" s="70" t="e">
        <f>#REF!-HZ14</f>
        <v>#REF!</v>
      </c>
      <c r="IB14" s="70">
        <f>SUM(BD14:BD14)</f>
        <v>259321</v>
      </c>
      <c r="IC14" s="70" t="e">
        <f>#REF!-IB14</f>
        <v>#REF!</v>
      </c>
      <c r="ID14" s="70">
        <f t="shared" si="0"/>
        <v>249908</v>
      </c>
      <c r="IE14" s="70">
        <f t="shared" si="1"/>
        <v>0</v>
      </c>
      <c r="IF14" s="70">
        <f t="shared" si="2"/>
        <v>156407</v>
      </c>
      <c r="IG14" s="70">
        <f t="shared" si="3"/>
        <v>0</v>
      </c>
      <c r="IH14" s="70">
        <f t="shared" si="4"/>
        <v>200698</v>
      </c>
      <c r="II14" s="70">
        <f t="shared" si="5"/>
        <v>0</v>
      </c>
      <c r="IJ14" s="70">
        <f t="shared" si="6"/>
        <v>31277980</v>
      </c>
      <c r="IK14" s="70">
        <f t="shared" si="7"/>
        <v>0</v>
      </c>
      <c r="IL14" s="70">
        <f t="shared" si="8"/>
        <v>7635181</v>
      </c>
      <c r="IM14" s="70">
        <f t="shared" si="9"/>
        <v>0</v>
      </c>
      <c r="IN14" s="70">
        <f t="shared" si="10"/>
        <v>579087</v>
      </c>
      <c r="IO14" s="70">
        <f t="shared" si="11"/>
        <v>0</v>
      </c>
      <c r="IP14" s="70">
        <f t="shared" si="12"/>
        <v>3985689</v>
      </c>
      <c r="IQ14" s="70">
        <f t="shared" si="13"/>
        <v>0</v>
      </c>
      <c r="IR14" s="70">
        <f t="shared" si="14"/>
        <v>169003</v>
      </c>
      <c r="IS14" s="70">
        <f t="shared" si="15"/>
        <v>0</v>
      </c>
      <c r="IT14" s="70">
        <f t="shared" si="16"/>
        <v>4987646</v>
      </c>
      <c r="IU14" s="70">
        <f t="shared" si="17"/>
        <v>0</v>
      </c>
      <c r="IV14" s="70">
        <f t="shared" si="18"/>
        <v>0</v>
      </c>
      <c r="IW14" s="70">
        <f t="shared" si="19"/>
        <v>0</v>
      </c>
      <c r="IX14" s="70">
        <f t="shared" si="20"/>
        <v>508352</v>
      </c>
      <c r="IY14" s="70">
        <f t="shared" si="21"/>
        <v>0</v>
      </c>
      <c r="IZ14" s="70">
        <f t="shared" si="22"/>
        <v>527129</v>
      </c>
      <c r="JA14" s="70">
        <f t="shared" si="23"/>
        <v>0</v>
      </c>
      <c r="JB14" s="70">
        <f t="shared" si="24"/>
        <v>3131482</v>
      </c>
      <c r="JC14" s="70">
        <f t="shared" si="25"/>
        <v>0</v>
      </c>
      <c r="JD14" s="70">
        <f t="shared" si="26"/>
        <v>878950</v>
      </c>
      <c r="JE14" s="70">
        <f t="shared" si="27"/>
        <v>0</v>
      </c>
      <c r="JF14" s="70">
        <f t="shared" si="28"/>
        <v>797616</v>
      </c>
      <c r="JG14" s="70">
        <f t="shared" si="29"/>
        <v>0</v>
      </c>
      <c r="JH14" s="70">
        <f t="shared" si="30"/>
        <v>1264377</v>
      </c>
      <c r="JI14" s="70">
        <f t="shared" si="31"/>
        <v>0</v>
      </c>
      <c r="JJ14" s="70">
        <f t="shared" si="32"/>
        <v>249908</v>
      </c>
      <c r="JK14" s="70">
        <f t="shared" si="33"/>
        <v>0</v>
      </c>
      <c r="JL14" s="70">
        <f t="shared" si="34"/>
        <v>1321888</v>
      </c>
      <c r="JM14" s="70">
        <f t="shared" si="35"/>
        <v>0</v>
      </c>
      <c r="JN14" s="70">
        <f t="shared" si="36"/>
        <v>14782</v>
      </c>
      <c r="JO14" s="70">
        <f t="shared" si="37"/>
        <v>0</v>
      </c>
      <c r="JP14" s="70">
        <f t="shared" si="38"/>
        <v>2228622</v>
      </c>
      <c r="JQ14" s="70">
        <f t="shared" si="39"/>
        <v>0</v>
      </c>
      <c r="JR14" s="70">
        <f t="shared" si="40"/>
        <v>597417</v>
      </c>
      <c r="JS14" s="70">
        <f t="shared" si="41"/>
        <v>0</v>
      </c>
      <c r="JT14" s="70">
        <f t="shared" si="42"/>
        <v>430982</v>
      </c>
      <c r="JU14" s="70">
        <f t="shared" si="43"/>
        <v>0</v>
      </c>
      <c r="JV14" s="70">
        <f t="shared" si="44"/>
        <v>1826038</v>
      </c>
      <c r="JW14" s="70">
        <f t="shared" si="45"/>
        <v>0</v>
      </c>
      <c r="JX14" s="70">
        <f t="shared" si="46"/>
        <v>31134149</v>
      </c>
      <c r="JY14" s="70">
        <f t="shared" si="47"/>
        <v>0</v>
      </c>
      <c r="JZ14" s="70">
        <f t="shared" si="48"/>
        <v>0</v>
      </c>
      <c r="KA14" s="70">
        <f t="shared" si="49"/>
        <v>0</v>
      </c>
      <c r="KB14" s="70">
        <f t="shared" si="50"/>
        <v>31134149</v>
      </c>
      <c r="KC14" s="70">
        <f t="shared" si="51"/>
        <v>0</v>
      </c>
      <c r="KE14" s="70" t="e">
        <f t="shared" si="52"/>
        <v>#REF!</v>
      </c>
      <c r="KG14" s="68" t="e">
        <f t="shared" si="53"/>
        <v>#REF!</v>
      </c>
    </row>
    <row r="15" spans="1:293">
      <c r="A15" s="181" t="s">
        <v>238</v>
      </c>
      <c r="B15" s="76" t="s">
        <v>359</v>
      </c>
      <c r="C15" s="90">
        <v>110635</v>
      </c>
      <c r="D15" s="90">
        <v>2014</v>
      </c>
      <c r="E15" s="90">
        <v>1</v>
      </c>
      <c r="F15" s="91">
        <v>4</v>
      </c>
      <c r="G15" s="92"/>
      <c r="H15" s="92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14"/>
      <c r="AD15" s="114"/>
      <c r="AE15" s="114"/>
      <c r="AF15" s="115"/>
      <c r="AG15" s="115"/>
      <c r="AH15" s="115"/>
      <c r="AI15" s="115"/>
      <c r="AJ15" s="115"/>
      <c r="AK15" s="116"/>
      <c r="AL15" s="115"/>
      <c r="AM15" s="116"/>
      <c r="AN15" s="115"/>
      <c r="AO15" s="116"/>
      <c r="AP15" s="115"/>
      <c r="AQ15" s="116"/>
      <c r="AR15" s="115"/>
      <c r="AS15" s="116"/>
      <c r="AT15" s="115"/>
      <c r="AU15" s="116"/>
      <c r="AV15" s="115"/>
      <c r="AW15" s="116"/>
      <c r="AX15" s="115"/>
      <c r="AY15" s="116"/>
      <c r="AZ15" s="139">
        <v>10340902</v>
      </c>
      <c r="BA15" s="139">
        <v>0</v>
      </c>
      <c r="BB15" s="139">
        <v>22693205</v>
      </c>
      <c r="BC15" s="139">
        <v>1217936</v>
      </c>
      <c r="BD15" s="139">
        <v>4964488</v>
      </c>
      <c r="BE15" s="139">
        <v>0</v>
      </c>
      <c r="BF15" s="139">
        <v>15233</v>
      </c>
      <c r="BG15" s="139">
        <v>4419</v>
      </c>
      <c r="BH15" s="139">
        <v>615246</v>
      </c>
      <c r="BI15" s="139">
        <v>3380</v>
      </c>
      <c r="BJ15" s="139">
        <v>638278</v>
      </c>
      <c r="BK15" s="139">
        <v>360519</v>
      </c>
      <c r="BL15" s="139">
        <v>150463</v>
      </c>
      <c r="BM15" s="139">
        <v>46629</v>
      </c>
      <c r="BN15" s="139">
        <v>3356822</v>
      </c>
      <c r="BO15" s="139">
        <v>9444366</v>
      </c>
      <c r="BP15" s="139">
        <v>13358799</v>
      </c>
      <c r="BQ15" s="139">
        <v>98881</v>
      </c>
      <c r="BR15" s="139">
        <v>7834</v>
      </c>
      <c r="BS15" s="139">
        <v>17208</v>
      </c>
      <c r="BT15" s="139">
        <v>141055</v>
      </c>
      <c r="BU15" s="139">
        <v>673795</v>
      </c>
      <c r="BV15" s="139">
        <v>938773</v>
      </c>
      <c r="BW15" s="139">
        <v>33265304</v>
      </c>
      <c r="BX15" s="139">
        <v>9658364</v>
      </c>
      <c r="BY15" s="139">
        <v>1214500</v>
      </c>
      <c r="BZ15" s="139">
        <v>9890387</v>
      </c>
      <c r="CA15" s="139">
        <v>36233587</v>
      </c>
      <c r="CB15" s="139">
        <v>90262142</v>
      </c>
      <c r="CC15" s="139">
        <v>2935010</v>
      </c>
      <c r="CD15" s="139">
        <v>471582</v>
      </c>
      <c r="CE15" s="139">
        <v>429391</v>
      </c>
      <c r="CF15" s="139">
        <v>5981881</v>
      </c>
      <c r="CG15" s="139">
        <v>47009</v>
      </c>
      <c r="CH15" s="139">
        <v>9864873</v>
      </c>
      <c r="CI15" s="139">
        <v>925000</v>
      </c>
      <c r="CJ15" s="139">
        <v>491500</v>
      </c>
      <c r="CK15" s="139">
        <v>25000</v>
      </c>
      <c r="CL15" s="139">
        <v>75655</v>
      </c>
      <c r="CM15" s="139">
        <v>0</v>
      </c>
      <c r="CN15" s="139">
        <v>1517155</v>
      </c>
      <c r="CO15" s="139">
        <v>4510260</v>
      </c>
      <c r="CP15" s="139">
        <v>2365656</v>
      </c>
      <c r="CQ15" s="139">
        <v>1102183</v>
      </c>
      <c r="CR15" s="139">
        <v>6671291</v>
      </c>
      <c r="CS15" s="139">
        <v>19664</v>
      </c>
      <c r="CT15" s="139">
        <v>14669054</v>
      </c>
      <c r="CU15" s="139">
        <v>0</v>
      </c>
      <c r="CV15" s="139">
        <v>0</v>
      </c>
      <c r="CW15" s="139">
        <v>0</v>
      </c>
      <c r="CX15" s="139">
        <v>0</v>
      </c>
      <c r="CY15" s="139">
        <v>0</v>
      </c>
      <c r="CZ15" s="139">
        <v>0</v>
      </c>
      <c r="DA15" s="139">
        <v>1540947</v>
      </c>
      <c r="DB15" s="139">
        <v>396006</v>
      </c>
      <c r="DC15" s="139">
        <v>272190</v>
      </c>
      <c r="DD15" s="139">
        <v>554480</v>
      </c>
      <c r="DE15" s="139">
        <v>14486575</v>
      </c>
      <c r="DF15" s="139">
        <v>17250198</v>
      </c>
      <c r="DG15" s="139">
        <v>0</v>
      </c>
      <c r="DH15" s="139">
        <v>0</v>
      </c>
      <c r="DI15" s="139">
        <v>0</v>
      </c>
      <c r="DJ15" s="139">
        <v>0</v>
      </c>
      <c r="DK15" s="139">
        <v>0</v>
      </c>
      <c r="DL15" s="139">
        <v>0</v>
      </c>
      <c r="DM15" s="139">
        <v>2131995</v>
      </c>
      <c r="DN15" s="139">
        <v>41243</v>
      </c>
      <c r="DO15" s="139">
        <v>0</v>
      </c>
      <c r="DP15" s="139">
        <v>0</v>
      </c>
      <c r="DQ15" s="139">
        <v>230042</v>
      </c>
      <c r="DR15" s="139">
        <v>2403280</v>
      </c>
      <c r="DS15" s="139">
        <v>447999</v>
      </c>
      <c r="DT15" s="139">
        <v>116868</v>
      </c>
      <c r="DU15" s="139">
        <v>101962</v>
      </c>
      <c r="DV15" s="139">
        <v>387842</v>
      </c>
      <c r="DW15" s="139">
        <v>87912</v>
      </c>
      <c r="DX15" s="139">
        <v>1142583</v>
      </c>
      <c r="DY15" s="139">
        <v>1493533</v>
      </c>
      <c r="DZ15" s="139">
        <v>543626</v>
      </c>
      <c r="EA15" s="139">
        <v>412756</v>
      </c>
      <c r="EB15" s="139">
        <v>3476354</v>
      </c>
      <c r="EC15" s="139">
        <v>190668</v>
      </c>
      <c r="ED15" s="139">
        <v>6116937</v>
      </c>
      <c r="EE15" s="139">
        <v>1213223</v>
      </c>
      <c r="EF15" s="139">
        <v>141153</v>
      </c>
      <c r="EG15" s="139">
        <v>101935</v>
      </c>
      <c r="EH15" s="139">
        <v>1680697</v>
      </c>
      <c r="EI15" s="139">
        <v>66079</v>
      </c>
      <c r="EJ15" s="139">
        <v>3203087</v>
      </c>
      <c r="EK15" s="139">
        <v>2548475</v>
      </c>
      <c r="EL15" s="139">
        <v>330899</v>
      </c>
      <c r="EM15" s="139">
        <v>179561</v>
      </c>
      <c r="EN15" s="139">
        <v>537904</v>
      </c>
      <c r="EO15" s="139">
        <v>5996</v>
      </c>
      <c r="EP15" s="139">
        <v>3602835</v>
      </c>
      <c r="EQ15" s="139">
        <v>1278732</v>
      </c>
      <c r="ER15" s="139">
        <v>517845</v>
      </c>
      <c r="ES15" s="139">
        <v>137303</v>
      </c>
      <c r="ET15" s="139">
        <v>296143</v>
      </c>
      <c r="EU15" s="139">
        <v>1941592</v>
      </c>
      <c r="EV15" s="139">
        <v>4171615</v>
      </c>
      <c r="EW15" s="139">
        <v>0</v>
      </c>
      <c r="EX15" s="139">
        <v>0</v>
      </c>
      <c r="EY15" s="139">
        <v>0</v>
      </c>
      <c r="EZ15" s="139">
        <v>331339</v>
      </c>
      <c r="FA15" s="139">
        <v>18537</v>
      </c>
      <c r="FB15" s="139">
        <v>349876</v>
      </c>
      <c r="FC15" s="139">
        <v>108972</v>
      </c>
      <c r="FD15" s="139">
        <v>49235</v>
      </c>
      <c r="FE15" s="139">
        <v>8760</v>
      </c>
      <c r="FF15" s="139">
        <v>530836</v>
      </c>
      <c r="FG15" s="139">
        <v>3748337</v>
      </c>
      <c r="FH15" s="139">
        <v>4446140</v>
      </c>
      <c r="FI15" s="139">
        <v>14497</v>
      </c>
      <c r="FJ15" s="139">
        <v>1044</v>
      </c>
      <c r="FK15" s="139">
        <v>14803</v>
      </c>
      <c r="FL15" s="139">
        <v>0</v>
      </c>
      <c r="FM15" s="139">
        <v>118868</v>
      </c>
      <c r="FN15" s="139">
        <v>149212</v>
      </c>
      <c r="FO15" s="139">
        <v>0</v>
      </c>
      <c r="FP15" s="139">
        <v>0</v>
      </c>
      <c r="FQ15" s="139">
        <v>0</v>
      </c>
      <c r="FR15" s="139">
        <v>0</v>
      </c>
      <c r="FS15" s="139">
        <v>0</v>
      </c>
      <c r="FT15" s="139">
        <v>0</v>
      </c>
      <c r="FU15" s="139">
        <v>223655</v>
      </c>
      <c r="FV15" s="139">
        <v>12529</v>
      </c>
      <c r="FW15" s="139">
        <v>19140</v>
      </c>
      <c r="FX15" s="139">
        <v>559431</v>
      </c>
      <c r="FY15" s="139">
        <v>614761</v>
      </c>
      <c r="FZ15" s="139">
        <v>1429516</v>
      </c>
      <c r="GA15" s="139">
        <v>920</v>
      </c>
      <c r="GB15" s="139">
        <v>250</v>
      </c>
      <c r="GC15" s="139">
        <v>787</v>
      </c>
      <c r="GD15" s="139">
        <v>31740</v>
      </c>
      <c r="GE15" s="139">
        <v>15398</v>
      </c>
      <c r="GF15" s="139">
        <v>49095</v>
      </c>
      <c r="GG15" s="139">
        <v>823693</v>
      </c>
      <c r="GH15" s="139">
        <v>225423</v>
      </c>
      <c r="GI15" s="139">
        <v>143470</v>
      </c>
      <c r="GJ15" s="139">
        <v>281856</v>
      </c>
      <c r="GK15" s="139">
        <v>1122886</v>
      </c>
      <c r="GL15" s="139">
        <v>2597328</v>
      </c>
      <c r="GM15" s="139">
        <v>22176916</v>
      </c>
      <c r="GN15" s="139">
        <v>6287360</v>
      </c>
      <c r="GO15" s="139">
        <v>2999691</v>
      </c>
      <c r="GP15" s="139">
        <v>21520664</v>
      </c>
      <c r="GQ15" s="139">
        <v>23461640</v>
      </c>
      <c r="GR15" s="139">
        <v>76446271</v>
      </c>
      <c r="GS15" s="139">
        <v>1980005</v>
      </c>
      <c r="GT15" s="139">
        <v>582501</v>
      </c>
      <c r="GU15" s="139">
        <v>50450</v>
      </c>
      <c r="GV15" s="139">
        <v>123215</v>
      </c>
      <c r="GW15" s="139">
        <v>747316</v>
      </c>
      <c r="GX15" s="139">
        <v>3483487</v>
      </c>
      <c r="GY15" s="141">
        <v>22176916</v>
      </c>
      <c r="GZ15" s="141">
        <v>6287360</v>
      </c>
      <c r="HA15" s="141">
        <v>2999691</v>
      </c>
      <c r="HB15" s="141">
        <v>21520664</v>
      </c>
      <c r="HC15" s="141">
        <v>23461640</v>
      </c>
      <c r="HD15" s="141">
        <v>76446271</v>
      </c>
      <c r="HF15" s="70">
        <f>SUM(AZ15:AZ15)</f>
        <v>10340902</v>
      </c>
      <c r="HG15" s="70" t="e">
        <f>#REF!-HF15</f>
        <v>#REF!</v>
      </c>
      <c r="HH15" s="70" t="e">
        <f>SUM(#REF!)</f>
        <v>#REF!</v>
      </c>
      <c r="HI15" s="70" t="e">
        <f>#REF!-HH15</f>
        <v>#REF!</v>
      </c>
      <c r="HJ15" s="70">
        <f>SUM(BA15:BA15)</f>
        <v>0</v>
      </c>
      <c r="HK15" s="70" t="e">
        <f>#REF!-HJ15</f>
        <v>#REF!</v>
      </c>
      <c r="HL15" s="70" t="e">
        <f>SUM(#REF!)</f>
        <v>#REF!</v>
      </c>
      <c r="HM15" s="70" t="e">
        <f>BB15-HL15</f>
        <v>#REF!</v>
      </c>
      <c r="HN15" s="70" t="e">
        <f>SUM(#REF!)</f>
        <v>#REF!</v>
      </c>
      <c r="HO15" s="70" t="e">
        <f>#REF!-HN15</f>
        <v>#REF!</v>
      </c>
      <c r="HP15" s="70" t="e">
        <f>SUM(#REF!)</f>
        <v>#REF!</v>
      </c>
      <c r="HQ15" s="70" t="e">
        <f>#REF!-HP15</f>
        <v>#REF!</v>
      </c>
      <c r="HR15" s="70" t="e">
        <f>SUM(#REF!)</f>
        <v>#REF!</v>
      </c>
      <c r="HS15" s="70" t="e">
        <f>#REF!-HR15</f>
        <v>#REF!</v>
      </c>
      <c r="HT15" s="70" t="e">
        <f>SUM(#REF!)</f>
        <v>#REF!</v>
      </c>
      <c r="HU15" s="70" t="e">
        <f>#REF!-HT15</f>
        <v>#REF!</v>
      </c>
      <c r="HV15" s="70" t="e">
        <f>SUM(#REF!)</f>
        <v>#REF!</v>
      </c>
      <c r="HW15" s="70" t="e">
        <f>#REF!-HV15</f>
        <v>#REF!</v>
      </c>
      <c r="HX15" s="70" t="e">
        <f>SUM(#REF!)</f>
        <v>#REF!</v>
      </c>
      <c r="HY15" s="70" t="e">
        <f>#REF!-HX15</f>
        <v>#REF!</v>
      </c>
      <c r="HZ15" s="70">
        <f>SUM(BC15:BC15)</f>
        <v>1217936</v>
      </c>
      <c r="IA15" s="70" t="e">
        <f>#REF!-HZ15</f>
        <v>#REF!</v>
      </c>
      <c r="IB15" s="70">
        <f>SUM(BD15:BD15)</f>
        <v>4964488</v>
      </c>
      <c r="IC15" s="70" t="e">
        <f>#REF!-IB15</f>
        <v>#REF!</v>
      </c>
      <c r="ID15" s="70">
        <f t="shared" si="0"/>
        <v>638278</v>
      </c>
      <c r="IE15" s="70">
        <f t="shared" si="1"/>
        <v>0</v>
      </c>
      <c r="IF15" s="70">
        <f t="shared" si="2"/>
        <v>13358799</v>
      </c>
      <c r="IG15" s="70">
        <f t="shared" si="3"/>
        <v>0</v>
      </c>
      <c r="IH15" s="70">
        <f t="shared" si="4"/>
        <v>938773</v>
      </c>
      <c r="II15" s="70">
        <f t="shared" si="5"/>
        <v>0</v>
      </c>
      <c r="IJ15" s="70">
        <f t="shared" si="6"/>
        <v>90262142</v>
      </c>
      <c r="IK15" s="70">
        <f t="shared" si="7"/>
        <v>0</v>
      </c>
      <c r="IL15" s="70">
        <f t="shared" si="8"/>
        <v>9864873</v>
      </c>
      <c r="IM15" s="70">
        <f t="shared" si="9"/>
        <v>0</v>
      </c>
      <c r="IN15" s="70">
        <f t="shared" si="10"/>
        <v>1517155</v>
      </c>
      <c r="IO15" s="70">
        <f t="shared" si="11"/>
        <v>0</v>
      </c>
      <c r="IP15" s="70">
        <f t="shared" si="12"/>
        <v>14669054</v>
      </c>
      <c r="IQ15" s="70">
        <f t="shared" si="13"/>
        <v>0</v>
      </c>
      <c r="IR15" s="70">
        <f>SUM(DA15:DE15)</f>
        <v>17250198</v>
      </c>
      <c r="IS15" s="70">
        <f>DF15-IR15</f>
        <v>0</v>
      </c>
      <c r="IT15" s="70">
        <f t="shared" si="16"/>
        <v>17250198</v>
      </c>
      <c r="IU15" s="70">
        <f t="shared" si="17"/>
        <v>0</v>
      </c>
      <c r="IV15" s="70">
        <f t="shared" si="18"/>
        <v>0</v>
      </c>
      <c r="IW15" s="70">
        <f t="shared" si="19"/>
        <v>0</v>
      </c>
      <c r="IX15" s="70">
        <f t="shared" si="20"/>
        <v>2403280</v>
      </c>
      <c r="IY15" s="70">
        <f t="shared" si="21"/>
        <v>0</v>
      </c>
      <c r="IZ15" s="70">
        <f t="shared" si="22"/>
        <v>1142583</v>
      </c>
      <c r="JA15" s="70">
        <f t="shared" si="23"/>
        <v>0</v>
      </c>
      <c r="JB15" s="70">
        <f t="shared" si="24"/>
        <v>6116937</v>
      </c>
      <c r="JC15" s="70">
        <f t="shared" si="25"/>
        <v>0</v>
      </c>
      <c r="JD15" s="70">
        <f t="shared" si="26"/>
        <v>3203087</v>
      </c>
      <c r="JE15" s="70">
        <f t="shared" si="27"/>
        <v>0</v>
      </c>
      <c r="JF15" s="70">
        <f t="shared" si="28"/>
        <v>3602835</v>
      </c>
      <c r="JG15" s="70">
        <f t="shared" si="29"/>
        <v>0</v>
      </c>
      <c r="JH15" s="70">
        <f t="shared" si="30"/>
        <v>4171615</v>
      </c>
      <c r="JI15" s="70">
        <f t="shared" si="31"/>
        <v>0</v>
      </c>
      <c r="JJ15" s="70">
        <f t="shared" si="32"/>
        <v>349876</v>
      </c>
      <c r="JK15" s="70">
        <f t="shared" si="33"/>
        <v>0</v>
      </c>
      <c r="JL15" s="70">
        <f t="shared" si="34"/>
        <v>4446140</v>
      </c>
      <c r="JM15" s="70">
        <f t="shared" si="35"/>
        <v>0</v>
      </c>
      <c r="JN15" s="70">
        <f t="shared" si="36"/>
        <v>149212</v>
      </c>
      <c r="JO15" s="70">
        <f t="shared" si="37"/>
        <v>0</v>
      </c>
      <c r="JP15" s="70">
        <f t="shared" si="38"/>
        <v>0</v>
      </c>
      <c r="JQ15" s="70">
        <f t="shared" si="39"/>
        <v>0</v>
      </c>
      <c r="JR15" s="70">
        <f t="shared" si="40"/>
        <v>1429516</v>
      </c>
      <c r="JS15" s="70">
        <f t="shared" si="41"/>
        <v>0</v>
      </c>
      <c r="JT15" s="70">
        <f t="shared" si="42"/>
        <v>49095</v>
      </c>
      <c r="JU15" s="70">
        <f t="shared" si="43"/>
        <v>0</v>
      </c>
      <c r="JV15" s="70">
        <f t="shared" si="44"/>
        <v>2597328</v>
      </c>
      <c r="JW15" s="70">
        <f t="shared" si="45"/>
        <v>0</v>
      </c>
      <c r="JX15" s="70">
        <f t="shared" si="46"/>
        <v>76446271</v>
      </c>
      <c r="JY15" s="70">
        <f t="shared" si="47"/>
        <v>0</v>
      </c>
      <c r="JZ15" s="70">
        <f t="shared" si="48"/>
        <v>3483487</v>
      </c>
      <c r="KA15" s="70">
        <f t="shared" si="49"/>
        <v>0</v>
      </c>
      <c r="KB15" s="70">
        <f t="shared" si="50"/>
        <v>76446271</v>
      </c>
      <c r="KC15" s="70">
        <f t="shared" si="51"/>
        <v>0</v>
      </c>
      <c r="KE15" s="70" t="e">
        <f t="shared" si="52"/>
        <v>#REF!</v>
      </c>
      <c r="KG15" s="68" t="e">
        <f t="shared" si="53"/>
        <v>#REF!</v>
      </c>
    </row>
    <row r="16" spans="1:293">
      <c r="A16" s="180" t="s">
        <v>216</v>
      </c>
      <c r="B16" s="76" t="s">
        <v>360</v>
      </c>
      <c r="C16" s="90">
        <v>169248</v>
      </c>
      <c r="D16" s="90">
        <v>2014</v>
      </c>
      <c r="E16" s="90">
        <v>1</v>
      </c>
      <c r="F16" s="91">
        <v>9</v>
      </c>
      <c r="G16" s="92">
        <v>8974</v>
      </c>
      <c r="H16" s="92">
        <v>10394</v>
      </c>
      <c r="I16" s="93">
        <v>439118087</v>
      </c>
      <c r="J16" s="93">
        <v>417668905</v>
      </c>
      <c r="K16" s="93">
        <v>1841235</v>
      </c>
      <c r="L16" s="93">
        <v>1842315</v>
      </c>
      <c r="M16" s="93">
        <v>13126293</v>
      </c>
      <c r="N16" s="93">
        <v>13702817</v>
      </c>
      <c r="O16" s="93">
        <v>17985068</v>
      </c>
      <c r="P16" s="93">
        <v>20398914</v>
      </c>
      <c r="Q16" s="93">
        <v>133354929</v>
      </c>
      <c r="R16" s="93">
        <v>142881234</v>
      </c>
      <c r="S16" s="93">
        <v>302475944</v>
      </c>
      <c r="T16" s="93">
        <v>84572670</v>
      </c>
      <c r="U16" s="93">
        <v>20564</v>
      </c>
      <c r="V16" s="93">
        <v>20126</v>
      </c>
      <c r="W16" s="93">
        <v>33014</v>
      </c>
      <c r="X16" s="93">
        <v>32846</v>
      </c>
      <c r="Y16" s="93">
        <v>22004</v>
      </c>
      <c r="Z16" s="93">
        <v>21568</v>
      </c>
      <c r="AA16" s="93">
        <v>35444</v>
      </c>
      <c r="AB16" s="93">
        <v>34288</v>
      </c>
      <c r="AC16" s="114">
        <v>7</v>
      </c>
      <c r="AD16" s="114">
        <v>10</v>
      </c>
      <c r="AE16" s="114">
        <v>0</v>
      </c>
      <c r="AF16" s="115">
        <v>2982712</v>
      </c>
      <c r="AG16" s="115">
        <v>2526972</v>
      </c>
      <c r="AH16" s="115">
        <v>350148</v>
      </c>
      <c r="AI16" s="115">
        <v>173303</v>
      </c>
      <c r="AJ16" s="115">
        <v>231081</v>
      </c>
      <c r="AK16" s="116">
        <v>5</v>
      </c>
      <c r="AL16" s="115">
        <v>231081</v>
      </c>
      <c r="AM16" s="116">
        <v>5</v>
      </c>
      <c r="AN16" s="115">
        <v>137424</v>
      </c>
      <c r="AO16" s="116">
        <v>8</v>
      </c>
      <c r="AP16" s="115">
        <v>137424</v>
      </c>
      <c r="AQ16" s="116">
        <v>8</v>
      </c>
      <c r="AR16" s="115">
        <v>104031</v>
      </c>
      <c r="AS16" s="116">
        <v>21</v>
      </c>
      <c r="AT16" s="115">
        <v>104031</v>
      </c>
      <c r="AU16" s="116">
        <v>21</v>
      </c>
      <c r="AV16" s="115">
        <v>64400</v>
      </c>
      <c r="AW16" s="116">
        <v>14</v>
      </c>
      <c r="AX16" s="115">
        <v>64400</v>
      </c>
      <c r="AY16" s="116">
        <v>14</v>
      </c>
      <c r="AZ16" s="142">
        <v>499226</v>
      </c>
      <c r="BA16" s="142">
        <v>2625000</v>
      </c>
      <c r="BB16" s="142">
        <v>1253633</v>
      </c>
      <c r="BC16" s="142">
        <v>92707</v>
      </c>
      <c r="BD16" s="142">
        <v>0</v>
      </c>
      <c r="BE16" s="142">
        <v>41873</v>
      </c>
      <c r="BF16" s="142">
        <v>153463</v>
      </c>
      <c r="BG16" s="142">
        <v>67813</v>
      </c>
      <c r="BH16" s="142">
        <v>414045</v>
      </c>
      <c r="BI16" s="142">
        <v>-43717</v>
      </c>
      <c r="BJ16" s="142">
        <v>633477</v>
      </c>
      <c r="BK16" s="142">
        <v>92721</v>
      </c>
      <c r="BL16" s="142">
        <v>0</v>
      </c>
      <c r="BM16" s="142">
        <v>20865</v>
      </c>
      <c r="BN16" s="142">
        <v>270222</v>
      </c>
      <c r="BO16" s="142">
        <v>475361</v>
      </c>
      <c r="BP16" s="142">
        <v>859169</v>
      </c>
      <c r="BQ16" s="142">
        <v>20243</v>
      </c>
      <c r="BR16" s="142">
        <v>0</v>
      </c>
      <c r="BS16" s="142">
        <v>0</v>
      </c>
      <c r="BT16" s="142">
        <v>1093</v>
      </c>
      <c r="BU16" s="142">
        <v>2369</v>
      </c>
      <c r="BV16" s="142">
        <v>23705</v>
      </c>
      <c r="BW16" s="142">
        <v>3899928</v>
      </c>
      <c r="BX16" s="142">
        <v>412443</v>
      </c>
      <c r="BY16" s="142">
        <v>194598</v>
      </c>
      <c r="BZ16" s="142">
        <v>1126123</v>
      </c>
      <c r="CA16" s="142">
        <v>23648685</v>
      </c>
      <c r="CB16" s="142">
        <v>29281777</v>
      </c>
      <c r="CC16" s="142">
        <v>1816113</v>
      </c>
      <c r="CD16" s="142">
        <v>327409</v>
      </c>
      <c r="CE16" s="142">
        <v>346934</v>
      </c>
      <c r="CF16" s="142">
        <v>2845091</v>
      </c>
      <c r="CG16" s="142">
        <v>174137</v>
      </c>
      <c r="CH16" s="142">
        <v>5509684</v>
      </c>
      <c r="CI16" s="142">
        <v>345000</v>
      </c>
      <c r="CJ16" s="142">
        <v>68500</v>
      </c>
      <c r="CK16" s="142">
        <v>0</v>
      </c>
      <c r="CL16" s="142">
        <v>0</v>
      </c>
      <c r="CM16" s="142">
        <v>0</v>
      </c>
      <c r="CN16" s="142">
        <v>413500</v>
      </c>
      <c r="CO16" s="142">
        <v>1483658</v>
      </c>
      <c r="CP16" s="142">
        <v>752232</v>
      </c>
      <c r="CQ16" s="142">
        <v>557245</v>
      </c>
      <c r="CR16" s="142">
        <v>2550741</v>
      </c>
      <c r="CS16" s="142">
        <v>0</v>
      </c>
      <c r="CT16" s="142">
        <v>5343876</v>
      </c>
      <c r="CU16" s="139">
        <v>0</v>
      </c>
      <c r="CV16" s="139">
        <v>0</v>
      </c>
      <c r="CW16" s="139">
        <v>0</v>
      </c>
      <c r="CX16" s="139">
        <v>0</v>
      </c>
      <c r="CY16" s="139">
        <v>0</v>
      </c>
      <c r="CZ16" s="139">
        <v>0</v>
      </c>
      <c r="DA16" s="142">
        <v>318337</v>
      </c>
      <c r="DB16" s="142">
        <v>78937</v>
      </c>
      <c r="DC16" s="142">
        <v>61984</v>
      </c>
      <c r="DD16" s="142">
        <v>240431</v>
      </c>
      <c r="DE16" s="142">
        <v>3551040</v>
      </c>
      <c r="DF16" s="142">
        <v>4250729</v>
      </c>
      <c r="DG16" s="139">
        <v>0</v>
      </c>
      <c r="DH16" s="139">
        <v>0</v>
      </c>
      <c r="DI16" s="139">
        <v>0</v>
      </c>
      <c r="DJ16" s="139">
        <v>0</v>
      </c>
      <c r="DK16" s="139">
        <v>0</v>
      </c>
      <c r="DL16" s="139">
        <v>0</v>
      </c>
      <c r="DM16" s="139">
        <v>0</v>
      </c>
      <c r="DN16" s="139">
        <v>0</v>
      </c>
      <c r="DO16" s="139">
        <v>0</v>
      </c>
      <c r="DP16" s="139">
        <v>0</v>
      </c>
      <c r="DQ16" s="139">
        <v>0</v>
      </c>
      <c r="DR16" s="139">
        <v>0</v>
      </c>
      <c r="DS16" s="139">
        <v>199220</v>
      </c>
      <c r="DT16" s="139">
        <v>76071</v>
      </c>
      <c r="DU16" s="139">
        <v>52768</v>
      </c>
      <c r="DV16" s="139">
        <v>195428</v>
      </c>
      <c r="DW16" s="139">
        <v>143301</v>
      </c>
      <c r="DX16" s="139">
        <v>666788</v>
      </c>
      <c r="DY16" s="139">
        <v>572730</v>
      </c>
      <c r="DZ16" s="139">
        <v>170740</v>
      </c>
      <c r="EA16" s="139">
        <v>211949</v>
      </c>
      <c r="EB16" s="139">
        <v>879031</v>
      </c>
      <c r="EC16" s="139">
        <v>113079</v>
      </c>
      <c r="ED16" s="139">
        <v>1947529</v>
      </c>
      <c r="EE16" s="139">
        <v>241748</v>
      </c>
      <c r="EF16" s="139">
        <v>29708</v>
      </c>
      <c r="EG16" s="139">
        <v>31007</v>
      </c>
      <c r="EH16" s="139">
        <v>261328</v>
      </c>
      <c r="EI16" s="139">
        <v>788353</v>
      </c>
      <c r="EJ16" s="139">
        <v>1352144</v>
      </c>
      <c r="EK16" s="139">
        <v>205497</v>
      </c>
      <c r="EL16" s="139">
        <v>129331</v>
      </c>
      <c r="EM16" s="139">
        <v>47336</v>
      </c>
      <c r="EN16" s="139">
        <v>101835</v>
      </c>
      <c r="EO16" s="139">
        <v>351570</v>
      </c>
      <c r="EP16" s="139">
        <v>835569</v>
      </c>
      <c r="EQ16" s="139">
        <v>61122</v>
      </c>
      <c r="ER16" s="139">
        <v>6165</v>
      </c>
      <c r="ES16" s="139">
        <v>7184</v>
      </c>
      <c r="ET16" s="139">
        <v>28538</v>
      </c>
      <c r="EU16" s="139">
        <v>303221</v>
      </c>
      <c r="EV16" s="139">
        <v>406230</v>
      </c>
      <c r="EW16" s="139">
        <v>0</v>
      </c>
      <c r="EX16" s="139">
        <v>0</v>
      </c>
      <c r="EY16" s="139">
        <v>0</v>
      </c>
      <c r="EZ16" s="139">
        <v>0</v>
      </c>
      <c r="FA16" s="139">
        <v>0</v>
      </c>
      <c r="FB16" s="139">
        <v>0</v>
      </c>
      <c r="FC16" s="139">
        <v>96680</v>
      </c>
      <c r="FD16" s="139">
        <v>3732</v>
      </c>
      <c r="FE16" s="139">
        <v>28790</v>
      </c>
      <c r="FF16" s="139">
        <v>256036</v>
      </c>
      <c r="FG16" s="139">
        <v>4693766</v>
      </c>
      <c r="FH16" s="139">
        <v>5079004</v>
      </c>
      <c r="FI16" s="139">
        <v>0</v>
      </c>
      <c r="FJ16" s="139">
        <v>0</v>
      </c>
      <c r="FK16" s="139">
        <v>0</v>
      </c>
      <c r="FL16" s="139">
        <v>0</v>
      </c>
      <c r="FM16" s="139">
        <v>0</v>
      </c>
      <c r="FN16" s="139">
        <v>0</v>
      </c>
      <c r="FO16" s="139">
        <v>0</v>
      </c>
      <c r="FP16" s="139">
        <v>0</v>
      </c>
      <c r="FQ16" s="139">
        <v>0</v>
      </c>
      <c r="FR16" s="139">
        <v>0</v>
      </c>
      <c r="FS16" s="139">
        <v>0</v>
      </c>
      <c r="FT16" s="139">
        <v>0</v>
      </c>
      <c r="FU16" s="139">
        <v>64987</v>
      </c>
      <c r="FV16" s="139">
        <v>0</v>
      </c>
      <c r="FW16" s="139">
        <v>0</v>
      </c>
      <c r="FX16" s="139">
        <v>5000</v>
      </c>
      <c r="FY16" s="139">
        <v>329692</v>
      </c>
      <c r="FZ16" s="139">
        <v>399679</v>
      </c>
      <c r="GA16" s="139">
        <v>1460</v>
      </c>
      <c r="GB16" s="139">
        <v>1201</v>
      </c>
      <c r="GC16" s="139">
        <v>1980</v>
      </c>
      <c r="GD16" s="139">
        <v>8687</v>
      </c>
      <c r="GE16" s="139">
        <v>149227</v>
      </c>
      <c r="GF16" s="139">
        <v>162555</v>
      </c>
      <c r="GG16" s="139">
        <v>249473</v>
      </c>
      <c r="GH16" s="139">
        <v>40568</v>
      </c>
      <c r="GI16" s="139">
        <v>23032</v>
      </c>
      <c r="GJ16" s="139">
        <v>2345317</v>
      </c>
      <c r="GK16" s="139">
        <v>256100</v>
      </c>
      <c r="GL16" s="139">
        <v>2914490</v>
      </c>
      <c r="GM16" s="139">
        <v>5995025</v>
      </c>
      <c r="GN16" s="139">
        <v>1754614</v>
      </c>
      <c r="GO16" s="139">
        <v>1370209</v>
      </c>
      <c r="GP16" s="139">
        <v>20161929</v>
      </c>
      <c r="GQ16" s="139">
        <v>0</v>
      </c>
      <c r="GR16" s="139">
        <v>29281777</v>
      </c>
      <c r="GS16" s="139">
        <v>0</v>
      </c>
      <c r="GT16" s="139">
        <v>0</v>
      </c>
      <c r="GU16" s="139">
        <v>0</v>
      </c>
      <c r="GV16" s="139">
        <v>0</v>
      </c>
      <c r="GW16" s="139">
        <v>0</v>
      </c>
      <c r="GX16" s="139">
        <v>0</v>
      </c>
      <c r="GY16" s="139">
        <v>5995025</v>
      </c>
      <c r="GZ16" s="139">
        <v>1754614</v>
      </c>
      <c r="HA16" s="139">
        <v>1370209</v>
      </c>
      <c r="HB16" s="139">
        <v>7220331</v>
      </c>
      <c r="HC16" s="139">
        <v>12941598</v>
      </c>
      <c r="HD16" s="139">
        <v>29281777</v>
      </c>
      <c r="HF16" s="70">
        <f>SUM(AZ16:AZ16)</f>
        <v>499226</v>
      </c>
      <c r="HG16" s="70" t="e">
        <f>#REF!-HF16</f>
        <v>#REF!</v>
      </c>
      <c r="HH16" s="70" t="e">
        <f>SUM(#REF!)</f>
        <v>#REF!</v>
      </c>
      <c r="HI16" s="70" t="e">
        <f>#REF!-HH16</f>
        <v>#REF!</v>
      </c>
      <c r="HJ16" s="70">
        <f>SUM(BA16:BA16)</f>
        <v>2625000</v>
      </c>
      <c r="HK16" s="70" t="e">
        <f>#REF!-HJ16</f>
        <v>#REF!</v>
      </c>
      <c r="HL16" s="70" t="e">
        <f>SUM(#REF!)</f>
        <v>#REF!</v>
      </c>
      <c r="HM16" s="70" t="e">
        <f>BB16-HL16</f>
        <v>#REF!</v>
      </c>
      <c r="HN16" s="70" t="e">
        <f>SUM(#REF!)</f>
        <v>#REF!</v>
      </c>
      <c r="HO16" s="70" t="e">
        <f>#REF!-HN16</f>
        <v>#REF!</v>
      </c>
      <c r="HP16" s="70" t="e">
        <f>SUM(#REF!)</f>
        <v>#REF!</v>
      </c>
      <c r="HQ16" s="70" t="e">
        <f>#REF!-HP16</f>
        <v>#REF!</v>
      </c>
      <c r="HR16" s="70" t="e">
        <f>SUM(#REF!)</f>
        <v>#REF!</v>
      </c>
      <c r="HS16" s="70" t="e">
        <f>#REF!-HR16</f>
        <v>#REF!</v>
      </c>
      <c r="HT16" s="70" t="e">
        <f>SUM(#REF!)</f>
        <v>#REF!</v>
      </c>
      <c r="HU16" s="70" t="e">
        <f>#REF!-HT16</f>
        <v>#REF!</v>
      </c>
      <c r="HV16" s="70" t="e">
        <f>SUM(#REF!)</f>
        <v>#REF!</v>
      </c>
      <c r="HW16" s="70" t="e">
        <f>#REF!-HV16</f>
        <v>#REF!</v>
      </c>
      <c r="HX16" s="70" t="e">
        <f>SUM(#REF!)</f>
        <v>#REF!</v>
      </c>
      <c r="HY16" s="70" t="e">
        <f>#REF!-HX16</f>
        <v>#REF!</v>
      </c>
      <c r="HZ16" s="70">
        <f>SUM(BC16:BC16)</f>
        <v>92707</v>
      </c>
      <c r="IA16" s="70" t="e">
        <f>#REF!-HZ16</f>
        <v>#REF!</v>
      </c>
      <c r="IB16" s="70">
        <f>SUM(BD16:BD16)</f>
        <v>0</v>
      </c>
      <c r="IC16" s="70" t="e">
        <f>#REF!-IB16</f>
        <v>#REF!</v>
      </c>
      <c r="ID16" s="70">
        <f t="shared" si="0"/>
        <v>633477</v>
      </c>
      <c r="IE16" s="70">
        <f t="shared" si="1"/>
        <v>0</v>
      </c>
      <c r="IF16" s="70">
        <f t="shared" si="2"/>
        <v>859169</v>
      </c>
      <c r="IG16" s="70">
        <f t="shared" si="3"/>
        <v>0</v>
      </c>
      <c r="IH16" s="70">
        <f t="shared" si="4"/>
        <v>23705</v>
      </c>
      <c r="II16" s="70">
        <f t="shared" si="5"/>
        <v>0</v>
      </c>
      <c r="IJ16" s="70">
        <f t="shared" si="6"/>
        <v>29281777</v>
      </c>
      <c r="IK16" s="70">
        <f t="shared" si="7"/>
        <v>0</v>
      </c>
      <c r="IL16" s="70">
        <f t="shared" si="8"/>
        <v>5509684</v>
      </c>
      <c r="IM16" s="70">
        <f t="shared" si="9"/>
        <v>0</v>
      </c>
      <c r="IN16" s="70">
        <f t="shared" si="10"/>
        <v>413500</v>
      </c>
      <c r="IO16" s="70">
        <f t="shared" si="11"/>
        <v>0</v>
      </c>
      <c r="IP16" s="70">
        <f t="shared" si="12"/>
        <v>5343876</v>
      </c>
      <c r="IQ16" s="70">
        <f t="shared" si="13"/>
        <v>0</v>
      </c>
      <c r="IR16" s="70">
        <f t="shared" ref="IR16:IR46" si="54">SUM(CU16:CY16)</f>
        <v>0</v>
      </c>
      <c r="IS16" s="70">
        <f t="shared" ref="IS16:IS46" si="55">CZ16-IR16</f>
        <v>0</v>
      </c>
      <c r="IT16" s="70">
        <f t="shared" si="16"/>
        <v>4250729</v>
      </c>
      <c r="IU16" s="70">
        <f t="shared" si="17"/>
        <v>0</v>
      </c>
      <c r="IV16" s="70">
        <f t="shared" si="18"/>
        <v>0</v>
      </c>
      <c r="IW16" s="70">
        <f t="shared" si="19"/>
        <v>0</v>
      </c>
      <c r="IX16" s="70">
        <f t="shared" si="20"/>
        <v>0</v>
      </c>
      <c r="IY16" s="70">
        <f t="shared" si="21"/>
        <v>0</v>
      </c>
      <c r="IZ16" s="70">
        <f t="shared" si="22"/>
        <v>666788</v>
      </c>
      <c r="JA16" s="70">
        <f t="shared" si="23"/>
        <v>0</v>
      </c>
      <c r="JB16" s="70">
        <f t="shared" si="24"/>
        <v>1947529</v>
      </c>
      <c r="JC16" s="70">
        <f t="shared" si="25"/>
        <v>0</v>
      </c>
      <c r="JD16" s="70">
        <f t="shared" si="26"/>
        <v>1352144</v>
      </c>
      <c r="JE16" s="70">
        <f t="shared" si="27"/>
        <v>0</v>
      </c>
      <c r="JF16" s="70">
        <f t="shared" si="28"/>
        <v>835569</v>
      </c>
      <c r="JG16" s="70">
        <f t="shared" si="29"/>
        <v>0</v>
      </c>
      <c r="JH16" s="70">
        <f t="shared" si="30"/>
        <v>406230</v>
      </c>
      <c r="JI16" s="70">
        <f t="shared" si="31"/>
        <v>0</v>
      </c>
      <c r="JJ16" s="70">
        <f t="shared" si="32"/>
        <v>0</v>
      </c>
      <c r="JK16" s="70">
        <f t="shared" si="33"/>
        <v>0</v>
      </c>
      <c r="JL16" s="70">
        <f t="shared" si="34"/>
        <v>5079004</v>
      </c>
      <c r="JM16" s="70">
        <f t="shared" si="35"/>
        <v>0</v>
      </c>
      <c r="JN16" s="70">
        <f t="shared" si="36"/>
        <v>0</v>
      </c>
      <c r="JO16" s="70">
        <f t="shared" si="37"/>
        <v>0</v>
      </c>
      <c r="JP16" s="70">
        <f t="shared" si="38"/>
        <v>0</v>
      </c>
      <c r="JQ16" s="70">
        <f t="shared" si="39"/>
        <v>0</v>
      </c>
      <c r="JR16" s="70">
        <f t="shared" si="40"/>
        <v>399679</v>
      </c>
      <c r="JS16" s="70">
        <f t="shared" si="41"/>
        <v>0</v>
      </c>
      <c r="JT16" s="70">
        <f t="shared" si="42"/>
        <v>162555</v>
      </c>
      <c r="JU16" s="70">
        <f t="shared" si="43"/>
        <v>0</v>
      </c>
      <c r="JV16" s="70">
        <f t="shared" si="44"/>
        <v>2914490</v>
      </c>
      <c r="JW16" s="70">
        <f t="shared" si="45"/>
        <v>0</v>
      </c>
      <c r="JX16" s="70">
        <f t="shared" si="46"/>
        <v>29281777</v>
      </c>
      <c r="JY16" s="70">
        <f t="shared" si="47"/>
        <v>0</v>
      </c>
      <c r="JZ16" s="70">
        <f t="shared" si="48"/>
        <v>0</v>
      </c>
      <c r="KA16" s="70">
        <f t="shared" si="49"/>
        <v>0</v>
      </c>
      <c r="KB16" s="70">
        <f t="shared" si="50"/>
        <v>29281777</v>
      </c>
      <c r="KC16" s="70">
        <f t="shared" si="51"/>
        <v>0</v>
      </c>
      <c r="KE16" s="70" t="e">
        <f t="shared" si="52"/>
        <v>#REF!</v>
      </c>
      <c r="KG16" s="68" t="e">
        <f t="shared" si="53"/>
        <v>#REF!</v>
      </c>
    </row>
    <row r="17" spans="1:293">
      <c r="A17" s="180" t="s">
        <v>217</v>
      </c>
      <c r="B17" s="76" t="s">
        <v>360</v>
      </c>
      <c r="C17" s="90">
        <v>217882</v>
      </c>
      <c r="D17" s="90">
        <v>2014</v>
      </c>
      <c r="E17" s="90">
        <v>1</v>
      </c>
      <c r="F17" s="91">
        <v>1</v>
      </c>
      <c r="G17" s="92">
        <v>9156</v>
      </c>
      <c r="H17" s="92">
        <v>7775</v>
      </c>
      <c r="I17" s="93">
        <v>780873000</v>
      </c>
      <c r="J17" s="93">
        <v>722853000</v>
      </c>
      <c r="K17" s="93">
        <v>2310533</v>
      </c>
      <c r="L17" s="93">
        <v>1450000</v>
      </c>
      <c r="M17" s="93">
        <v>17903013</v>
      </c>
      <c r="N17" s="93">
        <v>9925000</v>
      </c>
      <c r="O17" s="93">
        <v>22680000</v>
      </c>
      <c r="P17" s="93">
        <v>24150000</v>
      </c>
      <c r="Q17" s="93">
        <v>166035000</v>
      </c>
      <c r="R17" s="93">
        <v>120770000</v>
      </c>
      <c r="S17" s="93">
        <v>552024958</v>
      </c>
      <c r="T17" s="93">
        <v>517793019</v>
      </c>
      <c r="U17" s="93">
        <v>25030</v>
      </c>
      <c r="V17" s="93">
        <v>43046</v>
      </c>
      <c r="W17" s="93">
        <v>43046</v>
      </c>
      <c r="X17" s="93">
        <v>40070</v>
      </c>
      <c r="Y17" s="93">
        <v>28638</v>
      </c>
      <c r="Z17" s="93">
        <v>28044</v>
      </c>
      <c r="AA17" s="93">
        <v>46654</v>
      </c>
      <c r="AB17" s="93">
        <v>45468</v>
      </c>
      <c r="AC17" s="114">
        <v>9</v>
      </c>
      <c r="AD17" s="114">
        <v>10</v>
      </c>
      <c r="AE17" s="114">
        <v>0</v>
      </c>
      <c r="AF17" s="115">
        <v>6741145</v>
      </c>
      <c r="AG17" s="115">
        <v>5047681</v>
      </c>
      <c r="AH17" s="115">
        <v>1072940</v>
      </c>
      <c r="AI17" s="115">
        <v>400544</v>
      </c>
      <c r="AJ17" s="115">
        <v>885248</v>
      </c>
      <c r="AK17" s="116">
        <v>6.5</v>
      </c>
      <c r="AL17" s="115">
        <v>822016</v>
      </c>
      <c r="AM17" s="116">
        <v>7</v>
      </c>
      <c r="AN17" s="115">
        <v>196988</v>
      </c>
      <c r="AO17" s="116">
        <v>6.5</v>
      </c>
      <c r="AP17" s="115">
        <v>182918</v>
      </c>
      <c r="AQ17" s="116">
        <v>7</v>
      </c>
      <c r="AR17" s="115">
        <v>358928</v>
      </c>
      <c r="AS17" s="116">
        <v>20</v>
      </c>
      <c r="AT17" s="115">
        <v>326299</v>
      </c>
      <c r="AU17" s="116">
        <v>22</v>
      </c>
      <c r="AV17" s="115">
        <v>90080</v>
      </c>
      <c r="AW17" s="116">
        <v>14</v>
      </c>
      <c r="AX17" s="115">
        <v>78820</v>
      </c>
      <c r="AY17" s="116">
        <v>16</v>
      </c>
      <c r="AZ17" s="142">
        <v>17949873</v>
      </c>
      <c r="BA17" s="142">
        <v>250000</v>
      </c>
      <c r="BB17" s="142">
        <v>19264308</v>
      </c>
      <c r="BC17" s="142">
        <v>1703267</v>
      </c>
      <c r="BD17" s="142">
        <v>468311</v>
      </c>
      <c r="BE17" s="142">
        <v>0</v>
      </c>
      <c r="BF17" s="142">
        <v>0</v>
      </c>
      <c r="BG17" s="142">
        <v>0</v>
      </c>
      <c r="BH17" s="142">
        <v>0</v>
      </c>
      <c r="BI17" s="142">
        <v>0</v>
      </c>
      <c r="BJ17" s="142">
        <v>0</v>
      </c>
      <c r="BK17" s="142">
        <v>0</v>
      </c>
      <c r="BL17" s="142">
        <v>0</v>
      </c>
      <c r="BM17" s="142">
        <v>0</v>
      </c>
      <c r="BN17" s="142">
        <v>0</v>
      </c>
      <c r="BO17" s="142">
        <v>162146</v>
      </c>
      <c r="BP17" s="142">
        <v>162146</v>
      </c>
      <c r="BQ17" s="142">
        <v>60</v>
      </c>
      <c r="BR17" s="142">
        <v>0</v>
      </c>
      <c r="BS17" s="142">
        <v>0</v>
      </c>
      <c r="BT17" s="142">
        <v>27690</v>
      </c>
      <c r="BU17" s="142">
        <v>762274</v>
      </c>
      <c r="BV17" s="142">
        <v>790024</v>
      </c>
      <c r="BW17" s="142">
        <v>43802609</v>
      </c>
      <c r="BX17" s="142">
        <v>7102158</v>
      </c>
      <c r="BY17" s="142">
        <v>815250</v>
      </c>
      <c r="BZ17" s="142">
        <v>7535096</v>
      </c>
      <c r="CA17" s="142">
        <v>15538209</v>
      </c>
      <c r="CB17" s="142">
        <v>74793322</v>
      </c>
      <c r="CC17" s="142">
        <v>4108962</v>
      </c>
      <c r="CD17" s="142">
        <v>652767</v>
      </c>
      <c r="CE17" s="142">
        <v>723545</v>
      </c>
      <c r="CF17" s="142">
        <v>6303552</v>
      </c>
      <c r="CG17" s="142">
        <v>1217461</v>
      </c>
      <c r="CH17" s="142">
        <v>13006287</v>
      </c>
      <c r="CI17" s="142">
        <v>850000</v>
      </c>
      <c r="CJ17" s="142">
        <v>368354</v>
      </c>
      <c r="CK17" s="142">
        <v>88184</v>
      </c>
      <c r="CL17" s="142">
        <v>48237</v>
      </c>
      <c r="CM17" s="142">
        <v>0</v>
      </c>
      <c r="CN17" s="142">
        <v>1354775</v>
      </c>
      <c r="CO17" s="142">
        <v>8656812</v>
      </c>
      <c r="CP17" s="142">
        <v>2216032</v>
      </c>
      <c r="CQ17" s="142">
        <v>835141</v>
      </c>
      <c r="CR17" s="142">
        <v>3766269</v>
      </c>
      <c r="CS17" s="142">
        <v>0</v>
      </c>
      <c r="CT17" s="142">
        <v>15474254</v>
      </c>
      <c r="CU17" s="142">
        <v>0</v>
      </c>
      <c r="CV17" s="142">
        <v>0</v>
      </c>
      <c r="CW17" s="142">
        <v>0</v>
      </c>
      <c r="CX17" s="142">
        <v>0</v>
      </c>
      <c r="CY17" s="142">
        <v>0</v>
      </c>
      <c r="CZ17" s="142">
        <v>0</v>
      </c>
      <c r="DA17" s="142">
        <v>2479771</v>
      </c>
      <c r="DB17" s="142">
        <v>256701</v>
      </c>
      <c r="DC17" s="142">
        <v>178593</v>
      </c>
      <c r="DD17" s="142">
        <v>150034</v>
      </c>
      <c r="DE17" s="142">
        <v>11420900</v>
      </c>
      <c r="DF17" s="142">
        <v>14485999</v>
      </c>
      <c r="DG17" s="142">
        <v>0</v>
      </c>
      <c r="DH17" s="142">
        <v>0</v>
      </c>
      <c r="DI17" s="142">
        <v>0</v>
      </c>
      <c r="DJ17" s="142">
        <v>0</v>
      </c>
      <c r="DK17" s="142">
        <v>0</v>
      </c>
      <c r="DL17" s="142">
        <v>0</v>
      </c>
      <c r="DM17" s="142">
        <v>209117</v>
      </c>
      <c r="DN17" s="142">
        <v>0</v>
      </c>
      <c r="DO17" s="142">
        <v>93472</v>
      </c>
      <c r="DP17" s="142">
        <v>0</v>
      </c>
      <c r="DQ17" s="142">
        <v>0</v>
      </c>
      <c r="DR17" s="142">
        <v>302589</v>
      </c>
      <c r="DS17" s="142">
        <v>694135</v>
      </c>
      <c r="DT17" s="142">
        <v>193064</v>
      </c>
      <c r="DU17" s="142">
        <v>139028</v>
      </c>
      <c r="DV17" s="142">
        <v>447257</v>
      </c>
      <c r="DW17" s="142">
        <v>0</v>
      </c>
      <c r="DX17" s="142">
        <v>1473484</v>
      </c>
      <c r="DY17" s="142">
        <v>2758253</v>
      </c>
      <c r="DZ17" s="142">
        <v>991050</v>
      </c>
      <c r="EA17" s="142">
        <v>455747</v>
      </c>
      <c r="EB17" s="142">
        <v>1814431</v>
      </c>
      <c r="EC17" s="142">
        <v>0</v>
      </c>
      <c r="ED17" s="142">
        <v>6019481</v>
      </c>
      <c r="EE17" s="142">
        <v>1017936</v>
      </c>
      <c r="EF17" s="142">
        <v>150757</v>
      </c>
      <c r="EG17" s="142">
        <v>107766</v>
      </c>
      <c r="EH17" s="142">
        <v>957118</v>
      </c>
      <c r="EI17" s="142">
        <v>1273079</v>
      </c>
      <c r="EJ17" s="142">
        <v>3506656</v>
      </c>
      <c r="EK17" s="142">
        <v>2960876</v>
      </c>
      <c r="EL17" s="142">
        <v>359743</v>
      </c>
      <c r="EM17" s="142">
        <v>263213</v>
      </c>
      <c r="EN17" s="142">
        <v>458750</v>
      </c>
      <c r="EO17" s="142">
        <v>0</v>
      </c>
      <c r="EP17" s="142">
        <v>4042582</v>
      </c>
      <c r="EQ17" s="142">
        <v>0</v>
      </c>
      <c r="ER17" s="142">
        <v>0</v>
      </c>
      <c r="ES17" s="142">
        <v>0</v>
      </c>
      <c r="ET17" s="142">
        <v>0</v>
      </c>
      <c r="EU17" s="142">
        <v>3002968</v>
      </c>
      <c r="EV17" s="142">
        <v>3002968</v>
      </c>
      <c r="EW17" s="142">
        <v>0</v>
      </c>
      <c r="EX17" s="142">
        <v>0</v>
      </c>
      <c r="EY17" s="142">
        <v>0</v>
      </c>
      <c r="EZ17" s="142">
        <v>0</v>
      </c>
      <c r="FA17" s="142">
        <v>0</v>
      </c>
      <c r="FB17" s="142">
        <v>0</v>
      </c>
      <c r="FC17" s="142">
        <v>1308913</v>
      </c>
      <c r="FD17" s="142">
        <v>86075</v>
      </c>
      <c r="FE17" s="142">
        <v>86074</v>
      </c>
      <c r="FF17" s="142">
        <v>448931</v>
      </c>
      <c r="FG17" s="142">
        <v>2145901</v>
      </c>
      <c r="FH17" s="142">
        <v>4075894</v>
      </c>
      <c r="FI17" s="142">
        <v>0</v>
      </c>
      <c r="FJ17" s="142">
        <v>0</v>
      </c>
      <c r="FK17" s="142">
        <v>0</v>
      </c>
      <c r="FL17" s="142">
        <v>0</v>
      </c>
      <c r="FM17" s="142">
        <v>392909</v>
      </c>
      <c r="FN17" s="142">
        <v>392909</v>
      </c>
      <c r="FO17" s="142">
        <v>0</v>
      </c>
      <c r="FP17" s="142">
        <v>0</v>
      </c>
      <c r="FQ17" s="142">
        <v>0</v>
      </c>
      <c r="FR17" s="142">
        <v>0</v>
      </c>
      <c r="FS17" s="142">
        <v>0</v>
      </c>
      <c r="FT17" s="142">
        <v>0</v>
      </c>
      <c r="FU17" s="142">
        <v>207276</v>
      </c>
      <c r="FV17" s="142">
        <v>35719</v>
      </c>
      <c r="FW17" s="142">
        <v>11151</v>
      </c>
      <c r="FX17" s="142">
        <v>216461</v>
      </c>
      <c r="FY17" s="142">
        <v>162703</v>
      </c>
      <c r="FZ17" s="142">
        <v>633310</v>
      </c>
      <c r="GA17" s="142">
        <v>1875</v>
      </c>
      <c r="GB17" s="142">
        <v>1120</v>
      </c>
      <c r="GC17" s="142">
        <v>956</v>
      </c>
      <c r="GD17" s="142">
        <v>6541</v>
      </c>
      <c r="GE17" s="142">
        <v>37204</v>
      </c>
      <c r="GF17" s="142">
        <v>47696</v>
      </c>
      <c r="GG17" s="142">
        <v>1722912</v>
      </c>
      <c r="GH17" s="142">
        <v>173923</v>
      </c>
      <c r="GI17" s="142">
        <v>132364</v>
      </c>
      <c r="GJ17" s="142">
        <v>622670</v>
      </c>
      <c r="GK17" s="142">
        <v>2985468</v>
      </c>
      <c r="GL17" s="142">
        <v>5637337</v>
      </c>
      <c r="GM17" s="142">
        <v>26976828</v>
      </c>
      <c r="GN17" s="142">
        <v>5485305</v>
      </c>
      <c r="GO17" s="142">
        <v>3115234</v>
      </c>
      <c r="GP17" s="142">
        <v>15240261</v>
      </c>
      <c r="GQ17" s="142">
        <v>22638593</v>
      </c>
      <c r="GR17" s="142">
        <v>73456221</v>
      </c>
      <c r="GS17" s="142">
        <v>0</v>
      </c>
      <c r="GT17" s="142">
        <v>0</v>
      </c>
      <c r="GU17" s="142">
        <v>0</v>
      </c>
      <c r="GV17" s="142">
        <v>0</v>
      </c>
      <c r="GW17" s="142">
        <v>1262770</v>
      </c>
      <c r="GX17" s="142">
        <v>1262770</v>
      </c>
      <c r="GY17" s="142">
        <v>26976828</v>
      </c>
      <c r="GZ17" s="142">
        <v>5485305</v>
      </c>
      <c r="HA17" s="142">
        <v>3115234</v>
      </c>
      <c r="HB17" s="142">
        <v>15240261</v>
      </c>
      <c r="HC17" s="142">
        <v>23901363</v>
      </c>
      <c r="HD17" s="142">
        <v>74718991</v>
      </c>
      <c r="HF17" s="70">
        <f>SUM(AZ17:AZ17)</f>
        <v>17949873</v>
      </c>
      <c r="HG17" s="70" t="e">
        <f>#REF!-HF17</f>
        <v>#REF!</v>
      </c>
      <c r="HH17" s="70" t="e">
        <f>SUM(#REF!)</f>
        <v>#REF!</v>
      </c>
      <c r="HI17" s="70" t="e">
        <f>#REF!-HH17</f>
        <v>#REF!</v>
      </c>
      <c r="HJ17" s="70">
        <f>SUM(BA17:BA17)</f>
        <v>250000</v>
      </c>
      <c r="HK17" s="70" t="e">
        <f>#REF!-HJ17</f>
        <v>#REF!</v>
      </c>
      <c r="HL17" s="70" t="e">
        <f>SUM(#REF!)</f>
        <v>#REF!</v>
      </c>
      <c r="HM17" s="70" t="e">
        <f>BB17-HL17</f>
        <v>#REF!</v>
      </c>
      <c r="HN17" s="70" t="e">
        <f>SUM(#REF!)</f>
        <v>#REF!</v>
      </c>
      <c r="HO17" s="70" t="e">
        <f>#REF!-HN17</f>
        <v>#REF!</v>
      </c>
      <c r="HP17" s="70" t="e">
        <f>SUM(#REF!)</f>
        <v>#REF!</v>
      </c>
      <c r="HQ17" s="70" t="e">
        <f>#REF!-HP17</f>
        <v>#REF!</v>
      </c>
      <c r="HR17" s="70" t="e">
        <f>SUM(#REF!)</f>
        <v>#REF!</v>
      </c>
      <c r="HS17" s="70" t="e">
        <f>#REF!-HR17</f>
        <v>#REF!</v>
      </c>
      <c r="HT17" s="70" t="e">
        <f>SUM(#REF!)</f>
        <v>#REF!</v>
      </c>
      <c r="HU17" s="70" t="e">
        <f>#REF!-HT17</f>
        <v>#REF!</v>
      </c>
      <c r="HV17" s="70" t="e">
        <f>SUM(#REF!)</f>
        <v>#REF!</v>
      </c>
      <c r="HW17" s="70" t="e">
        <f>#REF!-HV17</f>
        <v>#REF!</v>
      </c>
      <c r="HX17" s="70" t="e">
        <f>SUM(#REF!)</f>
        <v>#REF!</v>
      </c>
      <c r="HY17" s="70" t="e">
        <f>#REF!-HX17</f>
        <v>#REF!</v>
      </c>
      <c r="HZ17" s="70">
        <f>SUM(BC17:BC17)</f>
        <v>1703267</v>
      </c>
      <c r="IA17" s="70" t="e">
        <f>#REF!-HZ17</f>
        <v>#REF!</v>
      </c>
      <c r="IB17" s="70">
        <f>SUM(BD17:BD17)</f>
        <v>468311</v>
      </c>
      <c r="IC17" s="70" t="e">
        <f>#REF!-IB17</f>
        <v>#REF!</v>
      </c>
      <c r="ID17" s="70">
        <f t="shared" si="0"/>
        <v>0</v>
      </c>
      <c r="IE17" s="70">
        <f t="shared" si="1"/>
        <v>0</v>
      </c>
      <c r="IF17" s="70">
        <f t="shared" si="2"/>
        <v>162146</v>
      </c>
      <c r="IG17" s="70">
        <f t="shared" si="3"/>
        <v>0</v>
      </c>
      <c r="IH17" s="70">
        <f t="shared" si="4"/>
        <v>790024</v>
      </c>
      <c r="II17" s="70">
        <f t="shared" si="5"/>
        <v>0</v>
      </c>
      <c r="IJ17" s="70">
        <f t="shared" si="6"/>
        <v>74793322</v>
      </c>
      <c r="IK17" s="70">
        <f t="shared" si="7"/>
        <v>0</v>
      </c>
      <c r="IL17" s="70">
        <f t="shared" si="8"/>
        <v>13006287</v>
      </c>
      <c r="IM17" s="70">
        <f t="shared" si="9"/>
        <v>0</v>
      </c>
      <c r="IN17" s="70">
        <f t="shared" si="10"/>
        <v>1354775</v>
      </c>
      <c r="IO17" s="70">
        <f t="shared" si="11"/>
        <v>0</v>
      </c>
      <c r="IP17" s="70">
        <f t="shared" si="12"/>
        <v>15474254</v>
      </c>
      <c r="IQ17" s="70">
        <f t="shared" si="13"/>
        <v>0</v>
      </c>
      <c r="IR17" s="70">
        <f t="shared" si="54"/>
        <v>0</v>
      </c>
      <c r="IS17" s="70">
        <f t="shared" si="55"/>
        <v>0</v>
      </c>
      <c r="IT17" s="70">
        <f t="shared" si="16"/>
        <v>14485999</v>
      </c>
      <c r="IU17" s="70">
        <f t="shared" si="17"/>
        <v>0</v>
      </c>
      <c r="IV17" s="70">
        <f t="shared" si="18"/>
        <v>0</v>
      </c>
      <c r="IW17" s="70">
        <f t="shared" si="19"/>
        <v>0</v>
      </c>
      <c r="IX17" s="70">
        <f t="shared" si="20"/>
        <v>302589</v>
      </c>
      <c r="IY17" s="70">
        <f t="shared" si="21"/>
        <v>0</v>
      </c>
      <c r="IZ17" s="70">
        <f t="shared" si="22"/>
        <v>1473484</v>
      </c>
      <c r="JA17" s="70">
        <f t="shared" si="23"/>
        <v>0</v>
      </c>
      <c r="JB17" s="70">
        <f t="shared" si="24"/>
        <v>6019481</v>
      </c>
      <c r="JC17" s="70">
        <f t="shared" si="25"/>
        <v>0</v>
      </c>
      <c r="JD17" s="70">
        <f t="shared" si="26"/>
        <v>3506656</v>
      </c>
      <c r="JE17" s="70">
        <f t="shared" si="27"/>
        <v>0</v>
      </c>
      <c r="JF17" s="70">
        <f t="shared" si="28"/>
        <v>4042582</v>
      </c>
      <c r="JG17" s="70">
        <f t="shared" si="29"/>
        <v>0</v>
      </c>
      <c r="JH17" s="70">
        <f t="shared" si="30"/>
        <v>3002968</v>
      </c>
      <c r="JI17" s="70">
        <f t="shared" si="31"/>
        <v>0</v>
      </c>
      <c r="JJ17" s="70">
        <f t="shared" si="32"/>
        <v>0</v>
      </c>
      <c r="JK17" s="70">
        <f t="shared" si="33"/>
        <v>0</v>
      </c>
      <c r="JL17" s="70">
        <f t="shared" si="34"/>
        <v>4075894</v>
      </c>
      <c r="JM17" s="70">
        <f t="shared" si="35"/>
        <v>0</v>
      </c>
      <c r="JN17" s="70">
        <f t="shared" si="36"/>
        <v>392909</v>
      </c>
      <c r="JO17" s="70">
        <f t="shared" si="37"/>
        <v>0</v>
      </c>
      <c r="JP17" s="70">
        <f t="shared" si="38"/>
        <v>0</v>
      </c>
      <c r="JQ17" s="70">
        <f t="shared" si="39"/>
        <v>0</v>
      </c>
      <c r="JR17" s="70">
        <f t="shared" si="40"/>
        <v>633310</v>
      </c>
      <c r="JS17" s="70">
        <f t="shared" si="41"/>
        <v>0</v>
      </c>
      <c r="JT17" s="70">
        <f t="shared" si="42"/>
        <v>47696</v>
      </c>
      <c r="JU17" s="70">
        <f t="shared" si="43"/>
        <v>0</v>
      </c>
      <c r="JV17" s="70">
        <f t="shared" si="44"/>
        <v>5637337</v>
      </c>
      <c r="JW17" s="70">
        <f t="shared" si="45"/>
        <v>0</v>
      </c>
      <c r="JX17" s="70">
        <f t="shared" si="46"/>
        <v>73456221</v>
      </c>
      <c r="JY17" s="70">
        <f t="shared" si="47"/>
        <v>0</v>
      </c>
      <c r="JZ17" s="70">
        <f t="shared" si="48"/>
        <v>1262770</v>
      </c>
      <c r="KA17" s="70">
        <f t="shared" si="49"/>
        <v>0</v>
      </c>
      <c r="KB17" s="70">
        <f t="shared" si="50"/>
        <v>74718991</v>
      </c>
      <c r="KC17" s="70">
        <f t="shared" si="51"/>
        <v>0</v>
      </c>
      <c r="KE17" s="70" t="e">
        <f t="shared" si="52"/>
        <v>#REF!</v>
      </c>
      <c r="KG17" s="68" t="e">
        <f t="shared" si="53"/>
        <v>#REF!</v>
      </c>
    </row>
    <row r="18" spans="1:293">
      <c r="A18" s="76" t="s">
        <v>218</v>
      </c>
      <c r="B18" s="76" t="s">
        <v>360</v>
      </c>
      <c r="C18" s="90">
        <v>126614</v>
      </c>
      <c r="D18" s="90">
        <v>2014</v>
      </c>
      <c r="E18" s="90">
        <v>1</v>
      </c>
      <c r="F18" s="91">
        <v>4</v>
      </c>
      <c r="G18" s="92">
        <v>13396</v>
      </c>
      <c r="H18" s="92">
        <v>11022</v>
      </c>
      <c r="I18" s="93">
        <v>1175871896</v>
      </c>
      <c r="J18" s="93">
        <v>1115849685</v>
      </c>
      <c r="K18" s="93">
        <v>6149984</v>
      </c>
      <c r="L18" s="93">
        <v>6183304</v>
      </c>
      <c r="M18" s="93">
        <v>63179631</v>
      </c>
      <c r="N18" s="93">
        <v>78962112</v>
      </c>
      <c r="O18" s="93">
        <v>51832133</v>
      </c>
      <c r="P18" s="93">
        <v>55717936</v>
      </c>
      <c r="Q18" s="93">
        <v>692526017</v>
      </c>
      <c r="R18" s="93">
        <v>686103012</v>
      </c>
      <c r="S18" s="93">
        <v>937779294</v>
      </c>
      <c r="T18" s="93">
        <v>883303022</v>
      </c>
      <c r="U18" s="93">
        <v>23727</v>
      </c>
      <c r="V18" s="93">
        <v>22277</v>
      </c>
      <c r="W18" s="93">
        <v>45555</v>
      </c>
      <c r="X18" s="93">
        <v>44173</v>
      </c>
      <c r="Y18" s="93">
        <v>25502</v>
      </c>
      <c r="Z18" s="93">
        <v>25024</v>
      </c>
      <c r="AA18" s="93">
        <v>47952</v>
      </c>
      <c r="AB18" s="93">
        <v>47466</v>
      </c>
      <c r="AC18" s="114">
        <v>7</v>
      </c>
      <c r="AD18" s="114">
        <v>10</v>
      </c>
      <c r="AE18" s="114">
        <v>0</v>
      </c>
      <c r="AF18" s="115">
        <v>5803067</v>
      </c>
      <c r="AG18" s="115">
        <v>3689774</v>
      </c>
      <c r="AH18" s="115">
        <v>607407</v>
      </c>
      <c r="AI18" s="115">
        <v>293411</v>
      </c>
      <c r="AJ18" s="115">
        <v>1443872</v>
      </c>
      <c r="AK18" s="116">
        <v>4</v>
      </c>
      <c r="AL18" s="115">
        <v>1155097</v>
      </c>
      <c r="AM18" s="116">
        <v>5</v>
      </c>
      <c r="AN18" s="115">
        <v>204579</v>
      </c>
      <c r="AO18" s="116">
        <v>7</v>
      </c>
      <c r="AP18" s="115">
        <v>179006</v>
      </c>
      <c r="AQ18" s="116">
        <v>8</v>
      </c>
      <c r="AR18" s="115">
        <v>244682</v>
      </c>
      <c r="AS18" s="116">
        <v>17</v>
      </c>
      <c r="AT18" s="115">
        <v>198076</v>
      </c>
      <c r="AU18" s="116">
        <v>21</v>
      </c>
      <c r="AV18" s="115">
        <v>82585</v>
      </c>
      <c r="AW18" s="116">
        <v>15</v>
      </c>
      <c r="AX18" s="115">
        <v>65119</v>
      </c>
      <c r="AY18" s="116">
        <v>19</v>
      </c>
      <c r="AZ18" s="143">
        <v>10101155</v>
      </c>
      <c r="BA18" s="143">
        <v>60000</v>
      </c>
      <c r="BB18" s="139">
        <v>10500837</v>
      </c>
      <c r="BC18" s="143">
        <v>553814</v>
      </c>
      <c r="BD18" s="143">
        <v>0</v>
      </c>
      <c r="BE18" s="143">
        <v>47280</v>
      </c>
      <c r="BF18" s="139">
        <v>173003</v>
      </c>
      <c r="BG18" s="139">
        <v>106846</v>
      </c>
      <c r="BH18" s="139">
        <v>406915</v>
      </c>
      <c r="BI18" s="139">
        <v>0</v>
      </c>
      <c r="BJ18" s="139">
        <v>734044</v>
      </c>
      <c r="BK18" s="143">
        <v>322300</v>
      </c>
      <c r="BL18" s="143">
        <v>12025</v>
      </c>
      <c r="BM18" s="143">
        <v>33625</v>
      </c>
      <c r="BN18" s="143">
        <v>126452</v>
      </c>
      <c r="BO18" s="143">
        <v>114884</v>
      </c>
      <c r="BP18" s="143">
        <v>609286</v>
      </c>
      <c r="BQ18" s="143">
        <v>586576</v>
      </c>
      <c r="BR18" s="143">
        <v>150</v>
      </c>
      <c r="BS18" s="143">
        <v>10632</v>
      </c>
      <c r="BT18" s="143">
        <v>33241</v>
      </c>
      <c r="BU18" s="143">
        <v>653033</v>
      </c>
      <c r="BV18" s="143">
        <v>1283632</v>
      </c>
      <c r="BW18" s="139">
        <v>28430272</v>
      </c>
      <c r="BX18" s="143">
        <v>5653157</v>
      </c>
      <c r="BY18" s="143">
        <v>559016</v>
      </c>
      <c r="BZ18" s="143">
        <v>880093</v>
      </c>
      <c r="CA18" s="143">
        <v>28704220</v>
      </c>
      <c r="CB18" s="143">
        <v>64226758</v>
      </c>
      <c r="CC18" s="139">
        <v>4179567</v>
      </c>
      <c r="CD18" s="142">
        <v>604692</v>
      </c>
      <c r="CE18" s="142">
        <v>667687</v>
      </c>
      <c r="CF18" s="142">
        <v>4040895</v>
      </c>
      <c r="CG18" s="142">
        <v>0</v>
      </c>
      <c r="CH18" s="142">
        <v>9492841</v>
      </c>
      <c r="CI18" s="139">
        <v>913859</v>
      </c>
      <c r="CJ18" s="143">
        <v>475000</v>
      </c>
      <c r="CK18" s="143">
        <v>72000</v>
      </c>
      <c r="CL18" s="143">
        <v>13483</v>
      </c>
      <c r="CM18" s="143">
        <v>0</v>
      </c>
      <c r="CN18" s="143">
        <v>1474342</v>
      </c>
      <c r="CO18" s="139">
        <v>6432181</v>
      </c>
      <c r="CP18" s="143">
        <v>2968687</v>
      </c>
      <c r="CQ18" s="143">
        <v>988593</v>
      </c>
      <c r="CR18" s="143">
        <v>2216471</v>
      </c>
      <c r="CS18" s="143">
        <v>0</v>
      </c>
      <c r="CT18" s="143">
        <v>12605932</v>
      </c>
      <c r="CU18" s="139">
        <v>0</v>
      </c>
      <c r="CV18" s="142">
        <v>0</v>
      </c>
      <c r="CW18" s="142">
        <v>0</v>
      </c>
      <c r="CX18" s="142">
        <v>0</v>
      </c>
      <c r="CY18" s="142">
        <v>0</v>
      </c>
      <c r="CZ18" s="142">
        <v>0</v>
      </c>
      <c r="DA18" s="139">
        <v>822291</v>
      </c>
      <c r="DB18" s="143">
        <v>358637</v>
      </c>
      <c r="DC18" s="143">
        <v>266852</v>
      </c>
      <c r="DD18" s="143">
        <v>400263</v>
      </c>
      <c r="DE18" s="143">
        <v>8225081</v>
      </c>
      <c r="DF18" s="144">
        <v>10073124</v>
      </c>
      <c r="DG18" s="139">
        <v>0</v>
      </c>
      <c r="DH18" s="139">
        <v>0</v>
      </c>
      <c r="DI18" s="139">
        <v>0</v>
      </c>
      <c r="DJ18" s="139">
        <v>0</v>
      </c>
      <c r="DK18" s="139">
        <v>0</v>
      </c>
      <c r="DL18" s="139">
        <v>0</v>
      </c>
      <c r="DM18" s="139">
        <v>0</v>
      </c>
      <c r="DN18" s="139">
        <v>0</v>
      </c>
      <c r="DO18" s="139">
        <v>0</v>
      </c>
      <c r="DP18" s="139">
        <v>0</v>
      </c>
      <c r="DQ18" s="139">
        <v>0</v>
      </c>
      <c r="DR18" s="139">
        <v>0</v>
      </c>
      <c r="DS18" s="143">
        <v>476570</v>
      </c>
      <c r="DT18" s="143">
        <v>100360</v>
      </c>
      <c r="DU18" s="143">
        <v>125324</v>
      </c>
      <c r="DV18" s="144">
        <v>198564</v>
      </c>
      <c r="DW18" s="143">
        <v>0</v>
      </c>
      <c r="DX18" s="143">
        <v>900818</v>
      </c>
      <c r="DY18" s="139">
        <v>653365</v>
      </c>
      <c r="DZ18" s="139">
        <v>453961</v>
      </c>
      <c r="EA18" s="139">
        <v>437765</v>
      </c>
      <c r="EB18" s="139">
        <v>1291127</v>
      </c>
      <c r="EC18" s="139">
        <v>0</v>
      </c>
      <c r="ED18" s="139">
        <v>2836218</v>
      </c>
      <c r="EE18" s="143">
        <v>498537</v>
      </c>
      <c r="EF18" s="143">
        <v>82704</v>
      </c>
      <c r="EG18" s="143">
        <v>54101</v>
      </c>
      <c r="EH18" s="143">
        <v>523798</v>
      </c>
      <c r="EI18" s="143">
        <v>57888</v>
      </c>
      <c r="EJ18" s="143">
        <v>1217028</v>
      </c>
      <c r="EK18" s="143">
        <v>2039824</v>
      </c>
      <c r="EL18" s="145">
        <v>758890</v>
      </c>
      <c r="EM18" s="143">
        <v>387884</v>
      </c>
      <c r="EN18" s="143">
        <v>178233</v>
      </c>
      <c r="EO18" s="143">
        <v>0</v>
      </c>
      <c r="EP18" s="143">
        <v>3364831</v>
      </c>
      <c r="EQ18" s="143">
        <v>24134</v>
      </c>
      <c r="ER18" s="143">
        <v>0</v>
      </c>
      <c r="ES18" s="143">
        <v>447</v>
      </c>
      <c r="ET18" s="143">
        <v>48609</v>
      </c>
      <c r="EU18" s="143">
        <v>1651875</v>
      </c>
      <c r="EV18" s="143">
        <v>1725065</v>
      </c>
      <c r="EW18" s="139">
        <v>20737</v>
      </c>
      <c r="EX18" s="139">
        <v>72621</v>
      </c>
      <c r="EY18" s="139">
        <v>32756</v>
      </c>
      <c r="EZ18" s="139">
        <v>212885</v>
      </c>
      <c r="FA18" s="139">
        <v>0</v>
      </c>
      <c r="FB18" s="139">
        <v>338999</v>
      </c>
      <c r="FC18" s="145">
        <v>131497</v>
      </c>
      <c r="FD18" s="143">
        <v>24023</v>
      </c>
      <c r="FE18" s="143">
        <v>1674</v>
      </c>
      <c r="FF18" s="143">
        <v>70201</v>
      </c>
      <c r="FG18" s="143">
        <v>11271556</v>
      </c>
      <c r="FH18" s="143">
        <v>11498951</v>
      </c>
      <c r="FI18" s="143">
        <v>0</v>
      </c>
      <c r="FJ18" s="143">
        <v>0</v>
      </c>
      <c r="FK18" s="143">
        <v>0</v>
      </c>
      <c r="FL18" s="143">
        <v>0</v>
      </c>
      <c r="FM18" s="142">
        <v>376733</v>
      </c>
      <c r="FN18" s="143">
        <v>376733</v>
      </c>
      <c r="FO18" s="143">
        <v>0</v>
      </c>
      <c r="FP18" s="143">
        <v>0</v>
      </c>
      <c r="FQ18" s="143">
        <v>0</v>
      </c>
      <c r="FR18" s="143">
        <v>0</v>
      </c>
      <c r="FS18" s="143">
        <v>1758282</v>
      </c>
      <c r="FT18" s="143">
        <v>1758282</v>
      </c>
      <c r="FU18" s="142">
        <v>138811</v>
      </c>
      <c r="FV18" s="142">
        <v>34914</v>
      </c>
      <c r="FW18" s="142">
        <v>31963</v>
      </c>
      <c r="FX18" s="142">
        <v>139653</v>
      </c>
      <c r="FY18" s="142">
        <v>261650</v>
      </c>
      <c r="FZ18" s="142">
        <v>606991</v>
      </c>
      <c r="GA18" s="143">
        <v>340</v>
      </c>
      <c r="GB18" s="143">
        <v>1175</v>
      </c>
      <c r="GC18" s="143">
        <v>1180</v>
      </c>
      <c r="GD18" s="143">
        <v>7970</v>
      </c>
      <c r="GE18" s="143">
        <v>35286</v>
      </c>
      <c r="GF18" s="144">
        <v>45951</v>
      </c>
      <c r="GG18" s="143">
        <v>1017208</v>
      </c>
      <c r="GH18" s="143">
        <v>113917</v>
      </c>
      <c r="GI18" s="143">
        <v>160558</v>
      </c>
      <c r="GJ18" s="143">
        <v>473138</v>
      </c>
      <c r="GK18" s="143">
        <v>4222173</v>
      </c>
      <c r="GL18" s="144">
        <v>5986994</v>
      </c>
      <c r="GM18" s="143">
        <v>17348921</v>
      </c>
      <c r="GN18" s="143">
        <v>6049581</v>
      </c>
      <c r="GO18" s="143">
        <v>3228784</v>
      </c>
      <c r="GP18" s="143">
        <v>9815290</v>
      </c>
      <c r="GQ18" s="143">
        <v>27860524</v>
      </c>
      <c r="GR18" s="143">
        <v>64303100</v>
      </c>
      <c r="GS18" s="139">
        <v>0</v>
      </c>
      <c r="GT18" s="139">
        <v>0</v>
      </c>
      <c r="GU18" s="139">
        <v>0</v>
      </c>
      <c r="GV18" s="139">
        <v>0</v>
      </c>
      <c r="GW18" s="139">
        <v>0</v>
      </c>
      <c r="GX18" s="139">
        <v>0</v>
      </c>
      <c r="GY18" s="143">
        <v>17348921</v>
      </c>
      <c r="GZ18" s="143">
        <v>6049581</v>
      </c>
      <c r="HA18" s="143">
        <v>3228784</v>
      </c>
      <c r="HB18" s="143">
        <v>9815290</v>
      </c>
      <c r="HC18" s="143">
        <v>27860524</v>
      </c>
      <c r="HD18" s="143">
        <v>64303100</v>
      </c>
      <c r="HF18" s="70">
        <f>SUM(AZ18:AZ18)</f>
        <v>10101155</v>
      </c>
      <c r="HG18" s="70" t="e">
        <f>#REF!-HF18</f>
        <v>#REF!</v>
      </c>
      <c r="HH18" s="70" t="e">
        <f>SUM(#REF!)</f>
        <v>#REF!</v>
      </c>
      <c r="HI18" s="70" t="e">
        <f>#REF!-HH18</f>
        <v>#REF!</v>
      </c>
      <c r="HJ18" s="70">
        <f>SUM(BA18:BA18)</f>
        <v>60000</v>
      </c>
      <c r="HK18" s="70" t="e">
        <f>#REF!-HJ18</f>
        <v>#REF!</v>
      </c>
      <c r="HL18" s="70" t="e">
        <f>SUM(#REF!)</f>
        <v>#REF!</v>
      </c>
      <c r="HM18" s="70" t="e">
        <f>BB18-HL18</f>
        <v>#REF!</v>
      </c>
      <c r="HN18" s="70" t="e">
        <f>SUM(#REF!)</f>
        <v>#REF!</v>
      </c>
      <c r="HO18" s="70" t="e">
        <f>#REF!-HN18</f>
        <v>#REF!</v>
      </c>
      <c r="HP18" s="70" t="e">
        <f>SUM(#REF!)</f>
        <v>#REF!</v>
      </c>
      <c r="HQ18" s="70" t="e">
        <f>#REF!-HP18</f>
        <v>#REF!</v>
      </c>
      <c r="HR18" s="70" t="e">
        <f>SUM(#REF!)</f>
        <v>#REF!</v>
      </c>
      <c r="HS18" s="70" t="e">
        <f>#REF!-HR18</f>
        <v>#REF!</v>
      </c>
      <c r="HT18" s="70" t="e">
        <f>SUM(#REF!)</f>
        <v>#REF!</v>
      </c>
      <c r="HU18" s="70" t="e">
        <f>#REF!-HT18</f>
        <v>#REF!</v>
      </c>
      <c r="HV18" s="70" t="e">
        <f>SUM(#REF!)</f>
        <v>#REF!</v>
      </c>
      <c r="HW18" s="70" t="e">
        <f>#REF!-HV18</f>
        <v>#REF!</v>
      </c>
      <c r="HX18" s="70" t="e">
        <f>SUM(#REF!)</f>
        <v>#REF!</v>
      </c>
      <c r="HY18" s="70" t="e">
        <f>#REF!-HX18</f>
        <v>#REF!</v>
      </c>
      <c r="HZ18" s="70">
        <f>SUM(BC18:BC18)</f>
        <v>553814</v>
      </c>
      <c r="IA18" s="70" t="e">
        <f>#REF!-HZ18</f>
        <v>#REF!</v>
      </c>
      <c r="IB18" s="70">
        <f>SUM(BD18:BD18)</f>
        <v>0</v>
      </c>
      <c r="IC18" s="70" t="e">
        <f>#REF!-IB18</f>
        <v>#REF!</v>
      </c>
      <c r="ID18" s="70">
        <f t="shared" si="0"/>
        <v>734044</v>
      </c>
      <c r="IE18" s="70">
        <f t="shared" si="1"/>
        <v>0</v>
      </c>
      <c r="IF18" s="70">
        <f t="shared" si="2"/>
        <v>609286</v>
      </c>
      <c r="IG18" s="70">
        <f t="shared" si="3"/>
        <v>0</v>
      </c>
      <c r="IH18" s="70">
        <f t="shared" si="4"/>
        <v>1283632</v>
      </c>
      <c r="II18" s="70">
        <f t="shared" si="5"/>
        <v>0</v>
      </c>
      <c r="IJ18" s="70">
        <f t="shared" si="6"/>
        <v>64226758</v>
      </c>
      <c r="IK18" s="70">
        <f t="shared" si="7"/>
        <v>0</v>
      </c>
      <c r="IL18" s="70">
        <f t="shared" si="8"/>
        <v>9492841</v>
      </c>
      <c r="IM18" s="70">
        <f t="shared" si="9"/>
        <v>0</v>
      </c>
      <c r="IN18" s="70">
        <f t="shared" si="10"/>
        <v>1474342</v>
      </c>
      <c r="IO18" s="70">
        <f t="shared" si="11"/>
        <v>0</v>
      </c>
      <c r="IP18" s="70">
        <f t="shared" si="12"/>
        <v>12605932</v>
      </c>
      <c r="IQ18" s="70">
        <f t="shared" si="13"/>
        <v>0</v>
      </c>
      <c r="IR18" s="70">
        <f t="shared" si="54"/>
        <v>0</v>
      </c>
      <c r="IS18" s="70">
        <f t="shared" si="55"/>
        <v>0</v>
      </c>
      <c r="IT18" s="70">
        <f t="shared" si="16"/>
        <v>10073124</v>
      </c>
      <c r="IU18" s="70">
        <f t="shared" si="17"/>
        <v>0</v>
      </c>
      <c r="IV18" s="70">
        <f t="shared" si="18"/>
        <v>0</v>
      </c>
      <c r="IW18" s="70">
        <f t="shared" si="19"/>
        <v>0</v>
      </c>
      <c r="IX18" s="70">
        <f t="shared" si="20"/>
        <v>0</v>
      </c>
      <c r="IY18" s="70">
        <f t="shared" si="21"/>
        <v>0</v>
      </c>
      <c r="IZ18" s="70">
        <f t="shared" si="22"/>
        <v>900818</v>
      </c>
      <c r="JA18" s="70">
        <f t="shared" si="23"/>
        <v>0</v>
      </c>
      <c r="JB18" s="70">
        <f t="shared" si="24"/>
        <v>2836218</v>
      </c>
      <c r="JC18" s="70">
        <f t="shared" si="25"/>
        <v>0</v>
      </c>
      <c r="JD18" s="70">
        <f t="shared" si="26"/>
        <v>1217028</v>
      </c>
      <c r="JE18" s="70">
        <f t="shared" si="27"/>
        <v>0</v>
      </c>
      <c r="JF18" s="70">
        <f t="shared" si="28"/>
        <v>3364831</v>
      </c>
      <c r="JG18" s="70">
        <f t="shared" si="29"/>
        <v>0</v>
      </c>
      <c r="JH18" s="70">
        <f t="shared" si="30"/>
        <v>1725065</v>
      </c>
      <c r="JI18" s="70">
        <f t="shared" si="31"/>
        <v>0</v>
      </c>
      <c r="JJ18" s="70">
        <f t="shared" si="32"/>
        <v>338999</v>
      </c>
      <c r="JK18" s="70">
        <f t="shared" si="33"/>
        <v>0</v>
      </c>
      <c r="JL18" s="70">
        <f t="shared" si="34"/>
        <v>11498951</v>
      </c>
      <c r="JM18" s="70">
        <f t="shared" si="35"/>
        <v>0</v>
      </c>
      <c r="JN18" s="70">
        <f t="shared" si="36"/>
        <v>376733</v>
      </c>
      <c r="JO18" s="70">
        <f t="shared" si="37"/>
        <v>0</v>
      </c>
      <c r="JP18" s="70">
        <f t="shared" si="38"/>
        <v>1758282</v>
      </c>
      <c r="JQ18" s="70">
        <f t="shared" si="39"/>
        <v>0</v>
      </c>
      <c r="JR18" s="70">
        <f t="shared" si="40"/>
        <v>606991</v>
      </c>
      <c r="JS18" s="70">
        <f t="shared" si="41"/>
        <v>0</v>
      </c>
      <c r="JT18" s="70">
        <f t="shared" si="42"/>
        <v>45951</v>
      </c>
      <c r="JU18" s="70">
        <f t="shared" si="43"/>
        <v>0</v>
      </c>
      <c r="JV18" s="70">
        <f t="shared" si="44"/>
        <v>5986994</v>
      </c>
      <c r="JW18" s="70">
        <f t="shared" si="45"/>
        <v>0</v>
      </c>
      <c r="JX18" s="70">
        <f t="shared" si="46"/>
        <v>64303100</v>
      </c>
      <c r="JY18" s="70">
        <f t="shared" si="47"/>
        <v>0</v>
      </c>
      <c r="JZ18" s="70">
        <f t="shared" si="48"/>
        <v>0</v>
      </c>
      <c r="KA18" s="70">
        <f t="shared" si="49"/>
        <v>0</v>
      </c>
      <c r="KB18" s="70">
        <f t="shared" si="50"/>
        <v>64303100</v>
      </c>
      <c r="KC18" s="70">
        <f t="shared" si="51"/>
        <v>0</v>
      </c>
      <c r="KE18" s="70" t="e">
        <f t="shared" si="52"/>
        <v>#REF!</v>
      </c>
      <c r="KG18" s="68" t="e">
        <f t="shared" si="53"/>
        <v>#REF!</v>
      </c>
    </row>
    <row r="19" spans="1:293">
      <c r="A19" s="180" t="s">
        <v>219</v>
      </c>
      <c r="B19" s="76" t="s">
        <v>360</v>
      </c>
      <c r="C19" s="95">
        <v>126818</v>
      </c>
      <c r="D19" s="95">
        <v>2014</v>
      </c>
      <c r="E19" s="95">
        <v>1</v>
      </c>
      <c r="F19" s="91">
        <v>10</v>
      </c>
      <c r="G19" s="96">
        <v>11067</v>
      </c>
      <c r="H19" s="96">
        <v>11489</v>
      </c>
      <c r="I19" s="94">
        <v>950546479</v>
      </c>
      <c r="J19" s="94">
        <v>879033361</v>
      </c>
      <c r="K19" s="94">
        <v>377668</v>
      </c>
      <c r="L19" s="94">
        <v>377669</v>
      </c>
      <c r="M19" s="94">
        <v>41508137</v>
      </c>
      <c r="N19" s="94">
        <v>37022861</v>
      </c>
      <c r="O19" s="94">
        <v>1650000</v>
      </c>
      <c r="P19" s="94">
        <v>1940000</v>
      </c>
      <c r="Q19" s="94">
        <v>650438292</v>
      </c>
      <c r="R19" s="94">
        <v>527247686</v>
      </c>
      <c r="S19" s="94">
        <v>449470407</v>
      </c>
      <c r="T19" s="94">
        <v>412101511</v>
      </c>
      <c r="U19" s="94">
        <v>21502</v>
      </c>
      <c r="V19" s="94">
        <v>20324</v>
      </c>
      <c r="W19" s="94">
        <v>37365</v>
      </c>
      <c r="X19" s="94">
        <v>36118</v>
      </c>
      <c r="Y19" s="94">
        <v>23204</v>
      </c>
      <c r="Z19" s="94">
        <v>21964</v>
      </c>
      <c r="AA19" s="94">
        <v>39057</v>
      </c>
      <c r="AB19" s="94">
        <v>38456</v>
      </c>
      <c r="AC19" s="117">
        <v>6</v>
      </c>
      <c r="AD19" s="117">
        <v>10</v>
      </c>
      <c r="AE19" s="117">
        <v>0</v>
      </c>
      <c r="AF19" s="118">
        <v>4342395</v>
      </c>
      <c r="AG19" s="118">
        <v>2897770</v>
      </c>
      <c r="AH19" s="118">
        <v>562436</v>
      </c>
      <c r="AI19" s="118">
        <v>247845</v>
      </c>
      <c r="AJ19" s="118">
        <v>822444</v>
      </c>
      <c r="AK19" s="119">
        <v>4</v>
      </c>
      <c r="AL19" s="118">
        <v>657955</v>
      </c>
      <c r="AM19" s="119">
        <v>5</v>
      </c>
      <c r="AN19" s="118">
        <v>139972</v>
      </c>
      <c r="AO19" s="119">
        <v>8</v>
      </c>
      <c r="AP19" s="118">
        <v>124419</v>
      </c>
      <c r="AQ19" s="119">
        <v>9</v>
      </c>
      <c r="AR19" s="118">
        <v>215073</v>
      </c>
      <c r="AS19" s="119">
        <v>14.5</v>
      </c>
      <c r="AT19" s="118">
        <v>194910</v>
      </c>
      <c r="AU19" s="119">
        <v>16</v>
      </c>
      <c r="AV19" s="118">
        <v>68620</v>
      </c>
      <c r="AW19" s="119">
        <v>13</v>
      </c>
      <c r="AX19" s="118">
        <v>59470</v>
      </c>
      <c r="AY19" s="119">
        <v>15</v>
      </c>
      <c r="AZ19" s="140">
        <v>2519614</v>
      </c>
      <c r="BA19" s="140">
        <v>1505745</v>
      </c>
      <c r="BB19" s="140">
        <v>6097730</v>
      </c>
      <c r="BC19" s="140">
        <v>320515</v>
      </c>
      <c r="BD19" s="140">
        <v>0</v>
      </c>
      <c r="BE19" s="140">
        <v>236453</v>
      </c>
      <c r="BF19" s="140">
        <v>140709</v>
      </c>
      <c r="BG19" s="140">
        <v>58555</v>
      </c>
      <c r="BH19" s="140">
        <v>365159</v>
      </c>
      <c r="BI19" s="140">
        <v>86738</v>
      </c>
      <c r="BJ19" s="140">
        <v>887614</v>
      </c>
      <c r="BK19" s="140">
        <v>50974</v>
      </c>
      <c r="BL19" s="140">
        <v>1243</v>
      </c>
      <c r="BM19" s="140">
        <v>11099</v>
      </c>
      <c r="BN19" s="140">
        <v>58497</v>
      </c>
      <c r="BO19" s="140">
        <v>-46218</v>
      </c>
      <c r="BP19" s="140">
        <v>75595</v>
      </c>
      <c r="BQ19" s="140">
        <v>30231</v>
      </c>
      <c r="BR19" s="140">
        <v>2415</v>
      </c>
      <c r="BS19" s="140">
        <v>3455</v>
      </c>
      <c r="BT19" s="140">
        <v>121136</v>
      </c>
      <c r="BU19" s="140">
        <v>454806</v>
      </c>
      <c r="BV19" s="140">
        <v>612043</v>
      </c>
      <c r="BW19" s="140">
        <v>5744003</v>
      </c>
      <c r="BX19" s="140">
        <v>1253464</v>
      </c>
      <c r="BY19" s="140">
        <v>422061</v>
      </c>
      <c r="BZ19" s="140">
        <v>1332802</v>
      </c>
      <c r="CA19" s="140">
        <v>29987335</v>
      </c>
      <c r="CB19" s="140">
        <v>38739665</v>
      </c>
      <c r="CC19" s="140">
        <v>3306510</v>
      </c>
      <c r="CD19" s="140">
        <v>522556</v>
      </c>
      <c r="CE19" s="140">
        <v>577485</v>
      </c>
      <c r="CF19" s="140">
        <v>2833614</v>
      </c>
      <c r="CG19" s="140">
        <v>341005</v>
      </c>
      <c r="CH19" s="140">
        <v>7581170</v>
      </c>
      <c r="CI19" s="140">
        <v>225000</v>
      </c>
      <c r="CJ19" s="140">
        <v>428970</v>
      </c>
      <c r="CK19" s="140">
        <v>31001</v>
      </c>
      <c r="CL19" s="140">
        <v>38991</v>
      </c>
      <c r="CM19" s="140">
        <v>0</v>
      </c>
      <c r="CN19" s="140">
        <v>723962</v>
      </c>
      <c r="CO19" s="140">
        <v>4122166</v>
      </c>
      <c r="CP19" s="140">
        <v>1892043</v>
      </c>
      <c r="CQ19" s="140">
        <v>630145</v>
      </c>
      <c r="CR19" s="140">
        <v>1775814</v>
      </c>
      <c r="CS19" s="140">
        <v>0</v>
      </c>
      <c r="CT19" s="140">
        <v>8420168</v>
      </c>
      <c r="CU19" s="140">
        <v>25000</v>
      </c>
      <c r="CV19" s="140">
        <v>11600</v>
      </c>
      <c r="CW19" s="140">
        <v>1200</v>
      </c>
      <c r="CX19" s="140">
        <v>0</v>
      </c>
      <c r="CY19" s="140">
        <v>0</v>
      </c>
      <c r="CZ19" s="140">
        <v>37800</v>
      </c>
      <c r="DA19" s="140">
        <v>568134</v>
      </c>
      <c r="DB19" s="140">
        <v>263432</v>
      </c>
      <c r="DC19" s="140">
        <v>164348</v>
      </c>
      <c r="DD19" s="140">
        <v>65145</v>
      </c>
      <c r="DE19" s="140">
        <v>4692820</v>
      </c>
      <c r="DF19" s="140">
        <v>5753879</v>
      </c>
      <c r="DG19" s="140">
        <v>0</v>
      </c>
      <c r="DH19" s="140">
        <v>0</v>
      </c>
      <c r="DI19" s="140">
        <v>0</v>
      </c>
      <c r="DJ19" s="140">
        <v>0</v>
      </c>
      <c r="DK19" s="140">
        <v>0</v>
      </c>
      <c r="DL19" s="140">
        <v>0</v>
      </c>
      <c r="DM19" s="140">
        <v>0</v>
      </c>
      <c r="DN19" s="140">
        <v>0</v>
      </c>
      <c r="DO19" s="140">
        <v>0</v>
      </c>
      <c r="DP19" s="140">
        <v>0</v>
      </c>
      <c r="DQ19" s="140">
        <v>0</v>
      </c>
      <c r="DR19" s="140">
        <v>0</v>
      </c>
      <c r="DS19" s="140">
        <v>367085</v>
      </c>
      <c r="DT19" s="140">
        <v>150608</v>
      </c>
      <c r="DU19" s="140">
        <v>125830</v>
      </c>
      <c r="DV19" s="140">
        <v>166758</v>
      </c>
      <c r="DW19" s="140">
        <v>0</v>
      </c>
      <c r="DX19" s="140">
        <v>810281</v>
      </c>
      <c r="DY19" s="140">
        <v>1334188</v>
      </c>
      <c r="DZ19" s="140">
        <v>360474</v>
      </c>
      <c r="EA19" s="140">
        <v>346722</v>
      </c>
      <c r="EB19" s="140">
        <v>820195</v>
      </c>
      <c r="EC19" s="140">
        <v>10000</v>
      </c>
      <c r="ED19" s="140">
        <v>2871579</v>
      </c>
      <c r="EE19" s="140">
        <v>707054</v>
      </c>
      <c r="EF19" s="140">
        <v>127240</v>
      </c>
      <c r="EG19" s="140">
        <v>84778</v>
      </c>
      <c r="EH19" s="140">
        <v>299895</v>
      </c>
      <c r="EI19" s="140">
        <v>80955</v>
      </c>
      <c r="EJ19" s="140">
        <v>1299922</v>
      </c>
      <c r="EK19" s="139">
        <v>687969</v>
      </c>
      <c r="EL19" s="140">
        <v>257016</v>
      </c>
      <c r="EM19" s="140">
        <v>149134</v>
      </c>
      <c r="EN19" s="140">
        <v>156550</v>
      </c>
      <c r="EO19" s="140">
        <v>0</v>
      </c>
      <c r="EP19" s="140">
        <v>1250669</v>
      </c>
      <c r="EQ19" s="140">
        <v>76566</v>
      </c>
      <c r="ER19" s="140">
        <v>8464</v>
      </c>
      <c r="ES19" s="140">
        <v>12180</v>
      </c>
      <c r="ET19" s="140">
        <v>46541</v>
      </c>
      <c r="EU19" s="140">
        <v>1567692</v>
      </c>
      <c r="EV19" s="140">
        <v>1711443</v>
      </c>
      <c r="EW19" s="140">
        <v>147290</v>
      </c>
      <c r="EX19" s="140">
        <v>89081</v>
      </c>
      <c r="EY19" s="140">
        <v>19581</v>
      </c>
      <c r="EZ19" s="140">
        <v>195220</v>
      </c>
      <c r="FA19" s="140">
        <v>79033</v>
      </c>
      <c r="FB19" s="140">
        <v>530205</v>
      </c>
      <c r="FC19" s="140">
        <v>31021</v>
      </c>
      <c r="FD19" s="140">
        <v>213</v>
      </c>
      <c r="FE19" s="140">
        <v>200</v>
      </c>
      <c r="FF19" s="140">
        <v>35566</v>
      </c>
      <c r="FG19" s="140">
        <v>133597</v>
      </c>
      <c r="FH19" s="140">
        <v>200597</v>
      </c>
      <c r="FI19" s="140">
        <v>0</v>
      </c>
      <c r="FJ19" s="140">
        <v>0</v>
      </c>
      <c r="FK19" s="140">
        <v>0</v>
      </c>
      <c r="FL19" s="140">
        <v>0</v>
      </c>
      <c r="FM19" s="140">
        <v>69925</v>
      </c>
      <c r="FN19" s="140">
        <v>69925</v>
      </c>
      <c r="FO19" s="140">
        <v>569085</v>
      </c>
      <c r="FP19" s="140">
        <v>262201</v>
      </c>
      <c r="FQ19" s="140">
        <v>242073</v>
      </c>
      <c r="FR19" s="140">
        <v>421979</v>
      </c>
      <c r="FS19" s="140">
        <v>909127</v>
      </c>
      <c r="FT19" s="140">
        <v>2404465</v>
      </c>
      <c r="FU19" s="140">
        <v>42030</v>
      </c>
      <c r="FV19" s="140">
        <v>5519</v>
      </c>
      <c r="FW19" s="140">
        <v>8557</v>
      </c>
      <c r="FX19" s="140">
        <v>3374</v>
      </c>
      <c r="FY19" s="140">
        <v>565028</v>
      </c>
      <c r="FZ19" s="140">
        <v>624508</v>
      </c>
      <c r="GA19" s="140">
        <v>4210</v>
      </c>
      <c r="GB19" s="140">
        <v>1600</v>
      </c>
      <c r="GC19" s="140">
        <v>3660</v>
      </c>
      <c r="GD19" s="140">
        <v>5953</v>
      </c>
      <c r="GE19" s="140">
        <v>402275</v>
      </c>
      <c r="GF19" s="140">
        <v>417698</v>
      </c>
      <c r="GG19" s="140">
        <v>417884</v>
      </c>
      <c r="GH19" s="140">
        <v>182019</v>
      </c>
      <c r="GI19" s="140">
        <v>48722</v>
      </c>
      <c r="GJ19" s="140">
        <v>131148</v>
      </c>
      <c r="GK19" s="140">
        <v>1456113</v>
      </c>
      <c r="GL19" s="140">
        <v>2235886</v>
      </c>
      <c r="GM19" s="140">
        <v>12631192</v>
      </c>
      <c r="GN19" s="140">
        <v>4563036</v>
      </c>
      <c r="GO19" s="140">
        <v>2445616</v>
      </c>
      <c r="GP19" s="140">
        <v>6996743</v>
      </c>
      <c r="GQ19" s="140">
        <v>10307570</v>
      </c>
      <c r="GR19" s="140">
        <v>36944157</v>
      </c>
      <c r="GS19" s="140">
        <v>0</v>
      </c>
      <c r="GT19" s="140">
        <v>0</v>
      </c>
      <c r="GU19" s="140">
        <v>0</v>
      </c>
      <c r="GV19" s="140">
        <v>0</v>
      </c>
      <c r="GW19" s="140">
        <v>0</v>
      </c>
      <c r="GX19" s="140">
        <v>0</v>
      </c>
      <c r="GY19" s="140">
        <v>12631192</v>
      </c>
      <c r="GZ19" s="140">
        <v>4563036</v>
      </c>
      <c r="HA19" s="140">
        <v>2445616</v>
      </c>
      <c r="HB19" s="140">
        <v>6996743</v>
      </c>
      <c r="HC19" s="140">
        <v>10307570</v>
      </c>
      <c r="HD19" s="140">
        <v>36944157</v>
      </c>
      <c r="HE19" s="77"/>
      <c r="HF19" s="70">
        <f>SUM(AZ19:AZ19)</f>
        <v>2519614</v>
      </c>
      <c r="HG19" s="70" t="e">
        <f>#REF!-HF19</f>
        <v>#REF!</v>
      </c>
      <c r="HH19" s="70" t="e">
        <f>SUM(#REF!)</f>
        <v>#REF!</v>
      </c>
      <c r="HI19" s="70" t="e">
        <f>#REF!-HH19</f>
        <v>#REF!</v>
      </c>
      <c r="HJ19" s="70">
        <f>SUM(BA19:BA19)</f>
        <v>1505745</v>
      </c>
      <c r="HK19" s="70" t="e">
        <f>#REF!-HJ19</f>
        <v>#REF!</v>
      </c>
      <c r="HL19" s="70" t="e">
        <f>SUM(#REF!)</f>
        <v>#REF!</v>
      </c>
      <c r="HM19" s="70" t="e">
        <f>BB19-HL19</f>
        <v>#REF!</v>
      </c>
      <c r="HN19" s="70" t="e">
        <f>SUM(#REF!)</f>
        <v>#REF!</v>
      </c>
      <c r="HO19" s="70" t="e">
        <f>#REF!-HN19</f>
        <v>#REF!</v>
      </c>
      <c r="HP19" s="70" t="e">
        <f>SUM(#REF!)</f>
        <v>#REF!</v>
      </c>
      <c r="HQ19" s="70" t="e">
        <f>#REF!-HP19</f>
        <v>#REF!</v>
      </c>
      <c r="HR19" s="70" t="e">
        <f>SUM(#REF!)</f>
        <v>#REF!</v>
      </c>
      <c r="HS19" s="70" t="e">
        <f>#REF!-HR19</f>
        <v>#REF!</v>
      </c>
      <c r="HT19" s="70" t="e">
        <f>SUM(#REF!)</f>
        <v>#REF!</v>
      </c>
      <c r="HU19" s="70" t="e">
        <f>#REF!-HT19</f>
        <v>#REF!</v>
      </c>
      <c r="HV19" s="70" t="e">
        <f>SUM(#REF!)</f>
        <v>#REF!</v>
      </c>
      <c r="HW19" s="70" t="e">
        <f>#REF!-HV19</f>
        <v>#REF!</v>
      </c>
      <c r="HX19" s="70" t="e">
        <f>SUM(#REF!)</f>
        <v>#REF!</v>
      </c>
      <c r="HY19" s="70" t="e">
        <f>#REF!-HX19</f>
        <v>#REF!</v>
      </c>
      <c r="HZ19" s="70">
        <f>SUM(BC19:BC19)</f>
        <v>320515</v>
      </c>
      <c r="IA19" s="70" t="e">
        <f>#REF!-HZ19</f>
        <v>#REF!</v>
      </c>
      <c r="IB19" s="70">
        <f>SUM(BD19:BD19)</f>
        <v>0</v>
      </c>
      <c r="IC19" s="70" t="e">
        <f>#REF!-IB19</f>
        <v>#REF!</v>
      </c>
      <c r="ID19" s="70">
        <f t="shared" si="0"/>
        <v>887614</v>
      </c>
      <c r="IE19" s="70">
        <f t="shared" si="1"/>
        <v>0</v>
      </c>
      <c r="IF19" s="70">
        <f t="shared" si="2"/>
        <v>75595</v>
      </c>
      <c r="IG19" s="70">
        <f t="shared" si="3"/>
        <v>0</v>
      </c>
      <c r="IH19" s="70">
        <f t="shared" si="4"/>
        <v>612043</v>
      </c>
      <c r="II19" s="70">
        <f t="shared" si="5"/>
        <v>0</v>
      </c>
      <c r="IJ19" s="70">
        <f t="shared" si="6"/>
        <v>38739665</v>
      </c>
      <c r="IK19" s="70">
        <f t="shared" si="7"/>
        <v>0</v>
      </c>
      <c r="IL19" s="70">
        <f t="shared" si="8"/>
        <v>7581170</v>
      </c>
      <c r="IM19" s="70">
        <f t="shared" si="9"/>
        <v>0</v>
      </c>
      <c r="IN19" s="70">
        <f t="shared" si="10"/>
        <v>723962</v>
      </c>
      <c r="IO19" s="70">
        <f t="shared" si="11"/>
        <v>0</v>
      </c>
      <c r="IP19" s="70">
        <f t="shared" si="12"/>
        <v>8420168</v>
      </c>
      <c r="IQ19" s="70">
        <f t="shared" si="13"/>
        <v>0</v>
      </c>
      <c r="IR19" s="70">
        <f t="shared" si="54"/>
        <v>37800</v>
      </c>
      <c r="IS19" s="70">
        <f t="shared" si="55"/>
        <v>0</v>
      </c>
      <c r="IT19" s="70">
        <f t="shared" si="16"/>
        <v>5753879</v>
      </c>
      <c r="IU19" s="70">
        <f t="shared" si="17"/>
        <v>0</v>
      </c>
      <c r="IV19" s="70">
        <f t="shared" si="18"/>
        <v>0</v>
      </c>
      <c r="IW19" s="70">
        <f t="shared" si="19"/>
        <v>0</v>
      </c>
      <c r="IX19" s="70">
        <f t="shared" si="20"/>
        <v>0</v>
      </c>
      <c r="IY19" s="70">
        <f t="shared" si="21"/>
        <v>0</v>
      </c>
      <c r="IZ19" s="70">
        <f t="shared" si="22"/>
        <v>810281</v>
      </c>
      <c r="JA19" s="70">
        <f t="shared" si="23"/>
        <v>0</v>
      </c>
      <c r="JB19" s="70">
        <f t="shared" si="24"/>
        <v>2871579</v>
      </c>
      <c r="JC19" s="70">
        <f t="shared" si="25"/>
        <v>0</v>
      </c>
      <c r="JD19" s="70">
        <f t="shared" si="26"/>
        <v>1299922</v>
      </c>
      <c r="JE19" s="70">
        <f t="shared" si="27"/>
        <v>0</v>
      </c>
      <c r="JF19" s="70">
        <f t="shared" si="28"/>
        <v>1250669</v>
      </c>
      <c r="JG19" s="70">
        <f t="shared" si="29"/>
        <v>0</v>
      </c>
      <c r="JH19" s="70">
        <f t="shared" si="30"/>
        <v>1711443</v>
      </c>
      <c r="JI19" s="70">
        <f t="shared" si="31"/>
        <v>0</v>
      </c>
      <c r="JJ19" s="70">
        <f t="shared" si="32"/>
        <v>530205</v>
      </c>
      <c r="JK19" s="70">
        <f t="shared" si="33"/>
        <v>0</v>
      </c>
      <c r="JL19" s="70">
        <f t="shared" si="34"/>
        <v>200597</v>
      </c>
      <c r="JM19" s="70">
        <f t="shared" si="35"/>
        <v>0</v>
      </c>
      <c r="JN19" s="70">
        <f t="shared" si="36"/>
        <v>69925</v>
      </c>
      <c r="JO19" s="70">
        <f t="shared" si="37"/>
        <v>0</v>
      </c>
      <c r="JP19" s="70">
        <f t="shared" si="38"/>
        <v>2404465</v>
      </c>
      <c r="JQ19" s="70">
        <f t="shared" si="39"/>
        <v>0</v>
      </c>
      <c r="JR19" s="70">
        <f t="shared" si="40"/>
        <v>624508</v>
      </c>
      <c r="JS19" s="70">
        <f t="shared" si="41"/>
        <v>0</v>
      </c>
      <c r="JT19" s="70">
        <f t="shared" si="42"/>
        <v>417698</v>
      </c>
      <c r="JU19" s="70">
        <f t="shared" si="43"/>
        <v>0</v>
      </c>
      <c r="JV19" s="70">
        <f t="shared" si="44"/>
        <v>2235886</v>
      </c>
      <c r="JW19" s="70">
        <f t="shared" si="45"/>
        <v>0</v>
      </c>
      <c r="JX19" s="70">
        <f t="shared" si="46"/>
        <v>36944157</v>
      </c>
      <c r="JY19" s="70">
        <f t="shared" si="47"/>
        <v>0</v>
      </c>
      <c r="JZ19" s="70">
        <f t="shared" si="48"/>
        <v>0</v>
      </c>
      <c r="KA19" s="70">
        <f t="shared" si="49"/>
        <v>0</v>
      </c>
      <c r="KB19" s="70">
        <f t="shared" si="50"/>
        <v>36944157</v>
      </c>
      <c r="KC19" s="70">
        <f t="shared" si="51"/>
        <v>0</v>
      </c>
      <c r="KE19" s="70" t="e">
        <f t="shared" si="52"/>
        <v>#REF!</v>
      </c>
      <c r="KG19" s="68" t="e">
        <f t="shared" si="53"/>
        <v>#REF!</v>
      </c>
    </row>
    <row r="20" spans="1:293">
      <c r="A20" s="180" t="s">
        <v>220</v>
      </c>
      <c r="B20" s="76" t="s">
        <v>360</v>
      </c>
      <c r="C20" s="90">
        <v>129020</v>
      </c>
      <c r="D20" s="90">
        <v>2014</v>
      </c>
      <c r="E20" s="90">
        <v>1</v>
      </c>
      <c r="F20" s="91">
        <v>6</v>
      </c>
      <c r="G20" s="92">
        <v>8957</v>
      </c>
      <c r="H20" s="92">
        <v>8727</v>
      </c>
      <c r="I20" s="93">
        <v>1097736091</v>
      </c>
      <c r="J20" s="93">
        <v>998515347</v>
      </c>
      <c r="K20" s="93">
        <v>2790789</v>
      </c>
      <c r="L20" s="93">
        <v>2932814</v>
      </c>
      <c r="M20" s="93" t="s">
        <v>221</v>
      </c>
      <c r="N20" s="93">
        <v>130855338</v>
      </c>
      <c r="O20" s="93">
        <v>21381452</v>
      </c>
      <c r="P20" s="93" t="s">
        <v>222</v>
      </c>
      <c r="Q20" s="93" t="s">
        <v>223</v>
      </c>
      <c r="R20" s="93">
        <v>1081196163</v>
      </c>
      <c r="S20" s="93">
        <v>900801698</v>
      </c>
      <c r="T20" s="93">
        <v>831041628</v>
      </c>
      <c r="U20" s="93">
        <v>24544</v>
      </c>
      <c r="V20" s="93">
        <v>23.422000000000001</v>
      </c>
      <c r="W20" s="93">
        <v>43492</v>
      </c>
      <c r="X20" s="93">
        <v>41254</v>
      </c>
      <c r="Y20" s="93">
        <v>27654</v>
      </c>
      <c r="Z20" s="93" t="s">
        <v>224</v>
      </c>
      <c r="AA20" s="93">
        <v>45618</v>
      </c>
      <c r="AB20" s="93">
        <v>44614</v>
      </c>
      <c r="AC20" s="114">
        <v>11</v>
      </c>
      <c r="AD20" s="114">
        <v>13</v>
      </c>
      <c r="AE20" s="114">
        <v>0</v>
      </c>
      <c r="AF20" s="115">
        <v>6129008</v>
      </c>
      <c r="AG20" s="115">
        <v>5990830</v>
      </c>
      <c r="AH20" s="115">
        <v>511599</v>
      </c>
      <c r="AI20" s="115">
        <v>524050</v>
      </c>
      <c r="AJ20" s="115">
        <v>688488</v>
      </c>
      <c r="AK20" s="116">
        <v>8</v>
      </c>
      <c r="AL20" s="115">
        <v>611990</v>
      </c>
      <c r="AM20" s="116">
        <v>9</v>
      </c>
      <c r="AN20" s="115">
        <v>350544</v>
      </c>
      <c r="AO20" s="116">
        <v>10</v>
      </c>
      <c r="AP20" s="115">
        <v>318676</v>
      </c>
      <c r="AQ20" s="116">
        <v>11</v>
      </c>
      <c r="AR20" s="115">
        <v>208172</v>
      </c>
      <c r="AS20" s="116">
        <v>23.5</v>
      </c>
      <c r="AT20" s="115">
        <v>188155</v>
      </c>
      <c r="AU20" s="116">
        <v>26</v>
      </c>
      <c r="AV20" s="115">
        <v>99638</v>
      </c>
      <c r="AW20" s="116">
        <v>23</v>
      </c>
      <c r="AX20" s="115">
        <v>95487</v>
      </c>
      <c r="AY20" s="116">
        <v>24</v>
      </c>
      <c r="AZ20" s="139">
        <v>5248807</v>
      </c>
      <c r="BA20" s="139">
        <v>150000</v>
      </c>
      <c r="BB20" s="139">
        <v>6278975</v>
      </c>
      <c r="BC20" s="139">
        <v>1996</v>
      </c>
      <c r="BD20" s="139">
        <v>11639</v>
      </c>
      <c r="BE20" s="139">
        <v>4582</v>
      </c>
      <c r="BF20" s="139">
        <v>8692</v>
      </c>
      <c r="BG20" s="139">
        <v>0</v>
      </c>
      <c r="BH20" s="139">
        <v>17530</v>
      </c>
      <c r="BI20" s="139">
        <v>0</v>
      </c>
      <c r="BJ20" s="139">
        <v>30804</v>
      </c>
      <c r="BK20" s="139">
        <v>36</v>
      </c>
      <c r="BL20" s="139">
        <v>3366</v>
      </c>
      <c r="BM20" s="139">
        <v>0</v>
      </c>
      <c r="BN20" s="139">
        <v>68441</v>
      </c>
      <c r="BO20" s="139">
        <v>77553</v>
      </c>
      <c r="BP20" s="139">
        <v>149396</v>
      </c>
      <c r="BQ20" s="139">
        <v>22995</v>
      </c>
      <c r="BR20" s="139">
        <v>0</v>
      </c>
      <c r="BS20" s="139">
        <v>288209</v>
      </c>
      <c r="BT20" s="139">
        <v>46240</v>
      </c>
      <c r="BU20" s="139">
        <v>880169</v>
      </c>
      <c r="BV20" s="139">
        <v>1237613</v>
      </c>
      <c r="BW20" s="139">
        <v>7554290</v>
      </c>
      <c r="BX20" s="139">
        <v>10915097</v>
      </c>
      <c r="BY20" s="139">
        <v>4045699</v>
      </c>
      <c r="BZ20" s="139">
        <v>1361118</v>
      </c>
      <c r="CA20" s="139">
        <v>47643229</v>
      </c>
      <c r="CB20" s="139">
        <v>71519433</v>
      </c>
      <c r="CC20" s="139">
        <v>3639588</v>
      </c>
      <c r="CD20" s="139">
        <v>621798</v>
      </c>
      <c r="CE20" s="139">
        <v>466562</v>
      </c>
      <c r="CF20" s="139">
        <v>7391890</v>
      </c>
      <c r="CG20" s="139">
        <v>310331</v>
      </c>
      <c r="CH20" s="139">
        <v>12430169</v>
      </c>
      <c r="CI20" s="139">
        <v>825000</v>
      </c>
      <c r="CJ20" s="139">
        <v>448500</v>
      </c>
      <c r="CK20" s="139">
        <v>72000</v>
      </c>
      <c r="CL20" s="139">
        <v>55012</v>
      </c>
      <c r="CM20" s="139">
        <v>0</v>
      </c>
      <c r="CN20" s="139">
        <v>1400512</v>
      </c>
      <c r="CO20" s="139">
        <v>4319009</v>
      </c>
      <c r="CP20" s="139">
        <v>3800878</v>
      </c>
      <c r="CQ20" s="139">
        <v>3073240</v>
      </c>
      <c r="CR20" s="139">
        <v>5003935</v>
      </c>
      <c r="CS20" s="139">
        <v>0</v>
      </c>
      <c r="CT20" s="139">
        <v>16197062</v>
      </c>
      <c r="CU20" s="139">
        <v>0</v>
      </c>
      <c r="CV20" s="139">
        <v>0</v>
      </c>
      <c r="CW20" s="139">
        <v>0</v>
      </c>
      <c r="CX20" s="139">
        <v>0</v>
      </c>
      <c r="CY20" s="139">
        <v>0</v>
      </c>
      <c r="CZ20" s="139">
        <v>0</v>
      </c>
      <c r="DA20" s="139">
        <v>537403</v>
      </c>
      <c r="DB20" s="139">
        <v>400646</v>
      </c>
      <c r="DC20" s="139">
        <v>283817</v>
      </c>
      <c r="DD20" s="139">
        <f>1005781+294653-DA20-DB20-DC20</f>
        <v>78568</v>
      </c>
      <c r="DE20" s="139">
        <v>13153584</v>
      </c>
      <c r="DF20" s="139">
        <v>14454018</v>
      </c>
      <c r="DG20" s="139">
        <v>0</v>
      </c>
      <c r="DH20" s="139">
        <v>0</v>
      </c>
      <c r="DI20" s="139">
        <v>0</v>
      </c>
      <c r="DJ20" s="139">
        <v>0</v>
      </c>
      <c r="DK20" s="139">
        <v>0</v>
      </c>
      <c r="DL20" s="139">
        <v>0</v>
      </c>
      <c r="DM20" s="139">
        <v>1003574</v>
      </c>
      <c r="DN20" s="139">
        <v>0</v>
      </c>
      <c r="DO20" s="139">
        <v>0</v>
      </c>
      <c r="DP20" s="139">
        <f>1033928+195910-DM20-DN20-DO20</f>
        <v>226264</v>
      </c>
      <c r="DQ20" s="139">
        <v>113194</v>
      </c>
      <c r="DR20" s="139">
        <v>1343032</v>
      </c>
      <c r="DS20" s="139">
        <v>171851</v>
      </c>
      <c r="DT20" s="139">
        <v>113835</v>
      </c>
      <c r="DU20" s="139">
        <v>287077</v>
      </c>
      <c r="DV20" s="139">
        <f>511599+524050-DS20-DT20-DU20</f>
        <v>462886</v>
      </c>
      <c r="DW20" s="139">
        <v>4500</v>
      </c>
      <c r="DX20" s="139">
        <v>1040149</v>
      </c>
      <c r="DY20" s="139">
        <v>1082529</v>
      </c>
      <c r="DZ20" s="139">
        <v>1759392</v>
      </c>
      <c r="EA20" s="139">
        <v>1061641</v>
      </c>
      <c r="EB20" s="139">
        <f>4329058+2580777-DY20-DZ20-EA20</f>
        <v>3006273</v>
      </c>
      <c r="EC20" s="139">
        <v>0</v>
      </c>
      <c r="ED20" s="139">
        <v>6909835</v>
      </c>
      <c r="EE20" s="139">
        <v>159241</v>
      </c>
      <c r="EF20" s="139">
        <v>14479</v>
      </c>
      <c r="EG20" s="139">
        <v>3803</v>
      </c>
      <c r="EH20" s="139">
        <f>404658+183847-EE20-EF20-EG20</f>
        <v>410982</v>
      </c>
      <c r="EI20" s="139">
        <v>13781</v>
      </c>
      <c r="EJ20" s="139">
        <v>602286</v>
      </c>
      <c r="EK20" s="139">
        <v>3240896</v>
      </c>
      <c r="EL20" s="139">
        <v>989245</v>
      </c>
      <c r="EM20" s="139">
        <v>958950</v>
      </c>
      <c r="EN20" s="139">
        <f>4478306+1121751-EK20-EL20-EM20</f>
        <v>410966</v>
      </c>
      <c r="EO20" s="139">
        <v>56248</v>
      </c>
      <c r="EP20" s="139">
        <v>5656305</v>
      </c>
      <c r="EQ20" s="139">
        <v>0</v>
      </c>
      <c r="ER20" s="139">
        <v>0</v>
      </c>
      <c r="ES20" s="139">
        <v>0</v>
      </c>
      <c r="ET20" s="139">
        <v>0</v>
      </c>
      <c r="EU20" s="139">
        <v>3090764</v>
      </c>
      <c r="EV20" s="139">
        <v>3090764</v>
      </c>
      <c r="EW20" s="139">
        <v>0</v>
      </c>
      <c r="EX20" s="139">
        <v>0</v>
      </c>
      <c r="EY20" s="139">
        <v>0</v>
      </c>
      <c r="EZ20" s="139">
        <v>0</v>
      </c>
      <c r="FA20" s="139">
        <v>0</v>
      </c>
      <c r="FB20" s="139">
        <v>0</v>
      </c>
      <c r="FC20" s="139">
        <v>111290</v>
      </c>
      <c r="FD20" s="139">
        <v>5374</v>
      </c>
      <c r="FE20" s="139">
        <v>10168</v>
      </c>
      <c r="FF20" s="139">
        <f>224261+48789-FC20-FD20-FE20</f>
        <v>146218</v>
      </c>
      <c r="FG20" s="139">
        <v>1989140</v>
      </c>
      <c r="FH20" s="139">
        <v>2262190</v>
      </c>
      <c r="FI20" s="139">
        <v>0</v>
      </c>
      <c r="FJ20" s="139">
        <v>11795</v>
      </c>
      <c r="FK20" s="139">
        <v>12039</v>
      </c>
      <c r="FL20" s="139">
        <v>0</v>
      </c>
      <c r="FM20" s="139">
        <v>4599</v>
      </c>
      <c r="FN20" s="139">
        <v>28433</v>
      </c>
      <c r="FO20" s="139">
        <v>0</v>
      </c>
      <c r="FP20" s="139">
        <v>0</v>
      </c>
      <c r="FQ20" s="139">
        <v>0</v>
      </c>
      <c r="FR20" s="139">
        <v>0</v>
      </c>
      <c r="FS20" s="139">
        <v>0</v>
      </c>
      <c r="FT20" s="139">
        <v>0</v>
      </c>
      <c r="FU20" s="139">
        <v>25020</v>
      </c>
      <c r="FV20" s="139">
        <v>3876</v>
      </c>
      <c r="FW20" s="139">
        <v>10307</v>
      </c>
      <c r="FX20" s="139">
        <f>86854+93623-FU20-FV20-FW20</f>
        <v>141274</v>
      </c>
      <c r="FY20" s="139">
        <v>535022</v>
      </c>
      <c r="FZ20" s="139">
        <v>715499</v>
      </c>
      <c r="GA20" s="139">
        <v>2000</v>
      </c>
      <c r="GB20" s="139">
        <v>55</v>
      </c>
      <c r="GC20" s="139">
        <v>640</v>
      </c>
      <c r="GD20" s="139">
        <f>30778+27935-GA20-GB20-GC20</f>
        <v>56018</v>
      </c>
      <c r="GE20" s="139">
        <v>26891</v>
      </c>
      <c r="GF20" s="139">
        <v>85604</v>
      </c>
      <c r="GG20" s="139">
        <v>262956</v>
      </c>
      <c r="GH20" s="139">
        <v>394721</v>
      </c>
      <c r="GI20" s="139">
        <v>83610</v>
      </c>
      <c r="GJ20" s="139">
        <f>940047+242104-GG20-GH20-GI20</f>
        <v>440864</v>
      </c>
      <c r="GK20" s="139">
        <v>3998246</v>
      </c>
      <c r="GL20" s="139">
        <v>5180397</v>
      </c>
      <c r="GM20" s="139">
        <v>15380357</v>
      </c>
      <c r="GN20" s="139">
        <v>8564114</v>
      </c>
      <c r="GO20" s="139">
        <v>6323854</v>
      </c>
      <c r="GP20" s="139">
        <f>30907084+17192871-GM20-GN20-GO20</f>
        <v>17831630</v>
      </c>
      <c r="GQ20" s="139">
        <v>23296300</v>
      </c>
      <c r="GR20" s="139">
        <v>71396255</v>
      </c>
      <c r="GS20" s="139">
        <v>0</v>
      </c>
      <c r="GT20" s="139">
        <v>0</v>
      </c>
      <c r="GU20" s="139">
        <v>0</v>
      </c>
      <c r="GV20" s="139">
        <v>0</v>
      </c>
      <c r="GW20" s="139">
        <v>0</v>
      </c>
      <c r="GX20" s="139">
        <v>0</v>
      </c>
      <c r="GY20" s="139">
        <v>15380357</v>
      </c>
      <c r="GZ20" s="139">
        <v>8564144</v>
      </c>
      <c r="HA20" s="139">
        <v>6323854</v>
      </c>
      <c r="HB20" s="139">
        <f>30907084+17192871-GY20-GZ20-HA20</f>
        <v>17831600</v>
      </c>
      <c r="HC20" s="139">
        <v>23296300</v>
      </c>
      <c r="HD20" s="139">
        <v>71396255</v>
      </c>
      <c r="HF20" s="70">
        <f>SUM(AZ20:AZ20)</f>
        <v>5248807</v>
      </c>
      <c r="HG20" s="70" t="e">
        <f>#REF!-HF20</f>
        <v>#REF!</v>
      </c>
      <c r="HH20" s="70" t="e">
        <f>SUM(#REF!)</f>
        <v>#REF!</v>
      </c>
      <c r="HI20" s="70" t="e">
        <f>#REF!-HH20</f>
        <v>#REF!</v>
      </c>
      <c r="HJ20" s="70">
        <f>SUM(BA20:BA20)</f>
        <v>150000</v>
      </c>
      <c r="HK20" s="70" t="e">
        <f>#REF!-HJ20</f>
        <v>#REF!</v>
      </c>
      <c r="HL20" s="70" t="e">
        <f>SUM(#REF!)</f>
        <v>#REF!</v>
      </c>
      <c r="HM20" s="70" t="e">
        <f>BB20-HL20</f>
        <v>#REF!</v>
      </c>
      <c r="HN20" s="70" t="e">
        <f>SUM(#REF!)</f>
        <v>#REF!</v>
      </c>
      <c r="HO20" s="70" t="e">
        <f>#REF!-HN20</f>
        <v>#REF!</v>
      </c>
      <c r="HP20" s="70" t="e">
        <f>SUM(#REF!)</f>
        <v>#REF!</v>
      </c>
      <c r="HQ20" s="70" t="e">
        <f>#REF!-HP20</f>
        <v>#REF!</v>
      </c>
      <c r="HR20" s="70" t="e">
        <f>SUM(#REF!)</f>
        <v>#REF!</v>
      </c>
      <c r="HS20" s="70" t="e">
        <f>#REF!-HR20</f>
        <v>#REF!</v>
      </c>
      <c r="HT20" s="70" t="e">
        <f>SUM(#REF!)</f>
        <v>#REF!</v>
      </c>
      <c r="HU20" s="70" t="e">
        <f>#REF!-HT20</f>
        <v>#REF!</v>
      </c>
      <c r="HV20" s="70" t="e">
        <f>SUM(#REF!)</f>
        <v>#REF!</v>
      </c>
      <c r="HW20" s="70" t="e">
        <f>#REF!-HV20</f>
        <v>#REF!</v>
      </c>
      <c r="HX20" s="70" t="e">
        <f>SUM(#REF!)</f>
        <v>#REF!</v>
      </c>
      <c r="HY20" s="70" t="e">
        <f>#REF!-HX20</f>
        <v>#REF!</v>
      </c>
      <c r="HZ20" s="70">
        <f>SUM(BC20:BC20)</f>
        <v>1996</v>
      </c>
      <c r="IA20" s="70" t="e">
        <f>#REF!-HZ20</f>
        <v>#REF!</v>
      </c>
      <c r="IB20" s="70">
        <f>SUM(BD20:BD20)</f>
        <v>11639</v>
      </c>
      <c r="IC20" s="70" t="e">
        <f>#REF!-IB20</f>
        <v>#REF!</v>
      </c>
      <c r="ID20" s="70">
        <f t="shared" si="0"/>
        <v>30804</v>
      </c>
      <c r="IE20" s="70">
        <f t="shared" si="1"/>
        <v>0</v>
      </c>
      <c r="IF20" s="70">
        <f t="shared" si="2"/>
        <v>149396</v>
      </c>
      <c r="IG20" s="70">
        <f t="shared" si="3"/>
        <v>0</v>
      </c>
      <c r="IH20" s="70">
        <f t="shared" si="4"/>
        <v>1237613</v>
      </c>
      <c r="II20" s="70">
        <f t="shared" si="5"/>
        <v>0</v>
      </c>
      <c r="IJ20" s="70">
        <f t="shared" si="6"/>
        <v>71519433</v>
      </c>
      <c r="IK20" s="70">
        <f t="shared" si="7"/>
        <v>0</v>
      </c>
      <c r="IL20" s="70">
        <f t="shared" si="8"/>
        <v>12430169</v>
      </c>
      <c r="IM20" s="70">
        <f t="shared" si="9"/>
        <v>0</v>
      </c>
      <c r="IN20" s="70">
        <f t="shared" si="10"/>
        <v>1400512</v>
      </c>
      <c r="IO20" s="70">
        <f t="shared" si="11"/>
        <v>0</v>
      </c>
      <c r="IP20" s="70">
        <f t="shared" si="12"/>
        <v>16197062</v>
      </c>
      <c r="IQ20" s="70">
        <f t="shared" si="13"/>
        <v>0</v>
      </c>
      <c r="IR20" s="70">
        <f t="shared" si="54"/>
        <v>0</v>
      </c>
      <c r="IS20" s="70">
        <f t="shared" si="55"/>
        <v>0</v>
      </c>
      <c r="IT20" s="70">
        <f t="shared" si="16"/>
        <v>14454018</v>
      </c>
      <c r="IU20" s="70">
        <f t="shared" si="17"/>
        <v>0</v>
      </c>
      <c r="IV20" s="70">
        <f t="shared" si="18"/>
        <v>0</v>
      </c>
      <c r="IW20" s="70">
        <f t="shared" si="19"/>
        <v>0</v>
      </c>
      <c r="IX20" s="70">
        <f t="shared" si="20"/>
        <v>1343032</v>
      </c>
      <c r="IY20" s="70">
        <f t="shared" si="21"/>
        <v>0</v>
      </c>
      <c r="IZ20" s="70">
        <f t="shared" si="22"/>
        <v>1040149</v>
      </c>
      <c r="JA20" s="70">
        <f t="shared" si="23"/>
        <v>0</v>
      </c>
      <c r="JB20" s="70">
        <f t="shared" si="24"/>
        <v>6909835</v>
      </c>
      <c r="JC20" s="70">
        <f t="shared" si="25"/>
        <v>0</v>
      </c>
      <c r="JD20" s="70">
        <f t="shared" si="26"/>
        <v>602286</v>
      </c>
      <c r="JE20" s="70">
        <f t="shared" si="27"/>
        <v>0</v>
      </c>
      <c r="JF20" s="70">
        <f t="shared" si="28"/>
        <v>5656305</v>
      </c>
      <c r="JG20" s="70">
        <f t="shared" si="29"/>
        <v>0</v>
      </c>
      <c r="JH20" s="70">
        <f t="shared" si="30"/>
        <v>3090764</v>
      </c>
      <c r="JI20" s="70">
        <f t="shared" si="31"/>
        <v>0</v>
      </c>
      <c r="JJ20" s="70">
        <f t="shared" si="32"/>
        <v>0</v>
      </c>
      <c r="JK20" s="70">
        <f t="shared" si="33"/>
        <v>0</v>
      </c>
      <c r="JL20" s="70">
        <f t="shared" si="34"/>
        <v>2262190</v>
      </c>
      <c r="JM20" s="70">
        <f t="shared" si="35"/>
        <v>0</v>
      </c>
      <c r="JN20" s="70">
        <f t="shared" si="36"/>
        <v>28433</v>
      </c>
      <c r="JO20" s="70">
        <f t="shared" si="37"/>
        <v>0</v>
      </c>
      <c r="JP20" s="70">
        <f t="shared" si="38"/>
        <v>0</v>
      </c>
      <c r="JQ20" s="70">
        <f t="shared" si="39"/>
        <v>0</v>
      </c>
      <c r="JR20" s="70">
        <f t="shared" si="40"/>
        <v>715499</v>
      </c>
      <c r="JS20" s="70">
        <f t="shared" si="41"/>
        <v>0</v>
      </c>
      <c r="JT20" s="70">
        <f t="shared" si="42"/>
        <v>85604</v>
      </c>
      <c r="JU20" s="70">
        <f t="shared" si="43"/>
        <v>0</v>
      </c>
      <c r="JV20" s="70">
        <f t="shared" si="44"/>
        <v>5180397</v>
      </c>
      <c r="JW20" s="70">
        <f t="shared" si="45"/>
        <v>0</v>
      </c>
      <c r="JX20" s="70">
        <f t="shared" si="46"/>
        <v>71396255</v>
      </c>
      <c r="JY20" s="70">
        <f t="shared" si="47"/>
        <v>0</v>
      </c>
      <c r="JZ20" s="70">
        <f t="shared" si="48"/>
        <v>0</v>
      </c>
      <c r="KA20" s="70">
        <f t="shared" si="49"/>
        <v>0</v>
      </c>
      <c r="KB20" s="70">
        <f t="shared" si="50"/>
        <v>71396255</v>
      </c>
      <c r="KC20" s="70">
        <f t="shared" si="51"/>
        <v>0</v>
      </c>
      <c r="KE20" s="70" t="e">
        <f t="shared" si="52"/>
        <v>#REF!</v>
      </c>
      <c r="KG20" s="68" t="e">
        <f t="shared" si="53"/>
        <v>#REF!</v>
      </c>
    </row>
    <row r="21" spans="1:293">
      <c r="A21" s="180" t="s">
        <v>490</v>
      </c>
      <c r="B21" s="76" t="s">
        <v>360</v>
      </c>
      <c r="C21" s="90">
        <v>198464</v>
      </c>
      <c r="D21" s="90">
        <v>2014</v>
      </c>
      <c r="E21" s="90">
        <v>1</v>
      </c>
      <c r="F21" s="91">
        <v>6</v>
      </c>
      <c r="G21" s="92">
        <v>8624</v>
      </c>
      <c r="H21" s="92">
        <v>12347</v>
      </c>
      <c r="I21" s="93">
        <v>820266769</v>
      </c>
      <c r="J21" s="93">
        <v>783350806</v>
      </c>
      <c r="K21" s="93">
        <v>5785038</v>
      </c>
      <c r="L21" s="93">
        <v>3257512</v>
      </c>
      <c r="M21" s="93">
        <v>17052017</v>
      </c>
      <c r="N21" s="93">
        <v>14555384</v>
      </c>
      <c r="O21" s="93">
        <v>47511547</v>
      </c>
      <c r="P21" s="93">
        <v>50951670</v>
      </c>
      <c r="Q21" s="93">
        <v>206128180</v>
      </c>
      <c r="R21" s="93">
        <v>145350498</v>
      </c>
      <c r="S21" s="93">
        <v>435376736</v>
      </c>
      <c r="T21" s="93">
        <v>431774165</v>
      </c>
      <c r="U21" s="93">
        <v>15738</v>
      </c>
      <c r="V21" s="93">
        <v>15294</v>
      </c>
      <c r="W21" s="93">
        <v>30935</v>
      </c>
      <c r="X21" s="93">
        <v>29108</v>
      </c>
      <c r="Y21" s="93">
        <v>21102</v>
      </c>
      <c r="Z21" s="93">
        <v>20096</v>
      </c>
      <c r="AA21" s="93">
        <v>36299</v>
      </c>
      <c r="AB21" s="93">
        <v>33910</v>
      </c>
      <c r="AC21" s="114">
        <v>9</v>
      </c>
      <c r="AD21" s="114">
        <v>10</v>
      </c>
      <c r="AE21" s="114">
        <v>0</v>
      </c>
      <c r="AF21" s="115">
        <v>3825386</v>
      </c>
      <c r="AG21" s="115">
        <v>2755109</v>
      </c>
      <c r="AH21" s="115">
        <v>412517</v>
      </c>
      <c r="AI21" s="115">
        <v>242527</v>
      </c>
      <c r="AJ21" s="115">
        <v>441478</v>
      </c>
      <c r="AK21" s="116">
        <v>6</v>
      </c>
      <c r="AL21" s="115">
        <v>378410</v>
      </c>
      <c r="AM21" s="116">
        <v>7</v>
      </c>
      <c r="AN21" s="115">
        <v>133117</v>
      </c>
      <c r="AO21" s="116">
        <v>7</v>
      </c>
      <c r="AP21" s="115">
        <v>116477</v>
      </c>
      <c r="AQ21" s="116">
        <v>8</v>
      </c>
      <c r="AR21" s="115">
        <v>126436</v>
      </c>
      <c r="AS21" s="116">
        <v>21</v>
      </c>
      <c r="AT21" s="115">
        <v>102121</v>
      </c>
      <c r="AU21" s="116">
        <v>26</v>
      </c>
      <c r="AV21" s="115">
        <v>60279</v>
      </c>
      <c r="AW21" s="116">
        <v>15</v>
      </c>
      <c r="AX21" s="115">
        <v>45209</v>
      </c>
      <c r="AY21" s="116">
        <v>20</v>
      </c>
      <c r="AZ21" s="146">
        <v>6015002</v>
      </c>
      <c r="BA21" s="146">
        <v>450000</v>
      </c>
      <c r="BB21" s="146">
        <v>6358202</v>
      </c>
      <c r="BC21" s="140">
        <v>305069</v>
      </c>
      <c r="BD21" s="139">
        <v>146000</v>
      </c>
      <c r="BE21" s="139">
        <v>16388</v>
      </c>
      <c r="BF21" s="146">
        <v>20121</v>
      </c>
      <c r="BG21" s="146">
        <v>7875</v>
      </c>
      <c r="BH21" s="146">
        <v>123789</v>
      </c>
      <c r="BI21" s="146">
        <v>40</v>
      </c>
      <c r="BJ21" s="146">
        <v>168213</v>
      </c>
      <c r="BK21" s="139">
        <v>0</v>
      </c>
      <c r="BL21" s="146">
        <v>0</v>
      </c>
      <c r="BM21" s="146">
        <v>0</v>
      </c>
      <c r="BN21" s="146">
        <v>0</v>
      </c>
      <c r="BO21" s="146">
        <v>3967</v>
      </c>
      <c r="BP21" s="146">
        <v>3967</v>
      </c>
      <c r="BQ21" s="146">
        <v>1050</v>
      </c>
      <c r="BR21" s="146">
        <v>0</v>
      </c>
      <c r="BS21" s="146">
        <v>0</v>
      </c>
      <c r="BT21" s="142">
        <v>58084</v>
      </c>
      <c r="BU21" s="146">
        <v>291658</v>
      </c>
      <c r="BV21" s="146">
        <v>350792</v>
      </c>
      <c r="BW21" s="146">
        <v>7030524</v>
      </c>
      <c r="BX21" s="146">
        <v>734902</v>
      </c>
      <c r="BY21" s="146">
        <v>36547</v>
      </c>
      <c r="BZ21" s="146">
        <v>568456</v>
      </c>
      <c r="CA21" s="147">
        <v>27182037</v>
      </c>
      <c r="CB21" s="146">
        <v>35552466</v>
      </c>
      <c r="CC21" s="146">
        <v>2284294</v>
      </c>
      <c r="CD21" s="146">
        <v>391648</v>
      </c>
      <c r="CE21" s="146">
        <v>447298</v>
      </c>
      <c r="CF21" s="146">
        <v>3457255</v>
      </c>
      <c r="CG21" s="146">
        <v>470345</v>
      </c>
      <c r="CH21" s="146">
        <v>7050840</v>
      </c>
      <c r="CI21" s="146">
        <v>500000</v>
      </c>
      <c r="CJ21" s="146">
        <v>169500</v>
      </c>
      <c r="CK21" s="146">
        <v>9500</v>
      </c>
      <c r="CL21" s="146">
        <v>35350</v>
      </c>
      <c r="CM21" s="146">
        <v>0</v>
      </c>
      <c r="CN21" s="146">
        <v>714350</v>
      </c>
      <c r="CO21" s="146">
        <v>3110833</v>
      </c>
      <c r="CP21" s="146">
        <v>1258104</v>
      </c>
      <c r="CQ21" s="146">
        <v>596616</v>
      </c>
      <c r="CR21" s="146">
        <v>2174476</v>
      </c>
      <c r="CS21" s="146">
        <v>0</v>
      </c>
      <c r="CT21" s="146">
        <v>7140029</v>
      </c>
      <c r="CU21" s="139">
        <v>0</v>
      </c>
      <c r="CV21" s="146">
        <v>0</v>
      </c>
      <c r="CW21" s="146">
        <v>0</v>
      </c>
      <c r="CX21" s="146">
        <v>0</v>
      </c>
      <c r="CY21" s="146">
        <v>0</v>
      </c>
      <c r="CZ21" s="146">
        <v>0</v>
      </c>
      <c r="DA21" s="139">
        <v>623610</v>
      </c>
      <c r="DB21" s="142">
        <v>248688</v>
      </c>
      <c r="DC21" s="142">
        <v>147808</v>
      </c>
      <c r="DD21" s="142">
        <v>197220</v>
      </c>
      <c r="DE21" s="142">
        <v>7198160</v>
      </c>
      <c r="DF21" s="142">
        <v>8415486</v>
      </c>
      <c r="DG21" s="139">
        <v>0</v>
      </c>
      <c r="DH21" s="142">
        <v>0</v>
      </c>
      <c r="DI21" s="142">
        <v>0</v>
      </c>
      <c r="DJ21" s="142">
        <v>0</v>
      </c>
      <c r="DK21" s="142">
        <v>0</v>
      </c>
      <c r="DL21" s="142">
        <v>0</v>
      </c>
      <c r="DM21" s="139">
        <v>0</v>
      </c>
      <c r="DN21" s="142">
        <v>0</v>
      </c>
      <c r="DO21" s="142">
        <v>0</v>
      </c>
      <c r="DP21" s="142">
        <v>0</v>
      </c>
      <c r="DQ21" s="142">
        <v>0</v>
      </c>
      <c r="DR21" s="142">
        <v>0</v>
      </c>
      <c r="DS21" s="139">
        <v>254123</v>
      </c>
      <c r="DT21" s="146">
        <v>95225</v>
      </c>
      <c r="DU21" s="146">
        <v>133972</v>
      </c>
      <c r="DV21" s="146">
        <v>171769</v>
      </c>
      <c r="DW21" s="146">
        <v>0</v>
      </c>
      <c r="DX21" s="146">
        <v>655089</v>
      </c>
      <c r="DY21" s="148">
        <v>1610500</v>
      </c>
      <c r="DZ21" s="146">
        <v>385583</v>
      </c>
      <c r="EA21" s="146">
        <v>358097</v>
      </c>
      <c r="EB21" s="146">
        <v>1389209</v>
      </c>
      <c r="EC21" s="146">
        <v>180725</v>
      </c>
      <c r="ED21" s="146">
        <v>3924114</v>
      </c>
      <c r="EE21" s="139">
        <v>452283</v>
      </c>
      <c r="EF21" s="146">
        <v>79594</v>
      </c>
      <c r="EG21" s="146">
        <v>50853</v>
      </c>
      <c r="EH21" s="146">
        <v>465822</v>
      </c>
      <c r="EI21" s="146">
        <v>347747</v>
      </c>
      <c r="EJ21" s="146">
        <v>1396299</v>
      </c>
      <c r="EK21" s="139">
        <v>819833</v>
      </c>
      <c r="EL21" s="142">
        <v>229101</v>
      </c>
      <c r="EM21" s="142">
        <v>105702</v>
      </c>
      <c r="EN21" s="142">
        <v>200015</v>
      </c>
      <c r="EO21" s="142">
        <v>2074</v>
      </c>
      <c r="EP21" s="142">
        <v>1356725</v>
      </c>
      <c r="EQ21" s="139">
        <v>23928</v>
      </c>
      <c r="ER21" s="146">
        <v>5070</v>
      </c>
      <c r="ES21" s="146">
        <v>4544</v>
      </c>
      <c r="ET21" s="146">
        <v>27315</v>
      </c>
      <c r="EU21" s="146">
        <v>162921</v>
      </c>
      <c r="EV21" s="146">
        <v>223778</v>
      </c>
      <c r="EW21" s="139">
        <v>33801</v>
      </c>
      <c r="EX21" s="139">
        <v>6642</v>
      </c>
      <c r="EY21" s="139">
        <v>6811</v>
      </c>
      <c r="EZ21" s="139">
        <v>31184</v>
      </c>
      <c r="FA21" s="139">
        <v>0</v>
      </c>
      <c r="FB21" s="139">
        <v>78438</v>
      </c>
      <c r="FC21" s="139">
        <v>301813</v>
      </c>
      <c r="FD21" s="146">
        <v>9606</v>
      </c>
      <c r="FE21" s="146">
        <v>3549</v>
      </c>
      <c r="FF21" s="146">
        <v>191939</v>
      </c>
      <c r="FG21" s="146">
        <v>1305001</v>
      </c>
      <c r="FH21" s="146">
        <v>1811908</v>
      </c>
      <c r="FI21" s="139">
        <v>0</v>
      </c>
      <c r="FJ21" s="142">
        <v>0</v>
      </c>
      <c r="FK21" s="142">
        <v>0</v>
      </c>
      <c r="FL21" s="142">
        <v>0</v>
      </c>
      <c r="FM21" s="142">
        <v>66530</v>
      </c>
      <c r="FN21" s="142">
        <v>66530</v>
      </c>
      <c r="FO21" s="139">
        <v>0</v>
      </c>
      <c r="FP21" s="139">
        <v>0</v>
      </c>
      <c r="FQ21" s="139">
        <v>0</v>
      </c>
      <c r="FR21" s="139">
        <v>0</v>
      </c>
      <c r="FS21" s="139">
        <v>1046316</v>
      </c>
      <c r="FT21" s="139">
        <v>1046316</v>
      </c>
      <c r="FU21" s="139">
        <v>0</v>
      </c>
      <c r="FV21" s="139">
        <v>0</v>
      </c>
      <c r="FW21" s="139">
        <v>0</v>
      </c>
      <c r="FX21" s="139">
        <v>0</v>
      </c>
      <c r="FY21" s="139">
        <v>445084</v>
      </c>
      <c r="FZ21" s="139">
        <v>445084</v>
      </c>
      <c r="GA21" s="139">
        <v>5413</v>
      </c>
      <c r="GB21" s="139">
        <v>4150</v>
      </c>
      <c r="GC21" s="139">
        <v>3192</v>
      </c>
      <c r="GD21" s="139">
        <v>53117</v>
      </c>
      <c r="GE21" s="139">
        <v>1412266</v>
      </c>
      <c r="GF21" s="139">
        <v>1478138</v>
      </c>
      <c r="GG21" s="139">
        <v>347720</v>
      </c>
      <c r="GH21" s="139">
        <v>75541</v>
      </c>
      <c r="GI21" s="139">
        <v>66431</v>
      </c>
      <c r="GJ21" s="139">
        <v>205420</v>
      </c>
      <c r="GK21" s="139">
        <v>2225282</v>
      </c>
      <c r="GL21" s="139">
        <v>2920394</v>
      </c>
      <c r="GM21" s="139">
        <v>10368151</v>
      </c>
      <c r="GN21" s="139">
        <v>2931452</v>
      </c>
      <c r="GO21" s="139">
        <v>1934373</v>
      </c>
      <c r="GP21" s="139">
        <v>8627091</v>
      </c>
      <c r="GQ21" s="139">
        <v>14862451</v>
      </c>
      <c r="GR21" s="139">
        <v>38723518</v>
      </c>
      <c r="GS21" s="139">
        <v>0</v>
      </c>
      <c r="GT21" s="139">
        <v>0</v>
      </c>
      <c r="GU21" s="139">
        <v>0</v>
      </c>
      <c r="GV21" s="139">
        <v>0</v>
      </c>
      <c r="GW21" s="139">
        <v>0</v>
      </c>
      <c r="GX21" s="139">
        <v>0</v>
      </c>
      <c r="GY21" s="139">
        <v>10368151</v>
      </c>
      <c r="GZ21" s="139">
        <v>2931452</v>
      </c>
      <c r="HA21" s="139">
        <v>1934373</v>
      </c>
      <c r="HB21" s="139">
        <v>8627091</v>
      </c>
      <c r="HC21" s="139">
        <v>14862451</v>
      </c>
      <c r="HD21" s="139">
        <v>38723518</v>
      </c>
      <c r="HF21" s="70">
        <f>SUM(AZ21:AZ21)</f>
        <v>6015002</v>
      </c>
      <c r="HG21" s="70" t="e">
        <f>#REF!-HF21</f>
        <v>#REF!</v>
      </c>
      <c r="HH21" s="70" t="e">
        <f>SUM(#REF!)</f>
        <v>#REF!</v>
      </c>
      <c r="HI21" s="70" t="e">
        <f>#REF!-HH21</f>
        <v>#REF!</v>
      </c>
      <c r="HJ21" s="70">
        <f>SUM(BA21:BA21)</f>
        <v>450000</v>
      </c>
      <c r="HK21" s="70" t="e">
        <f>#REF!-HJ21</f>
        <v>#REF!</v>
      </c>
      <c r="HL21" s="70" t="e">
        <f>SUM(#REF!)</f>
        <v>#REF!</v>
      </c>
      <c r="HM21" s="70" t="e">
        <f>BB21-HL21</f>
        <v>#REF!</v>
      </c>
      <c r="HN21" s="70" t="e">
        <f>SUM(#REF!)</f>
        <v>#REF!</v>
      </c>
      <c r="HO21" s="70" t="e">
        <f>#REF!-HN21</f>
        <v>#REF!</v>
      </c>
      <c r="HP21" s="70" t="e">
        <f>SUM(#REF!)</f>
        <v>#REF!</v>
      </c>
      <c r="HQ21" s="70" t="e">
        <f>#REF!-HP21</f>
        <v>#REF!</v>
      </c>
      <c r="HR21" s="70" t="e">
        <f>SUM(#REF!)</f>
        <v>#REF!</v>
      </c>
      <c r="HS21" s="70" t="e">
        <f>#REF!-HR21</f>
        <v>#REF!</v>
      </c>
      <c r="HT21" s="70" t="e">
        <f>SUM(#REF!)</f>
        <v>#REF!</v>
      </c>
      <c r="HU21" s="70" t="e">
        <f>#REF!-HT21</f>
        <v>#REF!</v>
      </c>
      <c r="HV21" s="70" t="e">
        <f>SUM(#REF!)</f>
        <v>#REF!</v>
      </c>
      <c r="HW21" s="70" t="e">
        <f>#REF!-HV21</f>
        <v>#REF!</v>
      </c>
      <c r="HX21" s="70" t="e">
        <f>SUM(#REF!)</f>
        <v>#REF!</v>
      </c>
      <c r="HY21" s="70" t="e">
        <f>#REF!-HX21</f>
        <v>#REF!</v>
      </c>
      <c r="HZ21" s="70">
        <f>SUM(BC21:BC21)</f>
        <v>305069</v>
      </c>
      <c r="IA21" s="70" t="e">
        <f>#REF!-HZ21</f>
        <v>#REF!</v>
      </c>
      <c r="IB21" s="70">
        <f>SUM(BD21:BD21)</f>
        <v>146000</v>
      </c>
      <c r="IC21" s="70" t="e">
        <f>#REF!-IB21</f>
        <v>#REF!</v>
      </c>
      <c r="ID21" s="70">
        <f t="shared" si="0"/>
        <v>168213</v>
      </c>
      <c r="IE21" s="70">
        <f t="shared" si="1"/>
        <v>0</v>
      </c>
      <c r="IF21" s="70">
        <f t="shared" si="2"/>
        <v>3967</v>
      </c>
      <c r="IG21" s="70">
        <f t="shared" si="3"/>
        <v>0</v>
      </c>
      <c r="IH21" s="70">
        <f t="shared" si="4"/>
        <v>350792</v>
      </c>
      <c r="II21" s="70">
        <f t="shared" si="5"/>
        <v>0</v>
      </c>
      <c r="IJ21" s="70">
        <f t="shared" si="6"/>
        <v>35552466</v>
      </c>
      <c r="IK21" s="70">
        <f t="shared" si="7"/>
        <v>0</v>
      </c>
      <c r="IL21" s="70">
        <f t="shared" si="8"/>
        <v>7050840</v>
      </c>
      <c r="IM21" s="70">
        <f t="shared" si="9"/>
        <v>0</v>
      </c>
      <c r="IN21" s="70">
        <f t="shared" si="10"/>
        <v>714350</v>
      </c>
      <c r="IO21" s="70">
        <f t="shared" si="11"/>
        <v>0</v>
      </c>
      <c r="IP21" s="70">
        <f t="shared" si="12"/>
        <v>7140029</v>
      </c>
      <c r="IQ21" s="70">
        <f t="shared" si="13"/>
        <v>0</v>
      </c>
      <c r="IR21" s="70">
        <f t="shared" si="54"/>
        <v>0</v>
      </c>
      <c r="IS21" s="70">
        <f t="shared" si="55"/>
        <v>0</v>
      </c>
      <c r="IT21" s="70">
        <f t="shared" si="16"/>
        <v>8415486</v>
      </c>
      <c r="IU21" s="70">
        <f t="shared" si="17"/>
        <v>0</v>
      </c>
      <c r="IV21" s="70">
        <f t="shared" si="18"/>
        <v>0</v>
      </c>
      <c r="IW21" s="70">
        <f t="shared" si="19"/>
        <v>0</v>
      </c>
      <c r="IX21" s="70">
        <f t="shared" si="20"/>
        <v>0</v>
      </c>
      <c r="IY21" s="70">
        <f t="shared" si="21"/>
        <v>0</v>
      </c>
      <c r="IZ21" s="70">
        <f t="shared" si="22"/>
        <v>655089</v>
      </c>
      <c r="JA21" s="70">
        <f t="shared" si="23"/>
        <v>0</v>
      </c>
      <c r="JB21" s="70">
        <f t="shared" si="24"/>
        <v>3924114</v>
      </c>
      <c r="JC21" s="70">
        <f t="shared" si="25"/>
        <v>0</v>
      </c>
      <c r="JD21" s="70">
        <f t="shared" si="26"/>
        <v>1396299</v>
      </c>
      <c r="JE21" s="70">
        <f t="shared" si="27"/>
        <v>0</v>
      </c>
      <c r="JF21" s="70">
        <f t="shared" si="28"/>
        <v>1356725</v>
      </c>
      <c r="JG21" s="70">
        <f t="shared" si="29"/>
        <v>0</v>
      </c>
      <c r="JH21" s="70">
        <f t="shared" si="30"/>
        <v>223778</v>
      </c>
      <c r="JI21" s="70">
        <f t="shared" si="31"/>
        <v>0</v>
      </c>
      <c r="JJ21" s="70">
        <f t="shared" si="32"/>
        <v>78438</v>
      </c>
      <c r="JK21" s="70">
        <f t="shared" si="33"/>
        <v>0</v>
      </c>
      <c r="JL21" s="70">
        <f t="shared" si="34"/>
        <v>1811908</v>
      </c>
      <c r="JM21" s="70">
        <f t="shared" si="35"/>
        <v>0</v>
      </c>
      <c r="JN21" s="70">
        <f t="shared" si="36"/>
        <v>66530</v>
      </c>
      <c r="JO21" s="70">
        <f t="shared" si="37"/>
        <v>0</v>
      </c>
      <c r="JP21" s="70">
        <f t="shared" si="38"/>
        <v>1046316</v>
      </c>
      <c r="JQ21" s="70">
        <f t="shared" si="39"/>
        <v>0</v>
      </c>
      <c r="JR21" s="70">
        <f t="shared" si="40"/>
        <v>445084</v>
      </c>
      <c r="JS21" s="70">
        <f t="shared" si="41"/>
        <v>0</v>
      </c>
      <c r="JT21" s="70">
        <f t="shared" si="42"/>
        <v>1478138</v>
      </c>
      <c r="JU21" s="70">
        <f t="shared" si="43"/>
        <v>0</v>
      </c>
      <c r="JV21" s="70">
        <f t="shared" si="44"/>
        <v>2920394</v>
      </c>
      <c r="JW21" s="70">
        <f t="shared" si="45"/>
        <v>0</v>
      </c>
      <c r="JX21" s="70">
        <f t="shared" si="46"/>
        <v>38723518</v>
      </c>
      <c r="JY21" s="70">
        <f t="shared" si="47"/>
        <v>0</v>
      </c>
      <c r="JZ21" s="70">
        <f t="shared" si="48"/>
        <v>0</v>
      </c>
      <c r="KA21" s="70">
        <f t="shared" si="49"/>
        <v>0</v>
      </c>
      <c r="KB21" s="70">
        <f t="shared" si="50"/>
        <v>38723518</v>
      </c>
      <c r="KC21" s="70">
        <f t="shared" si="51"/>
        <v>0</v>
      </c>
      <c r="KE21" s="70" t="e">
        <f t="shared" si="52"/>
        <v>#REF!</v>
      </c>
      <c r="KG21" s="68" t="e">
        <f t="shared" si="53"/>
        <v>#REF!</v>
      </c>
    </row>
    <row r="22" spans="1:293">
      <c r="A22" s="180" t="s">
        <v>491</v>
      </c>
      <c r="B22" s="76" t="s">
        <v>360</v>
      </c>
      <c r="C22" s="90">
        <v>169798</v>
      </c>
      <c r="D22" s="90">
        <v>2014</v>
      </c>
      <c r="E22" s="90">
        <v>1</v>
      </c>
      <c r="F22" s="91">
        <v>9</v>
      </c>
      <c r="G22" s="92">
        <v>9567</v>
      </c>
      <c r="H22" s="92">
        <v>13904</v>
      </c>
      <c r="I22" s="93">
        <v>339052093</v>
      </c>
      <c r="J22" s="93">
        <v>331187019</v>
      </c>
      <c r="K22" s="93">
        <v>1310738</v>
      </c>
      <c r="L22" s="93">
        <v>878828</v>
      </c>
      <c r="M22" s="93">
        <v>14637617</v>
      </c>
      <c r="N22" s="93">
        <v>17153334</v>
      </c>
      <c r="O22" s="93">
        <v>30451389</v>
      </c>
      <c r="P22" s="93">
        <v>30451389</v>
      </c>
      <c r="Q22" s="93">
        <v>237350000</v>
      </c>
      <c r="R22" s="93">
        <v>239680000</v>
      </c>
      <c r="S22" s="93">
        <v>263174972</v>
      </c>
      <c r="T22" s="93">
        <v>262053943</v>
      </c>
      <c r="U22" s="93">
        <v>19104</v>
      </c>
      <c r="V22" s="93">
        <v>17770</v>
      </c>
      <c r="W22" s="93">
        <v>34648</v>
      </c>
      <c r="X22" s="93">
        <v>32182</v>
      </c>
      <c r="Y22" s="93">
        <v>21606</v>
      </c>
      <c r="Z22" s="93">
        <v>19376</v>
      </c>
      <c r="AA22" s="93">
        <v>37150</v>
      </c>
      <c r="AB22" s="93">
        <v>34388</v>
      </c>
      <c r="AC22" s="114">
        <v>9</v>
      </c>
      <c r="AD22" s="114">
        <v>12</v>
      </c>
      <c r="AE22" s="114">
        <v>0</v>
      </c>
      <c r="AF22" s="115">
        <v>4279236</v>
      </c>
      <c r="AG22" s="115">
        <v>3730994</v>
      </c>
      <c r="AH22" s="115">
        <v>153510</v>
      </c>
      <c r="AI22" s="115">
        <v>36494</v>
      </c>
      <c r="AJ22" s="115">
        <v>156338</v>
      </c>
      <c r="AK22" s="116">
        <v>6.5</v>
      </c>
      <c r="AL22" s="115">
        <v>145171</v>
      </c>
      <c r="AM22" s="116">
        <v>7</v>
      </c>
      <c r="AN22" s="115">
        <v>101461</v>
      </c>
      <c r="AO22" s="116">
        <v>9.5</v>
      </c>
      <c r="AP22" s="115">
        <v>96388</v>
      </c>
      <c r="AQ22" s="116">
        <v>10</v>
      </c>
      <c r="AR22" s="115">
        <v>105277</v>
      </c>
      <c r="AS22" s="116">
        <v>16.5</v>
      </c>
      <c r="AT22" s="115">
        <v>96501</v>
      </c>
      <c r="AU22" s="116">
        <v>18</v>
      </c>
      <c r="AV22" s="115">
        <v>49445</v>
      </c>
      <c r="AW22" s="116">
        <v>12.5</v>
      </c>
      <c r="AX22" s="115">
        <v>44147</v>
      </c>
      <c r="AY22" s="116">
        <v>14</v>
      </c>
      <c r="AZ22" s="142">
        <v>79920</v>
      </c>
      <c r="BA22" s="142">
        <v>1425000</v>
      </c>
      <c r="BB22" s="142">
        <v>523811</v>
      </c>
      <c r="BC22" s="142">
        <v>0</v>
      </c>
      <c r="BD22" s="142">
        <v>0</v>
      </c>
      <c r="BE22" s="139">
        <v>20919</v>
      </c>
      <c r="BF22" s="139">
        <v>11775</v>
      </c>
      <c r="BG22" s="139">
        <v>10293</v>
      </c>
      <c r="BH22" s="139">
        <v>143816</v>
      </c>
      <c r="BI22" s="139">
        <v>16990</v>
      </c>
      <c r="BJ22" s="139">
        <v>203793</v>
      </c>
      <c r="BK22" s="142">
        <v>867</v>
      </c>
      <c r="BL22" s="142">
        <v>0</v>
      </c>
      <c r="BM22" s="142">
        <v>0</v>
      </c>
      <c r="BN22" s="142">
        <v>26432</v>
      </c>
      <c r="BO22" s="142">
        <v>23302</v>
      </c>
      <c r="BP22" s="142">
        <v>50601</v>
      </c>
      <c r="BQ22" s="142">
        <v>0</v>
      </c>
      <c r="BR22" s="142">
        <v>0</v>
      </c>
      <c r="BS22" s="142">
        <v>0</v>
      </c>
      <c r="BT22" s="142">
        <v>152204</v>
      </c>
      <c r="BU22" s="142">
        <v>239</v>
      </c>
      <c r="BV22" s="142">
        <v>152443</v>
      </c>
      <c r="BW22" s="142">
        <v>7015208</v>
      </c>
      <c r="BX22" s="142">
        <v>2523993</v>
      </c>
      <c r="BY22" s="142">
        <v>1564272</v>
      </c>
      <c r="BZ22" s="142">
        <v>9986252</v>
      </c>
      <c r="CA22" s="142">
        <v>8991798</v>
      </c>
      <c r="CB22" s="142">
        <v>30081523</v>
      </c>
      <c r="CC22" s="142">
        <v>2392389</v>
      </c>
      <c r="CD22" s="142">
        <v>384250</v>
      </c>
      <c r="CE22" s="142">
        <v>396085</v>
      </c>
      <c r="CF22" s="142">
        <v>4837506</v>
      </c>
      <c r="CG22" s="142">
        <v>0</v>
      </c>
      <c r="CH22" s="142">
        <v>8010230</v>
      </c>
      <c r="CI22" s="142">
        <v>550000</v>
      </c>
      <c r="CJ22" s="142">
        <v>11500</v>
      </c>
      <c r="CK22" s="142">
        <v>4000</v>
      </c>
      <c r="CL22" s="142">
        <v>1000</v>
      </c>
      <c r="CM22" s="142">
        <v>0</v>
      </c>
      <c r="CN22" s="142">
        <v>566500</v>
      </c>
      <c r="CO22" s="142">
        <v>1359972</v>
      </c>
      <c r="CP22" s="142">
        <v>627902</v>
      </c>
      <c r="CQ22" s="142">
        <v>511120</v>
      </c>
      <c r="CR22" s="142">
        <v>1836242</v>
      </c>
      <c r="CS22" s="142">
        <v>0</v>
      </c>
      <c r="CT22" s="142">
        <v>4335236</v>
      </c>
      <c r="CU22" s="139">
        <v>0</v>
      </c>
      <c r="CV22" s="139">
        <v>0</v>
      </c>
      <c r="CW22" s="139">
        <v>0</v>
      </c>
      <c r="CX22" s="139">
        <v>0</v>
      </c>
      <c r="CY22" s="139">
        <v>0</v>
      </c>
      <c r="CZ22" s="139">
        <v>0</v>
      </c>
      <c r="DA22" s="142">
        <v>122368</v>
      </c>
      <c r="DB22" s="142">
        <v>174533</v>
      </c>
      <c r="DC22" s="142">
        <v>42850</v>
      </c>
      <c r="DD22" s="142">
        <v>279683</v>
      </c>
      <c r="DE22" s="142">
        <v>2318742</v>
      </c>
      <c r="DF22" s="142">
        <v>2938176</v>
      </c>
      <c r="DG22" s="139">
        <v>0</v>
      </c>
      <c r="DH22" s="139">
        <v>0</v>
      </c>
      <c r="DI22" s="139">
        <v>0</v>
      </c>
      <c r="DJ22" s="139">
        <v>0</v>
      </c>
      <c r="DK22" s="139">
        <v>0</v>
      </c>
      <c r="DL22" s="139">
        <v>0</v>
      </c>
      <c r="DM22" s="142">
        <v>251129</v>
      </c>
      <c r="DN22" s="142">
        <v>0</v>
      </c>
      <c r="DO22" s="142">
        <v>0</v>
      </c>
      <c r="DP22" s="142">
        <v>0</v>
      </c>
      <c r="DQ22" s="142">
        <v>0</v>
      </c>
      <c r="DR22" s="142">
        <v>251129</v>
      </c>
      <c r="DS22" s="142">
        <v>80625</v>
      </c>
      <c r="DT22" s="142">
        <v>49333</v>
      </c>
      <c r="DU22" s="142">
        <v>14145</v>
      </c>
      <c r="DV22" s="142">
        <v>45901</v>
      </c>
      <c r="DW22" s="142">
        <v>6</v>
      </c>
      <c r="DX22" s="142">
        <v>190010</v>
      </c>
      <c r="DY22" s="142">
        <v>385322</v>
      </c>
      <c r="DZ22" s="142">
        <v>171557</v>
      </c>
      <c r="EA22" s="142">
        <v>56101</v>
      </c>
      <c r="EB22" s="142">
        <v>541804</v>
      </c>
      <c r="EC22" s="142">
        <v>233239</v>
      </c>
      <c r="ED22" s="142">
        <v>1388023</v>
      </c>
      <c r="EE22" s="142">
        <v>442656</v>
      </c>
      <c r="EF22" s="142">
        <v>73164</v>
      </c>
      <c r="EG22" s="142">
        <v>39405</v>
      </c>
      <c r="EH22" s="142">
        <v>293271</v>
      </c>
      <c r="EI22" s="142">
        <v>249454</v>
      </c>
      <c r="EJ22" s="142">
        <v>1097950</v>
      </c>
      <c r="EK22" s="142">
        <v>208918</v>
      </c>
      <c r="EL22" s="142">
        <v>110287</v>
      </c>
      <c r="EM22" s="142">
        <v>52767</v>
      </c>
      <c r="EN22" s="142">
        <v>92983</v>
      </c>
      <c r="EO22" s="142">
        <v>0</v>
      </c>
      <c r="EP22" s="142">
        <v>464955</v>
      </c>
      <c r="EQ22" s="142">
        <v>197214</v>
      </c>
      <c r="ER22" s="142">
        <v>67315</v>
      </c>
      <c r="ES22" s="142">
        <v>18149</v>
      </c>
      <c r="ET22" s="142">
        <v>85468</v>
      </c>
      <c r="EU22" s="142">
        <v>770331</v>
      </c>
      <c r="EV22" s="142">
        <v>1138477</v>
      </c>
      <c r="EW22" s="139">
        <v>23315</v>
      </c>
      <c r="EX22" s="139">
        <v>10965</v>
      </c>
      <c r="EY22" s="139">
        <v>15479</v>
      </c>
      <c r="EZ22" s="139">
        <v>53025</v>
      </c>
      <c r="FA22" s="139">
        <v>2430</v>
      </c>
      <c r="FB22" s="139">
        <v>105214</v>
      </c>
      <c r="FC22" s="142">
        <v>147084</v>
      </c>
      <c r="FD22" s="142">
        <v>15548</v>
      </c>
      <c r="FE22" s="142">
        <v>24798</v>
      </c>
      <c r="FF22" s="149">
        <v>137076</v>
      </c>
      <c r="FG22" s="142">
        <v>441691</v>
      </c>
      <c r="FH22" s="142">
        <v>766197</v>
      </c>
      <c r="FI22" s="142">
        <v>0</v>
      </c>
      <c r="FJ22" s="142">
        <v>0</v>
      </c>
      <c r="FK22" s="142">
        <v>0</v>
      </c>
      <c r="FL22" s="142">
        <v>0</v>
      </c>
      <c r="FM22" s="142">
        <v>24566</v>
      </c>
      <c r="FN22" s="142">
        <v>24566</v>
      </c>
      <c r="FO22" s="139">
        <v>1461928</v>
      </c>
      <c r="FP22" s="139">
        <v>556663</v>
      </c>
      <c r="FQ22" s="139">
        <v>362093</v>
      </c>
      <c r="FR22" s="139">
        <v>1462290</v>
      </c>
      <c r="FS22" s="139">
        <v>2531767</v>
      </c>
      <c r="FT22" s="139">
        <v>6374741</v>
      </c>
      <c r="FU22" s="142">
        <v>6776</v>
      </c>
      <c r="FV22" s="142">
        <v>2564</v>
      </c>
      <c r="FW22" s="142">
        <v>976</v>
      </c>
      <c r="FX22" s="142">
        <v>3331</v>
      </c>
      <c r="FY22" s="142">
        <v>697940</v>
      </c>
      <c r="FZ22" s="142">
        <v>711587</v>
      </c>
      <c r="GA22" s="142">
        <v>11505</v>
      </c>
      <c r="GB22" s="142">
        <v>8895</v>
      </c>
      <c r="GC22" s="142">
        <v>20091</v>
      </c>
      <c r="GD22" s="142">
        <v>14574</v>
      </c>
      <c r="GE22" s="142">
        <v>373563</v>
      </c>
      <c r="GF22" s="142">
        <v>428628</v>
      </c>
      <c r="GG22" s="142">
        <v>124655</v>
      </c>
      <c r="GH22" s="142">
        <v>41614</v>
      </c>
      <c r="GI22" s="142">
        <v>56449</v>
      </c>
      <c r="GJ22" s="142">
        <v>336318</v>
      </c>
      <c r="GK22" s="142">
        <v>730868</v>
      </c>
      <c r="GL22" s="142">
        <v>1289904</v>
      </c>
      <c r="GM22" s="142">
        <v>7765856</v>
      </c>
      <c r="GN22" s="142">
        <v>2306090</v>
      </c>
      <c r="GO22" s="142">
        <v>1614508</v>
      </c>
      <c r="GP22" s="142">
        <v>10020472</v>
      </c>
      <c r="GQ22" s="142">
        <v>8374597</v>
      </c>
      <c r="GR22" s="142">
        <v>30081523</v>
      </c>
      <c r="GS22" s="142">
        <v>0</v>
      </c>
      <c r="GT22" s="142">
        <v>0</v>
      </c>
      <c r="GU22" s="142">
        <v>0</v>
      </c>
      <c r="GV22" s="142">
        <v>0</v>
      </c>
      <c r="GW22" s="142">
        <v>0</v>
      </c>
      <c r="GX22" s="142">
        <v>0</v>
      </c>
      <c r="GY22" s="142">
        <v>7765856</v>
      </c>
      <c r="GZ22" s="142">
        <v>2306090</v>
      </c>
      <c r="HA22" s="142">
        <v>1614508</v>
      </c>
      <c r="HB22" s="142">
        <v>10020472</v>
      </c>
      <c r="HC22" s="142">
        <v>8374597</v>
      </c>
      <c r="HD22" s="142">
        <v>30081523</v>
      </c>
      <c r="HF22" s="70">
        <f>SUM(AZ22:AZ22)</f>
        <v>79920</v>
      </c>
      <c r="HG22" s="70" t="e">
        <f>#REF!-HF22</f>
        <v>#REF!</v>
      </c>
      <c r="HH22" s="70" t="e">
        <f>SUM(#REF!)</f>
        <v>#REF!</v>
      </c>
      <c r="HI22" s="70" t="e">
        <f>#REF!-HH22</f>
        <v>#REF!</v>
      </c>
      <c r="HJ22" s="70">
        <f>SUM(BA22:BA22)</f>
        <v>1425000</v>
      </c>
      <c r="HK22" s="70" t="e">
        <f>#REF!-HJ22</f>
        <v>#REF!</v>
      </c>
      <c r="HL22" s="70" t="e">
        <f>SUM(#REF!)</f>
        <v>#REF!</v>
      </c>
      <c r="HM22" s="70" t="e">
        <f>BB22-HL22</f>
        <v>#REF!</v>
      </c>
      <c r="HN22" s="70" t="e">
        <f>SUM(#REF!)</f>
        <v>#REF!</v>
      </c>
      <c r="HO22" s="70" t="e">
        <f>#REF!-HN22</f>
        <v>#REF!</v>
      </c>
      <c r="HP22" s="70" t="e">
        <f>SUM(#REF!)</f>
        <v>#REF!</v>
      </c>
      <c r="HQ22" s="70" t="e">
        <f>#REF!-HP22</f>
        <v>#REF!</v>
      </c>
      <c r="HR22" s="70" t="e">
        <f>SUM(#REF!)</f>
        <v>#REF!</v>
      </c>
      <c r="HS22" s="70" t="e">
        <f>#REF!-HR22</f>
        <v>#REF!</v>
      </c>
      <c r="HT22" s="70" t="e">
        <f>SUM(#REF!)</f>
        <v>#REF!</v>
      </c>
      <c r="HU22" s="70" t="e">
        <f>#REF!-HT22</f>
        <v>#REF!</v>
      </c>
      <c r="HV22" s="70" t="e">
        <f>SUM(#REF!)</f>
        <v>#REF!</v>
      </c>
      <c r="HW22" s="70" t="e">
        <f>#REF!-HV22</f>
        <v>#REF!</v>
      </c>
      <c r="HX22" s="70" t="e">
        <f>SUM(#REF!)</f>
        <v>#REF!</v>
      </c>
      <c r="HY22" s="70" t="e">
        <f>#REF!-HX22</f>
        <v>#REF!</v>
      </c>
      <c r="HZ22" s="70">
        <f>SUM(BC22:BC22)</f>
        <v>0</v>
      </c>
      <c r="IA22" s="70" t="e">
        <f>#REF!-HZ22</f>
        <v>#REF!</v>
      </c>
      <c r="IB22" s="70">
        <f>SUM(BD22:BD22)</f>
        <v>0</v>
      </c>
      <c r="IC22" s="70" t="e">
        <f>#REF!-IB22</f>
        <v>#REF!</v>
      </c>
      <c r="ID22" s="70">
        <f t="shared" si="0"/>
        <v>203793</v>
      </c>
      <c r="IE22" s="70">
        <f t="shared" si="1"/>
        <v>0</v>
      </c>
      <c r="IF22" s="70">
        <f t="shared" si="2"/>
        <v>50601</v>
      </c>
      <c r="IG22" s="70">
        <f t="shared" si="3"/>
        <v>0</v>
      </c>
      <c r="IH22" s="70">
        <f t="shared" si="4"/>
        <v>152443</v>
      </c>
      <c r="II22" s="70">
        <f t="shared" si="5"/>
        <v>0</v>
      </c>
      <c r="IJ22" s="70">
        <f t="shared" si="6"/>
        <v>30081523</v>
      </c>
      <c r="IK22" s="70">
        <f t="shared" si="7"/>
        <v>0</v>
      </c>
      <c r="IL22" s="70">
        <f t="shared" si="8"/>
        <v>8010230</v>
      </c>
      <c r="IM22" s="70">
        <f t="shared" si="9"/>
        <v>0</v>
      </c>
      <c r="IN22" s="70">
        <f t="shared" si="10"/>
        <v>566500</v>
      </c>
      <c r="IO22" s="70">
        <f t="shared" si="11"/>
        <v>0</v>
      </c>
      <c r="IP22" s="70">
        <f t="shared" si="12"/>
        <v>4335236</v>
      </c>
      <c r="IQ22" s="70">
        <f t="shared" si="13"/>
        <v>0</v>
      </c>
      <c r="IR22" s="70">
        <f t="shared" si="54"/>
        <v>0</v>
      </c>
      <c r="IS22" s="70">
        <f t="shared" si="55"/>
        <v>0</v>
      </c>
      <c r="IT22" s="70">
        <f t="shared" si="16"/>
        <v>2938176</v>
      </c>
      <c r="IU22" s="70">
        <f t="shared" si="17"/>
        <v>0</v>
      </c>
      <c r="IV22" s="70">
        <f t="shared" si="18"/>
        <v>0</v>
      </c>
      <c r="IW22" s="70">
        <f t="shared" si="19"/>
        <v>0</v>
      </c>
      <c r="IX22" s="70">
        <f t="shared" si="20"/>
        <v>251129</v>
      </c>
      <c r="IY22" s="70">
        <f t="shared" si="21"/>
        <v>0</v>
      </c>
      <c r="IZ22" s="70">
        <f t="shared" si="22"/>
        <v>190010</v>
      </c>
      <c r="JA22" s="70">
        <f t="shared" si="23"/>
        <v>0</v>
      </c>
      <c r="JB22" s="70">
        <f t="shared" si="24"/>
        <v>1388023</v>
      </c>
      <c r="JC22" s="70">
        <f t="shared" si="25"/>
        <v>0</v>
      </c>
      <c r="JD22" s="70">
        <f t="shared" si="26"/>
        <v>1097950</v>
      </c>
      <c r="JE22" s="70">
        <f t="shared" si="27"/>
        <v>0</v>
      </c>
      <c r="JF22" s="70">
        <f t="shared" si="28"/>
        <v>464955</v>
      </c>
      <c r="JG22" s="70">
        <f t="shared" si="29"/>
        <v>0</v>
      </c>
      <c r="JH22" s="70">
        <f t="shared" si="30"/>
        <v>1138477</v>
      </c>
      <c r="JI22" s="70">
        <f t="shared" si="31"/>
        <v>0</v>
      </c>
      <c r="JJ22" s="70">
        <f t="shared" si="32"/>
        <v>105214</v>
      </c>
      <c r="JK22" s="70">
        <f t="shared" si="33"/>
        <v>0</v>
      </c>
      <c r="JL22" s="70">
        <f t="shared" si="34"/>
        <v>766197</v>
      </c>
      <c r="JM22" s="70">
        <f t="shared" si="35"/>
        <v>0</v>
      </c>
      <c r="JN22" s="70">
        <f t="shared" si="36"/>
        <v>24566</v>
      </c>
      <c r="JO22" s="70">
        <f t="shared" si="37"/>
        <v>0</v>
      </c>
      <c r="JP22" s="70">
        <f t="shared" si="38"/>
        <v>6374741</v>
      </c>
      <c r="JQ22" s="70">
        <f t="shared" si="39"/>
        <v>0</v>
      </c>
      <c r="JR22" s="70">
        <f t="shared" si="40"/>
        <v>711587</v>
      </c>
      <c r="JS22" s="70">
        <f t="shared" si="41"/>
        <v>0</v>
      </c>
      <c r="JT22" s="70">
        <f t="shared" si="42"/>
        <v>428628</v>
      </c>
      <c r="JU22" s="70">
        <f t="shared" si="43"/>
        <v>0</v>
      </c>
      <c r="JV22" s="70">
        <f t="shared" si="44"/>
        <v>1289904</v>
      </c>
      <c r="JW22" s="70">
        <f t="shared" si="45"/>
        <v>0</v>
      </c>
      <c r="JX22" s="70">
        <f t="shared" si="46"/>
        <v>30081523</v>
      </c>
      <c r="JY22" s="70">
        <f t="shared" si="47"/>
        <v>0</v>
      </c>
      <c r="JZ22" s="70">
        <f t="shared" si="48"/>
        <v>0</v>
      </c>
      <c r="KA22" s="70">
        <f t="shared" si="49"/>
        <v>0</v>
      </c>
      <c r="KB22" s="70">
        <f t="shared" si="50"/>
        <v>30081523</v>
      </c>
      <c r="KC22" s="70">
        <f t="shared" si="51"/>
        <v>0</v>
      </c>
      <c r="KE22" s="70" t="e">
        <f t="shared" si="52"/>
        <v>#REF!</v>
      </c>
      <c r="KG22" s="68" t="e">
        <f t="shared" si="53"/>
        <v>#REF!</v>
      </c>
    </row>
    <row r="23" spans="1:293">
      <c r="A23" s="180" t="s">
        <v>492</v>
      </c>
      <c r="B23" s="76" t="s">
        <v>360</v>
      </c>
      <c r="C23" s="90">
        <v>134130</v>
      </c>
      <c r="D23" s="90">
        <v>2014</v>
      </c>
      <c r="E23" s="90">
        <v>1</v>
      </c>
      <c r="F23" s="91">
        <v>5</v>
      </c>
      <c r="G23" s="92">
        <v>13427</v>
      </c>
      <c r="H23" s="92">
        <v>16887</v>
      </c>
      <c r="I23" s="93">
        <v>2476758000</v>
      </c>
      <c r="J23" s="93">
        <v>2369315000</v>
      </c>
      <c r="K23" s="93">
        <v>5757117</v>
      </c>
      <c r="L23" s="93">
        <v>5950136</v>
      </c>
      <c r="M23" s="93">
        <v>10417743</v>
      </c>
      <c r="N23" s="93">
        <v>13486762</v>
      </c>
      <c r="O23" s="93">
        <v>84710000</v>
      </c>
      <c r="P23" s="93">
        <v>88795000</v>
      </c>
      <c r="Q23" s="93">
        <v>199358119</v>
      </c>
      <c r="R23" s="93">
        <v>129095011</v>
      </c>
      <c r="S23" s="93">
        <v>2343622941</v>
      </c>
      <c r="T23" s="93">
        <v>2237963000</v>
      </c>
      <c r="U23" s="93">
        <v>16400</v>
      </c>
      <c r="V23" s="93">
        <v>16310</v>
      </c>
      <c r="W23" s="93">
        <v>38678</v>
      </c>
      <c r="X23" s="93">
        <v>38588</v>
      </c>
      <c r="Y23" s="93">
        <v>20220</v>
      </c>
      <c r="Z23" s="93">
        <v>20580</v>
      </c>
      <c r="AA23" s="93">
        <v>42489</v>
      </c>
      <c r="AB23" s="93">
        <v>42858</v>
      </c>
      <c r="AC23" s="114">
        <v>9</v>
      </c>
      <c r="AD23" s="114">
        <v>12</v>
      </c>
      <c r="AE23" s="114">
        <v>0</v>
      </c>
      <c r="AF23" s="115">
        <v>4466409</v>
      </c>
      <c r="AG23" s="115">
        <v>4503341</v>
      </c>
      <c r="AH23" s="115">
        <v>1090107</v>
      </c>
      <c r="AI23" s="115">
        <v>575141</v>
      </c>
      <c r="AJ23" s="115">
        <v>1426146</v>
      </c>
      <c r="AK23" s="116">
        <v>6</v>
      </c>
      <c r="AL23" s="115">
        <v>1222411</v>
      </c>
      <c r="AM23" s="116">
        <v>7</v>
      </c>
      <c r="AN23" s="115">
        <v>321127</v>
      </c>
      <c r="AO23" s="116">
        <v>9</v>
      </c>
      <c r="AP23" s="115">
        <v>28914</v>
      </c>
      <c r="AQ23" s="116">
        <v>10</v>
      </c>
      <c r="AR23" s="115">
        <v>248842</v>
      </c>
      <c r="AS23" s="116">
        <v>23</v>
      </c>
      <c r="AT23" s="115">
        <v>190779</v>
      </c>
      <c r="AU23" s="116">
        <v>30</v>
      </c>
      <c r="AV23" s="115">
        <v>126874</v>
      </c>
      <c r="AW23" s="116">
        <v>20</v>
      </c>
      <c r="AX23" s="115">
        <v>101499</v>
      </c>
      <c r="AY23" s="116">
        <v>25</v>
      </c>
      <c r="AZ23" s="139">
        <v>19157883</v>
      </c>
      <c r="BA23" s="139">
        <v>463484</v>
      </c>
      <c r="BB23" s="139">
        <v>42962368</v>
      </c>
      <c r="BC23" s="139">
        <v>862435</v>
      </c>
      <c r="BD23" s="139">
        <v>807634</v>
      </c>
      <c r="BE23" s="139">
        <v>203377</v>
      </c>
      <c r="BF23" s="139">
        <v>209798</v>
      </c>
      <c r="BG23" s="139">
        <v>47398</v>
      </c>
      <c r="BH23" s="139">
        <v>1462122</v>
      </c>
      <c r="BI23" s="140">
        <v>107826</v>
      </c>
      <c r="BJ23" s="139">
        <v>2030521</v>
      </c>
      <c r="BK23" s="139">
        <v>0</v>
      </c>
      <c r="BL23" s="139">
        <v>0</v>
      </c>
      <c r="BM23" s="139">
        <v>0</v>
      </c>
      <c r="BN23" s="139">
        <v>0</v>
      </c>
      <c r="BO23" s="139">
        <v>1005552</v>
      </c>
      <c r="BP23" s="139">
        <v>1005552</v>
      </c>
      <c r="BQ23" s="139">
        <v>1986</v>
      </c>
      <c r="BR23" s="139">
        <v>0</v>
      </c>
      <c r="BS23" s="139">
        <v>0</v>
      </c>
      <c r="BT23" s="139">
        <v>97596</v>
      </c>
      <c r="BU23" s="139">
        <v>1534741</v>
      </c>
      <c r="BV23" s="139">
        <v>1634323</v>
      </c>
      <c r="BW23" s="139">
        <v>70440357</v>
      </c>
      <c r="BX23" s="139">
        <v>11982425</v>
      </c>
      <c r="BY23" s="139">
        <v>901908</v>
      </c>
      <c r="BZ23" s="139">
        <v>9325527</v>
      </c>
      <c r="CA23" s="139">
        <v>31961088</v>
      </c>
      <c r="CB23" s="139">
        <v>124611305</v>
      </c>
      <c r="CC23" s="139">
        <v>2629984</v>
      </c>
      <c r="CD23" s="139">
        <v>382304</v>
      </c>
      <c r="CE23" s="139">
        <v>344911</v>
      </c>
      <c r="CF23" s="139">
        <v>5612551</v>
      </c>
      <c r="CG23" s="139">
        <v>827845</v>
      </c>
      <c r="CH23" s="139">
        <v>9797595</v>
      </c>
      <c r="CI23" s="139">
        <v>1850000</v>
      </c>
      <c r="CJ23" s="139">
        <v>480000</v>
      </c>
      <c r="CK23" s="139">
        <v>82316</v>
      </c>
      <c r="CL23" s="139">
        <v>85585</v>
      </c>
      <c r="CM23" s="139">
        <v>0</v>
      </c>
      <c r="CN23" s="139">
        <v>2497901</v>
      </c>
      <c r="CO23" s="139">
        <v>6465031</v>
      </c>
      <c r="CP23" s="139">
        <v>5007670</v>
      </c>
      <c r="CQ23" s="139">
        <v>911815</v>
      </c>
      <c r="CR23" s="139">
        <v>7323359</v>
      </c>
      <c r="CS23" s="139">
        <v>0</v>
      </c>
      <c r="CT23" s="139">
        <v>19707875</v>
      </c>
      <c r="CU23" s="139">
        <v>200000</v>
      </c>
      <c r="CV23" s="139">
        <v>225000</v>
      </c>
      <c r="CW23" s="139">
        <v>25000</v>
      </c>
      <c r="CX23" s="139">
        <v>49100</v>
      </c>
      <c r="CY23" s="139">
        <v>0</v>
      </c>
      <c r="CZ23" s="139">
        <v>499100</v>
      </c>
      <c r="DA23" s="139">
        <v>1472090</v>
      </c>
      <c r="DB23" s="139">
        <v>365726</v>
      </c>
      <c r="DC23" s="139">
        <v>212784</v>
      </c>
      <c r="DD23" s="139">
        <v>743253</v>
      </c>
      <c r="DE23" s="139">
        <v>22095492</v>
      </c>
      <c r="DF23" s="139">
        <v>24889345</v>
      </c>
      <c r="DG23" s="139">
        <v>0</v>
      </c>
      <c r="DH23" s="139">
        <v>0</v>
      </c>
      <c r="DI23" s="139">
        <v>0</v>
      </c>
      <c r="DJ23" s="139">
        <v>0</v>
      </c>
      <c r="DK23" s="139">
        <v>0</v>
      </c>
      <c r="DL23" s="139">
        <v>0</v>
      </c>
      <c r="DM23" s="139">
        <v>964979</v>
      </c>
      <c r="DN23" s="139">
        <v>0</v>
      </c>
      <c r="DO23" s="139">
        <v>0</v>
      </c>
      <c r="DP23" s="139">
        <v>272612</v>
      </c>
      <c r="DQ23" s="139">
        <v>56064</v>
      </c>
      <c r="DR23" s="139">
        <v>1293655</v>
      </c>
      <c r="DS23" s="139">
        <v>685460</v>
      </c>
      <c r="DT23" s="139">
        <v>218052</v>
      </c>
      <c r="DU23" s="139">
        <v>187192</v>
      </c>
      <c r="DV23" s="139">
        <v>574580</v>
      </c>
      <c r="DW23" s="139">
        <v>0</v>
      </c>
      <c r="DX23" s="139">
        <v>1665284</v>
      </c>
      <c r="DY23" s="139">
        <v>1157646</v>
      </c>
      <c r="DZ23" s="139">
        <v>1595109</v>
      </c>
      <c r="EA23" s="139">
        <v>556780</v>
      </c>
      <c r="EB23" s="139">
        <v>3460283</v>
      </c>
      <c r="EC23" s="139">
        <v>0</v>
      </c>
      <c r="ED23" s="139">
        <v>6769818</v>
      </c>
      <c r="EE23" s="139">
        <v>603669</v>
      </c>
      <c r="EF23" s="139">
        <v>93246</v>
      </c>
      <c r="EG23" s="139">
        <v>89317</v>
      </c>
      <c r="EH23" s="139">
        <v>1175584</v>
      </c>
      <c r="EI23" s="139">
        <v>0</v>
      </c>
      <c r="EJ23" s="139">
        <v>1961816</v>
      </c>
      <c r="EK23" s="139">
        <v>3977671</v>
      </c>
      <c r="EL23" s="139">
        <v>565585</v>
      </c>
      <c r="EM23" s="139">
        <v>238142</v>
      </c>
      <c r="EN23" s="139">
        <v>891030</v>
      </c>
      <c r="EO23" s="139">
        <v>0</v>
      </c>
      <c r="EP23" s="139">
        <v>5672428</v>
      </c>
      <c r="EQ23" s="139">
        <v>338259</v>
      </c>
      <c r="ER23" s="139">
        <v>217841</v>
      </c>
      <c r="ES23" s="139">
        <v>169538</v>
      </c>
      <c r="ET23" s="139">
        <v>602276</v>
      </c>
      <c r="EU23" s="139">
        <v>2133572</v>
      </c>
      <c r="EV23" s="139">
        <v>3461486</v>
      </c>
      <c r="EW23" s="139">
        <v>190782</v>
      </c>
      <c r="EX23" s="139">
        <v>145960</v>
      </c>
      <c r="EY23" s="139">
        <v>47095</v>
      </c>
      <c r="EZ23" s="139">
        <v>811962</v>
      </c>
      <c r="FA23" s="139">
        <v>123727</v>
      </c>
      <c r="FB23" s="139">
        <v>1319526</v>
      </c>
      <c r="FC23" s="139">
        <v>754066</v>
      </c>
      <c r="FD23" s="139">
        <v>304027</v>
      </c>
      <c r="FE23" s="139">
        <v>69775</v>
      </c>
      <c r="FF23" s="139">
        <v>462498</v>
      </c>
      <c r="FG23" s="139">
        <v>16253242</v>
      </c>
      <c r="FH23" s="139">
        <v>17843608</v>
      </c>
      <c r="FI23" s="139">
        <v>745344</v>
      </c>
      <c r="FJ23" s="139">
        <v>43554</v>
      </c>
      <c r="FK23" s="139">
        <v>42900</v>
      </c>
      <c r="FL23" s="139">
        <v>39900</v>
      </c>
      <c r="FM23" s="139">
        <v>154165</v>
      </c>
      <c r="FN23" s="139">
        <v>1025863</v>
      </c>
      <c r="FO23" s="139">
        <v>0</v>
      </c>
      <c r="FP23" s="139">
        <v>0</v>
      </c>
      <c r="FQ23" s="139">
        <v>0</v>
      </c>
      <c r="FR23" s="139">
        <v>0</v>
      </c>
      <c r="FS23" s="139">
        <v>0</v>
      </c>
      <c r="FT23" s="139">
        <v>0</v>
      </c>
      <c r="FU23" s="139">
        <v>349138</v>
      </c>
      <c r="FV23" s="139">
        <v>10683</v>
      </c>
      <c r="FW23" s="139">
        <v>32766</v>
      </c>
      <c r="FX23" s="139">
        <v>592408</v>
      </c>
      <c r="FY23" s="139">
        <v>1759816</v>
      </c>
      <c r="FZ23" s="139">
        <v>2744811</v>
      </c>
      <c r="GA23" s="139">
        <v>0</v>
      </c>
      <c r="GB23" s="139">
        <v>0</v>
      </c>
      <c r="GC23" s="139">
        <v>0</v>
      </c>
      <c r="GD23" s="139">
        <v>3000</v>
      </c>
      <c r="GE23" s="139">
        <v>15116</v>
      </c>
      <c r="GF23" s="139">
        <v>18116</v>
      </c>
      <c r="GG23" s="139">
        <v>855146</v>
      </c>
      <c r="GH23" s="139">
        <v>110826</v>
      </c>
      <c r="GI23" s="139">
        <v>73348</v>
      </c>
      <c r="GJ23" s="139">
        <v>1409172</v>
      </c>
      <c r="GK23" s="139">
        <v>6073247</v>
      </c>
      <c r="GL23" s="139">
        <v>8521739</v>
      </c>
      <c r="GM23" s="139">
        <v>23239283</v>
      </c>
      <c r="GN23" s="139">
        <v>9765547</v>
      </c>
      <c r="GO23" s="139">
        <v>3083679</v>
      </c>
      <c r="GP23" s="139">
        <v>67528260</v>
      </c>
      <c r="GQ23" s="139">
        <v>6073247</v>
      </c>
      <c r="GR23" s="139">
        <v>109690016</v>
      </c>
      <c r="GS23" s="139">
        <v>0</v>
      </c>
      <c r="GT23" s="139">
        <v>0</v>
      </c>
      <c r="GU23" s="139">
        <v>0</v>
      </c>
      <c r="GV23" s="139">
        <v>0</v>
      </c>
      <c r="GW23" s="139">
        <v>4305881</v>
      </c>
      <c r="GX23" s="139">
        <v>4305881</v>
      </c>
      <c r="GY23" s="139">
        <v>23239283</v>
      </c>
      <c r="GZ23" s="139">
        <v>9765547</v>
      </c>
      <c r="HA23" s="139">
        <v>3083679</v>
      </c>
      <c r="HB23" s="139">
        <v>23234528</v>
      </c>
      <c r="HC23" s="139">
        <v>54672860</v>
      </c>
      <c r="HD23" s="139">
        <v>113995897</v>
      </c>
      <c r="HF23" s="70">
        <f>SUM(AZ23:AZ23)</f>
        <v>19157883</v>
      </c>
      <c r="HG23" s="70" t="e">
        <f>#REF!-HF23</f>
        <v>#REF!</v>
      </c>
      <c r="HH23" s="70" t="e">
        <f>SUM(#REF!)</f>
        <v>#REF!</v>
      </c>
      <c r="HI23" s="70" t="e">
        <f>#REF!-HH23</f>
        <v>#REF!</v>
      </c>
      <c r="HJ23" s="70">
        <f>SUM(BA23:BA23)</f>
        <v>463484</v>
      </c>
      <c r="HK23" s="70" t="e">
        <f>#REF!-HJ23</f>
        <v>#REF!</v>
      </c>
      <c r="HL23" s="70" t="e">
        <f>SUM(#REF!)</f>
        <v>#REF!</v>
      </c>
      <c r="HM23" s="70" t="e">
        <f>BB23-HL23</f>
        <v>#REF!</v>
      </c>
      <c r="HN23" s="70" t="e">
        <f>SUM(#REF!)</f>
        <v>#REF!</v>
      </c>
      <c r="HO23" s="70" t="e">
        <f>#REF!-HN23</f>
        <v>#REF!</v>
      </c>
      <c r="HP23" s="70" t="e">
        <f>SUM(#REF!)</f>
        <v>#REF!</v>
      </c>
      <c r="HQ23" s="70" t="e">
        <f>#REF!-HP23</f>
        <v>#REF!</v>
      </c>
      <c r="HR23" s="70" t="e">
        <f>SUM(#REF!)</f>
        <v>#REF!</v>
      </c>
      <c r="HS23" s="70" t="e">
        <f>#REF!-HR23</f>
        <v>#REF!</v>
      </c>
      <c r="HT23" s="70" t="e">
        <f>SUM(#REF!)</f>
        <v>#REF!</v>
      </c>
      <c r="HU23" s="70" t="e">
        <f>#REF!-HT23</f>
        <v>#REF!</v>
      </c>
      <c r="HV23" s="70" t="e">
        <f>SUM(#REF!)</f>
        <v>#REF!</v>
      </c>
      <c r="HW23" s="70" t="e">
        <f>#REF!-HV23</f>
        <v>#REF!</v>
      </c>
      <c r="HX23" s="70" t="e">
        <f>SUM(#REF!)</f>
        <v>#REF!</v>
      </c>
      <c r="HY23" s="70" t="e">
        <f>#REF!-HX23</f>
        <v>#REF!</v>
      </c>
      <c r="HZ23" s="70">
        <f>SUM(BC23:BC23)</f>
        <v>862435</v>
      </c>
      <c r="IA23" s="70" t="e">
        <f>#REF!-HZ23</f>
        <v>#REF!</v>
      </c>
      <c r="IB23" s="70">
        <f>SUM(BD23:BD23)</f>
        <v>807634</v>
      </c>
      <c r="IC23" s="70" t="e">
        <f>#REF!-IB23</f>
        <v>#REF!</v>
      </c>
      <c r="ID23" s="70">
        <f t="shared" si="0"/>
        <v>2030521</v>
      </c>
      <c r="IE23" s="70">
        <f t="shared" si="1"/>
        <v>0</v>
      </c>
      <c r="IF23" s="70">
        <f t="shared" si="2"/>
        <v>1005552</v>
      </c>
      <c r="IG23" s="70">
        <f t="shared" si="3"/>
        <v>0</v>
      </c>
      <c r="IH23" s="70">
        <f t="shared" si="4"/>
        <v>1634323</v>
      </c>
      <c r="II23" s="70">
        <f t="shared" si="5"/>
        <v>0</v>
      </c>
      <c r="IJ23" s="70">
        <f t="shared" si="6"/>
        <v>124611305</v>
      </c>
      <c r="IK23" s="70">
        <f t="shared" si="7"/>
        <v>0</v>
      </c>
      <c r="IL23" s="70">
        <f t="shared" si="8"/>
        <v>9797595</v>
      </c>
      <c r="IM23" s="70">
        <f t="shared" si="9"/>
        <v>0</v>
      </c>
      <c r="IN23" s="70">
        <f t="shared" si="10"/>
        <v>2497901</v>
      </c>
      <c r="IO23" s="70">
        <f t="shared" si="11"/>
        <v>0</v>
      </c>
      <c r="IP23" s="70">
        <f t="shared" si="12"/>
        <v>19707875</v>
      </c>
      <c r="IQ23" s="70">
        <f t="shared" si="13"/>
        <v>0</v>
      </c>
      <c r="IR23" s="70">
        <f t="shared" si="54"/>
        <v>499100</v>
      </c>
      <c r="IS23" s="70">
        <f t="shared" si="55"/>
        <v>0</v>
      </c>
      <c r="IT23" s="70">
        <f t="shared" si="16"/>
        <v>24889345</v>
      </c>
      <c r="IU23" s="70">
        <f t="shared" si="17"/>
        <v>0</v>
      </c>
      <c r="IV23" s="70">
        <f t="shared" si="18"/>
        <v>0</v>
      </c>
      <c r="IW23" s="70">
        <f t="shared" si="19"/>
        <v>0</v>
      </c>
      <c r="IX23" s="70">
        <f t="shared" si="20"/>
        <v>1293655</v>
      </c>
      <c r="IY23" s="70">
        <f t="shared" si="21"/>
        <v>0</v>
      </c>
      <c r="IZ23" s="70">
        <f t="shared" si="22"/>
        <v>1665284</v>
      </c>
      <c r="JA23" s="70">
        <f t="shared" si="23"/>
        <v>0</v>
      </c>
      <c r="JB23" s="70">
        <f t="shared" si="24"/>
        <v>6769818</v>
      </c>
      <c r="JC23" s="70">
        <f t="shared" si="25"/>
        <v>0</v>
      </c>
      <c r="JD23" s="70">
        <f t="shared" si="26"/>
        <v>1961816</v>
      </c>
      <c r="JE23" s="70">
        <f t="shared" si="27"/>
        <v>0</v>
      </c>
      <c r="JF23" s="70">
        <f t="shared" si="28"/>
        <v>5672428</v>
      </c>
      <c r="JG23" s="70">
        <f t="shared" si="29"/>
        <v>0</v>
      </c>
      <c r="JH23" s="70">
        <f t="shared" si="30"/>
        <v>3461486</v>
      </c>
      <c r="JI23" s="70">
        <f t="shared" si="31"/>
        <v>0</v>
      </c>
      <c r="JJ23" s="70">
        <f t="shared" si="32"/>
        <v>1319526</v>
      </c>
      <c r="JK23" s="70">
        <f t="shared" si="33"/>
        <v>0</v>
      </c>
      <c r="JL23" s="70">
        <f t="shared" si="34"/>
        <v>17843608</v>
      </c>
      <c r="JM23" s="70">
        <f t="shared" si="35"/>
        <v>0</v>
      </c>
      <c r="JN23" s="70">
        <f t="shared" si="36"/>
        <v>1025863</v>
      </c>
      <c r="JO23" s="70">
        <f t="shared" si="37"/>
        <v>0</v>
      </c>
      <c r="JP23" s="70">
        <f t="shared" si="38"/>
        <v>0</v>
      </c>
      <c r="JQ23" s="70">
        <f t="shared" si="39"/>
        <v>0</v>
      </c>
      <c r="JR23" s="70">
        <f t="shared" si="40"/>
        <v>2744811</v>
      </c>
      <c r="JS23" s="70">
        <f t="shared" si="41"/>
        <v>0</v>
      </c>
      <c r="JT23" s="70">
        <f t="shared" si="42"/>
        <v>18116</v>
      </c>
      <c r="JU23" s="70">
        <f t="shared" si="43"/>
        <v>0</v>
      </c>
      <c r="JV23" s="70">
        <f t="shared" si="44"/>
        <v>8521739</v>
      </c>
      <c r="JW23" s="70">
        <f t="shared" si="45"/>
        <v>0</v>
      </c>
      <c r="JX23" s="70">
        <f t="shared" si="46"/>
        <v>109690016</v>
      </c>
      <c r="JY23" s="70">
        <f t="shared" si="47"/>
        <v>0</v>
      </c>
      <c r="JZ23" s="70">
        <f t="shared" si="48"/>
        <v>4305881</v>
      </c>
      <c r="KA23" s="70">
        <f t="shared" si="49"/>
        <v>0</v>
      </c>
      <c r="KB23" s="70">
        <f t="shared" si="50"/>
        <v>113995897</v>
      </c>
      <c r="KC23" s="70">
        <f t="shared" si="51"/>
        <v>0</v>
      </c>
      <c r="KE23" s="70" t="e">
        <f t="shared" si="52"/>
        <v>#REF!</v>
      </c>
      <c r="KG23" s="68" t="e">
        <f t="shared" si="53"/>
        <v>#REF!</v>
      </c>
    </row>
    <row r="24" spans="1:293" s="79" customFormat="1">
      <c r="A24" s="180" t="s">
        <v>493</v>
      </c>
      <c r="B24" s="76" t="s">
        <v>360</v>
      </c>
      <c r="C24" s="90">
        <v>134130</v>
      </c>
      <c r="D24" s="90">
        <v>2014</v>
      </c>
      <c r="E24" s="90">
        <v>1</v>
      </c>
      <c r="F24" s="91">
        <v>8</v>
      </c>
      <c r="G24" s="92">
        <v>7023</v>
      </c>
      <c r="H24" s="92">
        <v>8543</v>
      </c>
      <c r="I24" s="93">
        <v>464022563</v>
      </c>
      <c r="J24" s="93">
        <v>451009343</v>
      </c>
      <c r="K24" s="93">
        <v>3505497</v>
      </c>
      <c r="L24" s="93">
        <v>2614969</v>
      </c>
      <c r="M24" s="93">
        <v>22995369</v>
      </c>
      <c r="N24" s="93">
        <v>19848940</v>
      </c>
      <c r="O24" s="93">
        <v>83685789</v>
      </c>
      <c r="P24" s="93">
        <v>87191286</v>
      </c>
      <c r="Q24" s="93">
        <v>554596907</v>
      </c>
      <c r="R24" s="93">
        <v>578268995</v>
      </c>
      <c r="S24" s="93">
        <v>281970156</v>
      </c>
      <c r="T24" s="93">
        <v>249463487</v>
      </c>
      <c r="U24" s="93">
        <v>18075</v>
      </c>
      <c r="V24" s="93">
        <v>17196</v>
      </c>
      <c r="W24" s="93">
        <v>32076</v>
      </c>
      <c r="X24" s="93">
        <v>29640</v>
      </c>
      <c r="Y24" s="93">
        <v>21713</v>
      </c>
      <c r="Z24" s="93">
        <v>21359</v>
      </c>
      <c r="AA24" s="93">
        <v>36213</v>
      </c>
      <c r="AB24" s="93">
        <v>33832</v>
      </c>
      <c r="AC24" s="114">
        <v>8</v>
      </c>
      <c r="AD24" s="114">
        <v>11</v>
      </c>
      <c r="AE24" s="114">
        <v>0</v>
      </c>
      <c r="AF24" s="115">
        <v>2776320</v>
      </c>
      <c r="AG24" s="115">
        <v>1585101</v>
      </c>
      <c r="AH24" s="115">
        <v>279673</v>
      </c>
      <c r="AI24" s="115">
        <v>119606</v>
      </c>
      <c r="AJ24" s="115">
        <v>181942</v>
      </c>
      <c r="AK24" s="116">
        <v>6.75</v>
      </c>
      <c r="AL24" s="115">
        <v>122811</v>
      </c>
      <c r="AM24" s="116">
        <v>10</v>
      </c>
      <c r="AN24" s="115">
        <v>101280</v>
      </c>
      <c r="AO24" s="116">
        <v>7.25</v>
      </c>
      <c r="AP24" s="115">
        <v>81587</v>
      </c>
      <c r="AQ24" s="116">
        <v>9</v>
      </c>
      <c r="AR24" s="115">
        <v>114786</v>
      </c>
      <c r="AS24" s="116">
        <v>15.25</v>
      </c>
      <c r="AT24" s="115">
        <v>51485</v>
      </c>
      <c r="AU24" s="116">
        <v>34</v>
      </c>
      <c r="AV24" s="115">
        <v>58366</v>
      </c>
      <c r="AW24" s="116">
        <v>7.75</v>
      </c>
      <c r="AX24" s="115">
        <v>28271</v>
      </c>
      <c r="AY24" s="116">
        <v>16</v>
      </c>
      <c r="AZ24" s="142">
        <v>778396</v>
      </c>
      <c r="BA24" s="142">
        <v>1650000</v>
      </c>
      <c r="BB24" s="142">
        <v>2502017</v>
      </c>
      <c r="BC24" s="142">
        <v>145017</v>
      </c>
      <c r="BD24" s="142">
        <v>0</v>
      </c>
      <c r="BE24" s="142">
        <v>0</v>
      </c>
      <c r="BF24" s="142">
        <v>0</v>
      </c>
      <c r="BG24" s="142">
        <v>0</v>
      </c>
      <c r="BH24" s="142">
        <v>0</v>
      </c>
      <c r="BI24" s="142">
        <v>0</v>
      </c>
      <c r="BJ24" s="142">
        <v>0</v>
      </c>
      <c r="BK24" s="142">
        <v>0</v>
      </c>
      <c r="BL24" s="142">
        <v>0</v>
      </c>
      <c r="BM24" s="142">
        <v>0</v>
      </c>
      <c r="BN24" s="142">
        <v>2441</v>
      </c>
      <c r="BO24" s="142">
        <v>0</v>
      </c>
      <c r="BP24" s="142">
        <v>2441</v>
      </c>
      <c r="BQ24" s="142">
        <v>0</v>
      </c>
      <c r="BR24" s="142">
        <v>0</v>
      </c>
      <c r="BS24" s="142">
        <v>0</v>
      </c>
      <c r="BT24" s="142">
        <v>53100</v>
      </c>
      <c r="BU24" s="142">
        <v>739774</v>
      </c>
      <c r="BV24" s="142">
        <v>792874</v>
      </c>
      <c r="BW24" s="142">
        <v>5708841</v>
      </c>
      <c r="BX24" s="142">
        <v>936366</v>
      </c>
      <c r="BY24" s="142">
        <v>399032</v>
      </c>
      <c r="BZ24" s="142">
        <v>9185296</v>
      </c>
      <c r="CA24" s="142">
        <v>8123283</v>
      </c>
      <c r="CB24" s="142">
        <v>24352818</v>
      </c>
      <c r="CC24" s="142">
        <v>1989057</v>
      </c>
      <c r="CD24" s="142">
        <v>312707</v>
      </c>
      <c r="CE24" s="142">
        <v>311010</v>
      </c>
      <c r="CF24" s="142">
        <v>1748647</v>
      </c>
      <c r="CG24" s="142">
        <v>0</v>
      </c>
      <c r="CH24" s="142">
        <v>4361421</v>
      </c>
      <c r="CI24" s="142">
        <v>300000</v>
      </c>
      <c r="CJ24" s="142">
        <v>8000</v>
      </c>
      <c r="CK24" s="142">
        <v>1000</v>
      </c>
      <c r="CL24" s="142">
        <v>11100</v>
      </c>
      <c r="CM24" s="142">
        <v>0</v>
      </c>
      <c r="CN24" s="142">
        <v>320100</v>
      </c>
      <c r="CO24" s="142">
        <v>1812999</v>
      </c>
      <c r="CP24" s="142">
        <v>595316</v>
      </c>
      <c r="CQ24" s="142">
        <v>398019</v>
      </c>
      <c r="CR24" s="142">
        <v>1358885</v>
      </c>
      <c r="CS24" s="142">
        <v>0</v>
      </c>
      <c r="CT24" s="142">
        <v>4165219</v>
      </c>
      <c r="CU24" s="139">
        <v>0</v>
      </c>
      <c r="CV24" s="139">
        <v>0</v>
      </c>
      <c r="CW24" s="139">
        <v>0</v>
      </c>
      <c r="CX24" s="139">
        <v>0</v>
      </c>
      <c r="CY24" s="139">
        <v>0</v>
      </c>
      <c r="CZ24" s="139">
        <v>0</v>
      </c>
      <c r="DA24" s="142">
        <v>213712</v>
      </c>
      <c r="DB24" s="142">
        <v>38700</v>
      </c>
      <c r="DC24" s="142">
        <v>45850</v>
      </c>
      <c r="DD24" s="142">
        <v>0</v>
      </c>
      <c r="DE24" s="142">
        <v>2394633</v>
      </c>
      <c r="DF24" s="142">
        <v>2692895</v>
      </c>
      <c r="DG24" s="139">
        <v>0</v>
      </c>
      <c r="DH24" s="139">
        <v>0</v>
      </c>
      <c r="DI24" s="139">
        <v>0</v>
      </c>
      <c r="DJ24" s="139">
        <v>0</v>
      </c>
      <c r="DK24" s="139">
        <v>0</v>
      </c>
      <c r="DL24" s="139">
        <v>0</v>
      </c>
      <c r="DM24" s="139">
        <v>119018</v>
      </c>
      <c r="DN24" s="139">
        <v>72329</v>
      </c>
      <c r="DO24" s="139">
        <v>0</v>
      </c>
      <c r="DP24" s="139">
        <v>40294</v>
      </c>
      <c r="DQ24" s="139">
        <v>24073</v>
      </c>
      <c r="DR24" s="139">
        <v>255714</v>
      </c>
      <c r="DS24" s="142">
        <v>146986</v>
      </c>
      <c r="DT24" s="142">
        <v>94732</v>
      </c>
      <c r="DU24" s="142">
        <v>73501</v>
      </c>
      <c r="DV24" s="142">
        <v>83460</v>
      </c>
      <c r="DW24" s="142">
        <v>52823</v>
      </c>
      <c r="DX24" s="142">
        <v>451502</v>
      </c>
      <c r="DY24" s="142">
        <v>792448</v>
      </c>
      <c r="DZ24" s="142">
        <v>275238</v>
      </c>
      <c r="EA24" s="142">
        <v>211538</v>
      </c>
      <c r="EB24" s="142">
        <v>851823</v>
      </c>
      <c r="EC24" s="142">
        <v>0</v>
      </c>
      <c r="ED24" s="142">
        <v>2131047</v>
      </c>
      <c r="EE24" s="142">
        <v>401323</v>
      </c>
      <c r="EF24" s="142">
        <v>67110</v>
      </c>
      <c r="EG24" s="142">
        <v>30932</v>
      </c>
      <c r="EH24" s="142">
        <v>257736</v>
      </c>
      <c r="EI24" s="142">
        <v>117485</v>
      </c>
      <c r="EJ24" s="142">
        <v>874586</v>
      </c>
      <c r="EK24" s="142">
        <v>105005</v>
      </c>
      <c r="EL24" s="142">
        <v>116080</v>
      </c>
      <c r="EM24" s="142">
        <v>74948</v>
      </c>
      <c r="EN24" s="142">
        <v>137638</v>
      </c>
      <c r="EO24" s="142">
        <v>787295</v>
      </c>
      <c r="EP24" s="142">
        <v>1220966</v>
      </c>
      <c r="EQ24" s="142">
        <v>0</v>
      </c>
      <c r="ER24" s="142">
        <v>0</v>
      </c>
      <c r="ES24" s="142">
        <v>0</v>
      </c>
      <c r="ET24" s="142">
        <v>6439</v>
      </c>
      <c r="EU24" s="142">
        <v>483845</v>
      </c>
      <c r="EV24" s="142">
        <v>490284</v>
      </c>
      <c r="EW24" s="142">
        <v>0</v>
      </c>
      <c r="EX24" s="142">
        <v>0</v>
      </c>
      <c r="EY24" s="142">
        <v>0</v>
      </c>
      <c r="EZ24" s="142">
        <v>0</v>
      </c>
      <c r="FA24" s="142">
        <v>0</v>
      </c>
      <c r="FB24" s="142">
        <v>0</v>
      </c>
      <c r="FC24" s="142">
        <v>0</v>
      </c>
      <c r="FD24" s="142">
        <v>0</v>
      </c>
      <c r="FE24" s="142">
        <v>0</v>
      </c>
      <c r="FF24" s="142">
        <v>4210</v>
      </c>
      <c r="FG24" s="142">
        <v>3716606</v>
      </c>
      <c r="FH24" s="142">
        <v>3720816</v>
      </c>
      <c r="FI24" s="139">
        <v>0</v>
      </c>
      <c r="FJ24" s="139">
        <v>0</v>
      </c>
      <c r="FK24" s="139">
        <v>0</v>
      </c>
      <c r="FL24" s="139">
        <v>0</v>
      </c>
      <c r="FM24" s="139">
        <v>29608</v>
      </c>
      <c r="FN24" s="139">
        <v>29608</v>
      </c>
      <c r="FO24" s="142">
        <v>0</v>
      </c>
      <c r="FP24" s="142">
        <v>0</v>
      </c>
      <c r="FQ24" s="142">
        <v>0</v>
      </c>
      <c r="FR24" s="142">
        <v>0</v>
      </c>
      <c r="FS24" s="142">
        <v>1447683</v>
      </c>
      <c r="FT24" s="142">
        <v>1447683</v>
      </c>
      <c r="FU24" s="142">
        <v>0</v>
      </c>
      <c r="FV24" s="142">
        <v>3500</v>
      </c>
      <c r="FW24" s="142">
        <v>0</v>
      </c>
      <c r="FX24" s="142">
        <v>1613</v>
      </c>
      <c r="FY24" s="142">
        <v>483235</v>
      </c>
      <c r="FZ24" s="142">
        <v>488348</v>
      </c>
      <c r="GA24" s="142">
        <v>1230</v>
      </c>
      <c r="GB24" s="142">
        <v>2490</v>
      </c>
      <c r="GC24" s="142">
        <v>800</v>
      </c>
      <c r="GD24" s="142">
        <v>4630</v>
      </c>
      <c r="GE24" s="142">
        <v>286636</v>
      </c>
      <c r="GF24" s="142">
        <v>295786</v>
      </c>
      <c r="GG24" s="142">
        <v>126281</v>
      </c>
      <c r="GH24" s="142">
        <v>66767</v>
      </c>
      <c r="GI24" s="142">
        <v>16423</v>
      </c>
      <c r="GJ24" s="142">
        <v>33085</v>
      </c>
      <c r="GK24" s="142">
        <v>844493</v>
      </c>
      <c r="GL24" s="142">
        <v>1087049</v>
      </c>
      <c r="GM24" s="142">
        <v>6008059</v>
      </c>
      <c r="GN24" s="142">
        <v>1652969</v>
      </c>
      <c r="GO24" s="142">
        <v>1164021</v>
      </c>
      <c r="GP24" s="142">
        <v>4539560</v>
      </c>
      <c r="GQ24" s="142">
        <v>10668415</v>
      </c>
      <c r="GR24" s="142">
        <v>24033024</v>
      </c>
      <c r="GS24" s="139">
        <v>0</v>
      </c>
      <c r="GT24" s="139">
        <v>0</v>
      </c>
      <c r="GU24" s="139">
        <v>0</v>
      </c>
      <c r="GV24" s="139">
        <v>0</v>
      </c>
      <c r="GW24" s="139">
        <v>0</v>
      </c>
      <c r="GX24" s="139">
        <v>0</v>
      </c>
      <c r="GY24" s="142">
        <v>6008059</v>
      </c>
      <c r="GZ24" s="142">
        <v>1652969</v>
      </c>
      <c r="HA24" s="142">
        <v>1164021</v>
      </c>
      <c r="HB24" s="142">
        <v>4539560</v>
      </c>
      <c r="HC24" s="142">
        <v>10668415</v>
      </c>
      <c r="HD24" s="142">
        <v>24033024</v>
      </c>
      <c r="HE24" s="70"/>
      <c r="HF24" s="70">
        <f>SUM(AZ24:AZ24)</f>
        <v>778396</v>
      </c>
      <c r="HG24" s="70" t="e">
        <f>#REF!-HF24</f>
        <v>#REF!</v>
      </c>
      <c r="HH24" s="70" t="e">
        <f>SUM(#REF!)</f>
        <v>#REF!</v>
      </c>
      <c r="HI24" s="70" t="e">
        <f>#REF!-HH24</f>
        <v>#REF!</v>
      </c>
      <c r="HJ24" s="70">
        <f>SUM(BA24:BA24)</f>
        <v>1650000</v>
      </c>
      <c r="HK24" s="70" t="e">
        <f>#REF!-HJ24</f>
        <v>#REF!</v>
      </c>
      <c r="HL24" s="70" t="e">
        <f>SUM(#REF!)</f>
        <v>#REF!</v>
      </c>
      <c r="HM24" s="70" t="e">
        <f>BB24-HL24</f>
        <v>#REF!</v>
      </c>
      <c r="HN24" s="70" t="e">
        <f>SUM(#REF!)</f>
        <v>#REF!</v>
      </c>
      <c r="HO24" s="70" t="e">
        <f>#REF!-HN24</f>
        <v>#REF!</v>
      </c>
      <c r="HP24" s="70" t="e">
        <f>SUM(#REF!)</f>
        <v>#REF!</v>
      </c>
      <c r="HQ24" s="70" t="e">
        <f>#REF!-HP24</f>
        <v>#REF!</v>
      </c>
      <c r="HR24" s="70" t="e">
        <f>SUM(#REF!)</f>
        <v>#REF!</v>
      </c>
      <c r="HS24" s="70" t="e">
        <f>#REF!-HR24</f>
        <v>#REF!</v>
      </c>
      <c r="HT24" s="70" t="e">
        <f>SUM(#REF!)</f>
        <v>#REF!</v>
      </c>
      <c r="HU24" s="70" t="e">
        <f>#REF!-HT24</f>
        <v>#REF!</v>
      </c>
      <c r="HV24" s="70" t="e">
        <f>SUM(#REF!)</f>
        <v>#REF!</v>
      </c>
      <c r="HW24" s="70" t="e">
        <f>#REF!-HV24</f>
        <v>#REF!</v>
      </c>
      <c r="HX24" s="70" t="e">
        <f>SUM(#REF!)</f>
        <v>#REF!</v>
      </c>
      <c r="HY24" s="70" t="e">
        <f>#REF!-HX24</f>
        <v>#REF!</v>
      </c>
      <c r="HZ24" s="70">
        <f>SUM(BC24:BC24)</f>
        <v>145017</v>
      </c>
      <c r="IA24" s="70" t="e">
        <f>#REF!-HZ24</f>
        <v>#REF!</v>
      </c>
      <c r="IB24" s="70">
        <f>SUM(BD24:BD24)</f>
        <v>0</v>
      </c>
      <c r="IC24" s="70" t="e">
        <f>#REF!-IB24</f>
        <v>#REF!</v>
      </c>
      <c r="ID24" s="70">
        <f t="shared" si="0"/>
        <v>0</v>
      </c>
      <c r="IE24" s="70">
        <f t="shared" si="1"/>
        <v>0</v>
      </c>
      <c r="IF24" s="70">
        <f t="shared" si="2"/>
        <v>2441</v>
      </c>
      <c r="IG24" s="70">
        <f t="shared" si="3"/>
        <v>0</v>
      </c>
      <c r="IH24" s="70">
        <f t="shared" si="4"/>
        <v>792874</v>
      </c>
      <c r="II24" s="70">
        <f t="shared" si="5"/>
        <v>0</v>
      </c>
      <c r="IJ24" s="70">
        <f t="shared" si="6"/>
        <v>24352818</v>
      </c>
      <c r="IK24" s="70">
        <f t="shared" si="7"/>
        <v>0</v>
      </c>
      <c r="IL24" s="70">
        <f t="shared" si="8"/>
        <v>4361421</v>
      </c>
      <c r="IM24" s="70">
        <f t="shared" si="9"/>
        <v>0</v>
      </c>
      <c r="IN24" s="70">
        <f t="shared" si="10"/>
        <v>320100</v>
      </c>
      <c r="IO24" s="70">
        <f t="shared" si="11"/>
        <v>0</v>
      </c>
      <c r="IP24" s="70">
        <f t="shared" si="12"/>
        <v>4165219</v>
      </c>
      <c r="IQ24" s="70">
        <f t="shared" si="13"/>
        <v>0</v>
      </c>
      <c r="IR24" s="70">
        <f t="shared" si="54"/>
        <v>0</v>
      </c>
      <c r="IS24" s="70">
        <f t="shared" si="55"/>
        <v>0</v>
      </c>
      <c r="IT24" s="70">
        <f t="shared" si="16"/>
        <v>2692895</v>
      </c>
      <c r="IU24" s="70">
        <f t="shared" si="17"/>
        <v>0</v>
      </c>
      <c r="IV24" s="70">
        <f t="shared" si="18"/>
        <v>0</v>
      </c>
      <c r="IW24" s="70">
        <f t="shared" si="19"/>
        <v>0</v>
      </c>
      <c r="IX24" s="70">
        <f t="shared" si="20"/>
        <v>255714</v>
      </c>
      <c r="IY24" s="70">
        <f t="shared" si="21"/>
        <v>0</v>
      </c>
      <c r="IZ24" s="70">
        <f t="shared" si="22"/>
        <v>451502</v>
      </c>
      <c r="JA24" s="70">
        <f t="shared" si="23"/>
        <v>0</v>
      </c>
      <c r="JB24" s="70">
        <f t="shared" si="24"/>
        <v>2131047</v>
      </c>
      <c r="JC24" s="70">
        <f t="shared" si="25"/>
        <v>0</v>
      </c>
      <c r="JD24" s="70">
        <f t="shared" si="26"/>
        <v>874586</v>
      </c>
      <c r="JE24" s="70">
        <f t="shared" si="27"/>
        <v>0</v>
      </c>
      <c r="JF24" s="70">
        <f t="shared" si="28"/>
        <v>1220966</v>
      </c>
      <c r="JG24" s="70">
        <f t="shared" si="29"/>
        <v>0</v>
      </c>
      <c r="JH24" s="70">
        <f t="shared" si="30"/>
        <v>490284</v>
      </c>
      <c r="JI24" s="70">
        <f t="shared" si="31"/>
        <v>0</v>
      </c>
      <c r="JJ24" s="70">
        <f t="shared" si="32"/>
        <v>0</v>
      </c>
      <c r="JK24" s="70">
        <f t="shared" si="33"/>
        <v>0</v>
      </c>
      <c r="JL24" s="70">
        <f t="shared" si="34"/>
        <v>3720816</v>
      </c>
      <c r="JM24" s="70">
        <f t="shared" si="35"/>
        <v>0</v>
      </c>
      <c r="JN24" s="70">
        <f t="shared" si="36"/>
        <v>29608</v>
      </c>
      <c r="JO24" s="70">
        <f t="shared" si="37"/>
        <v>0</v>
      </c>
      <c r="JP24" s="70">
        <f t="shared" si="38"/>
        <v>1447683</v>
      </c>
      <c r="JQ24" s="70">
        <f t="shared" si="39"/>
        <v>0</v>
      </c>
      <c r="JR24" s="70">
        <f t="shared" si="40"/>
        <v>488348</v>
      </c>
      <c r="JS24" s="70">
        <f t="shared" si="41"/>
        <v>0</v>
      </c>
      <c r="JT24" s="70">
        <f t="shared" si="42"/>
        <v>295786</v>
      </c>
      <c r="JU24" s="70">
        <f t="shared" si="43"/>
        <v>0</v>
      </c>
      <c r="JV24" s="70">
        <f t="shared" si="44"/>
        <v>1087049</v>
      </c>
      <c r="JW24" s="70">
        <f t="shared" si="45"/>
        <v>0</v>
      </c>
      <c r="JX24" s="70">
        <f t="shared" si="46"/>
        <v>24033024</v>
      </c>
      <c r="JY24" s="70">
        <f t="shared" si="47"/>
        <v>0</v>
      </c>
      <c r="JZ24" s="70">
        <f t="shared" si="48"/>
        <v>0</v>
      </c>
      <c r="KA24" s="70">
        <f t="shared" si="49"/>
        <v>0</v>
      </c>
      <c r="KB24" s="70">
        <f t="shared" si="50"/>
        <v>24033024</v>
      </c>
      <c r="KC24" s="70">
        <f t="shared" si="51"/>
        <v>0</v>
      </c>
      <c r="KD24" s="77"/>
      <c r="KE24" s="70" t="e">
        <f t="shared" si="52"/>
        <v>#REF!</v>
      </c>
      <c r="KG24" s="68" t="e">
        <f t="shared" si="53"/>
        <v>#REF!</v>
      </c>
    </row>
    <row r="25" spans="1:293">
      <c r="A25" s="180" t="s">
        <v>551</v>
      </c>
      <c r="B25" s="76" t="s">
        <v>360</v>
      </c>
      <c r="C25" s="90">
        <v>133951</v>
      </c>
      <c r="D25" s="90">
        <v>2014</v>
      </c>
      <c r="E25" s="90">
        <v>1</v>
      </c>
      <c r="F25" s="91">
        <v>8</v>
      </c>
      <c r="G25" s="92">
        <v>17089</v>
      </c>
      <c r="H25" s="92">
        <v>21126</v>
      </c>
      <c r="I25" s="93">
        <v>848143150</v>
      </c>
      <c r="J25" s="93">
        <v>773070943</v>
      </c>
      <c r="K25" s="93">
        <v>2210956</v>
      </c>
      <c r="L25" s="93">
        <v>2223402</v>
      </c>
      <c r="M25" s="93">
        <v>17398740</v>
      </c>
      <c r="N25" s="93">
        <v>14246451</v>
      </c>
      <c r="O25" s="93">
        <v>32092444</v>
      </c>
      <c r="P25" s="93">
        <v>32748923</v>
      </c>
      <c r="Q25" s="93">
        <v>182480253</v>
      </c>
      <c r="R25" s="93">
        <v>158638325</v>
      </c>
      <c r="S25" s="93">
        <v>696261329</v>
      </c>
      <c r="T25" s="93">
        <v>628185954</v>
      </c>
      <c r="U25" s="93">
        <v>18010</v>
      </c>
      <c r="V25" s="93">
        <v>18558</v>
      </c>
      <c r="W25" s="93">
        <v>30410</v>
      </c>
      <c r="X25" s="93">
        <v>30956</v>
      </c>
      <c r="Y25" s="93">
        <v>22464</v>
      </c>
      <c r="Z25" s="93">
        <v>22938</v>
      </c>
      <c r="AA25" s="93">
        <v>34864</v>
      </c>
      <c r="AB25" s="93">
        <v>35336</v>
      </c>
      <c r="AC25" s="114">
        <v>7</v>
      </c>
      <c r="AD25" s="114">
        <v>11</v>
      </c>
      <c r="AE25" s="114">
        <v>0</v>
      </c>
      <c r="AF25" s="115">
        <v>3214548</v>
      </c>
      <c r="AG25" s="115">
        <v>3015312</v>
      </c>
      <c r="AH25" s="115">
        <v>296028</v>
      </c>
      <c r="AI25" s="115">
        <v>119336</v>
      </c>
      <c r="AJ25" s="115">
        <v>273989</v>
      </c>
      <c r="AK25" s="116">
        <v>4.5</v>
      </c>
      <c r="AL25" s="115">
        <v>246590</v>
      </c>
      <c r="AM25" s="116">
        <v>5</v>
      </c>
      <c r="AN25" s="115">
        <v>95824</v>
      </c>
      <c r="AO25" s="116">
        <v>7.5</v>
      </c>
      <c r="AP25" s="115">
        <v>79853</v>
      </c>
      <c r="AQ25" s="116">
        <v>9</v>
      </c>
      <c r="AR25" s="115">
        <v>111065</v>
      </c>
      <c r="AS25" s="116">
        <v>16.25</v>
      </c>
      <c r="AT25" s="115">
        <v>100267</v>
      </c>
      <c r="AU25" s="116">
        <v>18</v>
      </c>
      <c r="AV25" s="115">
        <v>49877</v>
      </c>
      <c r="AW25" s="116">
        <v>11.75</v>
      </c>
      <c r="AX25" s="115">
        <v>45081</v>
      </c>
      <c r="AY25" s="116">
        <v>13</v>
      </c>
      <c r="AZ25" s="142">
        <v>671888</v>
      </c>
      <c r="BA25" s="142">
        <v>1300000</v>
      </c>
      <c r="BB25" s="142">
        <v>303887</v>
      </c>
      <c r="BC25" s="142">
        <v>0</v>
      </c>
      <c r="BD25" s="142">
        <v>0</v>
      </c>
      <c r="BE25" s="142">
        <v>0</v>
      </c>
      <c r="BF25" s="142">
        <v>0</v>
      </c>
      <c r="BG25" s="142">
        <v>0</v>
      </c>
      <c r="BH25" s="142">
        <v>0</v>
      </c>
      <c r="BI25" s="142">
        <v>0</v>
      </c>
      <c r="BJ25" s="142">
        <v>0</v>
      </c>
      <c r="BK25" s="142">
        <v>973</v>
      </c>
      <c r="BL25" s="142">
        <v>4699</v>
      </c>
      <c r="BM25" s="142">
        <v>3346</v>
      </c>
      <c r="BN25" s="142">
        <v>96760</v>
      </c>
      <c r="BO25" s="142">
        <v>1376</v>
      </c>
      <c r="BP25" s="142">
        <v>107154</v>
      </c>
      <c r="BQ25" s="142">
        <v>0</v>
      </c>
      <c r="BR25" s="142">
        <v>0</v>
      </c>
      <c r="BS25" s="142">
        <v>0</v>
      </c>
      <c r="BT25" s="142">
        <v>0</v>
      </c>
      <c r="BU25" s="142">
        <v>66100</v>
      </c>
      <c r="BV25" s="142">
        <v>66100</v>
      </c>
      <c r="BW25" s="142">
        <v>7054989</v>
      </c>
      <c r="BX25" s="142">
        <v>1620911</v>
      </c>
      <c r="BY25" s="142">
        <v>1213655</v>
      </c>
      <c r="BZ25" s="142">
        <v>5518450</v>
      </c>
      <c r="CA25" s="142">
        <v>12696057</v>
      </c>
      <c r="CB25" s="142">
        <v>28104062</v>
      </c>
      <c r="CC25" s="142">
        <v>2075913</v>
      </c>
      <c r="CD25" s="142">
        <v>420421</v>
      </c>
      <c r="CE25" s="142">
        <v>523525</v>
      </c>
      <c r="CF25" s="142">
        <v>3210037</v>
      </c>
      <c r="CG25" s="142">
        <v>348164</v>
      </c>
      <c r="CH25" s="142">
        <v>6578060</v>
      </c>
      <c r="CI25" s="142">
        <v>550000</v>
      </c>
      <c r="CJ25" s="142">
        <v>4000</v>
      </c>
      <c r="CK25" s="142">
        <v>33237</v>
      </c>
      <c r="CL25" s="142">
        <v>42490</v>
      </c>
      <c r="CM25" s="142">
        <v>0</v>
      </c>
      <c r="CN25" s="142">
        <v>629727</v>
      </c>
      <c r="CO25" s="142">
        <v>2021235</v>
      </c>
      <c r="CP25" s="142">
        <v>554850</v>
      </c>
      <c r="CQ25" s="142">
        <v>441698</v>
      </c>
      <c r="CR25" s="142">
        <v>1324713</v>
      </c>
      <c r="CS25" s="142">
        <v>0</v>
      </c>
      <c r="CT25" s="142">
        <v>4342496</v>
      </c>
      <c r="CU25" s="142">
        <v>0</v>
      </c>
      <c r="CV25" s="142">
        <v>0</v>
      </c>
      <c r="CW25" s="142">
        <v>0</v>
      </c>
      <c r="CX25" s="142">
        <v>0</v>
      </c>
      <c r="CY25" s="142">
        <v>0</v>
      </c>
      <c r="CZ25" s="142">
        <v>0</v>
      </c>
      <c r="DA25" s="142">
        <v>480036</v>
      </c>
      <c r="DB25" s="142">
        <v>89759</v>
      </c>
      <c r="DC25" s="142">
        <v>65486</v>
      </c>
      <c r="DD25" s="142">
        <v>135268</v>
      </c>
      <c r="DE25" s="142">
        <v>4091541</v>
      </c>
      <c r="DF25" s="142">
        <v>4862090</v>
      </c>
      <c r="DG25" s="139">
        <v>0</v>
      </c>
      <c r="DH25" s="139">
        <v>0</v>
      </c>
      <c r="DI25" s="139">
        <v>0</v>
      </c>
      <c r="DJ25" s="139">
        <v>0</v>
      </c>
      <c r="DK25" s="139">
        <v>0</v>
      </c>
      <c r="DL25" s="139">
        <v>0</v>
      </c>
      <c r="DM25" s="142">
        <v>10596</v>
      </c>
      <c r="DN25" s="142">
        <v>0</v>
      </c>
      <c r="DO25" s="142">
        <v>0</v>
      </c>
      <c r="DP25" s="142">
        <v>0</v>
      </c>
      <c r="DQ25" s="142">
        <v>2515</v>
      </c>
      <c r="DR25" s="142">
        <v>13111</v>
      </c>
      <c r="DS25" s="142">
        <v>129659</v>
      </c>
      <c r="DT25" s="142">
        <v>99048</v>
      </c>
      <c r="DU25" s="142">
        <v>26019</v>
      </c>
      <c r="DV25" s="142">
        <v>160638</v>
      </c>
      <c r="DW25" s="142">
        <v>0</v>
      </c>
      <c r="DX25" s="142">
        <v>415364</v>
      </c>
      <c r="DY25" s="142">
        <v>594931</v>
      </c>
      <c r="DZ25" s="142">
        <v>283897</v>
      </c>
      <c r="EA25" s="142">
        <v>199830</v>
      </c>
      <c r="EB25" s="142">
        <v>1067014</v>
      </c>
      <c r="EC25" s="142">
        <v>0</v>
      </c>
      <c r="ED25" s="142">
        <v>2145672</v>
      </c>
      <c r="EE25" s="142">
        <v>203197</v>
      </c>
      <c r="EF25" s="142">
        <v>66713</v>
      </c>
      <c r="EG25" s="142">
        <v>33902</v>
      </c>
      <c r="EH25" s="142">
        <v>243989</v>
      </c>
      <c r="EI25" s="142">
        <v>119794</v>
      </c>
      <c r="EJ25" s="142">
        <v>667595</v>
      </c>
      <c r="EK25" s="142">
        <v>600365</v>
      </c>
      <c r="EL25" s="142">
        <v>156755</v>
      </c>
      <c r="EM25" s="142">
        <v>104377</v>
      </c>
      <c r="EN25" s="142">
        <v>169705</v>
      </c>
      <c r="EO25" s="142">
        <v>0</v>
      </c>
      <c r="EP25" s="142">
        <v>1031202</v>
      </c>
      <c r="EQ25" s="142">
        <v>108684</v>
      </c>
      <c r="ER25" s="142">
        <v>11857</v>
      </c>
      <c r="ES25" s="142">
        <v>5130</v>
      </c>
      <c r="ET25" s="142">
        <v>28572</v>
      </c>
      <c r="EU25" s="142">
        <v>452849</v>
      </c>
      <c r="EV25" s="142">
        <v>607092</v>
      </c>
      <c r="EW25" s="142">
        <v>0</v>
      </c>
      <c r="EX25" s="142">
        <v>0</v>
      </c>
      <c r="EY25" s="142">
        <v>0</v>
      </c>
      <c r="EZ25" s="142">
        <v>0</v>
      </c>
      <c r="FA25" s="142">
        <v>0</v>
      </c>
      <c r="FB25" s="142">
        <v>0</v>
      </c>
      <c r="FC25" s="142">
        <v>34925</v>
      </c>
      <c r="FD25" s="142">
        <v>5275</v>
      </c>
      <c r="FE25" s="142">
        <v>3279</v>
      </c>
      <c r="FF25" s="142">
        <v>77538</v>
      </c>
      <c r="FG25" s="142">
        <v>2588303</v>
      </c>
      <c r="FH25" s="142">
        <v>2709320</v>
      </c>
      <c r="FI25" s="142">
        <v>0</v>
      </c>
      <c r="FJ25" s="142">
        <v>0</v>
      </c>
      <c r="FK25" s="142">
        <v>0</v>
      </c>
      <c r="FL25" s="142">
        <v>0</v>
      </c>
      <c r="FM25" s="142">
        <v>181116</v>
      </c>
      <c r="FN25" s="142">
        <v>181116</v>
      </c>
      <c r="FO25" s="142">
        <v>0</v>
      </c>
      <c r="FP25" s="142">
        <v>9870</v>
      </c>
      <c r="FQ25" s="142">
        <v>9030</v>
      </c>
      <c r="FR25" s="142">
        <v>38330</v>
      </c>
      <c r="FS25" s="142">
        <v>0</v>
      </c>
      <c r="FT25" s="142">
        <v>57230</v>
      </c>
      <c r="FU25" s="142">
        <v>101351</v>
      </c>
      <c r="FV25" s="142">
        <v>4551</v>
      </c>
      <c r="FW25" s="142">
        <v>6111</v>
      </c>
      <c r="FX25" s="142">
        <v>85722</v>
      </c>
      <c r="FY25" s="142">
        <v>120021</v>
      </c>
      <c r="FZ25" s="142">
        <v>317756</v>
      </c>
      <c r="GA25" s="142">
        <v>9295</v>
      </c>
      <c r="GB25" s="142">
        <v>12886</v>
      </c>
      <c r="GC25" s="142">
        <v>1239</v>
      </c>
      <c r="GD25" s="142">
        <v>8733</v>
      </c>
      <c r="GE25" s="142">
        <v>1784760</v>
      </c>
      <c r="GF25" s="142">
        <v>1816913</v>
      </c>
      <c r="GG25" s="142">
        <v>234969</v>
      </c>
      <c r="GH25" s="142">
        <v>71928</v>
      </c>
      <c r="GI25" s="142">
        <v>31818</v>
      </c>
      <c r="GJ25" s="142">
        <v>126644</v>
      </c>
      <c r="GK25" s="142">
        <v>702807</v>
      </c>
      <c r="GL25" s="142">
        <v>1168166</v>
      </c>
      <c r="GM25" s="142">
        <v>7155156</v>
      </c>
      <c r="GN25" s="142">
        <v>1791810</v>
      </c>
      <c r="GO25" s="142">
        <v>1484681</v>
      </c>
      <c r="GP25" s="142">
        <v>6719393</v>
      </c>
      <c r="GQ25" s="142">
        <v>10391870</v>
      </c>
      <c r="GR25" s="142">
        <v>27542910</v>
      </c>
      <c r="GS25" s="139">
        <v>0</v>
      </c>
      <c r="GT25" s="139">
        <v>0</v>
      </c>
      <c r="GU25" s="139">
        <v>0</v>
      </c>
      <c r="GV25" s="139">
        <v>0</v>
      </c>
      <c r="GW25" s="139">
        <v>0</v>
      </c>
      <c r="GX25" s="139">
        <v>0</v>
      </c>
      <c r="GY25" s="142">
        <v>7155156</v>
      </c>
      <c r="GZ25" s="142">
        <v>1791810</v>
      </c>
      <c r="HA25" s="142">
        <v>1484681</v>
      </c>
      <c r="HB25" s="142">
        <v>6719393</v>
      </c>
      <c r="HC25" s="142">
        <v>10391870</v>
      </c>
      <c r="HD25" s="142">
        <v>27542910</v>
      </c>
      <c r="HF25" s="70">
        <f>SUM(AZ25:AZ25)</f>
        <v>671888</v>
      </c>
      <c r="HG25" s="70" t="e">
        <f>#REF!-HF25</f>
        <v>#REF!</v>
      </c>
      <c r="HH25" s="70" t="e">
        <f>SUM(#REF!)</f>
        <v>#REF!</v>
      </c>
      <c r="HI25" s="70" t="e">
        <f>#REF!-HH25</f>
        <v>#REF!</v>
      </c>
      <c r="HJ25" s="70">
        <f>SUM(BA25:BA25)</f>
        <v>1300000</v>
      </c>
      <c r="HK25" s="70" t="e">
        <f>#REF!-HJ25</f>
        <v>#REF!</v>
      </c>
      <c r="HL25" s="70" t="e">
        <f>SUM(#REF!)</f>
        <v>#REF!</v>
      </c>
      <c r="HM25" s="70" t="e">
        <f>BB25-HL25</f>
        <v>#REF!</v>
      </c>
      <c r="HN25" s="70" t="e">
        <f>SUM(#REF!)</f>
        <v>#REF!</v>
      </c>
      <c r="HO25" s="70" t="e">
        <f>#REF!-HN25</f>
        <v>#REF!</v>
      </c>
      <c r="HP25" s="70" t="e">
        <f>SUM(#REF!)</f>
        <v>#REF!</v>
      </c>
      <c r="HQ25" s="70" t="e">
        <f>#REF!-HP25</f>
        <v>#REF!</v>
      </c>
      <c r="HR25" s="70" t="e">
        <f>SUM(#REF!)</f>
        <v>#REF!</v>
      </c>
      <c r="HS25" s="70" t="e">
        <f>#REF!-HR25</f>
        <v>#REF!</v>
      </c>
      <c r="HT25" s="70" t="e">
        <f>SUM(#REF!)</f>
        <v>#REF!</v>
      </c>
      <c r="HU25" s="70" t="e">
        <f>#REF!-HT25</f>
        <v>#REF!</v>
      </c>
      <c r="HV25" s="70" t="e">
        <f>SUM(#REF!)</f>
        <v>#REF!</v>
      </c>
      <c r="HW25" s="70" t="e">
        <f>#REF!-HV25</f>
        <v>#REF!</v>
      </c>
      <c r="HX25" s="70" t="e">
        <f>SUM(#REF!)</f>
        <v>#REF!</v>
      </c>
      <c r="HY25" s="70" t="e">
        <f>#REF!-HX25</f>
        <v>#REF!</v>
      </c>
      <c r="HZ25" s="70">
        <f>SUM(BC25:BC25)</f>
        <v>0</v>
      </c>
      <c r="IA25" s="70" t="e">
        <f>#REF!-HZ25</f>
        <v>#REF!</v>
      </c>
      <c r="IB25" s="70">
        <f>SUM(BD25:BD25)</f>
        <v>0</v>
      </c>
      <c r="IC25" s="70" t="e">
        <f>#REF!-IB25</f>
        <v>#REF!</v>
      </c>
      <c r="ID25" s="70">
        <f t="shared" si="0"/>
        <v>0</v>
      </c>
      <c r="IE25" s="70">
        <f t="shared" si="1"/>
        <v>0</v>
      </c>
      <c r="IF25" s="70">
        <f t="shared" si="2"/>
        <v>107154</v>
      </c>
      <c r="IG25" s="70">
        <f t="shared" si="3"/>
        <v>0</v>
      </c>
      <c r="IH25" s="70">
        <f t="shared" si="4"/>
        <v>66100</v>
      </c>
      <c r="II25" s="70">
        <f t="shared" si="5"/>
        <v>0</v>
      </c>
      <c r="IJ25" s="70">
        <f t="shared" si="6"/>
        <v>28104062</v>
      </c>
      <c r="IK25" s="70">
        <f t="shared" si="7"/>
        <v>0</v>
      </c>
      <c r="IL25" s="70">
        <f t="shared" si="8"/>
        <v>6578060</v>
      </c>
      <c r="IM25" s="70">
        <f t="shared" si="9"/>
        <v>0</v>
      </c>
      <c r="IN25" s="70">
        <f t="shared" si="10"/>
        <v>629727</v>
      </c>
      <c r="IO25" s="70">
        <f t="shared" si="11"/>
        <v>0</v>
      </c>
      <c r="IP25" s="70">
        <f t="shared" si="12"/>
        <v>4342496</v>
      </c>
      <c r="IQ25" s="70">
        <f t="shared" si="13"/>
        <v>0</v>
      </c>
      <c r="IR25" s="70">
        <f t="shared" si="54"/>
        <v>0</v>
      </c>
      <c r="IS25" s="70">
        <f t="shared" si="55"/>
        <v>0</v>
      </c>
      <c r="IT25" s="70">
        <f t="shared" si="16"/>
        <v>4862090</v>
      </c>
      <c r="IU25" s="70">
        <f t="shared" si="17"/>
        <v>0</v>
      </c>
      <c r="IV25" s="70">
        <f t="shared" si="18"/>
        <v>0</v>
      </c>
      <c r="IW25" s="70">
        <f t="shared" si="19"/>
        <v>0</v>
      </c>
      <c r="IX25" s="70">
        <f t="shared" si="20"/>
        <v>13111</v>
      </c>
      <c r="IY25" s="70">
        <f t="shared" si="21"/>
        <v>0</v>
      </c>
      <c r="IZ25" s="70">
        <f t="shared" si="22"/>
        <v>415364</v>
      </c>
      <c r="JA25" s="70">
        <f t="shared" si="23"/>
        <v>0</v>
      </c>
      <c r="JB25" s="70">
        <f t="shared" si="24"/>
        <v>2145672</v>
      </c>
      <c r="JC25" s="70">
        <f t="shared" si="25"/>
        <v>0</v>
      </c>
      <c r="JD25" s="70">
        <f t="shared" si="26"/>
        <v>667595</v>
      </c>
      <c r="JE25" s="70">
        <f t="shared" si="27"/>
        <v>0</v>
      </c>
      <c r="JF25" s="70">
        <f t="shared" si="28"/>
        <v>1031202</v>
      </c>
      <c r="JG25" s="70">
        <f t="shared" si="29"/>
        <v>0</v>
      </c>
      <c r="JH25" s="70">
        <f t="shared" si="30"/>
        <v>607092</v>
      </c>
      <c r="JI25" s="70">
        <f t="shared" si="31"/>
        <v>0</v>
      </c>
      <c r="JJ25" s="70">
        <f t="shared" si="32"/>
        <v>0</v>
      </c>
      <c r="JK25" s="70">
        <f t="shared" si="33"/>
        <v>0</v>
      </c>
      <c r="JL25" s="70">
        <f t="shared" si="34"/>
        <v>2709320</v>
      </c>
      <c r="JM25" s="70">
        <f t="shared" si="35"/>
        <v>0</v>
      </c>
      <c r="JN25" s="70">
        <f t="shared" si="36"/>
        <v>181116</v>
      </c>
      <c r="JO25" s="70">
        <f t="shared" si="37"/>
        <v>0</v>
      </c>
      <c r="JP25" s="70">
        <f t="shared" si="38"/>
        <v>57230</v>
      </c>
      <c r="JQ25" s="70">
        <f t="shared" si="39"/>
        <v>0</v>
      </c>
      <c r="JR25" s="70">
        <f t="shared" si="40"/>
        <v>317756</v>
      </c>
      <c r="JS25" s="70">
        <f t="shared" si="41"/>
        <v>0</v>
      </c>
      <c r="JT25" s="70">
        <f t="shared" si="42"/>
        <v>1816913</v>
      </c>
      <c r="JU25" s="70">
        <f t="shared" si="43"/>
        <v>0</v>
      </c>
      <c r="JV25" s="70">
        <f t="shared" si="44"/>
        <v>1168166</v>
      </c>
      <c r="JW25" s="70">
        <f t="shared" si="45"/>
        <v>0</v>
      </c>
      <c r="JX25" s="70">
        <f t="shared" si="46"/>
        <v>27542910</v>
      </c>
      <c r="JY25" s="70">
        <f t="shared" si="47"/>
        <v>0</v>
      </c>
      <c r="JZ25" s="70">
        <f t="shared" si="48"/>
        <v>0</v>
      </c>
      <c r="KA25" s="70">
        <f t="shared" si="49"/>
        <v>0</v>
      </c>
      <c r="KB25" s="70">
        <f t="shared" si="50"/>
        <v>27542910</v>
      </c>
      <c r="KC25" s="70">
        <f t="shared" si="51"/>
        <v>0</v>
      </c>
      <c r="KE25" s="70" t="e">
        <f t="shared" si="52"/>
        <v>#REF!</v>
      </c>
      <c r="KG25" s="68" t="e">
        <f t="shared" si="53"/>
        <v>#REF!</v>
      </c>
    </row>
    <row r="26" spans="1:293">
      <c r="A26" s="180" t="s">
        <v>225</v>
      </c>
      <c r="B26" s="76" t="s">
        <v>360</v>
      </c>
      <c r="C26" s="90">
        <v>134097</v>
      </c>
      <c r="D26" s="90">
        <v>2014</v>
      </c>
      <c r="E26" s="90">
        <v>1</v>
      </c>
      <c r="F26" s="91">
        <v>1</v>
      </c>
      <c r="G26" s="92">
        <v>14513</v>
      </c>
      <c r="H26" s="92">
        <v>17763</v>
      </c>
      <c r="I26" s="93">
        <v>1057954466</v>
      </c>
      <c r="J26" s="93">
        <v>958395329</v>
      </c>
      <c r="K26" s="93">
        <v>0</v>
      </c>
      <c r="L26" s="93">
        <v>0</v>
      </c>
      <c r="M26" s="93">
        <v>19282746</v>
      </c>
      <c r="N26" s="93">
        <v>20083897</v>
      </c>
      <c r="O26" s="93">
        <v>0</v>
      </c>
      <c r="P26" s="93">
        <v>0</v>
      </c>
      <c r="Q26" s="93">
        <v>260909087</v>
      </c>
      <c r="R26" s="93">
        <v>220406913</v>
      </c>
      <c r="S26" s="93">
        <v>884220193</v>
      </c>
      <c r="T26" s="93">
        <v>758711467</v>
      </c>
      <c r="U26" s="93">
        <v>17219</v>
      </c>
      <c r="V26" s="93">
        <v>17221</v>
      </c>
      <c r="W26" s="93">
        <v>32285</v>
      </c>
      <c r="X26" s="93">
        <v>32287</v>
      </c>
      <c r="Y26" s="93">
        <v>21508</v>
      </c>
      <c r="Z26" s="93">
        <v>21345</v>
      </c>
      <c r="AA26" s="93">
        <v>38262</v>
      </c>
      <c r="AB26" s="93">
        <v>38101</v>
      </c>
      <c r="AC26" s="114">
        <v>9</v>
      </c>
      <c r="AD26" s="114">
        <v>11</v>
      </c>
      <c r="AE26" s="114">
        <v>0</v>
      </c>
      <c r="AF26" s="115">
        <v>5228565</v>
      </c>
      <c r="AG26" s="115">
        <v>3491435</v>
      </c>
      <c r="AH26" s="115">
        <v>1016977</v>
      </c>
      <c r="AI26" s="115">
        <v>431318</v>
      </c>
      <c r="AJ26" s="115">
        <v>1046609</v>
      </c>
      <c r="AK26" s="116">
        <v>7</v>
      </c>
      <c r="AL26" s="115">
        <v>1046609</v>
      </c>
      <c r="AM26" s="116">
        <v>7</v>
      </c>
      <c r="AN26" s="115">
        <v>256134</v>
      </c>
      <c r="AO26" s="116">
        <v>9</v>
      </c>
      <c r="AP26" s="115">
        <v>256134</v>
      </c>
      <c r="AQ26" s="116">
        <v>9</v>
      </c>
      <c r="AR26" s="115">
        <v>236240</v>
      </c>
      <c r="AS26" s="116">
        <v>24</v>
      </c>
      <c r="AT26" s="115">
        <v>236240</v>
      </c>
      <c r="AU26" s="116">
        <v>24</v>
      </c>
      <c r="AV26" s="115">
        <v>85970</v>
      </c>
      <c r="AW26" s="116">
        <v>20</v>
      </c>
      <c r="AX26" s="115">
        <v>85970</v>
      </c>
      <c r="AY26" s="116">
        <v>20</v>
      </c>
      <c r="AZ26" s="140">
        <v>23315974</v>
      </c>
      <c r="BA26" s="139">
        <v>500000</v>
      </c>
      <c r="BB26" s="140">
        <v>22521553</v>
      </c>
      <c r="BC26" s="140">
        <v>4343697</v>
      </c>
      <c r="BD26" s="140">
        <v>5372930</v>
      </c>
      <c r="BE26" s="139">
        <v>0</v>
      </c>
      <c r="BF26" s="140">
        <v>0</v>
      </c>
      <c r="BG26" s="140">
        <v>0</v>
      </c>
      <c r="BH26" s="139">
        <v>0</v>
      </c>
      <c r="BI26" s="140">
        <v>0</v>
      </c>
      <c r="BJ26" s="140">
        <v>0</v>
      </c>
      <c r="BK26" s="140">
        <v>0</v>
      </c>
      <c r="BL26" s="140">
        <v>0</v>
      </c>
      <c r="BM26" s="140">
        <v>0</v>
      </c>
      <c r="BN26" s="139">
        <v>0</v>
      </c>
      <c r="BO26" s="140">
        <v>3682634</v>
      </c>
      <c r="BP26" s="140">
        <v>3682634</v>
      </c>
      <c r="BQ26" s="140">
        <v>241465</v>
      </c>
      <c r="BR26" s="140">
        <v>44658</v>
      </c>
      <c r="BS26" s="140">
        <v>4069</v>
      </c>
      <c r="BT26" s="139">
        <v>41658</v>
      </c>
      <c r="BU26" s="140">
        <v>3605289</v>
      </c>
      <c r="BV26" s="140">
        <v>3937139</v>
      </c>
      <c r="BW26" s="140">
        <v>64152286</v>
      </c>
      <c r="BX26" s="140">
        <v>10559780</v>
      </c>
      <c r="BY26" s="140">
        <v>2836081</v>
      </c>
      <c r="BZ26" s="139">
        <v>10396113</v>
      </c>
      <c r="CA26" s="140">
        <v>16830214</v>
      </c>
      <c r="CB26" s="140">
        <v>104774474</v>
      </c>
      <c r="CC26" s="140">
        <v>2969042</v>
      </c>
      <c r="CD26" s="140">
        <v>527886</v>
      </c>
      <c r="CE26" s="140">
        <v>539547</v>
      </c>
      <c r="CF26" s="139">
        <v>4683449</v>
      </c>
      <c r="CG26" s="140">
        <v>752003</v>
      </c>
      <c r="CH26" s="140">
        <v>9471927</v>
      </c>
      <c r="CI26" s="140">
        <v>2025000</v>
      </c>
      <c r="CJ26" s="140">
        <v>424006</v>
      </c>
      <c r="CK26" s="140">
        <v>119000</v>
      </c>
      <c r="CL26" s="139">
        <v>164229</v>
      </c>
      <c r="CM26" s="139">
        <v>0</v>
      </c>
      <c r="CN26" s="140">
        <v>2732235</v>
      </c>
      <c r="CO26" s="140">
        <v>7637413</v>
      </c>
      <c r="CP26" s="140">
        <v>3266994</v>
      </c>
      <c r="CQ26" s="140">
        <v>1418424</v>
      </c>
      <c r="CR26" s="139">
        <v>4697883</v>
      </c>
      <c r="CS26" s="140">
        <v>0</v>
      </c>
      <c r="CT26" s="140">
        <v>17020714</v>
      </c>
      <c r="CU26" s="140">
        <v>0</v>
      </c>
      <c r="CV26" s="140">
        <v>0</v>
      </c>
      <c r="CW26" s="140">
        <v>0</v>
      </c>
      <c r="CX26" s="140">
        <v>0</v>
      </c>
      <c r="CY26" s="140">
        <v>0</v>
      </c>
      <c r="CZ26" s="140">
        <v>0</v>
      </c>
      <c r="DA26" s="139">
        <v>1375654</v>
      </c>
      <c r="DB26" s="139">
        <v>237892</v>
      </c>
      <c r="DC26" s="139">
        <v>237461</v>
      </c>
      <c r="DD26" s="139">
        <v>520748</v>
      </c>
      <c r="DE26" s="139">
        <v>13355904</v>
      </c>
      <c r="DF26" s="139">
        <v>15727659</v>
      </c>
      <c r="DG26" s="139">
        <v>0</v>
      </c>
      <c r="DH26" s="139">
        <v>0</v>
      </c>
      <c r="DI26" s="139">
        <v>0</v>
      </c>
      <c r="DJ26" s="139">
        <v>0</v>
      </c>
      <c r="DK26" s="139">
        <v>0</v>
      </c>
      <c r="DL26" s="139">
        <v>0</v>
      </c>
      <c r="DM26" s="140">
        <v>18835</v>
      </c>
      <c r="DN26" s="140">
        <v>43383</v>
      </c>
      <c r="DO26" s="139">
        <v>23770</v>
      </c>
      <c r="DP26" s="139">
        <v>33277</v>
      </c>
      <c r="DQ26" s="140">
        <v>125203</v>
      </c>
      <c r="DR26" s="140">
        <v>244468</v>
      </c>
      <c r="DS26" s="140">
        <v>678382</v>
      </c>
      <c r="DT26" s="140">
        <v>179441</v>
      </c>
      <c r="DU26" s="140">
        <v>137520</v>
      </c>
      <c r="DV26" s="139">
        <v>452952</v>
      </c>
      <c r="DW26" s="140">
        <v>0</v>
      </c>
      <c r="DX26" s="140">
        <v>1448295</v>
      </c>
      <c r="DY26" s="140">
        <v>3301882</v>
      </c>
      <c r="DZ26" s="140">
        <v>527032</v>
      </c>
      <c r="EA26" s="140">
        <v>331176</v>
      </c>
      <c r="EB26" s="139">
        <v>3004024</v>
      </c>
      <c r="EC26" s="140">
        <v>33040</v>
      </c>
      <c r="ED26" s="140">
        <v>7197154</v>
      </c>
      <c r="EE26" s="140">
        <v>1209476</v>
      </c>
      <c r="EF26" s="140">
        <v>175314</v>
      </c>
      <c r="EG26" s="140">
        <v>171803</v>
      </c>
      <c r="EH26" s="139">
        <v>1556714</v>
      </c>
      <c r="EI26" s="140">
        <v>1370917</v>
      </c>
      <c r="EJ26" s="140">
        <v>4484224</v>
      </c>
      <c r="EK26" s="140">
        <v>10723293</v>
      </c>
      <c r="EL26" s="140">
        <v>386657</v>
      </c>
      <c r="EM26" s="140">
        <v>141615</v>
      </c>
      <c r="EN26" s="139">
        <v>383251</v>
      </c>
      <c r="EO26" s="140">
        <v>902237</v>
      </c>
      <c r="EP26" s="140">
        <v>12537053</v>
      </c>
      <c r="EQ26" s="140">
        <v>148255</v>
      </c>
      <c r="ER26" s="140">
        <v>16616</v>
      </c>
      <c r="ES26" s="140">
        <v>4554</v>
      </c>
      <c r="ET26" s="139">
        <v>111222</v>
      </c>
      <c r="EU26" s="140">
        <v>2176333</v>
      </c>
      <c r="EV26" s="140">
        <v>2456980</v>
      </c>
      <c r="EW26" s="139">
        <v>0</v>
      </c>
      <c r="EX26" s="139">
        <v>0</v>
      </c>
      <c r="EY26" s="139">
        <v>0</v>
      </c>
      <c r="EZ26" s="139">
        <v>0</v>
      </c>
      <c r="FA26" s="140">
        <v>0</v>
      </c>
      <c r="FB26" s="140">
        <v>0</v>
      </c>
      <c r="FC26" s="140">
        <v>912117</v>
      </c>
      <c r="FD26" s="140">
        <v>220162</v>
      </c>
      <c r="FE26" s="140">
        <v>138233</v>
      </c>
      <c r="FF26" s="140">
        <v>103338</v>
      </c>
      <c r="FG26" s="140">
        <v>12413101</v>
      </c>
      <c r="FH26" s="140">
        <v>13786951</v>
      </c>
      <c r="FI26" s="140">
        <v>260766</v>
      </c>
      <c r="FJ26" s="140">
        <v>0</v>
      </c>
      <c r="FK26" s="140">
        <v>0</v>
      </c>
      <c r="FL26" s="139">
        <v>168</v>
      </c>
      <c r="FM26" s="140">
        <v>199668</v>
      </c>
      <c r="FN26" s="140">
        <v>460602</v>
      </c>
      <c r="FO26" s="139">
        <v>0</v>
      </c>
      <c r="FP26" s="139">
        <v>0</v>
      </c>
      <c r="FQ26" s="139">
        <v>0</v>
      </c>
      <c r="FR26" s="139">
        <v>0</v>
      </c>
      <c r="FS26" s="139">
        <v>0</v>
      </c>
      <c r="FT26" s="139">
        <v>0</v>
      </c>
      <c r="FU26" s="140">
        <v>120305</v>
      </c>
      <c r="FV26" s="140">
        <v>9664</v>
      </c>
      <c r="FW26" s="140">
        <v>150</v>
      </c>
      <c r="FX26" s="139">
        <v>140849</v>
      </c>
      <c r="FY26" s="140">
        <v>1100795</v>
      </c>
      <c r="FZ26" s="140">
        <v>1371763</v>
      </c>
      <c r="GA26" s="140">
        <v>4832</v>
      </c>
      <c r="GB26" s="140">
        <v>12388</v>
      </c>
      <c r="GC26" s="140">
        <v>8966</v>
      </c>
      <c r="GD26" s="139">
        <v>8221</v>
      </c>
      <c r="GE26" s="140">
        <v>19932</v>
      </c>
      <c r="GF26" s="140">
        <v>54339</v>
      </c>
      <c r="GG26" s="140">
        <v>1471256</v>
      </c>
      <c r="GH26" s="140">
        <v>385366</v>
      </c>
      <c r="GI26" s="140">
        <v>308218</v>
      </c>
      <c r="GJ26" s="140">
        <v>568506</v>
      </c>
      <c r="GK26" s="140">
        <v>7138472</v>
      </c>
      <c r="GL26" s="140">
        <v>9871818</v>
      </c>
      <c r="GM26" s="140">
        <v>32856508</v>
      </c>
      <c r="GN26" s="140">
        <v>6412801</v>
      </c>
      <c r="GO26" s="140">
        <v>3580437</v>
      </c>
      <c r="GP26" s="139">
        <v>16428831</v>
      </c>
      <c r="GQ26" s="140">
        <v>39587605</v>
      </c>
      <c r="GR26" s="140">
        <v>98866182</v>
      </c>
      <c r="GS26" s="140">
        <v>0</v>
      </c>
      <c r="GT26" s="140">
        <v>0</v>
      </c>
      <c r="GU26" s="140">
        <v>0</v>
      </c>
      <c r="GV26" s="140">
        <v>0</v>
      </c>
      <c r="GW26" s="140">
        <v>0</v>
      </c>
      <c r="GX26" s="140">
        <v>0</v>
      </c>
      <c r="GY26" s="139">
        <v>32856508</v>
      </c>
      <c r="GZ26" s="139">
        <v>6412801</v>
      </c>
      <c r="HA26" s="139">
        <v>3580437</v>
      </c>
      <c r="HB26" s="139">
        <v>16428831</v>
      </c>
      <c r="HC26" s="139">
        <v>43377698</v>
      </c>
      <c r="HD26" s="139">
        <v>102656275</v>
      </c>
      <c r="HF26" s="70">
        <f>SUM(AZ26:AZ26)</f>
        <v>23315974</v>
      </c>
      <c r="HG26" s="70" t="e">
        <f>#REF!-HF26</f>
        <v>#REF!</v>
      </c>
      <c r="HH26" s="70" t="e">
        <f>SUM(#REF!)</f>
        <v>#REF!</v>
      </c>
      <c r="HI26" s="70" t="e">
        <f>#REF!-HH26</f>
        <v>#REF!</v>
      </c>
      <c r="HJ26" s="70">
        <f>SUM(BA26:BA26)</f>
        <v>500000</v>
      </c>
      <c r="HK26" s="70" t="e">
        <f>#REF!-HJ26</f>
        <v>#REF!</v>
      </c>
      <c r="HL26" s="70" t="e">
        <f>SUM(#REF!)</f>
        <v>#REF!</v>
      </c>
      <c r="HM26" s="70" t="e">
        <f>BB26-HL26</f>
        <v>#REF!</v>
      </c>
      <c r="HN26" s="70" t="e">
        <f>SUM(#REF!)</f>
        <v>#REF!</v>
      </c>
      <c r="HO26" s="70" t="e">
        <f>#REF!-HN26</f>
        <v>#REF!</v>
      </c>
      <c r="HP26" s="70" t="e">
        <f>SUM(#REF!)</f>
        <v>#REF!</v>
      </c>
      <c r="HQ26" s="70" t="e">
        <f>#REF!-HP26</f>
        <v>#REF!</v>
      </c>
      <c r="HR26" s="70" t="e">
        <f>SUM(#REF!)</f>
        <v>#REF!</v>
      </c>
      <c r="HS26" s="70" t="e">
        <f>#REF!-HR26</f>
        <v>#REF!</v>
      </c>
      <c r="HT26" s="70" t="e">
        <f>SUM(#REF!)</f>
        <v>#REF!</v>
      </c>
      <c r="HU26" s="70" t="e">
        <f>#REF!-HT26</f>
        <v>#REF!</v>
      </c>
      <c r="HV26" s="70" t="e">
        <f>SUM(#REF!)</f>
        <v>#REF!</v>
      </c>
      <c r="HW26" s="70" t="e">
        <f>#REF!-HV26</f>
        <v>#REF!</v>
      </c>
      <c r="HX26" s="70" t="e">
        <f>SUM(#REF!)</f>
        <v>#REF!</v>
      </c>
      <c r="HY26" s="70" t="e">
        <f>#REF!-HX26</f>
        <v>#REF!</v>
      </c>
      <c r="HZ26" s="70">
        <f>SUM(BC26:BC26)</f>
        <v>4343697</v>
      </c>
      <c r="IA26" s="70" t="e">
        <f>#REF!-HZ26</f>
        <v>#REF!</v>
      </c>
      <c r="IB26" s="70">
        <f>SUM(BD26:BD26)</f>
        <v>5372930</v>
      </c>
      <c r="IC26" s="70" t="e">
        <f>#REF!-IB26</f>
        <v>#REF!</v>
      </c>
      <c r="ID26" s="70">
        <f t="shared" si="0"/>
        <v>0</v>
      </c>
      <c r="IE26" s="70">
        <f t="shared" si="1"/>
        <v>0</v>
      </c>
      <c r="IF26" s="70">
        <f t="shared" si="2"/>
        <v>3682634</v>
      </c>
      <c r="IG26" s="70">
        <f t="shared" si="3"/>
        <v>0</v>
      </c>
      <c r="IH26" s="70">
        <f t="shared" si="4"/>
        <v>3937139</v>
      </c>
      <c r="II26" s="70">
        <f t="shared" si="5"/>
        <v>0</v>
      </c>
      <c r="IJ26" s="70">
        <f t="shared" si="6"/>
        <v>104774474</v>
      </c>
      <c r="IK26" s="70">
        <f t="shared" si="7"/>
        <v>0</v>
      </c>
      <c r="IL26" s="70">
        <f t="shared" si="8"/>
        <v>9471927</v>
      </c>
      <c r="IM26" s="70">
        <f t="shared" si="9"/>
        <v>0</v>
      </c>
      <c r="IN26" s="70">
        <f t="shared" si="10"/>
        <v>2732235</v>
      </c>
      <c r="IO26" s="70">
        <f t="shared" si="11"/>
        <v>0</v>
      </c>
      <c r="IP26" s="70">
        <f t="shared" si="12"/>
        <v>17020714</v>
      </c>
      <c r="IQ26" s="70">
        <f t="shared" si="13"/>
        <v>0</v>
      </c>
      <c r="IR26" s="70">
        <f t="shared" si="54"/>
        <v>0</v>
      </c>
      <c r="IS26" s="70">
        <f t="shared" si="55"/>
        <v>0</v>
      </c>
      <c r="IT26" s="70">
        <f t="shared" si="16"/>
        <v>15727659</v>
      </c>
      <c r="IU26" s="70">
        <f t="shared" si="17"/>
        <v>0</v>
      </c>
      <c r="IV26" s="70">
        <f t="shared" si="18"/>
        <v>0</v>
      </c>
      <c r="IW26" s="70">
        <f t="shared" si="19"/>
        <v>0</v>
      </c>
      <c r="IX26" s="70">
        <f t="shared" si="20"/>
        <v>244468</v>
      </c>
      <c r="IY26" s="70">
        <f t="shared" si="21"/>
        <v>0</v>
      </c>
      <c r="IZ26" s="70">
        <f t="shared" si="22"/>
        <v>1448295</v>
      </c>
      <c r="JA26" s="70">
        <f t="shared" si="23"/>
        <v>0</v>
      </c>
      <c r="JB26" s="70">
        <f t="shared" si="24"/>
        <v>7197154</v>
      </c>
      <c r="JC26" s="70">
        <f t="shared" si="25"/>
        <v>0</v>
      </c>
      <c r="JD26" s="70">
        <f t="shared" si="26"/>
        <v>4484224</v>
      </c>
      <c r="JE26" s="70">
        <f t="shared" si="27"/>
        <v>0</v>
      </c>
      <c r="JF26" s="70">
        <f t="shared" si="28"/>
        <v>12537053</v>
      </c>
      <c r="JG26" s="70">
        <f t="shared" si="29"/>
        <v>0</v>
      </c>
      <c r="JH26" s="70">
        <f t="shared" si="30"/>
        <v>2456980</v>
      </c>
      <c r="JI26" s="70">
        <f t="shared" si="31"/>
        <v>0</v>
      </c>
      <c r="JJ26" s="70">
        <f t="shared" si="32"/>
        <v>0</v>
      </c>
      <c r="JK26" s="70">
        <f t="shared" si="33"/>
        <v>0</v>
      </c>
      <c r="JL26" s="70">
        <f t="shared" si="34"/>
        <v>13786951</v>
      </c>
      <c r="JM26" s="70">
        <f t="shared" si="35"/>
        <v>0</v>
      </c>
      <c r="JN26" s="70">
        <f t="shared" si="36"/>
        <v>460602</v>
      </c>
      <c r="JO26" s="70">
        <f t="shared" si="37"/>
        <v>0</v>
      </c>
      <c r="JP26" s="70">
        <f t="shared" si="38"/>
        <v>0</v>
      </c>
      <c r="JQ26" s="70">
        <f t="shared" si="39"/>
        <v>0</v>
      </c>
      <c r="JR26" s="70">
        <f t="shared" si="40"/>
        <v>1371763</v>
      </c>
      <c r="JS26" s="70">
        <f t="shared" si="41"/>
        <v>0</v>
      </c>
      <c r="JT26" s="70">
        <f t="shared" si="42"/>
        <v>54339</v>
      </c>
      <c r="JU26" s="70">
        <f t="shared" si="43"/>
        <v>0</v>
      </c>
      <c r="JV26" s="70">
        <f t="shared" si="44"/>
        <v>9871818</v>
      </c>
      <c r="JW26" s="70">
        <f t="shared" si="45"/>
        <v>0</v>
      </c>
      <c r="JX26" s="70">
        <f t="shared" si="46"/>
        <v>98866182</v>
      </c>
      <c r="JY26" s="70">
        <f t="shared" si="47"/>
        <v>0</v>
      </c>
      <c r="JZ26" s="70">
        <f t="shared" si="48"/>
        <v>0</v>
      </c>
      <c r="KA26" s="70">
        <f t="shared" si="49"/>
        <v>0</v>
      </c>
      <c r="KB26" s="70">
        <f t="shared" si="50"/>
        <v>102656275</v>
      </c>
      <c r="KC26" s="70">
        <f t="shared" si="51"/>
        <v>0</v>
      </c>
      <c r="KE26" s="70" t="e">
        <f t="shared" si="52"/>
        <v>#REF!</v>
      </c>
      <c r="KG26" s="68" t="e">
        <f t="shared" si="53"/>
        <v>#REF!</v>
      </c>
    </row>
    <row r="27" spans="1:293">
      <c r="A27" s="180" t="s">
        <v>226</v>
      </c>
      <c r="B27" s="76" t="s">
        <v>360</v>
      </c>
      <c r="C27" s="90">
        <v>110556</v>
      </c>
      <c r="D27" s="90">
        <v>2014</v>
      </c>
      <c r="E27" s="90">
        <v>1</v>
      </c>
      <c r="F27" s="91">
        <v>10</v>
      </c>
      <c r="G27" s="92">
        <v>7468</v>
      </c>
      <c r="H27" s="92">
        <v>10099</v>
      </c>
      <c r="I27" s="93">
        <v>403383923</v>
      </c>
      <c r="J27" s="93">
        <v>394587448</v>
      </c>
      <c r="K27" s="93">
        <v>9456336</v>
      </c>
      <c r="L27" s="93">
        <v>5626074</v>
      </c>
      <c r="M27" s="93">
        <v>19519229</v>
      </c>
      <c r="N27" s="93">
        <v>15086786</v>
      </c>
      <c r="O27" s="93">
        <v>68475228</v>
      </c>
      <c r="P27" s="93">
        <v>71666912</v>
      </c>
      <c r="Q27" s="93">
        <v>157801548</v>
      </c>
      <c r="R27" s="93">
        <v>167707888</v>
      </c>
      <c r="S27" s="93">
        <v>157801548</v>
      </c>
      <c r="T27" s="93">
        <v>167707888</v>
      </c>
      <c r="U27" s="93">
        <v>16786</v>
      </c>
      <c r="V27" s="93">
        <v>16786</v>
      </c>
      <c r="W27" s="93">
        <v>27946</v>
      </c>
      <c r="X27" s="93">
        <v>27946</v>
      </c>
      <c r="Y27" s="93">
        <v>21926</v>
      </c>
      <c r="Z27" s="93">
        <v>21926</v>
      </c>
      <c r="AA27" s="93">
        <v>33068</v>
      </c>
      <c r="AB27" s="93">
        <v>33130</v>
      </c>
      <c r="AC27" s="114">
        <v>7</v>
      </c>
      <c r="AD27" s="114">
        <v>12</v>
      </c>
      <c r="AE27" s="114">
        <v>0</v>
      </c>
      <c r="AF27" s="115">
        <v>2404162</v>
      </c>
      <c r="AG27" s="115">
        <v>2692731</v>
      </c>
      <c r="AH27" s="115">
        <v>310785</v>
      </c>
      <c r="AI27" s="115">
        <v>173444</v>
      </c>
      <c r="AJ27" s="115">
        <v>575255</v>
      </c>
      <c r="AK27" s="116">
        <v>5.5</v>
      </c>
      <c r="AL27" s="115">
        <v>527317</v>
      </c>
      <c r="AM27" s="116">
        <v>6</v>
      </c>
      <c r="AN27" s="115">
        <v>163791</v>
      </c>
      <c r="AO27" s="116">
        <v>9.5</v>
      </c>
      <c r="AP27" s="115">
        <v>156602</v>
      </c>
      <c r="AQ27" s="116">
        <v>10</v>
      </c>
      <c r="AR27" s="115">
        <v>174677</v>
      </c>
      <c r="AS27" s="116">
        <v>16.64</v>
      </c>
      <c r="AT27" s="115">
        <v>132119</v>
      </c>
      <c r="AU27" s="116">
        <v>22</v>
      </c>
      <c r="AV27" s="115">
        <v>80884</v>
      </c>
      <c r="AW27" s="116">
        <v>16.940000000000001</v>
      </c>
      <c r="AX27" s="115">
        <v>68509</v>
      </c>
      <c r="AY27" s="116">
        <v>20</v>
      </c>
      <c r="AZ27" s="139">
        <v>6389576</v>
      </c>
      <c r="BA27" s="139">
        <v>325000</v>
      </c>
      <c r="BB27" s="139">
        <v>4866282</v>
      </c>
      <c r="BC27" s="139">
        <v>570541</v>
      </c>
      <c r="BD27" s="139">
        <v>0</v>
      </c>
      <c r="BE27" s="139">
        <v>0</v>
      </c>
      <c r="BF27" s="139">
        <v>0</v>
      </c>
      <c r="BG27" s="139">
        <v>0</v>
      </c>
      <c r="BH27" s="139">
        <v>0</v>
      </c>
      <c r="BI27" s="139">
        <v>0</v>
      </c>
      <c r="BJ27" s="139">
        <v>0</v>
      </c>
      <c r="BK27" s="139">
        <v>0</v>
      </c>
      <c r="BL27" s="139">
        <v>0</v>
      </c>
      <c r="BM27" s="139">
        <v>0</v>
      </c>
      <c r="BN27" s="139">
        <v>0</v>
      </c>
      <c r="BO27" s="139">
        <v>148205</v>
      </c>
      <c r="BP27" s="139">
        <v>148205</v>
      </c>
      <c r="BQ27" s="139">
        <v>0</v>
      </c>
      <c r="BR27" s="139">
        <v>0</v>
      </c>
      <c r="BS27" s="139">
        <v>0</v>
      </c>
      <c r="BT27" s="139">
        <v>0</v>
      </c>
      <c r="BU27" s="139">
        <v>281294</v>
      </c>
      <c r="BV27" s="139">
        <v>281294</v>
      </c>
      <c r="BW27" s="139">
        <v>11151315</v>
      </c>
      <c r="BX27" s="139">
        <v>2103721</v>
      </c>
      <c r="BY27" s="139">
        <v>1372196</v>
      </c>
      <c r="BZ27" s="139">
        <v>5810211</v>
      </c>
      <c r="CA27" s="139">
        <v>15600740</v>
      </c>
      <c r="CB27" s="139">
        <v>36038183</v>
      </c>
      <c r="CC27" s="139">
        <v>1591766</v>
      </c>
      <c r="CD27" s="139">
        <v>338470</v>
      </c>
      <c r="CE27" s="139">
        <v>445546</v>
      </c>
      <c r="CF27" s="139">
        <v>2721111</v>
      </c>
      <c r="CG27" s="139">
        <v>41096</v>
      </c>
      <c r="CH27" s="139">
        <v>5137989</v>
      </c>
      <c r="CI27" s="139">
        <v>500000</v>
      </c>
      <c r="CJ27" s="139">
        <v>198100</v>
      </c>
      <c r="CK27" s="139">
        <v>13600</v>
      </c>
      <c r="CL27" s="139">
        <v>41300</v>
      </c>
      <c r="CM27" s="139">
        <v>0</v>
      </c>
      <c r="CN27" s="139">
        <v>753000</v>
      </c>
      <c r="CO27" s="139">
        <v>4132549</v>
      </c>
      <c r="CP27" s="139">
        <v>972546</v>
      </c>
      <c r="CQ27" s="139">
        <v>776800</v>
      </c>
      <c r="CR27" s="139">
        <v>3114851</v>
      </c>
      <c r="CS27" s="139">
        <v>0</v>
      </c>
      <c r="CT27" s="139">
        <v>8996746</v>
      </c>
      <c r="CU27" s="139">
        <v>0</v>
      </c>
      <c r="CV27" s="139">
        <v>0</v>
      </c>
      <c r="CW27" s="139">
        <v>0</v>
      </c>
      <c r="CX27" s="139">
        <v>0</v>
      </c>
      <c r="CY27" s="139">
        <v>0</v>
      </c>
      <c r="CZ27" s="139">
        <v>0</v>
      </c>
      <c r="DA27" s="139">
        <v>206224</v>
      </c>
      <c r="DB27" s="139">
        <v>109336</v>
      </c>
      <c r="DC27" s="139">
        <v>93625</v>
      </c>
      <c r="DD27" s="139">
        <v>194977</v>
      </c>
      <c r="DE27" s="139">
        <v>4949034</v>
      </c>
      <c r="DF27" s="139">
        <v>5553196</v>
      </c>
      <c r="DG27" s="139">
        <v>0</v>
      </c>
      <c r="DH27" s="139">
        <v>0</v>
      </c>
      <c r="DI27" s="139">
        <v>0</v>
      </c>
      <c r="DJ27" s="139">
        <v>0</v>
      </c>
      <c r="DK27" s="139">
        <v>0</v>
      </c>
      <c r="DL27" s="139">
        <v>0</v>
      </c>
      <c r="DM27" s="139">
        <v>479166</v>
      </c>
      <c r="DN27" s="139">
        <v>0</v>
      </c>
      <c r="DO27" s="139">
        <v>0</v>
      </c>
      <c r="DP27" s="139">
        <v>0</v>
      </c>
      <c r="DQ27" s="139">
        <v>0</v>
      </c>
      <c r="DR27" s="139">
        <v>479166</v>
      </c>
      <c r="DS27" s="139">
        <v>196166</v>
      </c>
      <c r="DT27" s="139">
        <v>70175</v>
      </c>
      <c r="DU27" s="139">
        <v>66390</v>
      </c>
      <c r="DV27" s="139">
        <v>151471</v>
      </c>
      <c r="DW27" s="139">
        <v>0</v>
      </c>
      <c r="DX27" s="139">
        <v>484202</v>
      </c>
      <c r="DY27" s="139">
        <v>1323867</v>
      </c>
      <c r="DZ27" s="139">
        <v>473861</v>
      </c>
      <c r="EA27" s="139">
        <v>294457</v>
      </c>
      <c r="EB27" s="139">
        <v>1333881</v>
      </c>
      <c r="EC27" s="139">
        <v>0</v>
      </c>
      <c r="ED27" s="139">
        <v>3426066</v>
      </c>
      <c r="EE27" s="139">
        <v>306304</v>
      </c>
      <c r="EF27" s="139">
        <v>42204</v>
      </c>
      <c r="EG27" s="139">
        <v>22560</v>
      </c>
      <c r="EH27" s="139">
        <v>414896</v>
      </c>
      <c r="EI27" s="139">
        <v>423359</v>
      </c>
      <c r="EJ27" s="139">
        <v>1209323</v>
      </c>
      <c r="EK27" s="139">
        <v>1041706</v>
      </c>
      <c r="EL27" s="139">
        <v>377363</v>
      </c>
      <c r="EM27" s="139">
        <v>196546</v>
      </c>
      <c r="EN27" s="139">
        <v>443710</v>
      </c>
      <c r="EO27" s="139">
        <v>267417</v>
      </c>
      <c r="EP27" s="139">
        <v>2326742</v>
      </c>
      <c r="EQ27" s="139">
        <v>49910</v>
      </c>
      <c r="ER27" s="139">
        <v>20639</v>
      </c>
      <c r="ES27" s="139">
        <v>10979</v>
      </c>
      <c r="ET27" s="139">
        <v>52458</v>
      </c>
      <c r="EU27" s="139">
        <v>1184146</v>
      </c>
      <c r="EV27" s="139">
        <v>1318132</v>
      </c>
      <c r="EW27" s="139">
        <v>0</v>
      </c>
      <c r="EX27" s="139">
        <v>0</v>
      </c>
      <c r="EY27" s="139">
        <v>0</v>
      </c>
      <c r="EZ27" s="139">
        <v>0</v>
      </c>
      <c r="FA27" s="139">
        <v>0</v>
      </c>
      <c r="FB27" s="139">
        <v>0</v>
      </c>
      <c r="FC27" s="139">
        <v>147060</v>
      </c>
      <c r="FD27" s="139">
        <v>0</v>
      </c>
      <c r="FE27" s="139">
        <v>0</v>
      </c>
      <c r="FF27" s="139">
        <v>170329</v>
      </c>
      <c r="FG27" s="139">
        <v>1268697</v>
      </c>
      <c r="FH27" s="139">
        <v>1586086</v>
      </c>
      <c r="FI27" s="139">
        <v>0</v>
      </c>
      <c r="FJ27" s="139">
        <v>0</v>
      </c>
      <c r="FK27" s="139">
        <v>0</v>
      </c>
      <c r="FL27" s="139">
        <v>0</v>
      </c>
      <c r="FM27" s="139">
        <v>44768</v>
      </c>
      <c r="FN27" s="139">
        <v>44768</v>
      </c>
      <c r="FO27" s="139">
        <v>0</v>
      </c>
      <c r="FP27" s="139">
        <v>0</v>
      </c>
      <c r="FQ27" s="139">
        <v>0</v>
      </c>
      <c r="FR27" s="139">
        <v>0</v>
      </c>
      <c r="FS27" s="139">
        <v>1759023</v>
      </c>
      <c r="FT27" s="139">
        <v>1759023</v>
      </c>
      <c r="FU27" s="139">
        <v>0</v>
      </c>
      <c r="FV27" s="139">
        <v>0</v>
      </c>
      <c r="FW27" s="139">
        <v>0</v>
      </c>
      <c r="FX27" s="139">
        <v>0</v>
      </c>
      <c r="FY27" s="139">
        <v>589114</v>
      </c>
      <c r="FZ27" s="139">
        <v>589114</v>
      </c>
      <c r="GA27" s="139">
        <v>50</v>
      </c>
      <c r="GB27" s="139">
        <v>625</v>
      </c>
      <c r="GC27" s="139">
        <v>160</v>
      </c>
      <c r="GD27" s="139">
        <v>8804</v>
      </c>
      <c r="GE27" s="139">
        <v>423857</v>
      </c>
      <c r="GF27" s="139">
        <v>433496</v>
      </c>
      <c r="GG27" s="139">
        <v>347788</v>
      </c>
      <c r="GH27" s="139">
        <v>23656</v>
      </c>
      <c r="GI27" s="139">
        <v>86838</v>
      </c>
      <c r="GJ27" s="139">
        <v>139878</v>
      </c>
      <c r="GK27" s="139">
        <v>1741681</v>
      </c>
      <c r="GL27" s="139">
        <v>2339841</v>
      </c>
      <c r="GM27" s="139">
        <v>10322556</v>
      </c>
      <c r="GN27" s="139">
        <v>2626883</v>
      </c>
      <c r="GO27" s="139">
        <v>2007501</v>
      </c>
      <c r="GP27" s="139">
        <v>8787398</v>
      </c>
      <c r="GQ27" s="139">
        <v>12692222</v>
      </c>
      <c r="GR27" s="139">
        <v>36436560</v>
      </c>
      <c r="GS27" s="139">
        <v>0</v>
      </c>
      <c r="GT27" s="139">
        <v>0</v>
      </c>
      <c r="GU27" s="139">
        <v>0</v>
      </c>
      <c r="GV27" s="139">
        <v>0</v>
      </c>
      <c r="GW27" s="139">
        <v>0</v>
      </c>
      <c r="GX27" s="139">
        <v>0</v>
      </c>
      <c r="GY27" s="139">
        <v>10322556</v>
      </c>
      <c r="GZ27" s="139">
        <v>2626883</v>
      </c>
      <c r="HA27" s="139">
        <v>2007501</v>
      </c>
      <c r="HB27" s="139">
        <v>8787398</v>
      </c>
      <c r="HC27" s="139">
        <v>12692222</v>
      </c>
      <c r="HD27" s="139">
        <v>36436560</v>
      </c>
      <c r="HF27" s="70">
        <f>SUM(AZ27:AZ27)</f>
        <v>6389576</v>
      </c>
      <c r="HG27" s="70" t="e">
        <f>#REF!-HF27</f>
        <v>#REF!</v>
      </c>
      <c r="HH27" s="70" t="e">
        <f>SUM(#REF!)</f>
        <v>#REF!</v>
      </c>
      <c r="HI27" s="70" t="e">
        <f>#REF!-HH27</f>
        <v>#REF!</v>
      </c>
      <c r="HJ27" s="70">
        <f>SUM(BA27:BA27)</f>
        <v>325000</v>
      </c>
      <c r="HK27" s="70" t="e">
        <f>#REF!-HJ27</f>
        <v>#REF!</v>
      </c>
      <c r="HL27" s="70" t="e">
        <f>SUM(#REF!)</f>
        <v>#REF!</v>
      </c>
      <c r="HM27" s="70" t="e">
        <f>BB27-HL27</f>
        <v>#REF!</v>
      </c>
      <c r="HN27" s="70" t="e">
        <f>SUM(#REF!)</f>
        <v>#REF!</v>
      </c>
      <c r="HO27" s="70" t="e">
        <f>#REF!-HN27</f>
        <v>#REF!</v>
      </c>
      <c r="HP27" s="70" t="e">
        <f>SUM(#REF!)</f>
        <v>#REF!</v>
      </c>
      <c r="HQ27" s="70" t="e">
        <f>#REF!-HP27</f>
        <v>#REF!</v>
      </c>
      <c r="HR27" s="70" t="e">
        <f>SUM(#REF!)</f>
        <v>#REF!</v>
      </c>
      <c r="HS27" s="70" t="e">
        <f>#REF!-HR27</f>
        <v>#REF!</v>
      </c>
      <c r="HT27" s="70" t="e">
        <f>SUM(#REF!)</f>
        <v>#REF!</v>
      </c>
      <c r="HU27" s="70" t="e">
        <f>#REF!-HT27</f>
        <v>#REF!</v>
      </c>
      <c r="HV27" s="70" t="e">
        <f>SUM(#REF!)</f>
        <v>#REF!</v>
      </c>
      <c r="HW27" s="70" t="e">
        <f>#REF!-HV27</f>
        <v>#REF!</v>
      </c>
      <c r="HX27" s="70" t="e">
        <f>SUM(#REF!)</f>
        <v>#REF!</v>
      </c>
      <c r="HY27" s="70" t="e">
        <f>#REF!-HX27</f>
        <v>#REF!</v>
      </c>
      <c r="HZ27" s="70">
        <f>SUM(BC27:BC27)</f>
        <v>570541</v>
      </c>
      <c r="IA27" s="70" t="e">
        <f>#REF!-HZ27</f>
        <v>#REF!</v>
      </c>
      <c r="IB27" s="70">
        <f>SUM(BD27:BD27)</f>
        <v>0</v>
      </c>
      <c r="IC27" s="70" t="e">
        <f>#REF!-IB27</f>
        <v>#REF!</v>
      </c>
      <c r="ID27" s="70">
        <f t="shared" si="0"/>
        <v>0</v>
      </c>
      <c r="IE27" s="70">
        <f t="shared" si="1"/>
        <v>0</v>
      </c>
      <c r="IF27" s="70">
        <f t="shared" si="2"/>
        <v>148205</v>
      </c>
      <c r="IG27" s="70">
        <f t="shared" si="3"/>
        <v>0</v>
      </c>
      <c r="IH27" s="70">
        <f t="shared" si="4"/>
        <v>281294</v>
      </c>
      <c r="II27" s="70">
        <f t="shared" si="5"/>
        <v>0</v>
      </c>
      <c r="IJ27" s="70">
        <f t="shared" si="6"/>
        <v>36038183</v>
      </c>
      <c r="IK27" s="70">
        <f t="shared" si="7"/>
        <v>0</v>
      </c>
      <c r="IL27" s="70">
        <f t="shared" si="8"/>
        <v>5137989</v>
      </c>
      <c r="IM27" s="70">
        <f t="shared" si="9"/>
        <v>0</v>
      </c>
      <c r="IN27" s="70">
        <f t="shared" si="10"/>
        <v>753000</v>
      </c>
      <c r="IO27" s="70">
        <f t="shared" si="11"/>
        <v>0</v>
      </c>
      <c r="IP27" s="70">
        <f t="shared" si="12"/>
        <v>8996746</v>
      </c>
      <c r="IQ27" s="70">
        <f t="shared" si="13"/>
        <v>0</v>
      </c>
      <c r="IR27" s="70">
        <f t="shared" si="54"/>
        <v>0</v>
      </c>
      <c r="IS27" s="70">
        <f t="shared" si="55"/>
        <v>0</v>
      </c>
      <c r="IT27" s="70">
        <f t="shared" si="16"/>
        <v>5553196</v>
      </c>
      <c r="IU27" s="70">
        <f t="shared" si="17"/>
        <v>0</v>
      </c>
      <c r="IV27" s="70">
        <f t="shared" si="18"/>
        <v>0</v>
      </c>
      <c r="IW27" s="70">
        <f t="shared" si="19"/>
        <v>0</v>
      </c>
      <c r="IX27" s="70">
        <f t="shared" si="20"/>
        <v>479166</v>
      </c>
      <c r="IY27" s="70">
        <f t="shared" si="21"/>
        <v>0</v>
      </c>
      <c r="IZ27" s="70">
        <f t="shared" si="22"/>
        <v>484202</v>
      </c>
      <c r="JA27" s="70">
        <f t="shared" si="23"/>
        <v>0</v>
      </c>
      <c r="JB27" s="70">
        <f t="shared" si="24"/>
        <v>3426066</v>
      </c>
      <c r="JC27" s="70">
        <f t="shared" si="25"/>
        <v>0</v>
      </c>
      <c r="JD27" s="70">
        <f t="shared" si="26"/>
        <v>1209323</v>
      </c>
      <c r="JE27" s="70">
        <f t="shared" si="27"/>
        <v>0</v>
      </c>
      <c r="JF27" s="70">
        <f t="shared" si="28"/>
        <v>2326742</v>
      </c>
      <c r="JG27" s="70">
        <f t="shared" si="29"/>
        <v>0</v>
      </c>
      <c r="JH27" s="70">
        <f t="shared" si="30"/>
        <v>1318132</v>
      </c>
      <c r="JI27" s="70">
        <f t="shared" si="31"/>
        <v>0</v>
      </c>
      <c r="JJ27" s="70">
        <f t="shared" si="32"/>
        <v>0</v>
      </c>
      <c r="JK27" s="70">
        <f t="shared" si="33"/>
        <v>0</v>
      </c>
      <c r="JL27" s="70">
        <f t="shared" si="34"/>
        <v>1586086</v>
      </c>
      <c r="JM27" s="70">
        <f t="shared" si="35"/>
        <v>0</v>
      </c>
      <c r="JN27" s="70">
        <f t="shared" si="36"/>
        <v>44768</v>
      </c>
      <c r="JO27" s="70">
        <f t="shared" si="37"/>
        <v>0</v>
      </c>
      <c r="JP27" s="70">
        <f t="shared" si="38"/>
        <v>1759023</v>
      </c>
      <c r="JQ27" s="70">
        <f t="shared" si="39"/>
        <v>0</v>
      </c>
      <c r="JR27" s="70">
        <f t="shared" si="40"/>
        <v>589114</v>
      </c>
      <c r="JS27" s="70">
        <f t="shared" si="41"/>
        <v>0</v>
      </c>
      <c r="JT27" s="70">
        <f t="shared" si="42"/>
        <v>433496</v>
      </c>
      <c r="JU27" s="70">
        <f t="shared" si="43"/>
        <v>0</v>
      </c>
      <c r="JV27" s="70">
        <f t="shared" si="44"/>
        <v>2339841</v>
      </c>
      <c r="JW27" s="70">
        <f t="shared" si="45"/>
        <v>0</v>
      </c>
      <c r="JX27" s="70">
        <f t="shared" si="46"/>
        <v>36436560</v>
      </c>
      <c r="JY27" s="70">
        <f t="shared" si="47"/>
        <v>0</v>
      </c>
      <c r="JZ27" s="70">
        <f t="shared" si="48"/>
        <v>0</v>
      </c>
      <c r="KA27" s="70">
        <f t="shared" si="49"/>
        <v>0</v>
      </c>
      <c r="KB27" s="70">
        <f t="shared" si="50"/>
        <v>36436560</v>
      </c>
      <c r="KC27" s="70">
        <f t="shared" si="51"/>
        <v>0</v>
      </c>
      <c r="KE27" s="70" t="e">
        <f t="shared" si="52"/>
        <v>#REF!</v>
      </c>
      <c r="KG27" s="68" t="e">
        <f t="shared" si="53"/>
        <v>#REF!</v>
      </c>
    </row>
    <row r="28" spans="1:293">
      <c r="A28" s="180" t="s">
        <v>253</v>
      </c>
      <c r="B28" s="76" t="s">
        <v>361</v>
      </c>
      <c r="C28" s="90">
        <v>139959</v>
      </c>
      <c r="D28" s="90">
        <v>2014</v>
      </c>
      <c r="E28" s="90">
        <v>1</v>
      </c>
      <c r="F28" s="91">
        <v>5</v>
      </c>
      <c r="G28" s="92">
        <v>11320</v>
      </c>
      <c r="H28" s="92">
        <v>14953</v>
      </c>
      <c r="I28" s="93">
        <v>1253332393</v>
      </c>
      <c r="J28" s="93">
        <v>1225847104</v>
      </c>
      <c r="K28" s="93">
        <v>9402457</v>
      </c>
      <c r="L28" s="93">
        <v>9752135</v>
      </c>
      <c r="M28" s="93">
        <v>38156516</v>
      </c>
      <c r="N28" s="93">
        <v>22384008</v>
      </c>
      <c r="O28" s="93">
        <v>106813431</v>
      </c>
      <c r="P28" s="93">
        <v>113191100</v>
      </c>
      <c r="Q28" s="93">
        <v>278243308</v>
      </c>
      <c r="R28" s="93">
        <v>276584857</v>
      </c>
      <c r="S28" s="93">
        <v>1102390919</v>
      </c>
      <c r="T28" s="93">
        <v>1079278524</v>
      </c>
      <c r="U28" s="93">
        <v>21232</v>
      </c>
      <c r="V28" s="93">
        <v>20730</v>
      </c>
      <c r="W28" s="93">
        <v>39442</v>
      </c>
      <c r="X28" s="93">
        <v>38940</v>
      </c>
      <c r="Y28" s="93">
        <v>22064</v>
      </c>
      <c r="Z28" s="93">
        <v>21250</v>
      </c>
      <c r="AA28" s="93">
        <v>40274</v>
      </c>
      <c r="AB28" s="93">
        <v>39460</v>
      </c>
      <c r="AC28" s="114">
        <v>9</v>
      </c>
      <c r="AD28" s="114">
        <v>12</v>
      </c>
      <c r="AE28" s="114">
        <v>0</v>
      </c>
      <c r="AF28" s="115">
        <v>4772942</v>
      </c>
      <c r="AG28" s="115">
        <v>4888748</v>
      </c>
      <c r="AH28" s="115">
        <v>1148138</v>
      </c>
      <c r="AI28" s="115">
        <v>577080</v>
      </c>
      <c r="AJ28" s="115">
        <v>1113394</v>
      </c>
      <c r="AK28" s="116">
        <v>6</v>
      </c>
      <c r="AL28" s="115">
        <v>954337</v>
      </c>
      <c r="AM28" s="116">
        <v>7</v>
      </c>
      <c r="AN28" s="115">
        <v>263815</v>
      </c>
      <c r="AO28" s="116">
        <v>9</v>
      </c>
      <c r="AP28" s="115">
        <v>237433</v>
      </c>
      <c r="AQ28" s="116">
        <v>10</v>
      </c>
      <c r="AR28" s="115">
        <v>271478</v>
      </c>
      <c r="AS28" s="116">
        <v>21</v>
      </c>
      <c r="AT28" s="115">
        <v>219271</v>
      </c>
      <c r="AU28" s="116">
        <v>26</v>
      </c>
      <c r="AV28" s="115">
        <v>104582</v>
      </c>
      <c r="AW28" s="116">
        <v>20</v>
      </c>
      <c r="AX28" s="115">
        <v>83666</v>
      </c>
      <c r="AY28" s="116">
        <v>25</v>
      </c>
      <c r="AZ28" s="139">
        <v>20885883</v>
      </c>
      <c r="BA28" s="139">
        <v>0</v>
      </c>
      <c r="BB28" s="139">
        <v>31866597</v>
      </c>
      <c r="BC28" s="139">
        <v>1254753</v>
      </c>
      <c r="BD28" s="139">
        <v>6420201</v>
      </c>
      <c r="BE28" s="139">
        <v>9621</v>
      </c>
      <c r="BF28" s="139">
        <v>1242</v>
      </c>
      <c r="BG28" s="139">
        <v>1923</v>
      </c>
      <c r="BH28" s="139">
        <v>8841</v>
      </c>
      <c r="BI28" s="139">
        <v>338164</v>
      </c>
      <c r="BJ28" s="139">
        <v>359791</v>
      </c>
      <c r="BK28" s="139">
        <v>0</v>
      </c>
      <c r="BL28" s="139">
        <v>0</v>
      </c>
      <c r="BM28" s="139">
        <v>0</v>
      </c>
      <c r="BN28" s="139">
        <v>0</v>
      </c>
      <c r="BO28" s="139">
        <v>6427492</v>
      </c>
      <c r="BP28" s="139">
        <v>6427492</v>
      </c>
      <c r="BQ28" s="139">
        <v>0</v>
      </c>
      <c r="BR28" s="139">
        <v>0</v>
      </c>
      <c r="BS28" s="139">
        <v>0</v>
      </c>
      <c r="BT28" s="139">
        <v>6510</v>
      </c>
      <c r="BU28" s="139">
        <v>958997</v>
      </c>
      <c r="BV28" s="139">
        <v>965507</v>
      </c>
      <c r="BW28" s="139">
        <v>77160814</v>
      </c>
      <c r="BX28" s="139">
        <v>8050969</v>
      </c>
      <c r="BY28" s="139">
        <v>859487</v>
      </c>
      <c r="BZ28" s="139">
        <v>6854173</v>
      </c>
      <c r="CA28" s="139">
        <v>10570144</v>
      </c>
      <c r="CB28" s="139">
        <v>103495587</v>
      </c>
      <c r="CC28" s="139">
        <v>2854940</v>
      </c>
      <c r="CD28" s="139">
        <v>452671</v>
      </c>
      <c r="CE28" s="139">
        <v>529728</v>
      </c>
      <c r="CF28" s="139">
        <v>5824351</v>
      </c>
      <c r="CG28" s="139">
        <v>1385114</v>
      </c>
      <c r="CH28" s="139">
        <v>11046804</v>
      </c>
      <c r="CI28" s="139">
        <v>1300000</v>
      </c>
      <c r="CJ28" s="139">
        <v>522500</v>
      </c>
      <c r="CK28" s="139">
        <v>85000</v>
      </c>
      <c r="CL28" s="139">
        <v>95498</v>
      </c>
      <c r="CM28" s="139">
        <v>0</v>
      </c>
      <c r="CN28" s="139">
        <v>2002998</v>
      </c>
      <c r="CO28" s="139">
        <v>7324220</v>
      </c>
      <c r="CP28" s="139">
        <v>2319551</v>
      </c>
      <c r="CQ28" s="150">
        <v>1272030</v>
      </c>
      <c r="CR28" s="139">
        <v>5931587</v>
      </c>
      <c r="CS28" s="139">
        <v>0</v>
      </c>
      <c r="CT28" s="139">
        <v>16847388</v>
      </c>
      <c r="CU28" s="139">
        <v>0</v>
      </c>
      <c r="CV28" s="139">
        <v>0</v>
      </c>
      <c r="CW28" s="139">
        <v>0</v>
      </c>
      <c r="CX28" s="139">
        <v>0</v>
      </c>
      <c r="CY28" s="139">
        <v>0</v>
      </c>
      <c r="CZ28" s="139">
        <v>0</v>
      </c>
      <c r="DA28" s="139">
        <v>3404300</v>
      </c>
      <c r="DB28" s="139">
        <v>566856</v>
      </c>
      <c r="DC28" s="139">
        <v>435757</v>
      </c>
      <c r="DD28" s="139">
        <v>2743752</v>
      </c>
      <c r="DE28" s="139">
        <v>6288268</v>
      </c>
      <c r="DF28" s="139">
        <v>13438933</v>
      </c>
      <c r="DG28" s="139">
        <v>0</v>
      </c>
      <c r="DH28" s="139">
        <v>0</v>
      </c>
      <c r="DI28" s="139">
        <v>0</v>
      </c>
      <c r="DJ28" s="139">
        <v>0</v>
      </c>
      <c r="DK28" s="139">
        <v>0</v>
      </c>
      <c r="DL28" s="139">
        <v>0</v>
      </c>
      <c r="DM28" s="139">
        <v>119004</v>
      </c>
      <c r="DN28" s="139">
        <v>26667</v>
      </c>
      <c r="DO28" s="139">
        <v>0</v>
      </c>
      <c r="DP28" s="139">
        <v>385201</v>
      </c>
      <c r="DQ28" s="139">
        <v>0</v>
      </c>
      <c r="DR28" s="139">
        <v>530872</v>
      </c>
      <c r="DS28" s="139">
        <v>717092</v>
      </c>
      <c r="DT28" s="139">
        <v>254352</v>
      </c>
      <c r="DU28" s="139">
        <v>171854</v>
      </c>
      <c r="DV28" s="139">
        <v>581920</v>
      </c>
      <c r="DW28" s="139">
        <v>0</v>
      </c>
      <c r="DX28" s="139">
        <v>1725218</v>
      </c>
      <c r="DY28" s="139">
        <v>1372878</v>
      </c>
      <c r="DZ28" s="139">
        <v>474063</v>
      </c>
      <c r="EA28" s="139">
        <v>379399</v>
      </c>
      <c r="EB28" s="139">
        <v>2081248</v>
      </c>
      <c r="EC28" s="139">
        <v>0</v>
      </c>
      <c r="ED28" s="139">
        <v>4307588</v>
      </c>
      <c r="EE28" s="139">
        <v>597605</v>
      </c>
      <c r="EF28" s="139">
        <v>47081</v>
      </c>
      <c r="EG28" s="139">
        <v>31681</v>
      </c>
      <c r="EH28" s="139">
        <v>844660</v>
      </c>
      <c r="EI28" s="139">
        <v>0</v>
      </c>
      <c r="EJ28" s="139">
        <v>1521027</v>
      </c>
      <c r="EK28" s="139">
        <v>3767938</v>
      </c>
      <c r="EL28" s="139">
        <v>479935</v>
      </c>
      <c r="EM28" s="139">
        <v>294946</v>
      </c>
      <c r="EN28" s="139">
        <v>1019236</v>
      </c>
      <c r="EO28" s="139">
        <v>3122547</v>
      </c>
      <c r="EP28" s="139">
        <v>8684602</v>
      </c>
      <c r="EQ28" s="139">
        <v>0</v>
      </c>
      <c r="ER28" s="139">
        <v>0</v>
      </c>
      <c r="ES28" s="139">
        <v>0</v>
      </c>
      <c r="ET28" s="139">
        <v>0</v>
      </c>
      <c r="EU28" s="139">
        <v>1443820</v>
      </c>
      <c r="EV28" s="139">
        <v>1443820</v>
      </c>
      <c r="EW28" s="139">
        <v>0</v>
      </c>
      <c r="EX28" s="139">
        <v>0</v>
      </c>
      <c r="EY28" s="139">
        <v>0</v>
      </c>
      <c r="EZ28" s="139">
        <v>0</v>
      </c>
      <c r="FA28" s="139">
        <v>43824</v>
      </c>
      <c r="FB28" s="139">
        <v>43824</v>
      </c>
      <c r="FC28" s="139">
        <v>3031228</v>
      </c>
      <c r="FD28" s="139">
        <v>563122</v>
      </c>
      <c r="FE28" s="139">
        <v>558189</v>
      </c>
      <c r="FF28" s="139">
        <v>2688699</v>
      </c>
      <c r="FG28" s="139">
        <v>15720053</v>
      </c>
      <c r="FH28" s="139">
        <v>22561291</v>
      </c>
      <c r="FI28" s="139">
        <v>0</v>
      </c>
      <c r="FJ28" s="139">
        <v>0</v>
      </c>
      <c r="FK28" s="139">
        <v>0</v>
      </c>
      <c r="FL28" s="139">
        <v>0</v>
      </c>
      <c r="FM28" s="139">
        <v>1263780</v>
      </c>
      <c r="FN28" s="139">
        <v>1263780</v>
      </c>
      <c r="FO28" s="139">
        <v>0</v>
      </c>
      <c r="FP28" s="139">
        <v>0</v>
      </c>
      <c r="FQ28" s="139">
        <v>0</v>
      </c>
      <c r="FR28" s="139">
        <v>0</v>
      </c>
      <c r="FS28" s="139">
        <v>0</v>
      </c>
      <c r="FT28" s="139">
        <v>0</v>
      </c>
      <c r="FU28" s="139">
        <v>0</v>
      </c>
      <c r="FV28" s="139">
        <v>0</v>
      </c>
      <c r="FW28" s="139">
        <v>0</v>
      </c>
      <c r="FX28" s="139">
        <v>0</v>
      </c>
      <c r="FY28" s="139">
        <v>1841811</v>
      </c>
      <c r="FZ28" s="139">
        <v>1841811</v>
      </c>
      <c r="GA28" s="139">
        <v>0</v>
      </c>
      <c r="GB28" s="139">
        <v>0</v>
      </c>
      <c r="GC28" s="139">
        <v>0</v>
      </c>
      <c r="GD28" s="139">
        <v>33281</v>
      </c>
      <c r="GE28" s="139">
        <v>82018</v>
      </c>
      <c r="GF28" s="139">
        <v>115299</v>
      </c>
      <c r="GG28" s="139">
        <v>477310</v>
      </c>
      <c r="GH28" s="139">
        <v>22475</v>
      </c>
      <c r="GI28" s="139">
        <v>10209</v>
      </c>
      <c r="GJ28" s="139">
        <v>124849</v>
      </c>
      <c r="GK28" s="139">
        <v>4550858</v>
      </c>
      <c r="GL28" s="139">
        <v>5185701</v>
      </c>
      <c r="GM28" s="139">
        <v>24966515</v>
      </c>
      <c r="GN28" s="139">
        <v>5729273</v>
      </c>
      <c r="GO28" s="139">
        <v>3768793</v>
      </c>
      <c r="GP28" s="139">
        <v>22354282</v>
      </c>
      <c r="GQ28" s="139">
        <v>35742093</v>
      </c>
      <c r="GR28" s="139">
        <v>92560956</v>
      </c>
      <c r="GS28" s="139">
        <v>0</v>
      </c>
      <c r="GT28" s="139">
        <v>0</v>
      </c>
      <c r="GU28" s="139">
        <v>0</v>
      </c>
      <c r="GV28" s="139">
        <v>0</v>
      </c>
      <c r="GW28" s="139">
        <v>4000000</v>
      </c>
      <c r="GX28" s="139">
        <v>4000000</v>
      </c>
      <c r="GY28" s="139">
        <v>24966515</v>
      </c>
      <c r="GZ28" s="139">
        <v>5729273</v>
      </c>
      <c r="HA28" s="139">
        <v>3768793</v>
      </c>
      <c r="HB28" s="139">
        <v>22354282</v>
      </c>
      <c r="HC28" s="139">
        <v>39742093</v>
      </c>
      <c r="HD28" s="139">
        <v>96560956</v>
      </c>
      <c r="HF28" s="70">
        <f>SUM(AZ28:AZ28)</f>
        <v>20885883</v>
      </c>
      <c r="HG28" s="70" t="e">
        <f>#REF!-HF28</f>
        <v>#REF!</v>
      </c>
      <c r="HH28" s="70" t="e">
        <f>SUM(#REF!)</f>
        <v>#REF!</v>
      </c>
      <c r="HI28" s="70" t="e">
        <f>#REF!-HH28</f>
        <v>#REF!</v>
      </c>
      <c r="HJ28" s="70">
        <f>SUM(BA28:BA28)</f>
        <v>0</v>
      </c>
      <c r="HK28" s="70" t="e">
        <f>#REF!-HJ28</f>
        <v>#REF!</v>
      </c>
      <c r="HL28" s="70" t="e">
        <f>SUM(#REF!)</f>
        <v>#REF!</v>
      </c>
      <c r="HM28" s="70" t="e">
        <f>BB28-HL28</f>
        <v>#REF!</v>
      </c>
      <c r="HN28" s="70" t="e">
        <f>SUM(#REF!)</f>
        <v>#REF!</v>
      </c>
      <c r="HO28" s="70" t="e">
        <f>#REF!-HN28</f>
        <v>#REF!</v>
      </c>
      <c r="HP28" s="70" t="e">
        <f>SUM(#REF!)</f>
        <v>#REF!</v>
      </c>
      <c r="HQ28" s="70" t="e">
        <f>#REF!-HP28</f>
        <v>#REF!</v>
      </c>
      <c r="HR28" s="70" t="e">
        <f>SUM(#REF!)</f>
        <v>#REF!</v>
      </c>
      <c r="HS28" s="70" t="e">
        <f>#REF!-HR28</f>
        <v>#REF!</v>
      </c>
      <c r="HT28" s="70" t="e">
        <f>SUM(#REF!)</f>
        <v>#REF!</v>
      </c>
      <c r="HU28" s="70" t="e">
        <f>#REF!-HT28</f>
        <v>#REF!</v>
      </c>
      <c r="HV28" s="70" t="e">
        <f>SUM(#REF!)</f>
        <v>#REF!</v>
      </c>
      <c r="HW28" s="70" t="e">
        <f>#REF!-HV28</f>
        <v>#REF!</v>
      </c>
      <c r="HX28" s="70" t="e">
        <f>SUM(#REF!)</f>
        <v>#REF!</v>
      </c>
      <c r="HY28" s="70" t="e">
        <f>#REF!-HX28</f>
        <v>#REF!</v>
      </c>
      <c r="HZ28" s="70">
        <f>SUM(BC28:BC28)</f>
        <v>1254753</v>
      </c>
      <c r="IA28" s="70" t="e">
        <f>#REF!-HZ28</f>
        <v>#REF!</v>
      </c>
      <c r="IB28" s="70">
        <f>SUM(BD28:BD28)</f>
        <v>6420201</v>
      </c>
      <c r="IC28" s="70" t="e">
        <f>#REF!-IB28</f>
        <v>#REF!</v>
      </c>
      <c r="ID28" s="70">
        <f t="shared" si="0"/>
        <v>359791</v>
      </c>
      <c r="IE28" s="70">
        <f t="shared" si="1"/>
        <v>0</v>
      </c>
      <c r="IF28" s="70">
        <f t="shared" si="2"/>
        <v>6427492</v>
      </c>
      <c r="IG28" s="70">
        <f t="shared" si="3"/>
        <v>0</v>
      </c>
      <c r="IH28" s="70">
        <f t="shared" si="4"/>
        <v>965507</v>
      </c>
      <c r="II28" s="70">
        <f t="shared" si="5"/>
        <v>0</v>
      </c>
      <c r="IJ28" s="70">
        <f t="shared" si="6"/>
        <v>103495587</v>
      </c>
      <c r="IK28" s="70">
        <f t="shared" si="7"/>
        <v>0</v>
      </c>
      <c r="IL28" s="70">
        <f t="shared" si="8"/>
        <v>11046804</v>
      </c>
      <c r="IM28" s="70">
        <f t="shared" si="9"/>
        <v>0</v>
      </c>
      <c r="IN28" s="70">
        <f t="shared" si="10"/>
        <v>2002998</v>
      </c>
      <c r="IO28" s="70">
        <f t="shared" si="11"/>
        <v>0</v>
      </c>
      <c r="IP28" s="70">
        <f t="shared" si="12"/>
        <v>16847388</v>
      </c>
      <c r="IQ28" s="70">
        <f t="shared" si="13"/>
        <v>0</v>
      </c>
      <c r="IR28" s="70">
        <f t="shared" si="54"/>
        <v>0</v>
      </c>
      <c r="IS28" s="70">
        <f t="shared" si="55"/>
        <v>0</v>
      </c>
      <c r="IT28" s="70">
        <f t="shared" si="16"/>
        <v>13438933</v>
      </c>
      <c r="IU28" s="70">
        <f t="shared" si="17"/>
        <v>0</v>
      </c>
      <c r="IV28" s="70">
        <f t="shared" si="18"/>
        <v>0</v>
      </c>
      <c r="IW28" s="70">
        <f t="shared" si="19"/>
        <v>0</v>
      </c>
      <c r="IX28" s="70">
        <f t="shared" si="20"/>
        <v>530872</v>
      </c>
      <c r="IY28" s="70">
        <f t="shared" si="21"/>
        <v>0</v>
      </c>
      <c r="IZ28" s="70">
        <f t="shared" si="22"/>
        <v>1725218</v>
      </c>
      <c r="JA28" s="70">
        <f t="shared" si="23"/>
        <v>0</v>
      </c>
      <c r="JB28" s="70">
        <f t="shared" si="24"/>
        <v>4307588</v>
      </c>
      <c r="JC28" s="70">
        <f t="shared" si="25"/>
        <v>0</v>
      </c>
      <c r="JD28" s="70">
        <f t="shared" si="26"/>
        <v>1521027</v>
      </c>
      <c r="JE28" s="70">
        <f t="shared" si="27"/>
        <v>0</v>
      </c>
      <c r="JF28" s="70">
        <f t="shared" si="28"/>
        <v>8684602</v>
      </c>
      <c r="JG28" s="70">
        <f t="shared" si="29"/>
        <v>0</v>
      </c>
      <c r="JH28" s="70">
        <f t="shared" si="30"/>
        <v>1443820</v>
      </c>
      <c r="JI28" s="70">
        <f t="shared" si="31"/>
        <v>0</v>
      </c>
      <c r="JJ28" s="70">
        <f t="shared" si="32"/>
        <v>43824</v>
      </c>
      <c r="JK28" s="70">
        <f t="shared" si="33"/>
        <v>0</v>
      </c>
      <c r="JL28" s="70">
        <f t="shared" si="34"/>
        <v>22561291</v>
      </c>
      <c r="JM28" s="70">
        <f t="shared" si="35"/>
        <v>0</v>
      </c>
      <c r="JN28" s="70">
        <f t="shared" si="36"/>
        <v>1263780</v>
      </c>
      <c r="JO28" s="70">
        <f t="shared" si="37"/>
        <v>0</v>
      </c>
      <c r="JP28" s="70">
        <f t="shared" si="38"/>
        <v>0</v>
      </c>
      <c r="JQ28" s="70">
        <f t="shared" si="39"/>
        <v>0</v>
      </c>
      <c r="JR28" s="70">
        <f t="shared" si="40"/>
        <v>1841811</v>
      </c>
      <c r="JS28" s="70">
        <f t="shared" si="41"/>
        <v>0</v>
      </c>
      <c r="JT28" s="70">
        <f t="shared" si="42"/>
        <v>115299</v>
      </c>
      <c r="JU28" s="70">
        <f t="shared" si="43"/>
        <v>0</v>
      </c>
      <c r="JV28" s="70">
        <f t="shared" si="44"/>
        <v>5185701</v>
      </c>
      <c r="JW28" s="70">
        <f t="shared" si="45"/>
        <v>0</v>
      </c>
      <c r="JX28" s="70">
        <f t="shared" si="46"/>
        <v>92560956</v>
      </c>
      <c r="JY28" s="70">
        <f t="shared" si="47"/>
        <v>0</v>
      </c>
      <c r="JZ28" s="70">
        <f t="shared" si="48"/>
        <v>4000000</v>
      </c>
      <c r="KA28" s="70">
        <f t="shared" si="49"/>
        <v>0</v>
      </c>
      <c r="KB28" s="70">
        <f t="shared" si="50"/>
        <v>96560956</v>
      </c>
      <c r="KC28" s="70">
        <f t="shared" si="51"/>
        <v>0</v>
      </c>
      <c r="KE28" s="70" t="e">
        <f t="shared" si="52"/>
        <v>#REF!</v>
      </c>
      <c r="KG28" s="68" t="e">
        <f t="shared" si="53"/>
        <v>#REF!</v>
      </c>
    </row>
    <row r="29" spans="1:293">
      <c r="A29" s="180" t="s">
        <v>254</v>
      </c>
      <c r="B29" s="76" t="s">
        <v>361</v>
      </c>
      <c r="C29" s="90">
        <v>139940</v>
      </c>
      <c r="D29" s="90">
        <v>2014</v>
      </c>
      <c r="E29" s="90">
        <v>1</v>
      </c>
      <c r="F29" s="91">
        <v>11</v>
      </c>
      <c r="G29" s="92">
        <v>7690</v>
      </c>
      <c r="H29" s="92">
        <v>10740</v>
      </c>
      <c r="I29" s="93">
        <v>615502290</v>
      </c>
      <c r="J29" s="93">
        <v>592305276</v>
      </c>
      <c r="K29" s="93">
        <v>0</v>
      </c>
      <c r="L29" s="93">
        <v>0</v>
      </c>
      <c r="M29" s="93">
        <v>29812318</v>
      </c>
      <c r="N29" s="93">
        <v>31570387</v>
      </c>
      <c r="O29" s="93">
        <v>0</v>
      </c>
      <c r="P29" s="93">
        <v>0</v>
      </c>
      <c r="Q29" s="93">
        <v>371510426</v>
      </c>
      <c r="R29" s="93">
        <v>379673794</v>
      </c>
      <c r="S29" s="93">
        <v>536511861</v>
      </c>
      <c r="T29" s="93">
        <v>512113169</v>
      </c>
      <c r="U29" s="93">
        <v>22854</v>
      </c>
      <c r="V29" s="93">
        <v>23030</v>
      </c>
      <c r="W29" s="93">
        <v>41064</v>
      </c>
      <c r="X29" s="93">
        <v>41240</v>
      </c>
      <c r="Y29" s="93">
        <v>25480</v>
      </c>
      <c r="Z29" s="93">
        <v>23626</v>
      </c>
      <c r="AA29" s="93">
        <v>43690</v>
      </c>
      <c r="AB29" s="93">
        <v>39408</v>
      </c>
      <c r="AC29" s="114">
        <v>7</v>
      </c>
      <c r="AD29" s="114">
        <v>10</v>
      </c>
      <c r="AE29" s="114">
        <v>0</v>
      </c>
      <c r="AF29" s="120">
        <v>2448081</v>
      </c>
      <c r="AG29" s="115">
        <v>1913811</v>
      </c>
      <c r="AH29" s="115">
        <v>311563</v>
      </c>
      <c r="AI29" s="115">
        <v>119101</v>
      </c>
      <c r="AJ29" s="115">
        <v>260196</v>
      </c>
      <c r="AK29" s="116">
        <v>6</v>
      </c>
      <c r="AL29" s="115">
        <v>260196</v>
      </c>
      <c r="AM29" s="116">
        <v>6</v>
      </c>
      <c r="AN29" s="115">
        <v>112244</v>
      </c>
      <c r="AO29" s="116">
        <v>8</v>
      </c>
      <c r="AP29" s="115">
        <v>112244</v>
      </c>
      <c r="AQ29" s="116">
        <v>8</v>
      </c>
      <c r="AR29" s="121">
        <v>119656</v>
      </c>
      <c r="AS29" s="122">
        <v>17</v>
      </c>
      <c r="AT29" s="121">
        <v>119656</v>
      </c>
      <c r="AU29" s="122">
        <v>17</v>
      </c>
      <c r="AV29" s="121">
        <v>55056</v>
      </c>
      <c r="AW29" s="122">
        <v>12</v>
      </c>
      <c r="AX29" s="121">
        <v>55056</v>
      </c>
      <c r="AY29" s="122">
        <v>12</v>
      </c>
      <c r="AZ29" s="151">
        <v>511385</v>
      </c>
      <c r="BA29" s="152">
        <v>1403015</v>
      </c>
      <c r="BB29" s="152">
        <v>1568645</v>
      </c>
      <c r="BC29" s="155">
        <v>820</v>
      </c>
      <c r="BD29" s="139">
        <v>0</v>
      </c>
      <c r="BE29" s="139">
        <v>0</v>
      </c>
      <c r="BF29" s="152">
        <v>0</v>
      </c>
      <c r="BG29" s="152">
        <v>0</v>
      </c>
      <c r="BH29" s="152">
        <v>0</v>
      </c>
      <c r="BI29" s="152">
        <v>0</v>
      </c>
      <c r="BJ29" s="151">
        <v>0</v>
      </c>
      <c r="BK29" s="139">
        <v>0</v>
      </c>
      <c r="BL29" s="139">
        <v>0</v>
      </c>
      <c r="BM29" s="139">
        <v>0</v>
      </c>
      <c r="BN29" s="139">
        <v>0</v>
      </c>
      <c r="BO29" s="139">
        <v>0</v>
      </c>
      <c r="BP29" s="139">
        <v>0</v>
      </c>
      <c r="BQ29" s="139">
        <v>1762</v>
      </c>
      <c r="BR29" s="152">
        <v>-150</v>
      </c>
      <c r="BS29" s="152">
        <v>0</v>
      </c>
      <c r="BT29" s="152">
        <v>52022</v>
      </c>
      <c r="BU29" s="152">
        <v>155556</v>
      </c>
      <c r="BV29" s="152">
        <v>209190</v>
      </c>
      <c r="BW29" s="155">
        <v>2236159</v>
      </c>
      <c r="BX29" s="152">
        <v>439270</v>
      </c>
      <c r="BY29" s="152">
        <v>10127</v>
      </c>
      <c r="BZ29" s="152">
        <v>138411</v>
      </c>
      <c r="CA29" s="152">
        <v>24269349</v>
      </c>
      <c r="CB29" s="152">
        <v>27093316</v>
      </c>
      <c r="CC29" s="155">
        <v>1552151</v>
      </c>
      <c r="CD29" s="152">
        <v>264894</v>
      </c>
      <c r="CE29" s="152">
        <v>300668</v>
      </c>
      <c r="CF29" s="153">
        <v>2244179</v>
      </c>
      <c r="CG29" s="152">
        <v>2738180</v>
      </c>
      <c r="CH29" s="154">
        <v>7100072</v>
      </c>
      <c r="CI29" s="155">
        <v>750000</v>
      </c>
      <c r="CJ29" s="152">
        <v>16000</v>
      </c>
      <c r="CK29" s="152">
        <v>0</v>
      </c>
      <c r="CL29" s="152">
        <v>2500</v>
      </c>
      <c r="CM29" s="152">
        <v>0</v>
      </c>
      <c r="CN29" s="152">
        <v>768500</v>
      </c>
      <c r="CO29" s="152">
        <v>2048063</v>
      </c>
      <c r="CP29" s="152">
        <v>895497</v>
      </c>
      <c r="CQ29" s="152">
        <v>494839</v>
      </c>
      <c r="CR29" s="152">
        <v>1715559</v>
      </c>
      <c r="CS29" s="152">
        <v>0</v>
      </c>
      <c r="CT29" s="152">
        <v>5153958</v>
      </c>
      <c r="CU29" s="152">
        <v>0</v>
      </c>
      <c r="CV29" s="152">
        <v>0</v>
      </c>
      <c r="CW29" s="152">
        <v>0</v>
      </c>
      <c r="CX29" s="152">
        <v>0</v>
      </c>
      <c r="CY29" s="153">
        <v>0</v>
      </c>
      <c r="CZ29" s="152">
        <v>0</v>
      </c>
      <c r="DA29" s="153">
        <v>89873</v>
      </c>
      <c r="DB29" s="152">
        <v>0</v>
      </c>
      <c r="DC29" s="153">
        <v>0</v>
      </c>
      <c r="DD29" s="152">
        <v>0</v>
      </c>
      <c r="DE29" s="152">
        <v>4473056</v>
      </c>
      <c r="DF29" s="152">
        <v>4562929</v>
      </c>
      <c r="DG29" s="156">
        <v>0</v>
      </c>
      <c r="DH29" s="156">
        <v>0</v>
      </c>
      <c r="DI29" s="157">
        <v>0</v>
      </c>
      <c r="DJ29" s="157">
        <v>0</v>
      </c>
      <c r="DK29" s="156">
        <v>0</v>
      </c>
      <c r="DL29" s="157">
        <v>0</v>
      </c>
      <c r="DM29" s="157">
        <v>0</v>
      </c>
      <c r="DN29" s="156">
        <v>0</v>
      </c>
      <c r="DO29" s="156">
        <v>0</v>
      </c>
      <c r="DP29" s="157">
        <v>0</v>
      </c>
      <c r="DQ29" s="157">
        <v>0</v>
      </c>
      <c r="DR29" s="156">
        <v>0</v>
      </c>
      <c r="DS29" s="157">
        <v>191700</v>
      </c>
      <c r="DT29" s="156">
        <v>77889</v>
      </c>
      <c r="DU29" s="157">
        <v>49206</v>
      </c>
      <c r="DV29" s="156">
        <v>111869</v>
      </c>
      <c r="DW29" s="157">
        <v>0</v>
      </c>
      <c r="DX29" s="156">
        <v>430664</v>
      </c>
      <c r="DY29" s="157">
        <v>547810</v>
      </c>
      <c r="DZ29" s="156">
        <v>238767</v>
      </c>
      <c r="EA29" s="157">
        <v>180191</v>
      </c>
      <c r="EB29" s="156">
        <v>709150</v>
      </c>
      <c r="EC29" s="157">
        <v>318977</v>
      </c>
      <c r="ED29" s="156">
        <v>1994895</v>
      </c>
      <c r="EE29" s="157">
        <v>270751</v>
      </c>
      <c r="EF29" s="156">
        <v>62328</v>
      </c>
      <c r="EG29" s="157">
        <v>41711</v>
      </c>
      <c r="EH29" s="156">
        <v>286681</v>
      </c>
      <c r="EI29" s="157">
        <v>576901</v>
      </c>
      <c r="EJ29" s="156">
        <v>1238372</v>
      </c>
      <c r="EK29" s="157">
        <v>335612</v>
      </c>
      <c r="EL29" s="157">
        <v>52681</v>
      </c>
      <c r="EM29" s="156">
        <v>21950</v>
      </c>
      <c r="EN29" s="156">
        <v>59286</v>
      </c>
      <c r="EO29" s="156">
        <v>293865</v>
      </c>
      <c r="EP29" s="156">
        <v>763394</v>
      </c>
      <c r="EQ29" s="157">
        <v>0</v>
      </c>
      <c r="ER29" s="156">
        <v>0</v>
      </c>
      <c r="ES29" s="157">
        <v>0</v>
      </c>
      <c r="ET29" s="157">
        <v>0</v>
      </c>
      <c r="EU29" s="157">
        <v>352816</v>
      </c>
      <c r="EV29" s="156">
        <v>352816</v>
      </c>
      <c r="EW29" s="157">
        <v>0</v>
      </c>
      <c r="EX29" s="157">
        <v>0</v>
      </c>
      <c r="EY29" s="157">
        <v>0</v>
      </c>
      <c r="EZ29" s="157">
        <v>0</v>
      </c>
      <c r="FA29" s="156">
        <v>0</v>
      </c>
      <c r="FB29" s="157">
        <v>0</v>
      </c>
      <c r="FC29" s="157">
        <v>655710</v>
      </c>
      <c r="FD29" s="157">
        <v>4554</v>
      </c>
      <c r="FE29" s="157">
        <v>5920</v>
      </c>
      <c r="FF29" s="158">
        <v>20302</v>
      </c>
      <c r="FG29" s="157">
        <v>857793</v>
      </c>
      <c r="FH29" s="157">
        <v>1544279</v>
      </c>
      <c r="FI29" s="157">
        <v>0</v>
      </c>
      <c r="FJ29" s="157">
        <v>0</v>
      </c>
      <c r="FK29" s="156">
        <v>0</v>
      </c>
      <c r="FL29" s="156">
        <v>0</v>
      </c>
      <c r="FM29" s="157">
        <v>321762</v>
      </c>
      <c r="FN29" s="157">
        <v>321762</v>
      </c>
      <c r="FO29" s="157">
        <v>0</v>
      </c>
      <c r="FP29" s="157">
        <v>0</v>
      </c>
      <c r="FQ29" s="156">
        <v>0</v>
      </c>
      <c r="FR29" s="156">
        <v>0</v>
      </c>
      <c r="FS29" s="156">
        <v>1307327</v>
      </c>
      <c r="FT29" s="157">
        <v>1307327</v>
      </c>
      <c r="FU29" s="157">
        <v>0</v>
      </c>
      <c r="FV29" s="157">
        <v>0</v>
      </c>
      <c r="FW29" s="151">
        <v>0</v>
      </c>
      <c r="FX29" s="157">
        <v>0</v>
      </c>
      <c r="FY29" s="157">
        <v>251056</v>
      </c>
      <c r="FZ29" s="156">
        <v>251056</v>
      </c>
      <c r="GA29" s="157">
        <v>0</v>
      </c>
      <c r="GB29" s="157">
        <v>732</v>
      </c>
      <c r="GC29" s="157">
        <v>0</v>
      </c>
      <c r="GD29" s="157">
        <v>3188</v>
      </c>
      <c r="GE29" s="157">
        <v>319640</v>
      </c>
      <c r="GF29" s="157">
        <v>323560</v>
      </c>
      <c r="GG29" s="156">
        <v>52645</v>
      </c>
      <c r="GH29" s="156">
        <v>197</v>
      </c>
      <c r="GI29" s="157">
        <v>-608</v>
      </c>
      <c r="GJ29" s="156">
        <v>181</v>
      </c>
      <c r="GK29" s="159">
        <v>1322641</v>
      </c>
      <c r="GL29" s="160">
        <v>1375056</v>
      </c>
      <c r="GM29" s="156">
        <v>6494315</v>
      </c>
      <c r="GN29" s="157">
        <v>1613539</v>
      </c>
      <c r="GO29" s="157">
        <v>1093877</v>
      </c>
      <c r="GP29" s="156">
        <v>5152895</v>
      </c>
      <c r="GQ29" s="156">
        <v>13134014</v>
      </c>
      <c r="GR29" s="157">
        <v>27488640</v>
      </c>
      <c r="GS29" s="156">
        <v>0</v>
      </c>
      <c r="GT29" s="157">
        <v>0</v>
      </c>
      <c r="GU29" s="151">
        <v>0</v>
      </c>
      <c r="GV29" s="157">
        <v>0</v>
      </c>
      <c r="GW29" s="156">
        <v>0</v>
      </c>
      <c r="GX29" s="157">
        <v>0</v>
      </c>
      <c r="GY29" s="157">
        <v>6494315</v>
      </c>
      <c r="GZ29" s="157">
        <v>1613539</v>
      </c>
      <c r="HA29" s="156">
        <v>1093877</v>
      </c>
      <c r="HB29" s="157">
        <v>5152895</v>
      </c>
      <c r="HC29" s="157">
        <v>13134014</v>
      </c>
      <c r="HD29" s="157">
        <v>27488640</v>
      </c>
      <c r="HF29" s="70">
        <f>SUM(AZ29:AZ29)</f>
        <v>511385</v>
      </c>
      <c r="HG29" s="70" t="e">
        <f>#REF!-HF29</f>
        <v>#REF!</v>
      </c>
      <c r="HH29" s="70" t="e">
        <f>SUM(#REF!)</f>
        <v>#REF!</v>
      </c>
      <c r="HI29" s="70" t="e">
        <f>#REF!-HH29</f>
        <v>#REF!</v>
      </c>
      <c r="HJ29" s="70">
        <f>SUM(BA29:BA29)</f>
        <v>1403015</v>
      </c>
      <c r="HK29" s="70" t="e">
        <f>#REF!-HJ29</f>
        <v>#REF!</v>
      </c>
      <c r="HL29" s="70" t="e">
        <f>SUM(#REF!)</f>
        <v>#REF!</v>
      </c>
      <c r="HM29" s="70" t="e">
        <f>BB29-HL29</f>
        <v>#REF!</v>
      </c>
      <c r="HN29" s="70" t="e">
        <f>SUM(#REF!)</f>
        <v>#REF!</v>
      </c>
      <c r="HO29" s="70" t="e">
        <f>#REF!-HN29</f>
        <v>#REF!</v>
      </c>
      <c r="HP29" s="70" t="e">
        <f>SUM(#REF!)</f>
        <v>#REF!</v>
      </c>
      <c r="HQ29" s="70" t="e">
        <f>#REF!-HP29</f>
        <v>#REF!</v>
      </c>
      <c r="HR29" s="70" t="e">
        <f>SUM(#REF!)</f>
        <v>#REF!</v>
      </c>
      <c r="HS29" s="70" t="e">
        <f>#REF!-HR29</f>
        <v>#REF!</v>
      </c>
      <c r="HT29" s="70" t="e">
        <f>SUM(#REF!)</f>
        <v>#REF!</v>
      </c>
      <c r="HU29" s="70" t="e">
        <f>#REF!-HT29</f>
        <v>#REF!</v>
      </c>
      <c r="HV29" s="70" t="e">
        <f>SUM(#REF!)</f>
        <v>#REF!</v>
      </c>
      <c r="HW29" s="70" t="e">
        <f>#REF!-HV29</f>
        <v>#REF!</v>
      </c>
      <c r="HX29" s="70" t="e">
        <f>SUM(#REF!)</f>
        <v>#REF!</v>
      </c>
      <c r="HY29" s="70" t="e">
        <f>#REF!-HX29</f>
        <v>#REF!</v>
      </c>
      <c r="HZ29" s="70">
        <f>SUM(BC29:BC29)</f>
        <v>820</v>
      </c>
      <c r="IA29" s="70" t="e">
        <f>#REF!-HZ29</f>
        <v>#REF!</v>
      </c>
      <c r="IB29" s="70">
        <f>SUM(BD29:BD29)</f>
        <v>0</v>
      </c>
      <c r="IC29" s="70" t="e">
        <f>#REF!-IB29</f>
        <v>#REF!</v>
      </c>
      <c r="ID29" s="70">
        <f t="shared" si="0"/>
        <v>0</v>
      </c>
      <c r="IE29" s="70">
        <f t="shared" si="1"/>
        <v>0</v>
      </c>
      <c r="IF29" s="70">
        <f t="shared" si="2"/>
        <v>0</v>
      </c>
      <c r="IG29" s="70">
        <f t="shared" si="3"/>
        <v>0</v>
      </c>
      <c r="IH29" s="70">
        <f t="shared" si="4"/>
        <v>209190</v>
      </c>
      <c r="II29" s="70">
        <f t="shared" si="5"/>
        <v>0</v>
      </c>
      <c r="IJ29" s="70">
        <f t="shared" si="6"/>
        <v>27093316</v>
      </c>
      <c r="IK29" s="70">
        <f t="shared" si="7"/>
        <v>0</v>
      </c>
      <c r="IL29" s="70">
        <f t="shared" si="8"/>
        <v>7100072</v>
      </c>
      <c r="IM29" s="70">
        <f t="shared" si="9"/>
        <v>0</v>
      </c>
      <c r="IN29" s="70">
        <f t="shared" si="10"/>
        <v>768500</v>
      </c>
      <c r="IO29" s="70">
        <f t="shared" si="11"/>
        <v>0</v>
      </c>
      <c r="IP29" s="70">
        <f t="shared" si="12"/>
        <v>5153958</v>
      </c>
      <c r="IQ29" s="70">
        <f t="shared" si="13"/>
        <v>0</v>
      </c>
      <c r="IR29" s="70">
        <f t="shared" si="54"/>
        <v>0</v>
      </c>
      <c r="IS29" s="70">
        <f t="shared" si="55"/>
        <v>0</v>
      </c>
      <c r="IT29" s="70">
        <f t="shared" si="16"/>
        <v>4562929</v>
      </c>
      <c r="IU29" s="70">
        <f t="shared" si="17"/>
        <v>0</v>
      </c>
      <c r="IV29" s="70">
        <f t="shared" si="18"/>
        <v>0</v>
      </c>
      <c r="IW29" s="70">
        <f t="shared" si="19"/>
        <v>0</v>
      </c>
      <c r="IX29" s="70">
        <f t="shared" si="20"/>
        <v>0</v>
      </c>
      <c r="IY29" s="70">
        <f t="shared" si="21"/>
        <v>0</v>
      </c>
      <c r="IZ29" s="70">
        <f t="shared" si="22"/>
        <v>430664</v>
      </c>
      <c r="JA29" s="70">
        <f t="shared" si="23"/>
        <v>0</v>
      </c>
      <c r="JB29" s="70">
        <f t="shared" si="24"/>
        <v>1994895</v>
      </c>
      <c r="JC29" s="70">
        <f t="shared" si="25"/>
        <v>0</v>
      </c>
      <c r="JD29" s="70">
        <f t="shared" si="26"/>
        <v>1238372</v>
      </c>
      <c r="JE29" s="70">
        <f t="shared" si="27"/>
        <v>0</v>
      </c>
      <c r="JF29" s="70">
        <f t="shared" si="28"/>
        <v>763394</v>
      </c>
      <c r="JG29" s="70">
        <f t="shared" si="29"/>
        <v>0</v>
      </c>
      <c r="JH29" s="70">
        <f t="shared" si="30"/>
        <v>352816</v>
      </c>
      <c r="JI29" s="70">
        <f t="shared" si="31"/>
        <v>0</v>
      </c>
      <c r="JJ29" s="70">
        <f t="shared" si="32"/>
        <v>0</v>
      </c>
      <c r="JK29" s="70">
        <f t="shared" si="33"/>
        <v>0</v>
      </c>
      <c r="JL29" s="70">
        <f t="shared" si="34"/>
        <v>1544279</v>
      </c>
      <c r="JM29" s="70">
        <f t="shared" si="35"/>
        <v>0</v>
      </c>
      <c r="JN29" s="70">
        <f t="shared" si="36"/>
        <v>321762</v>
      </c>
      <c r="JO29" s="70">
        <f t="shared" si="37"/>
        <v>0</v>
      </c>
      <c r="JP29" s="70">
        <f t="shared" si="38"/>
        <v>1307327</v>
      </c>
      <c r="JQ29" s="70">
        <f t="shared" si="39"/>
        <v>0</v>
      </c>
      <c r="JR29" s="70">
        <f t="shared" si="40"/>
        <v>251056</v>
      </c>
      <c r="JS29" s="70">
        <f t="shared" si="41"/>
        <v>0</v>
      </c>
      <c r="JT29" s="70">
        <f t="shared" si="42"/>
        <v>323560</v>
      </c>
      <c r="JU29" s="70">
        <f t="shared" si="43"/>
        <v>0</v>
      </c>
      <c r="JV29" s="70">
        <f t="shared" si="44"/>
        <v>1375056</v>
      </c>
      <c r="JW29" s="70">
        <f t="shared" si="45"/>
        <v>0</v>
      </c>
      <c r="JX29" s="70">
        <f t="shared" si="46"/>
        <v>27488640</v>
      </c>
      <c r="JY29" s="70">
        <f t="shared" si="47"/>
        <v>0</v>
      </c>
      <c r="JZ29" s="70">
        <f t="shared" si="48"/>
        <v>0</v>
      </c>
      <c r="KA29" s="70">
        <f t="shared" si="49"/>
        <v>0</v>
      </c>
      <c r="KB29" s="70">
        <f t="shared" si="50"/>
        <v>27488640</v>
      </c>
      <c r="KC29" s="70">
        <f t="shared" si="51"/>
        <v>0</v>
      </c>
      <c r="KE29" s="70" t="e">
        <f t="shared" si="52"/>
        <v>#REF!</v>
      </c>
      <c r="KG29" s="68" t="e">
        <f t="shared" si="53"/>
        <v>#REF!</v>
      </c>
    </row>
    <row r="30" spans="1:293">
      <c r="A30" s="180" t="s">
        <v>255</v>
      </c>
      <c r="B30" s="76" t="s">
        <v>361</v>
      </c>
      <c r="C30" s="90">
        <v>139755</v>
      </c>
      <c r="D30" s="90">
        <v>2014</v>
      </c>
      <c r="E30" s="90">
        <v>1</v>
      </c>
      <c r="F30" s="91">
        <v>1</v>
      </c>
      <c r="G30" s="92">
        <v>9725</v>
      </c>
      <c r="H30" s="92">
        <v>4833</v>
      </c>
      <c r="I30" s="93">
        <v>1332066331</v>
      </c>
      <c r="J30" s="93">
        <v>1311667293</v>
      </c>
      <c r="K30" s="93">
        <v>13292166</v>
      </c>
      <c r="L30" s="93">
        <v>8592512</v>
      </c>
      <c r="M30" s="93">
        <v>45551450</v>
      </c>
      <c r="N30" s="93">
        <v>44441888</v>
      </c>
      <c r="O30" s="93">
        <v>228680026</v>
      </c>
      <c r="P30" s="93">
        <v>223014281</v>
      </c>
      <c r="Q30" s="93">
        <v>477788354</v>
      </c>
      <c r="R30" s="93">
        <v>496458923</v>
      </c>
      <c r="S30" s="93">
        <v>1255030339</v>
      </c>
      <c r="T30" s="93">
        <v>1240101145</v>
      </c>
      <c r="U30" s="93">
        <v>23568</v>
      </c>
      <c r="V30" s="93">
        <v>20634</v>
      </c>
      <c r="W30" s="93">
        <v>42872</v>
      </c>
      <c r="X30" s="93">
        <v>39938</v>
      </c>
      <c r="Y30" s="93">
        <v>25568</v>
      </c>
      <c r="Z30" s="93">
        <v>22254</v>
      </c>
      <c r="AA30" s="93">
        <v>44872</v>
      </c>
      <c r="AB30" s="93">
        <v>41558</v>
      </c>
      <c r="AC30" s="114">
        <v>9</v>
      </c>
      <c r="AD30" s="114">
        <v>8</v>
      </c>
      <c r="AE30" s="114">
        <v>0</v>
      </c>
      <c r="AF30" s="115">
        <v>5936469</v>
      </c>
      <c r="AG30" s="115">
        <v>2776045</v>
      </c>
      <c r="AH30" s="115">
        <v>1006896</v>
      </c>
      <c r="AI30" s="115">
        <v>392734</v>
      </c>
      <c r="AJ30" s="115">
        <v>787821</v>
      </c>
      <c r="AK30" s="116">
        <v>6.5</v>
      </c>
      <c r="AL30" s="115">
        <v>731548</v>
      </c>
      <c r="AM30" s="116">
        <v>7</v>
      </c>
      <c r="AN30" s="115">
        <v>240520</v>
      </c>
      <c r="AO30" s="116">
        <v>5.5</v>
      </c>
      <c r="AP30" s="115">
        <v>220477</v>
      </c>
      <c r="AQ30" s="116">
        <v>6</v>
      </c>
      <c r="AR30" s="115">
        <v>223277</v>
      </c>
      <c r="AS30" s="116">
        <v>20</v>
      </c>
      <c r="AT30" s="115">
        <v>186064</v>
      </c>
      <c r="AU30" s="116">
        <v>24</v>
      </c>
      <c r="AV30" s="115">
        <v>78839</v>
      </c>
      <c r="AW30" s="116">
        <v>12</v>
      </c>
      <c r="AX30" s="115">
        <v>59129</v>
      </c>
      <c r="AY30" s="116">
        <v>16</v>
      </c>
      <c r="AZ30" s="139">
        <v>8867756</v>
      </c>
      <c r="BA30" s="139">
        <v>250000</v>
      </c>
      <c r="BB30" s="139">
        <v>17088864</v>
      </c>
      <c r="BC30" s="139">
        <v>1140561</v>
      </c>
      <c r="BD30" s="139">
        <v>256488</v>
      </c>
      <c r="BE30" s="139">
        <v>0</v>
      </c>
      <c r="BF30" s="139">
        <v>0</v>
      </c>
      <c r="BG30" s="139">
        <v>0</v>
      </c>
      <c r="BH30" s="139">
        <v>0</v>
      </c>
      <c r="BI30" s="139">
        <v>0</v>
      </c>
      <c r="BJ30" s="139">
        <v>0</v>
      </c>
      <c r="BK30" s="139">
        <v>240242</v>
      </c>
      <c r="BL30" s="139">
        <v>154315</v>
      </c>
      <c r="BM30" s="139">
        <v>29147</v>
      </c>
      <c r="BN30" s="139">
        <v>1041104</v>
      </c>
      <c r="BO30" s="139">
        <v>2416199</v>
      </c>
      <c r="BP30" s="139">
        <v>3881007</v>
      </c>
      <c r="BQ30" s="139">
        <v>0</v>
      </c>
      <c r="BR30" s="139">
        <v>0</v>
      </c>
      <c r="BS30" s="139">
        <v>0</v>
      </c>
      <c r="BT30" s="139">
        <v>0</v>
      </c>
      <c r="BU30" s="139">
        <v>443546</v>
      </c>
      <c r="BV30" s="139">
        <v>443546</v>
      </c>
      <c r="BW30" s="139">
        <v>34306164</v>
      </c>
      <c r="BX30" s="139">
        <v>6013750</v>
      </c>
      <c r="BY30" s="139">
        <v>480383</v>
      </c>
      <c r="BZ30" s="139">
        <v>2199921</v>
      </c>
      <c r="CA30" s="139">
        <v>25469320</v>
      </c>
      <c r="CB30" s="139">
        <v>68469538</v>
      </c>
      <c r="CC30" s="139">
        <v>3952710</v>
      </c>
      <c r="CD30" s="139">
        <v>485790</v>
      </c>
      <c r="CE30" s="139">
        <v>710752</v>
      </c>
      <c r="CF30" s="139">
        <v>3563262</v>
      </c>
      <c r="CG30" s="139">
        <v>306906</v>
      </c>
      <c r="CH30" s="139">
        <v>9019420</v>
      </c>
      <c r="CI30" s="139">
        <v>825000</v>
      </c>
      <c r="CJ30" s="139">
        <v>389500</v>
      </c>
      <c r="CK30" s="139">
        <v>81027</v>
      </c>
      <c r="CL30" s="139">
        <v>75965</v>
      </c>
      <c r="CM30" s="139">
        <v>0</v>
      </c>
      <c r="CN30" s="139">
        <v>1371492</v>
      </c>
      <c r="CO30" s="139">
        <v>5913702</v>
      </c>
      <c r="CP30" s="139">
        <v>1972228</v>
      </c>
      <c r="CQ30" s="139">
        <v>1163049</v>
      </c>
      <c r="CR30" s="139">
        <v>2806317</v>
      </c>
      <c r="CS30" s="139">
        <v>0</v>
      </c>
      <c r="CT30" s="139">
        <v>11855296</v>
      </c>
      <c r="CU30" s="139">
        <v>0</v>
      </c>
      <c r="CV30" s="139">
        <v>0</v>
      </c>
      <c r="CW30" s="139">
        <v>0</v>
      </c>
      <c r="CX30" s="139">
        <v>0</v>
      </c>
      <c r="CY30" s="139">
        <v>0</v>
      </c>
      <c r="CZ30" s="139">
        <v>0</v>
      </c>
      <c r="DA30" s="139">
        <v>580516</v>
      </c>
      <c r="DB30" s="139">
        <v>223280</v>
      </c>
      <c r="DC30" s="139">
        <v>279784</v>
      </c>
      <c r="DD30" s="139">
        <v>62448</v>
      </c>
      <c r="DE30" s="139">
        <v>9148120</v>
      </c>
      <c r="DF30" s="139">
        <v>10294148</v>
      </c>
      <c r="DG30" s="139">
        <v>0</v>
      </c>
      <c r="DH30" s="139">
        <v>0</v>
      </c>
      <c r="DI30" s="139">
        <v>0</v>
      </c>
      <c r="DJ30" s="139">
        <v>0</v>
      </c>
      <c r="DK30" s="139">
        <v>0</v>
      </c>
      <c r="DL30" s="139">
        <v>0</v>
      </c>
      <c r="DM30" s="139">
        <v>0</v>
      </c>
      <c r="DN30" s="139">
        <v>906250</v>
      </c>
      <c r="DO30" s="139">
        <v>0</v>
      </c>
      <c r="DP30" s="139">
        <v>0</v>
      </c>
      <c r="DQ30" s="139">
        <v>0</v>
      </c>
      <c r="DR30" s="139">
        <v>906250</v>
      </c>
      <c r="DS30" s="139">
        <v>604656</v>
      </c>
      <c r="DT30" s="139">
        <v>244154</v>
      </c>
      <c r="DU30" s="139">
        <v>238507</v>
      </c>
      <c r="DV30" s="139">
        <v>312313</v>
      </c>
      <c r="DW30" s="139">
        <v>0</v>
      </c>
      <c r="DX30" s="139">
        <v>1399630</v>
      </c>
      <c r="DY30" s="139">
        <v>1880891</v>
      </c>
      <c r="DZ30" s="139">
        <v>576858</v>
      </c>
      <c r="EA30" s="139">
        <v>467935</v>
      </c>
      <c r="EB30" s="139">
        <v>1124658</v>
      </c>
      <c r="EC30" s="139">
        <v>0</v>
      </c>
      <c r="ED30" s="139">
        <v>4050342</v>
      </c>
      <c r="EE30" s="139">
        <v>462026</v>
      </c>
      <c r="EF30" s="139">
        <v>78878</v>
      </c>
      <c r="EG30" s="139">
        <v>90745</v>
      </c>
      <c r="EH30" s="139">
        <v>477653</v>
      </c>
      <c r="EI30" s="139">
        <v>149282</v>
      </c>
      <c r="EJ30" s="139">
        <v>1258584</v>
      </c>
      <c r="EK30" s="139">
        <v>2007371</v>
      </c>
      <c r="EL30" s="139">
        <v>708864</v>
      </c>
      <c r="EM30" s="139">
        <v>168881</v>
      </c>
      <c r="EN30" s="139">
        <v>193818</v>
      </c>
      <c r="EO30" s="139">
        <v>257865</v>
      </c>
      <c r="EP30" s="139">
        <v>3336799</v>
      </c>
      <c r="EQ30" s="139">
        <v>605634</v>
      </c>
      <c r="ER30" s="139">
        <v>139659</v>
      </c>
      <c r="ES30" s="139">
        <v>19922</v>
      </c>
      <c r="ET30" s="139">
        <v>7540</v>
      </c>
      <c r="EU30" s="139">
        <v>1116651</v>
      </c>
      <c r="EV30" s="139">
        <v>1889406</v>
      </c>
      <c r="EW30" s="139">
        <v>0</v>
      </c>
      <c r="EX30" s="139">
        <v>0</v>
      </c>
      <c r="EY30" s="139">
        <v>0</v>
      </c>
      <c r="EZ30" s="139">
        <v>0</v>
      </c>
      <c r="FA30" s="139">
        <v>0</v>
      </c>
      <c r="FB30" s="139">
        <v>0</v>
      </c>
      <c r="FC30" s="139">
        <v>2093934</v>
      </c>
      <c r="FD30" s="139">
        <v>180037</v>
      </c>
      <c r="FE30" s="139">
        <v>178622</v>
      </c>
      <c r="FF30" s="139">
        <v>1061437</v>
      </c>
      <c r="FG30" s="139">
        <v>14717523</v>
      </c>
      <c r="FH30" s="139">
        <v>18231553</v>
      </c>
      <c r="FI30" s="139">
        <v>0</v>
      </c>
      <c r="FJ30" s="139">
        <v>0</v>
      </c>
      <c r="FK30" s="139">
        <v>0</v>
      </c>
      <c r="FL30" s="139">
        <v>0</v>
      </c>
      <c r="FM30" s="139">
        <v>232976</v>
      </c>
      <c r="FN30" s="139">
        <v>232976</v>
      </c>
      <c r="FO30" s="139">
        <v>0</v>
      </c>
      <c r="FP30" s="139">
        <v>0</v>
      </c>
      <c r="FQ30" s="139">
        <v>0</v>
      </c>
      <c r="FR30" s="139">
        <v>0</v>
      </c>
      <c r="FS30" s="139">
        <v>0</v>
      </c>
      <c r="FT30" s="139">
        <v>0</v>
      </c>
      <c r="FU30" s="139">
        <v>0</v>
      </c>
      <c r="FV30" s="139">
        <v>0</v>
      </c>
      <c r="FW30" s="139">
        <v>0</v>
      </c>
      <c r="FX30" s="139">
        <v>0</v>
      </c>
      <c r="FY30" s="139">
        <v>763359</v>
      </c>
      <c r="FZ30" s="139">
        <v>763359</v>
      </c>
      <c r="GA30" s="139">
        <v>3533</v>
      </c>
      <c r="GB30" s="139">
        <v>6300</v>
      </c>
      <c r="GC30" s="139">
        <v>1886</v>
      </c>
      <c r="GD30" s="139">
        <v>28703</v>
      </c>
      <c r="GE30" s="139">
        <v>48478</v>
      </c>
      <c r="GF30" s="139">
        <v>88900</v>
      </c>
      <c r="GG30" s="139">
        <v>62144</v>
      </c>
      <c r="GH30" s="139">
        <v>19878</v>
      </c>
      <c r="GI30" s="139">
        <v>95811</v>
      </c>
      <c r="GJ30" s="139">
        <v>131884</v>
      </c>
      <c r="GK30" s="139">
        <v>3810395</v>
      </c>
      <c r="GL30" s="139">
        <v>4120112</v>
      </c>
      <c r="GM30" s="139">
        <v>18992117</v>
      </c>
      <c r="GN30" s="139">
        <v>5931676</v>
      </c>
      <c r="GO30" s="139">
        <v>3496921</v>
      </c>
      <c r="GP30" s="139">
        <v>9845998</v>
      </c>
      <c r="GQ30" s="139">
        <v>30551555</v>
      </c>
      <c r="GR30" s="139">
        <v>68818267</v>
      </c>
      <c r="GS30" s="139">
        <v>0</v>
      </c>
      <c r="GT30" s="139">
        <v>0</v>
      </c>
      <c r="GU30" s="139">
        <v>0</v>
      </c>
      <c r="GV30" s="139">
        <v>0</v>
      </c>
      <c r="GW30" s="139">
        <v>0</v>
      </c>
      <c r="GX30" s="139">
        <v>0</v>
      </c>
      <c r="GY30" s="139">
        <v>18992117</v>
      </c>
      <c r="GZ30" s="139">
        <v>5931676</v>
      </c>
      <c r="HA30" s="139">
        <v>3496921</v>
      </c>
      <c r="HB30" s="139">
        <v>9845998</v>
      </c>
      <c r="HC30" s="139">
        <v>30551555</v>
      </c>
      <c r="HD30" s="139">
        <v>68818267</v>
      </c>
      <c r="HF30" s="70">
        <f>SUM(AZ30:AZ30)</f>
        <v>8867756</v>
      </c>
      <c r="HG30" s="70" t="e">
        <f>#REF!-HF30</f>
        <v>#REF!</v>
      </c>
      <c r="HH30" s="70" t="e">
        <f>SUM(#REF!)</f>
        <v>#REF!</v>
      </c>
      <c r="HI30" s="70" t="e">
        <f>#REF!-HH30</f>
        <v>#REF!</v>
      </c>
      <c r="HJ30" s="70">
        <f>SUM(BA30:BA30)</f>
        <v>250000</v>
      </c>
      <c r="HK30" s="70" t="e">
        <f>#REF!-HJ30</f>
        <v>#REF!</v>
      </c>
      <c r="HL30" s="70" t="e">
        <f>SUM(#REF!)</f>
        <v>#REF!</v>
      </c>
      <c r="HM30" s="70" t="e">
        <f>BB30-HL30</f>
        <v>#REF!</v>
      </c>
      <c r="HN30" s="70" t="e">
        <f>SUM(#REF!)</f>
        <v>#REF!</v>
      </c>
      <c r="HO30" s="70" t="e">
        <f>#REF!-HN30</f>
        <v>#REF!</v>
      </c>
      <c r="HP30" s="70" t="e">
        <f>SUM(#REF!)</f>
        <v>#REF!</v>
      </c>
      <c r="HQ30" s="70" t="e">
        <f>#REF!-HP30</f>
        <v>#REF!</v>
      </c>
      <c r="HR30" s="70" t="e">
        <f>SUM(#REF!)</f>
        <v>#REF!</v>
      </c>
      <c r="HS30" s="70" t="e">
        <f>#REF!-HR30</f>
        <v>#REF!</v>
      </c>
      <c r="HT30" s="70" t="e">
        <f>SUM(#REF!)</f>
        <v>#REF!</v>
      </c>
      <c r="HU30" s="70" t="e">
        <f>#REF!-HT30</f>
        <v>#REF!</v>
      </c>
      <c r="HV30" s="70" t="e">
        <f>SUM(#REF!)</f>
        <v>#REF!</v>
      </c>
      <c r="HW30" s="70" t="e">
        <f>#REF!-HV30</f>
        <v>#REF!</v>
      </c>
      <c r="HX30" s="70" t="e">
        <f>SUM(#REF!)</f>
        <v>#REF!</v>
      </c>
      <c r="HY30" s="70" t="e">
        <f>#REF!-HX30</f>
        <v>#REF!</v>
      </c>
      <c r="HZ30" s="70">
        <f>SUM(BC30:BC30)</f>
        <v>1140561</v>
      </c>
      <c r="IA30" s="70" t="e">
        <f>#REF!-HZ30</f>
        <v>#REF!</v>
      </c>
      <c r="IB30" s="70">
        <f>SUM(BD30:BD30)</f>
        <v>256488</v>
      </c>
      <c r="IC30" s="70" t="e">
        <f>#REF!-IB30</f>
        <v>#REF!</v>
      </c>
      <c r="ID30" s="70">
        <f t="shared" si="0"/>
        <v>0</v>
      </c>
      <c r="IE30" s="70">
        <f t="shared" si="1"/>
        <v>0</v>
      </c>
      <c r="IF30" s="70">
        <f t="shared" si="2"/>
        <v>3881007</v>
      </c>
      <c r="IG30" s="70">
        <f t="shared" si="3"/>
        <v>0</v>
      </c>
      <c r="IH30" s="70">
        <f t="shared" si="4"/>
        <v>443546</v>
      </c>
      <c r="II30" s="70">
        <f t="shared" si="5"/>
        <v>0</v>
      </c>
      <c r="IJ30" s="70">
        <f t="shared" si="6"/>
        <v>68469538</v>
      </c>
      <c r="IK30" s="70">
        <f t="shared" si="7"/>
        <v>0</v>
      </c>
      <c r="IL30" s="70">
        <f t="shared" si="8"/>
        <v>9019420</v>
      </c>
      <c r="IM30" s="70">
        <f t="shared" si="9"/>
        <v>0</v>
      </c>
      <c r="IN30" s="70">
        <f t="shared" si="10"/>
        <v>1371492</v>
      </c>
      <c r="IO30" s="70">
        <f t="shared" si="11"/>
        <v>0</v>
      </c>
      <c r="IP30" s="70">
        <f t="shared" si="12"/>
        <v>11855296</v>
      </c>
      <c r="IQ30" s="70">
        <f t="shared" si="13"/>
        <v>0</v>
      </c>
      <c r="IR30" s="70">
        <f t="shared" si="54"/>
        <v>0</v>
      </c>
      <c r="IS30" s="70">
        <f t="shared" si="55"/>
        <v>0</v>
      </c>
      <c r="IT30" s="70">
        <f t="shared" si="16"/>
        <v>10294148</v>
      </c>
      <c r="IU30" s="70">
        <f t="shared" si="17"/>
        <v>0</v>
      </c>
      <c r="IV30" s="70">
        <f t="shared" si="18"/>
        <v>0</v>
      </c>
      <c r="IW30" s="70">
        <f t="shared" si="19"/>
        <v>0</v>
      </c>
      <c r="IX30" s="70">
        <f t="shared" si="20"/>
        <v>906250</v>
      </c>
      <c r="IY30" s="70">
        <f t="shared" si="21"/>
        <v>0</v>
      </c>
      <c r="IZ30" s="70">
        <f t="shared" si="22"/>
        <v>1399630</v>
      </c>
      <c r="JA30" s="70">
        <f t="shared" si="23"/>
        <v>0</v>
      </c>
      <c r="JB30" s="70">
        <f t="shared" si="24"/>
        <v>4050342</v>
      </c>
      <c r="JC30" s="70">
        <f t="shared" si="25"/>
        <v>0</v>
      </c>
      <c r="JD30" s="70">
        <f t="shared" si="26"/>
        <v>1258584</v>
      </c>
      <c r="JE30" s="70">
        <f t="shared" si="27"/>
        <v>0</v>
      </c>
      <c r="JF30" s="70">
        <f t="shared" si="28"/>
        <v>3336799</v>
      </c>
      <c r="JG30" s="70">
        <f t="shared" si="29"/>
        <v>0</v>
      </c>
      <c r="JH30" s="70">
        <f t="shared" si="30"/>
        <v>1889406</v>
      </c>
      <c r="JI30" s="70">
        <f t="shared" si="31"/>
        <v>0</v>
      </c>
      <c r="JJ30" s="70">
        <f t="shared" si="32"/>
        <v>0</v>
      </c>
      <c r="JK30" s="70">
        <f t="shared" si="33"/>
        <v>0</v>
      </c>
      <c r="JL30" s="70">
        <f t="shared" si="34"/>
        <v>18231553</v>
      </c>
      <c r="JM30" s="70">
        <f t="shared" si="35"/>
        <v>0</v>
      </c>
      <c r="JN30" s="70">
        <f t="shared" si="36"/>
        <v>232976</v>
      </c>
      <c r="JO30" s="70">
        <f t="shared" si="37"/>
        <v>0</v>
      </c>
      <c r="JP30" s="70">
        <f t="shared" si="38"/>
        <v>0</v>
      </c>
      <c r="JQ30" s="70">
        <f t="shared" si="39"/>
        <v>0</v>
      </c>
      <c r="JR30" s="70">
        <f t="shared" si="40"/>
        <v>763359</v>
      </c>
      <c r="JS30" s="70">
        <f t="shared" si="41"/>
        <v>0</v>
      </c>
      <c r="JT30" s="70">
        <f t="shared" si="42"/>
        <v>88900</v>
      </c>
      <c r="JU30" s="70">
        <f t="shared" si="43"/>
        <v>0</v>
      </c>
      <c r="JV30" s="70">
        <f t="shared" si="44"/>
        <v>4120112</v>
      </c>
      <c r="JW30" s="70">
        <f t="shared" si="45"/>
        <v>0</v>
      </c>
      <c r="JX30" s="70">
        <f t="shared" si="46"/>
        <v>68818267</v>
      </c>
      <c r="JY30" s="70">
        <f t="shared" si="47"/>
        <v>0</v>
      </c>
      <c r="JZ30" s="70">
        <f t="shared" si="48"/>
        <v>0</v>
      </c>
      <c r="KA30" s="70">
        <f t="shared" si="49"/>
        <v>0</v>
      </c>
      <c r="KB30" s="70">
        <f t="shared" si="50"/>
        <v>68818267</v>
      </c>
      <c r="KC30" s="70">
        <f t="shared" si="51"/>
        <v>0</v>
      </c>
      <c r="KE30" s="70" t="e">
        <f t="shared" si="52"/>
        <v>#REF!</v>
      </c>
      <c r="KG30" s="68" t="e">
        <f t="shared" si="53"/>
        <v>#REF!</v>
      </c>
    </row>
    <row r="31" spans="1:293">
      <c r="A31" s="180" t="s">
        <v>256</v>
      </c>
      <c r="B31" s="76" t="s">
        <v>361</v>
      </c>
      <c r="C31" s="90">
        <v>141574</v>
      </c>
      <c r="D31" s="90">
        <v>2014</v>
      </c>
      <c r="E31" s="90">
        <v>1</v>
      </c>
      <c r="F31" s="91">
        <v>10</v>
      </c>
      <c r="G31" s="92">
        <v>14595</v>
      </c>
      <c r="H31" s="92">
        <v>11381</v>
      </c>
      <c r="I31" s="93">
        <v>1070723175</v>
      </c>
      <c r="J31" s="93">
        <v>1030723369</v>
      </c>
      <c r="K31" s="93">
        <v>6231918</v>
      </c>
      <c r="L31" s="93">
        <v>4651085</v>
      </c>
      <c r="M31" s="93">
        <v>41774321</v>
      </c>
      <c r="N31" s="93">
        <v>35753363</v>
      </c>
      <c r="O31" s="93">
        <v>68354076</v>
      </c>
      <c r="P31" s="93">
        <v>71809129</v>
      </c>
      <c r="Q31" s="93">
        <v>483507369</v>
      </c>
      <c r="R31" s="93">
        <v>467433966</v>
      </c>
      <c r="S31" s="93">
        <v>817150192</v>
      </c>
      <c r="T31" s="93">
        <v>794672497</v>
      </c>
      <c r="U31" s="93">
        <v>16490</v>
      </c>
      <c r="V31" s="93">
        <v>16247</v>
      </c>
      <c r="W31" s="93">
        <v>29040</v>
      </c>
      <c r="X31" s="93">
        <v>28359</v>
      </c>
      <c r="Y31" s="93">
        <v>18920</v>
      </c>
      <c r="Z31" s="93">
        <v>18920</v>
      </c>
      <c r="AA31" s="93">
        <v>31470</v>
      </c>
      <c r="AB31" s="93">
        <v>31030</v>
      </c>
      <c r="AC31" s="114">
        <v>7</v>
      </c>
      <c r="AD31" s="114">
        <v>11</v>
      </c>
      <c r="AE31" s="114">
        <v>0</v>
      </c>
      <c r="AF31" s="115">
        <v>3781851</v>
      </c>
      <c r="AG31" s="115">
        <v>3324910</v>
      </c>
      <c r="AH31" s="115">
        <v>1006720</v>
      </c>
      <c r="AI31" s="115">
        <v>394075</v>
      </c>
      <c r="AJ31" s="115">
        <v>929849</v>
      </c>
      <c r="AK31" s="116">
        <v>4.5</v>
      </c>
      <c r="AL31" s="115">
        <v>836864</v>
      </c>
      <c r="AM31" s="116">
        <v>5</v>
      </c>
      <c r="AN31" s="115">
        <v>212254</v>
      </c>
      <c r="AO31" s="116">
        <v>8.5</v>
      </c>
      <c r="AP31" s="115">
        <v>200462</v>
      </c>
      <c r="AQ31" s="116">
        <v>9</v>
      </c>
      <c r="AR31" s="115">
        <v>226153</v>
      </c>
      <c r="AS31" s="116">
        <v>17.5</v>
      </c>
      <c r="AT31" s="115">
        <v>197884</v>
      </c>
      <c r="AU31" s="116">
        <v>20</v>
      </c>
      <c r="AV31" s="115">
        <v>89889</v>
      </c>
      <c r="AW31" s="116">
        <v>17.5</v>
      </c>
      <c r="AX31" s="115">
        <v>78653</v>
      </c>
      <c r="AY31" s="116">
        <v>20</v>
      </c>
      <c r="AZ31" s="139">
        <v>10278389</v>
      </c>
      <c r="BA31" s="139">
        <v>150000</v>
      </c>
      <c r="BB31" s="139">
        <v>0</v>
      </c>
      <c r="BC31" s="139">
        <v>1093280</v>
      </c>
      <c r="BD31" s="139">
        <v>0</v>
      </c>
      <c r="BE31" s="139">
        <v>0</v>
      </c>
      <c r="BF31" s="140">
        <v>0</v>
      </c>
      <c r="BG31" s="139">
        <v>0</v>
      </c>
      <c r="BH31" s="139">
        <v>0</v>
      </c>
      <c r="BI31" s="139">
        <v>0</v>
      </c>
      <c r="BJ31" s="139">
        <v>0</v>
      </c>
      <c r="BK31" s="139">
        <v>0</v>
      </c>
      <c r="BL31" s="139">
        <v>0</v>
      </c>
      <c r="BM31" s="139">
        <v>0</v>
      </c>
      <c r="BN31" s="139">
        <v>0</v>
      </c>
      <c r="BO31" s="139">
        <v>368790</v>
      </c>
      <c r="BP31" s="139">
        <v>368790</v>
      </c>
      <c r="BQ31" s="139">
        <v>0</v>
      </c>
      <c r="BR31" s="139">
        <v>0</v>
      </c>
      <c r="BS31" s="139">
        <v>115219</v>
      </c>
      <c r="BT31" s="139">
        <v>1338128</v>
      </c>
      <c r="BU31" s="139">
        <v>1756693</v>
      </c>
      <c r="BV31" s="139">
        <v>3210040</v>
      </c>
      <c r="BW31" s="139">
        <v>30968258</v>
      </c>
      <c r="BX31" s="139">
        <v>9586993</v>
      </c>
      <c r="BY31" s="139">
        <v>842935</v>
      </c>
      <c r="BZ31" s="139">
        <v>2015474</v>
      </c>
      <c r="CA31" s="139">
        <v>24756721</v>
      </c>
      <c r="CB31" s="139">
        <v>68170381</v>
      </c>
      <c r="CC31" s="139">
        <v>2614392</v>
      </c>
      <c r="CD31" s="139">
        <v>396815</v>
      </c>
      <c r="CE31" s="139">
        <v>401388</v>
      </c>
      <c r="CF31" s="139">
        <v>3694166</v>
      </c>
      <c r="CG31" s="139">
        <v>124577</v>
      </c>
      <c r="CH31" s="139">
        <v>7231338</v>
      </c>
      <c r="CI31" s="139">
        <v>350000</v>
      </c>
      <c r="CJ31" s="139">
        <v>288131</v>
      </c>
      <c r="CK31" s="139">
        <v>134907</v>
      </c>
      <c r="CL31" s="139">
        <v>74791</v>
      </c>
      <c r="CM31" s="139">
        <v>0</v>
      </c>
      <c r="CN31" s="139">
        <v>847829</v>
      </c>
      <c r="CO31" s="139">
        <v>4558908</v>
      </c>
      <c r="CP31" s="139">
        <v>2778588</v>
      </c>
      <c r="CQ31" s="139">
        <v>1139297</v>
      </c>
      <c r="CR31" s="139">
        <v>3042413</v>
      </c>
      <c r="CS31" s="139">
        <v>0</v>
      </c>
      <c r="CT31" s="139">
        <v>11519206</v>
      </c>
      <c r="CU31" s="139">
        <v>0</v>
      </c>
      <c r="CV31" s="139">
        <v>0</v>
      </c>
      <c r="CW31" s="139">
        <v>0</v>
      </c>
      <c r="CX31" s="139">
        <v>0</v>
      </c>
      <c r="CY31" s="139">
        <v>0</v>
      </c>
      <c r="CZ31" s="139">
        <v>0</v>
      </c>
      <c r="DA31" s="139">
        <v>1629799</v>
      </c>
      <c r="DB31" s="139">
        <v>486743</v>
      </c>
      <c r="DC31" s="139">
        <v>334178</v>
      </c>
      <c r="DD31" s="139">
        <v>829279</v>
      </c>
      <c r="DE31" s="139">
        <v>6591631</v>
      </c>
      <c r="DF31" s="139">
        <v>9871630</v>
      </c>
      <c r="DG31" s="139">
        <v>0</v>
      </c>
      <c r="DH31" s="139">
        <v>0</v>
      </c>
      <c r="DI31" s="139">
        <v>0</v>
      </c>
      <c r="DJ31" s="139">
        <v>0</v>
      </c>
      <c r="DK31" s="139">
        <v>0</v>
      </c>
      <c r="DL31" s="139">
        <v>0</v>
      </c>
      <c r="DM31" s="139">
        <v>107000</v>
      </c>
      <c r="DN31" s="139">
        <v>0</v>
      </c>
      <c r="DO31" s="139">
        <v>0</v>
      </c>
      <c r="DP31" s="139">
        <v>0</v>
      </c>
      <c r="DQ31" s="139">
        <v>0</v>
      </c>
      <c r="DR31" s="139">
        <v>107000</v>
      </c>
      <c r="DS31" s="139">
        <v>644213</v>
      </c>
      <c r="DT31" s="139">
        <v>248273</v>
      </c>
      <c r="DU31" s="139">
        <v>107501</v>
      </c>
      <c r="DV31" s="139">
        <v>400808</v>
      </c>
      <c r="DW31" s="139">
        <v>0</v>
      </c>
      <c r="DX31" s="139">
        <v>1400795</v>
      </c>
      <c r="DY31" s="139">
        <v>949255</v>
      </c>
      <c r="DZ31" s="139">
        <v>1060061</v>
      </c>
      <c r="EA31" s="139">
        <v>744327</v>
      </c>
      <c r="EB31" s="139">
        <v>2123338</v>
      </c>
      <c r="EC31" s="139">
        <v>0</v>
      </c>
      <c r="ED31" s="139">
        <v>4876981</v>
      </c>
      <c r="EE31" s="139">
        <v>903080</v>
      </c>
      <c r="EF31" s="139">
        <v>143821</v>
      </c>
      <c r="EG31" s="139">
        <v>113894</v>
      </c>
      <c r="EH31" s="139">
        <v>437939</v>
      </c>
      <c r="EI31" s="139">
        <v>249261</v>
      </c>
      <c r="EJ31" s="139">
        <v>1847995</v>
      </c>
      <c r="EK31" s="139">
        <v>1293169</v>
      </c>
      <c r="EL31" s="139">
        <v>369162</v>
      </c>
      <c r="EM31" s="139">
        <v>307361</v>
      </c>
      <c r="EN31" s="139">
        <v>308041</v>
      </c>
      <c r="EO31" s="139">
        <v>15445</v>
      </c>
      <c r="EP31" s="139">
        <v>2293178</v>
      </c>
      <c r="EQ31" s="139">
        <v>121405</v>
      </c>
      <c r="ER31" s="139">
        <v>112987</v>
      </c>
      <c r="ES31" s="139">
        <v>108506</v>
      </c>
      <c r="ET31" s="139">
        <v>126329</v>
      </c>
      <c r="EU31" s="139">
        <v>1687305</v>
      </c>
      <c r="EV31" s="139">
        <v>2156532</v>
      </c>
      <c r="EW31" s="139">
        <v>0</v>
      </c>
      <c r="EX31" s="139">
        <v>0</v>
      </c>
      <c r="EY31" s="139">
        <v>0</v>
      </c>
      <c r="EZ31" s="139">
        <v>0</v>
      </c>
      <c r="FA31" s="139">
        <v>0</v>
      </c>
      <c r="FB31" s="139">
        <v>0</v>
      </c>
      <c r="FC31" s="139">
        <v>367223</v>
      </c>
      <c r="FD31" s="139">
        <v>74398</v>
      </c>
      <c r="FE31" s="139">
        <v>49186</v>
      </c>
      <c r="FF31" s="139">
        <v>1615667</v>
      </c>
      <c r="FG31" s="139">
        <v>16676803</v>
      </c>
      <c r="FH31" s="139">
        <v>18783277</v>
      </c>
      <c r="FI31" s="139">
        <v>0</v>
      </c>
      <c r="FJ31" s="139">
        <v>0</v>
      </c>
      <c r="FK31" s="139">
        <v>0</v>
      </c>
      <c r="FL31" s="139">
        <v>0</v>
      </c>
      <c r="FM31" s="139">
        <v>391440</v>
      </c>
      <c r="FN31" s="139">
        <v>391440</v>
      </c>
      <c r="FO31" s="139">
        <v>0</v>
      </c>
      <c r="FP31" s="139">
        <v>0</v>
      </c>
      <c r="FQ31" s="139">
        <v>0</v>
      </c>
      <c r="FR31" s="139">
        <v>0</v>
      </c>
      <c r="FS31" s="139">
        <v>0</v>
      </c>
      <c r="FT31" s="139">
        <v>0</v>
      </c>
      <c r="FU31" s="139">
        <v>191481</v>
      </c>
      <c r="FV31" s="139">
        <v>7691</v>
      </c>
      <c r="FW31" s="139">
        <v>14957</v>
      </c>
      <c r="FX31" s="139">
        <v>237919</v>
      </c>
      <c r="FY31" s="139">
        <v>2741</v>
      </c>
      <c r="FZ31" s="139">
        <v>454789</v>
      </c>
      <c r="GA31" s="139">
        <v>3224</v>
      </c>
      <c r="GB31" s="139">
        <v>1155</v>
      </c>
      <c r="GC31" s="139">
        <v>0</v>
      </c>
      <c r="GD31" s="139">
        <v>7065</v>
      </c>
      <c r="GE31" s="139">
        <v>1634308</v>
      </c>
      <c r="GF31" s="139">
        <v>1645752</v>
      </c>
      <c r="GG31" s="139">
        <v>728113</v>
      </c>
      <c r="GH31" s="139">
        <v>101311</v>
      </c>
      <c r="GI31" s="139">
        <v>75401</v>
      </c>
      <c r="GJ31" s="139">
        <v>267649</v>
      </c>
      <c r="GK31" s="139">
        <v>3367496</v>
      </c>
      <c r="GL31" s="139">
        <v>4539970</v>
      </c>
      <c r="GM31" s="150">
        <v>9823217</v>
      </c>
      <c r="GN31" s="150">
        <v>2565198</v>
      </c>
      <c r="GO31" s="150">
        <v>1626381</v>
      </c>
      <c r="GP31" s="150">
        <v>11585587</v>
      </c>
      <c r="GQ31" s="150">
        <v>17486145</v>
      </c>
      <c r="GR31" s="150">
        <v>43086528</v>
      </c>
      <c r="GS31" s="139">
        <v>0</v>
      </c>
      <c r="GT31" s="139">
        <v>0</v>
      </c>
      <c r="GU31" s="139">
        <v>0</v>
      </c>
      <c r="GV31" s="139">
        <v>0</v>
      </c>
      <c r="GW31" s="139">
        <v>0</v>
      </c>
      <c r="GX31" s="139">
        <v>0</v>
      </c>
      <c r="GY31" s="139">
        <v>14461262</v>
      </c>
      <c r="GZ31" s="139">
        <v>6069136</v>
      </c>
      <c r="HA31" s="139">
        <v>3530903</v>
      </c>
      <c r="HB31" s="139">
        <v>13165404</v>
      </c>
      <c r="HC31" s="139">
        <v>30741007</v>
      </c>
      <c r="HD31" s="139">
        <v>67967712</v>
      </c>
      <c r="HF31" s="70">
        <f>SUM(AZ31:AZ31)</f>
        <v>10278389</v>
      </c>
      <c r="HG31" s="70" t="e">
        <f>#REF!-HF31</f>
        <v>#REF!</v>
      </c>
      <c r="HH31" s="70" t="e">
        <f>SUM(#REF!)</f>
        <v>#REF!</v>
      </c>
      <c r="HI31" s="70" t="e">
        <f>#REF!-HH31</f>
        <v>#REF!</v>
      </c>
      <c r="HJ31" s="70">
        <f>SUM(BA31:BA31)</f>
        <v>150000</v>
      </c>
      <c r="HK31" s="70" t="e">
        <f>#REF!-HJ31</f>
        <v>#REF!</v>
      </c>
      <c r="HL31" s="70" t="e">
        <f>SUM(#REF!)</f>
        <v>#REF!</v>
      </c>
      <c r="HM31" s="70" t="e">
        <f>BB31-HL31</f>
        <v>#REF!</v>
      </c>
      <c r="HN31" s="70" t="e">
        <f>SUM(#REF!)</f>
        <v>#REF!</v>
      </c>
      <c r="HO31" s="70" t="e">
        <f>#REF!-HN31</f>
        <v>#REF!</v>
      </c>
      <c r="HP31" s="70" t="e">
        <f>SUM(#REF!)</f>
        <v>#REF!</v>
      </c>
      <c r="HQ31" s="70" t="e">
        <f>#REF!-HP31</f>
        <v>#REF!</v>
      </c>
      <c r="HR31" s="70" t="e">
        <f>SUM(#REF!)</f>
        <v>#REF!</v>
      </c>
      <c r="HS31" s="70" t="e">
        <f>#REF!-HR31</f>
        <v>#REF!</v>
      </c>
      <c r="HT31" s="70" t="e">
        <f>SUM(#REF!)</f>
        <v>#REF!</v>
      </c>
      <c r="HU31" s="70" t="e">
        <f>#REF!-HT31</f>
        <v>#REF!</v>
      </c>
      <c r="HV31" s="70" t="e">
        <f>SUM(#REF!)</f>
        <v>#REF!</v>
      </c>
      <c r="HW31" s="70" t="e">
        <f>#REF!-HV31</f>
        <v>#REF!</v>
      </c>
      <c r="HX31" s="70" t="e">
        <f>SUM(#REF!)</f>
        <v>#REF!</v>
      </c>
      <c r="HY31" s="70" t="e">
        <f>#REF!-HX31</f>
        <v>#REF!</v>
      </c>
      <c r="HZ31" s="70">
        <f>SUM(BC31:BC31)</f>
        <v>1093280</v>
      </c>
      <c r="IA31" s="70" t="e">
        <f>#REF!-HZ31</f>
        <v>#REF!</v>
      </c>
      <c r="IB31" s="70">
        <f>SUM(BD31:BD31)</f>
        <v>0</v>
      </c>
      <c r="IC31" s="70" t="e">
        <f>#REF!-IB31</f>
        <v>#REF!</v>
      </c>
      <c r="ID31" s="70">
        <f t="shared" si="0"/>
        <v>0</v>
      </c>
      <c r="IE31" s="70">
        <f t="shared" si="1"/>
        <v>0</v>
      </c>
      <c r="IF31" s="70">
        <f t="shared" si="2"/>
        <v>368790</v>
      </c>
      <c r="IG31" s="70">
        <f t="shared" si="3"/>
        <v>0</v>
      </c>
      <c r="IH31" s="70">
        <f t="shared" si="4"/>
        <v>3210040</v>
      </c>
      <c r="II31" s="70">
        <f t="shared" si="5"/>
        <v>0</v>
      </c>
      <c r="IJ31" s="70">
        <f t="shared" si="6"/>
        <v>68170381</v>
      </c>
      <c r="IK31" s="70">
        <f t="shared" si="7"/>
        <v>0</v>
      </c>
      <c r="IL31" s="70">
        <f t="shared" si="8"/>
        <v>7231338</v>
      </c>
      <c r="IM31" s="70">
        <f t="shared" si="9"/>
        <v>0</v>
      </c>
      <c r="IN31" s="70">
        <f t="shared" si="10"/>
        <v>847829</v>
      </c>
      <c r="IO31" s="70">
        <f t="shared" si="11"/>
        <v>0</v>
      </c>
      <c r="IP31" s="70">
        <f t="shared" si="12"/>
        <v>11519206</v>
      </c>
      <c r="IQ31" s="70">
        <f t="shared" si="13"/>
        <v>0</v>
      </c>
      <c r="IR31" s="70">
        <f t="shared" si="54"/>
        <v>0</v>
      </c>
      <c r="IS31" s="70">
        <f t="shared" si="55"/>
        <v>0</v>
      </c>
      <c r="IT31" s="70">
        <f t="shared" si="16"/>
        <v>9871630</v>
      </c>
      <c r="IU31" s="70">
        <f t="shared" si="17"/>
        <v>0</v>
      </c>
      <c r="IV31" s="70">
        <f t="shared" si="18"/>
        <v>0</v>
      </c>
      <c r="IW31" s="70">
        <f t="shared" si="19"/>
        <v>0</v>
      </c>
      <c r="IX31" s="70">
        <f t="shared" si="20"/>
        <v>107000</v>
      </c>
      <c r="IY31" s="70">
        <f t="shared" si="21"/>
        <v>0</v>
      </c>
      <c r="IZ31" s="70">
        <f t="shared" si="22"/>
        <v>1400795</v>
      </c>
      <c r="JA31" s="70">
        <f t="shared" si="23"/>
        <v>0</v>
      </c>
      <c r="JB31" s="70">
        <f t="shared" si="24"/>
        <v>4876981</v>
      </c>
      <c r="JC31" s="70">
        <f t="shared" si="25"/>
        <v>0</v>
      </c>
      <c r="JD31" s="70">
        <f t="shared" si="26"/>
        <v>1847995</v>
      </c>
      <c r="JE31" s="70">
        <f t="shared" si="27"/>
        <v>0</v>
      </c>
      <c r="JF31" s="70">
        <f t="shared" si="28"/>
        <v>2293178</v>
      </c>
      <c r="JG31" s="70">
        <f t="shared" si="29"/>
        <v>0</v>
      </c>
      <c r="JH31" s="70">
        <f t="shared" si="30"/>
        <v>2156532</v>
      </c>
      <c r="JI31" s="70">
        <f t="shared" si="31"/>
        <v>0</v>
      </c>
      <c r="JJ31" s="70">
        <f t="shared" si="32"/>
        <v>0</v>
      </c>
      <c r="JK31" s="70">
        <f t="shared" si="33"/>
        <v>0</v>
      </c>
      <c r="JL31" s="70">
        <f t="shared" si="34"/>
        <v>18783277</v>
      </c>
      <c r="JM31" s="70">
        <f t="shared" si="35"/>
        <v>0</v>
      </c>
      <c r="JN31" s="70">
        <f t="shared" si="36"/>
        <v>391440</v>
      </c>
      <c r="JO31" s="70">
        <f t="shared" si="37"/>
        <v>0</v>
      </c>
      <c r="JP31" s="70">
        <f t="shared" si="38"/>
        <v>0</v>
      </c>
      <c r="JQ31" s="70">
        <f t="shared" si="39"/>
        <v>0</v>
      </c>
      <c r="JR31" s="70">
        <f t="shared" si="40"/>
        <v>454789</v>
      </c>
      <c r="JS31" s="70">
        <f t="shared" si="41"/>
        <v>0</v>
      </c>
      <c r="JT31" s="70">
        <f t="shared" si="42"/>
        <v>1645752</v>
      </c>
      <c r="JU31" s="70">
        <f t="shared" si="43"/>
        <v>0</v>
      </c>
      <c r="JV31" s="70">
        <f t="shared" si="44"/>
        <v>4539970</v>
      </c>
      <c r="JW31" s="70">
        <f t="shared" si="45"/>
        <v>0</v>
      </c>
      <c r="JX31" s="70">
        <f t="shared" si="46"/>
        <v>43086528</v>
      </c>
      <c r="JY31" s="70">
        <f t="shared" si="47"/>
        <v>0</v>
      </c>
      <c r="JZ31" s="70">
        <f t="shared" si="48"/>
        <v>0</v>
      </c>
      <c r="KA31" s="70">
        <f t="shared" si="49"/>
        <v>0</v>
      </c>
      <c r="KB31" s="70">
        <f t="shared" si="50"/>
        <v>67967712</v>
      </c>
      <c r="KC31" s="70">
        <f t="shared" si="51"/>
        <v>0</v>
      </c>
      <c r="KE31" s="70" t="e">
        <f t="shared" si="52"/>
        <v>#REF!</v>
      </c>
      <c r="KG31" s="68" t="e">
        <f t="shared" si="53"/>
        <v>#REF!</v>
      </c>
    </row>
    <row r="32" spans="1:293">
      <c r="A32" s="180" t="s">
        <v>257</v>
      </c>
      <c r="B32" s="76" t="s">
        <v>361</v>
      </c>
      <c r="C32" s="90">
        <v>225511</v>
      </c>
      <c r="D32" s="90">
        <v>2014</v>
      </c>
      <c r="E32" s="90">
        <v>1</v>
      </c>
      <c r="F32" s="91">
        <v>6</v>
      </c>
      <c r="G32" s="92">
        <v>15275</v>
      </c>
      <c r="H32" s="92">
        <v>15125</v>
      </c>
      <c r="I32" s="93">
        <v>871909376</v>
      </c>
      <c r="J32" s="93">
        <v>825928747</v>
      </c>
      <c r="K32" s="93">
        <v>4635655</v>
      </c>
      <c r="L32" s="93">
        <v>1589655</v>
      </c>
      <c r="M32" s="93">
        <v>67044760</v>
      </c>
      <c r="N32" s="93">
        <v>58000000</v>
      </c>
      <c r="O32" s="93">
        <v>50170974</v>
      </c>
      <c r="P32" s="93">
        <v>6394194</v>
      </c>
      <c r="Q32" s="93">
        <v>760008769</v>
      </c>
      <c r="R32" s="93">
        <v>680000000</v>
      </c>
      <c r="S32" s="93">
        <v>670937067</v>
      </c>
      <c r="T32" s="93">
        <v>640804787</v>
      </c>
      <c r="U32" s="93">
        <v>19184</v>
      </c>
      <c r="V32" s="93">
        <v>19841</v>
      </c>
      <c r="W32" s="93">
        <v>29804</v>
      </c>
      <c r="X32" s="93">
        <v>30371</v>
      </c>
      <c r="Y32" s="93">
        <v>23134</v>
      </c>
      <c r="Z32" s="93">
        <v>23791</v>
      </c>
      <c r="AA32" s="93">
        <v>33754</v>
      </c>
      <c r="AB32" s="93">
        <v>34321</v>
      </c>
      <c r="AC32" s="114">
        <v>7</v>
      </c>
      <c r="AD32" s="114">
        <v>10</v>
      </c>
      <c r="AE32" s="114">
        <v>0</v>
      </c>
      <c r="AF32" s="115">
        <v>3362597</v>
      </c>
      <c r="AG32" s="115">
        <v>2228956</v>
      </c>
      <c r="AH32" s="115">
        <v>348329</v>
      </c>
      <c r="AI32" s="115">
        <v>240084</v>
      </c>
      <c r="AJ32" s="115">
        <v>542302</v>
      </c>
      <c r="AK32" s="116">
        <v>4.5</v>
      </c>
      <c r="AL32" s="115">
        <v>488072</v>
      </c>
      <c r="AM32" s="116">
        <v>4.5</v>
      </c>
      <c r="AN32" s="115">
        <v>135643</v>
      </c>
      <c r="AO32" s="116">
        <v>7.5</v>
      </c>
      <c r="AP32" s="115">
        <v>127166</v>
      </c>
      <c r="AQ32" s="116">
        <v>7.5</v>
      </c>
      <c r="AR32" s="115">
        <v>250129</v>
      </c>
      <c r="AS32" s="116">
        <v>17.5</v>
      </c>
      <c r="AT32" s="115">
        <v>218863</v>
      </c>
      <c r="AU32" s="116">
        <v>20</v>
      </c>
      <c r="AV32" s="115">
        <v>72094</v>
      </c>
      <c r="AW32" s="116">
        <v>15.5</v>
      </c>
      <c r="AX32" s="115">
        <v>62081</v>
      </c>
      <c r="AY32" s="116">
        <v>18</v>
      </c>
      <c r="AZ32" s="139">
        <v>2871896</v>
      </c>
      <c r="BA32" s="139">
        <v>100000</v>
      </c>
      <c r="BB32" s="139">
        <v>5755363</v>
      </c>
      <c r="BC32" s="139">
        <v>11925</v>
      </c>
      <c r="BD32" s="139">
        <v>0</v>
      </c>
      <c r="BE32" s="139">
        <v>0</v>
      </c>
      <c r="BF32" s="139">
        <v>0</v>
      </c>
      <c r="BG32" s="139">
        <v>0</v>
      </c>
      <c r="BH32" s="139">
        <v>0</v>
      </c>
      <c r="BI32" s="139">
        <v>0</v>
      </c>
      <c r="BJ32" s="139">
        <v>0</v>
      </c>
      <c r="BK32" s="139">
        <v>139652</v>
      </c>
      <c r="BL32" s="139">
        <v>13670</v>
      </c>
      <c r="BM32" s="139">
        <v>0</v>
      </c>
      <c r="BN32" s="139">
        <v>65454</v>
      </c>
      <c r="BO32" s="139">
        <v>0</v>
      </c>
      <c r="BP32" s="139">
        <v>218776</v>
      </c>
      <c r="BQ32" s="139">
        <v>94751</v>
      </c>
      <c r="BR32" s="139">
        <v>0</v>
      </c>
      <c r="BS32" s="139">
        <v>0</v>
      </c>
      <c r="BT32" s="139">
        <v>73748</v>
      </c>
      <c r="BU32" s="139">
        <v>82010</v>
      </c>
      <c r="BV32" s="139">
        <v>250509</v>
      </c>
      <c r="BW32" s="139">
        <v>4516980</v>
      </c>
      <c r="BX32" s="139">
        <v>476300</v>
      </c>
      <c r="BY32" s="139">
        <v>47997</v>
      </c>
      <c r="BZ32" s="139">
        <v>621196</v>
      </c>
      <c r="CA32" s="139">
        <v>34648251</v>
      </c>
      <c r="CB32" s="139">
        <v>40310724</v>
      </c>
      <c r="CC32" s="139">
        <v>2353953</v>
      </c>
      <c r="CD32" s="139">
        <v>369761</v>
      </c>
      <c r="CE32" s="139">
        <v>407769</v>
      </c>
      <c r="CF32" s="139">
        <v>2460070</v>
      </c>
      <c r="CG32" s="139">
        <v>57818</v>
      </c>
      <c r="CH32" s="139">
        <v>5649371</v>
      </c>
      <c r="CI32" s="139">
        <v>417305</v>
      </c>
      <c r="CJ32" s="139">
        <v>440000</v>
      </c>
      <c r="CK32" s="139">
        <v>22068</v>
      </c>
      <c r="CL32" s="139">
        <v>40371</v>
      </c>
      <c r="CM32" s="139">
        <v>0</v>
      </c>
      <c r="CN32" s="139">
        <v>919744</v>
      </c>
      <c r="CO32" s="139">
        <v>3881393</v>
      </c>
      <c r="CP32" s="139">
        <v>1826889</v>
      </c>
      <c r="CQ32" s="139">
        <v>702362</v>
      </c>
      <c r="CR32" s="139">
        <v>2541760</v>
      </c>
      <c r="CS32" s="139">
        <v>0</v>
      </c>
      <c r="CT32" s="139">
        <v>8952404</v>
      </c>
      <c r="CU32" s="139">
        <v>0</v>
      </c>
      <c r="CV32" s="139">
        <v>0</v>
      </c>
      <c r="CW32" s="139">
        <v>0</v>
      </c>
      <c r="CX32" s="139">
        <v>0</v>
      </c>
      <c r="CY32" s="139">
        <v>0</v>
      </c>
      <c r="CZ32" s="139">
        <v>0</v>
      </c>
      <c r="DA32" s="139">
        <v>0</v>
      </c>
      <c r="DB32" s="139">
        <v>0</v>
      </c>
      <c r="DC32" s="139">
        <v>0</v>
      </c>
      <c r="DD32" s="139">
        <v>0</v>
      </c>
      <c r="DE32" s="139">
        <v>6273305</v>
      </c>
      <c r="DF32" s="139">
        <v>6273305</v>
      </c>
      <c r="DG32" s="139">
        <v>0</v>
      </c>
      <c r="DH32" s="139">
        <v>0</v>
      </c>
      <c r="DI32" s="139">
        <v>0</v>
      </c>
      <c r="DJ32" s="139">
        <v>0</v>
      </c>
      <c r="DK32" s="139">
        <v>0</v>
      </c>
      <c r="DL32" s="139">
        <v>0</v>
      </c>
      <c r="DM32" s="139">
        <v>0</v>
      </c>
      <c r="DN32" s="139">
        <v>0</v>
      </c>
      <c r="DO32" s="139">
        <v>0</v>
      </c>
      <c r="DP32" s="139">
        <v>0</v>
      </c>
      <c r="DQ32" s="139">
        <v>0</v>
      </c>
      <c r="DR32" s="139">
        <v>0</v>
      </c>
      <c r="DS32" s="139">
        <v>156157</v>
      </c>
      <c r="DT32" s="139">
        <v>97850</v>
      </c>
      <c r="DU32" s="139">
        <v>104991</v>
      </c>
      <c r="DV32" s="139">
        <v>229415</v>
      </c>
      <c r="DW32" s="139">
        <v>0</v>
      </c>
      <c r="DX32" s="139">
        <v>588413</v>
      </c>
      <c r="DY32" s="139">
        <v>1202557</v>
      </c>
      <c r="DZ32" s="139">
        <v>404618</v>
      </c>
      <c r="EA32" s="139">
        <v>268313</v>
      </c>
      <c r="EB32" s="139">
        <v>1427014</v>
      </c>
      <c r="EC32" s="139">
        <v>0</v>
      </c>
      <c r="ED32" s="139">
        <v>3302502</v>
      </c>
      <c r="EE32" s="139">
        <v>489240</v>
      </c>
      <c r="EF32" s="139">
        <v>60568</v>
      </c>
      <c r="EG32" s="139">
        <v>30787</v>
      </c>
      <c r="EH32" s="139">
        <v>499810</v>
      </c>
      <c r="EI32" s="139">
        <v>238838</v>
      </c>
      <c r="EJ32" s="139">
        <v>1319243</v>
      </c>
      <c r="EK32" s="139">
        <v>973332</v>
      </c>
      <c r="EL32" s="139">
        <v>66129</v>
      </c>
      <c r="EM32" s="139">
        <v>28544</v>
      </c>
      <c r="EN32" s="139">
        <v>262240</v>
      </c>
      <c r="EO32" s="139">
        <v>0</v>
      </c>
      <c r="EP32" s="139">
        <v>1330245</v>
      </c>
      <c r="EQ32" s="139">
        <v>22258</v>
      </c>
      <c r="ER32" s="139">
        <v>2772</v>
      </c>
      <c r="ES32" s="139">
        <v>0</v>
      </c>
      <c r="ET32" s="139">
        <v>7326</v>
      </c>
      <c r="EU32" s="139">
        <v>499622</v>
      </c>
      <c r="EV32" s="139">
        <v>531978</v>
      </c>
      <c r="EW32" s="139">
        <v>0</v>
      </c>
      <c r="EX32" s="139">
        <v>0</v>
      </c>
      <c r="EY32" s="139">
        <v>0</v>
      </c>
      <c r="EZ32" s="139">
        <v>0</v>
      </c>
      <c r="FA32" s="139">
        <v>0</v>
      </c>
      <c r="FB32" s="139">
        <v>0</v>
      </c>
      <c r="FC32" s="139">
        <v>0</v>
      </c>
      <c r="FD32" s="139">
        <v>0</v>
      </c>
      <c r="FE32" s="139">
        <v>0</v>
      </c>
      <c r="FF32" s="139">
        <v>0</v>
      </c>
      <c r="FG32" s="139">
        <v>5939807</v>
      </c>
      <c r="FH32" s="139">
        <v>5939807</v>
      </c>
      <c r="FI32" s="139">
        <v>0</v>
      </c>
      <c r="FJ32" s="139">
        <v>0</v>
      </c>
      <c r="FK32" s="139">
        <v>0</v>
      </c>
      <c r="FL32" s="139">
        <v>0</v>
      </c>
      <c r="FM32" s="139">
        <v>0</v>
      </c>
      <c r="FN32" s="139">
        <v>0</v>
      </c>
      <c r="FO32" s="139">
        <v>0</v>
      </c>
      <c r="FP32" s="139">
        <v>0</v>
      </c>
      <c r="FQ32" s="139">
        <v>0</v>
      </c>
      <c r="FR32" s="139">
        <v>0</v>
      </c>
      <c r="FS32" s="139">
        <v>0</v>
      </c>
      <c r="FT32" s="139">
        <v>0</v>
      </c>
      <c r="FU32" s="139">
        <v>0</v>
      </c>
      <c r="FV32" s="139">
        <v>0</v>
      </c>
      <c r="FW32" s="139">
        <v>0</v>
      </c>
      <c r="FX32" s="139">
        <v>0</v>
      </c>
      <c r="FY32" s="139">
        <v>780474</v>
      </c>
      <c r="FZ32" s="139">
        <v>780474</v>
      </c>
      <c r="GA32" s="139">
        <v>3660</v>
      </c>
      <c r="GB32" s="139">
        <v>195</v>
      </c>
      <c r="GC32" s="139">
        <v>1189</v>
      </c>
      <c r="GD32" s="139">
        <v>4399</v>
      </c>
      <c r="GE32" s="139">
        <v>14710</v>
      </c>
      <c r="GF32" s="139">
        <v>24153</v>
      </c>
      <c r="GG32" s="139">
        <v>428764</v>
      </c>
      <c r="GH32" s="139">
        <v>89110</v>
      </c>
      <c r="GI32" s="139">
        <v>80894</v>
      </c>
      <c r="GJ32" s="139">
        <v>349436</v>
      </c>
      <c r="GK32" s="139">
        <v>2926553</v>
      </c>
      <c r="GL32" s="139">
        <v>3874757</v>
      </c>
      <c r="GM32" s="139">
        <v>9928619</v>
      </c>
      <c r="GN32" s="139">
        <v>3357892</v>
      </c>
      <c r="GO32" s="139">
        <v>1646917</v>
      </c>
      <c r="GP32" s="139">
        <v>7821841</v>
      </c>
      <c r="GQ32" s="139">
        <v>16731127</v>
      </c>
      <c r="GR32" s="139">
        <v>39486396</v>
      </c>
      <c r="GS32" s="139">
        <v>0</v>
      </c>
      <c r="GT32" s="139">
        <v>0</v>
      </c>
      <c r="GU32" s="139">
        <v>0</v>
      </c>
      <c r="GV32" s="139">
        <v>0</v>
      </c>
      <c r="GW32" s="139">
        <v>0</v>
      </c>
      <c r="GX32" s="139">
        <v>0</v>
      </c>
      <c r="GY32" s="139">
        <v>9928619</v>
      </c>
      <c r="GZ32" s="139">
        <v>3357892</v>
      </c>
      <c r="HA32" s="139">
        <v>1646917</v>
      </c>
      <c r="HB32" s="139">
        <v>7821841</v>
      </c>
      <c r="HC32" s="139">
        <v>16731127</v>
      </c>
      <c r="HD32" s="139">
        <v>39486396</v>
      </c>
      <c r="HF32" s="70">
        <f>SUM(AZ32:AZ32)</f>
        <v>2871896</v>
      </c>
      <c r="HG32" s="70" t="e">
        <f>#REF!-HF32</f>
        <v>#REF!</v>
      </c>
      <c r="HH32" s="70" t="e">
        <f>SUM(#REF!)</f>
        <v>#REF!</v>
      </c>
      <c r="HI32" s="70" t="e">
        <f>#REF!-HH32</f>
        <v>#REF!</v>
      </c>
      <c r="HJ32" s="70">
        <f>SUM(BA32:BA32)</f>
        <v>100000</v>
      </c>
      <c r="HK32" s="70" t="e">
        <f>#REF!-HJ32</f>
        <v>#REF!</v>
      </c>
      <c r="HL32" s="70" t="e">
        <f>SUM(#REF!)</f>
        <v>#REF!</v>
      </c>
      <c r="HM32" s="70" t="e">
        <f>BB32-HL32</f>
        <v>#REF!</v>
      </c>
      <c r="HN32" s="70" t="e">
        <f>SUM(#REF!)</f>
        <v>#REF!</v>
      </c>
      <c r="HO32" s="70" t="e">
        <f>#REF!-HN32</f>
        <v>#REF!</v>
      </c>
      <c r="HP32" s="70" t="e">
        <f>SUM(#REF!)</f>
        <v>#REF!</v>
      </c>
      <c r="HQ32" s="70" t="e">
        <f>#REF!-HP32</f>
        <v>#REF!</v>
      </c>
      <c r="HR32" s="70" t="e">
        <f>SUM(#REF!)</f>
        <v>#REF!</v>
      </c>
      <c r="HS32" s="70" t="e">
        <f>#REF!-HR32</f>
        <v>#REF!</v>
      </c>
      <c r="HT32" s="70" t="e">
        <f>SUM(#REF!)</f>
        <v>#REF!</v>
      </c>
      <c r="HU32" s="70" t="e">
        <f>#REF!-HT32</f>
        <v>#REF!</v>
      </c>
      <c r="HV32" s="70" t="e">
        <f>SUM(#REF!)</f>
        <v>#REF!</v>
      </c>
      <c r="HW32" s="70" t="e">
        <f>#REF!-HV32</f>
        <v>#REF!</v>
      </c>
      <c r="HX32" s="70" t="e">
        <f>SUM(#REF!)</f>
        <v>#REF!</v>
      </c>
      <c r="HY32" s="70" t="e">
        <f>#REF!-HX32</f>
        <v>#REF!</v>
      </c>
      <c r="HZ32" s="70">
        <f>SUM(BC32:BC32)</f>
        <v>11925</v>
      </c>
      <c r="IA32" s="70" t="e">
        <f>#REF!-HZ32</f>
        <v>#REF!</v>
      </c>
      <c r="IB32" s="70">
        <f>SUM(BD32:BD32)</f>
        <v>0</v>
      </c>
      <c r="IC32" s="70" t="e">
        <f>#REF!-IB32</f>
        <v>#REF!</v>
      </c>
      <c r="ID32" s="70">
        <f t="shared" si="0"/>
        <v>0</v>
      </c>
      <c r="IE32" s="70">
        <f t="shared" si="1"/>
        <v>0</v>
      </c>
      <c r="IF32" s="70">
        <f t="shared" si="2"/>
        <v>218776</v>
      </c>
      <c r="IG32" s="70">
        <f t="shared" si="3"/>
        <v>0</v>
      </c>
      <c r="IH32" s="70">
        <f t="shared" si="4"/>
        <v>250509</v>
      </c>
      <c r="II32" s="70">
        <f t="shared" si="5"/>
        <v>0</v>
      </c>
      <c r="IJ32" s="70">
        <f t="shared" si="6"/>
        <v>40310724</v>
      </c>
      <c r="IK32" s="70">
        <f t="shared" si="7"/>
        <v>0</v>
      </c>
      <c r="IL32" s="70">
        <f t="shared" si="8"/>
        <v>5649371</v>
      </c>
      <c r="IM32" s="70">
        <f t="shared" si="9"/>
        <v>0</v>
      </c>
      <c r="IN32" s="70">
        <f t="shared" si="10"/>
        <v>919744</v>
      </c>
      <c r="IO32" s="70">
        <f t="shared" si="11"/>
        <v>0</v>
      </c>
      <c r="IP32" s="70">
        <f t="shared" si="12"/>
        <v>8952404</v>
      </c>
      <c r="IQ32" s="70">
        <f t="shared" si="13"/>
        <v>0</v>
      </c>
      <c r="IR32" s="70">
        <f t="shared" si="54"/>
        <v>0</v>
      </c>
      <c r="IS32" s="70">
        <f t="shared" si="55"/>
        <v>0</v>
      </c>
      <c r="IT32" s="70">
        <f t="shared" si="16"/>
        <v>6273305</v>
      </c>
      <c r="IU32" s="70">
        <f t="shared" si="17"/>
        <v>0</v>
      </c>
      <c r="IV32" s="70">
        <f t="shared" si="18"/>
        <v>0</v>
      </c>
      <c r="IW32" s="70">
        <f t="shared" si="19"/>
        <v>0</v>
      </c>
      <c r="IX32" s="70">
        <f t="shared" si="20"/>
        <v>0</v>
      </c>
      <c r="IY32" s="70">
        <f t="shared" si="21"/>
        <v>0</v>
      </c>
      <c r="IZ32" s="70">
        <f t="shared" si="22"/>
        <v>588413</v>
      </c>
      <c r="JA32" s="70">
        <f t="shared" si="23"/>
        <v>0</v>
      </c>
      <c r="JB32" s="70">
        <f t="shared" si="24"/>
        <v>3302502</v>
      </c>
      <c r="JC32" s="70">
        <f t="shared" si="25"/>
        <v>0</v>
      </c>
      <c r="JD32" s="70">
        <f t="shared" si="26"/>
        <v>1319243</v>
      </c>
      <c r="JE32" s="70">
        <f t="shared" si="27"/>
        <v>0</v>
      </c>
      <c r="JF32" s="70">
        <f t="shared" si="28"/>
        <v>1330245</v>
      </c>
      <c r="JG32" s="70">
        <f t="shared" si="29"/>
        <v>0</v>
      </c>
      <c r="JH32" s="70">
        <f t="shared" si="30"/>
        <v>531978</v>
      </c>
      <c r="JI32" s="70">
        <f t="shared" si="31"/>
        <v>0</v>
      </c>
      <c r="JJ32" s="70">
        <f t="shared" si="32"/>
        <v>0</v>
      </c>
      <c r="JK32" s="70">
        <f t="shared" si="33"/>
        <v>0</v>
      </c>
      <c r="JL32" s="70">
        <f t="shared" si="34"/>
        <v>5939807</v>
      </c>
      <c r="JM32" s="70">
        <f t="shared" si="35"/>
        <v>0</v>
      </c>
      <c r="JN32" s="70">
        <f t="shared" si="36"/>
        <v>0</v>
      </c>
      <c r="JO32" s="70">
        <f t="shared" si="37"/>
        <v>0</v>
      </c>
      <c r="JP32" s="70">
        <f t="shared" si="38"/>
        <v>0</v>
      </c>
      <c r="JQ32" s="70">
        <f t="shared" si="39"/>
        <v>0</v>
      </c>
      <c r="JR32" s="70">
        <f t="shared" si="40"/>
        <v>780474</v>
      </c>
      <c r="JS32" s="70">
        <f t="shared" si="41"/>
        <v>0</v>
      </c>
      <c r="JT32" s="70">
        <f t="shared" si="42"/>
        <v>24153</v>
      </c>
      <c r="JU32" s="70">
        <f t="shared" si="43"/>
        <v>0</v>
      </c>
      <c r="JV32" s="70">
        <f t="shared" si="44"/>
        <v>3874757</v>
      </c>
      <c r="JW32" s="70">
        <f t="shared" si="45"/>
        <v>0</v>
      </c>
      <c r="JX32" s="70">
        <f t="shared" si="46"/>
        <v>39486396</v>
      </c>
      <c r="JY32" s="70">
        <f t="shared" si="47"/>
        <v>0</v>
      </c>
      <c r="JZ32" s="70">
        <f t="shared" si="48"/>
        <v>0</v>
      </c>
      <c r="KA32" s="70">
        <f t="shared" si="49"/>
        <v>0</v>
      </c>
      <c r="KB32" s="70">
        <f t="shared" si="50"/>
        <v>39486396</v>
      </c>
      <c r="KC32" s="70">
        <f t="shared" si="51"/>
        <v>0</v>
      </c>
      <c r="KE32" s="70" t="e">
        <f t="shared" si="52"/>
        <v>#REF!</v>
      </c>
      <c r="KG32" s="68" t="e">
        <f t="shared" si="53"/>
        <v>#REF!</v>
      </c>
    </row>
    <row r="33" spans="1:293">
      <c r="A33" s="181" t="s">
        <v>258</v>
      </c>
      <c r="B33" s="76" t="s">
        <v>361</v>
      </c>
      <c r="C33" s="90">
        <v>142285</v>
      </c>
      <c r="D33" s="90">
        <v>2014</v>
      </c>
      <c r="E33" s="90">
        <v>1</v>
      </c>
      <c r="F33" s="91">
        <v>11</v>
      </c>
      <c r="G33" s="92"/>
      <c r="H33" s="92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114"/>
      <c r="AD33" s="114"/>
      <c r="AE33" s="114"/>
      <c r="AF33" s="115"/>
      <c r="AG33" s="115"/>
      <c r="AH33" s="115"/>
      <c r="AI33" s="115"/>
      <c r="AJ33" s="115"/>
      <c r="AK33" s="116"/>
      <c r="AL33" s="115"/>
      <c r="AM33" s="116"/>
      <c r="AN33" s="115"/>
      <c r="AO33" s="116"/>
      <c r="AP33" s="115"/>
      <c r="AQ33" s="116"/>
      <c r="AR33" s="115"/>
      <c r="AS33" s="116"/>
      <c r="AT33" s="115"/>
      <c r="AU33" s="116"/>
      <c r="AV33" s="115"/>
      <c r="AW33" s="116"/>
      <c r="AX33" s="115"/>
      <c r="AY33" s="116"/>
      <c r="AZ33" s="161">
        <v>704355</v>
      </c>
      <c r="BA33" s="161">
        <v>3135000</v>
      </c>
      <c r="BB33" s="161">
        <v>2613438</v>
      </c>
      <c r="BC33" s="161">
        <v>19522</v>
      </c>
      <c r="BD33" s="139">
        <v>0</v>
      </c>
      <c r="BE33" s="161">
        <v>29535</v>
      </c>
      <c r="BF33" s="139">
        <v>0</v>
      </c>
      <c r="BG33" s="161">
        <v>2760</v>
      </c>
      <c r="BH33" s="139">
        <f>29535+20445-BE33-BF33-BG33</f>
        <v>17685</v>
      </c>
      <c r="BI33" s="139">
        <v>0</v>
      </c>
      <c r="BJ33" s="161">
        <v>49980</v>
      </c>
      <c r="BK33" s="139">
        <v>0</v>
      </c>
      <c r="BL33" s="161">
        <v>2901</v>
      </c>
      <c r="BM33" s="139">
        <v>0</v>
      </c>
      <c r="BN33" s="139">
        <f>2901+0-BK33-BL33-BM33</f>
        <v>0</v>
      </c>
      <c r="BO33" s="161">
        <v>416342</v>
      </c>
      <c r="BP33" s="161">
        <v>419243</v>
      </c>
      <c r="BQ33" s="139">
        <v>0</v>
      </c>
      <c r="BR33" s="161">
        <v>44975</v>
      </c>
      <c r="BS33" s="139">
        <v>0</v>
      </c>
      <c r="BT33" s="139">
        <f>50375+5400-BQ33-BR33-BS33</f>
        <v>10800</v>
      </c>
      <c r="BU33" s="161">
        <v>145264</v>
      </c>
      <c r="BV33" s="161">
        <v>201039</v>
      </c>
      <c r="BW33" s="161">
        <v>6557017</v>
      </c>
      <c r="BX33" s="161">
        <v>794583</v>
      </c>
      <c r="BY33" s="161">
        <v>614817</v>
      </c>
      <c r="BZ33" s="139">
        <f>8024678+3539091-BW33-BX33-BY33</f>
        <v>3597352</v>
      </c>
      <c r="CA33" s="161">
        <v>7357147</v>
      </c>
      <c r="CB33" s="161">
        <v>18920916</v>
      </c>
      <c r="CC33" s="161">
        <v>2228953</v>
      </c>
      <c r="CD33" s="161">
        <v>372237</v>
      </c>
      <c r="CE33" s="161">
        <v>345777</v>
      </c>
      <c r="CF33" s="139">
        <f>3220598+2198389-CC33-CD33-CE33</f>
        <v>2472020</v>
      </c>
      <c r="CG33" s="139">
        <v>0</v>
      </c>
      <c r="CH33" s="161">
        <v>5418987</v>
      </c>
      <c r="CI33" s="161">
        <v>715000</v>
      </c>
      <c r="CJ33" s="161">
        <v>89633</v>
      </c>
      <c r="CK33" s="161">
        <v>2500</v>
      </c>
      <c r="CL33" s="139">
        <f>804633+2740-CI33-CJ33-CK33</f>
        <v>240</v>
      </c>
      <c r="CM33" s="139">
        <v>0</v>
      </c>
      <c r="CN33" s="161">
        <v>807373</v>
      </c>
      <c r="CO33" s="161">
        <f>220012+1068832</f>
        <v>1288844</v>
      </c>
      <c r="CP33" s="161">
        <f>202167+196526</f>
        <v>398693</v>
      </c>
      <c r="CQ33" s="139">
        <f>135501+163431</f>
        <v>298932</v>
      </c>
      <c r="CR33" s="139">
        <f>590736+523321+1284526+407066-CO33-CP33-CQ33</f>
        <v>819180</v>
      </c>
      <c r="CS33" s="139">
        <v>0</v>
      </c>
      <c r="CT33" s="161">
        <v>2805649</v>
      </c>
      <c r="CU33" s="161">
        <v>225000</v>
      </c>
      <c r="CV33" s="161">
        <v>99500</v>
      </c>
      <c r="CW33" s="161">
        <v>23000</v>
      </c>
      <c r="CX33" s="139">
        <f>339000+94650-CU33-CV33-CW33</f>
        <v>86150</v>
      </c>
      <c r="CY33" s="139">
        <v>0</v>
      </c>
      <c r="CZ33" s="161">
        <v>433650</v>
      </c>
      <c r="DA33" s="161">
        <v>64348</v>
      </c>
      <c r="DB33" s="161">
        <v>66640</v>
      </c>
      <c r="DC33" s="139">
        <v>0</v>
      </c>
      <c r="DD33" s="139">
        <f>130988+0-DA33-DB33-DC33</f>
        <v>0</v>
      </c>
      <c r="DE33" s="161">
        <v>1885016</v>
      </c>
      <c r="DF33" s="161">
        <v>2016004</v>
      </c>
      <c r="DG33" s="139">
        <v>0</v>
      </c>
      <c r="DH33" s="139">
        <v>0</v>
      </c>
      <c r="DI33" s="139">
        <v>0</v>
      </c>
      <c r="DJ33" s="139">
        <v>0</v>
      </c>
      <c r="DK33" s="161">
        <v>15000</v>
      </c>
      <c r="DL33" s="161">
        <v>15000</v>
      </c>
      <c r="DM33" s="139">
        <v>0</v>
      </c>
      <c r="DN33" s="139">
        <v>0</v>
      </c>
      <c r="DO33" s="139">
        <v>0</v>
      </c>
      <c r="DP33" s="139">
        <v>0</v>
      </c>
      <c r="DQ33" s="139">
        <v>0</v>
      </c>
      <c r="DR33" s="139">
        <v>0</v>
      </c>
      <c r="DS33" s="161">
        <v>149898</v>
      </c>
      <c r="DT33" s="161">
        <v>95386</v>
      </c>
      <c r="DU33" s="161">
        <v>53721</v>
      </c>
      <c r="DV33" s="139">
        <f>254320+133257-DS33-DT33-DU33</f>
        <v>88572</v>
      </c>
      <c r="DW33" s="139">
        <v>0</v>
      </c>
      <c r="DX33" s="161">
        <v>387577</v>
      </c>
      <c r="DY33" s="161">
        <v>870853</v>
      </c>
      <c r="DZ33" s="161">
        <v>254995</v>
      </c>
      <c r="EA33" s="161">
        <v>216099</v>
      </c>
      <c r="EB33" s="139">
        <f>1341384+850497-DY33-DZ33-EA33</f>
        <v>849934</v>
      </c>
      <c r="EC33" s="139">
        <v>0</v>
      </c>
      <c r="ED33" s="161">
        <v>2191881</v>
      </c>
      <c r="EE33" s="161">
        <v>201214</v>
      </c>
      <c r="EF33" s="161">
        <v>21020</v>
      </c>
      <c r="EG33" s="161">
        <v>30548</v>
      </c>
      <c r="EH33" s="139">
        <f>268547+152383-EE33-EF33-EG33</f>
        <v>168148</v>
      </c>
      <c r="EI33" s="161">
        <v>135167</v>
      </c>
      <c r="EJ33" s="161">
        <v>556097</v>
      </c>
      <c r="EK33" s="161">
        <v>285023</v>
      </c>
      <c r="EL33" s="161">
        <v>141078</v>
      </c>
      <c r="EM33" s="161">
        <v>114527</v>
      </c>
      <c r="EN33" s="139">
        <f>450282+200533-EK33-EL33-EM33</f>
        <v>110187</v>
      </c>
      <c r="EO33" s="139">
        <v>0</v>
      </c>
      <c r="EP33" s="161">
        <v>650815</v>
      </c>
      <c r="EQ33" s="161">
        <v>58977</v>
      </c>
      <c r="ER33" s="161">
        <v>25557</v>
      </c>
      <c r="ES33" s="161">
        <v>5539</v>
      </c>
      <c r="ET33" s="139">
        <f>92998+74045-EQ33-ER33-ES33</f>
        <v>76970</v>
      </c>
      <c r="EU33" s="161">
        <v>218093</v>
      </c>
      <c r="EV33" s="161">
        <v>385136</v>
      </c>
      <c r="EW33" s="161">
        <v>8444</v>
      </c>
      <c r="EX33" s="139">
        <v>0</v>
      </c>
      <c r="EY33" s="161">
        <v>335</v>
      </c>
      <c r="EZ33" s="139">
        <f>8444+3219-EW33-EX33-EY33</f>
        <v>2884</v>
      </c>
      <c r="FA33" s="139">
        <v>0</v>
      </c>
      <c r="FB33" s="161">
        <v>11663</v>
      </c>
      <c r="FC33" s="161">
        <v>8696</v>
      </c>
      <c r="FD33" s="161">
        <v>476</v>
      </c>
      <c r="FE33" s="161">
        <v>2458</v>
      </c>
      <c r="FF33" s="139">
        <f>11758+9307-FC33-FD33-FE33</f>
        <v>9435</v>
      </c>
      <c r="FG33" s="161">
        <v>47228</v>
      </c>
      <c r="FH33" s="161">
        <v>68293</v>
      </c>
      <c r="FI33" s="139">
        <v>0</v>
      </c>
      <c r="FJ33" s="139">
        <v>0</v>
      </c>
      <c r="FK33" s="139">
        <v>0</v>
      </c>
      <c r="FL33" s="139">
        <v>0</v>
      </c>
      <c r="FM33" s="139">
        <v>0</v>
      </c>
      <c r="FN33" s="139">
        <v>0</v>
      </c>
      <c r="FO33" s="139">
        <v>0</v>
      </c>
      <c r="FP33" s="139">
        <v>0</v>
      </c>
      <c r="FQ33" s="139">
        <v>0</v>
      </c>
      <c r="FR33" s="139">
        <v>0</v>
      </c>
      <c r="FS33" s="161">
        <v>495585</v>
      </c>
      <c r="FT33" s="161">
        <v>495585</v>
      </c>
      <c r="FU33" s="161">
        <v>139773</v>
      </c>
      <c r="FV33" s="161">
        <v>23342</v>
      </c>
      <c r="FW33" s="161">
        <v>21683</v>
      </c>
      <c r="FX33" s="139">
        <f>201957+137857-FU33-FV33-FW33</f>
        <v>155016</v>
      </c>
      <c r="FY33" s="139">
        <v>0</v>
      </c>
      <c r="FZ33" s="139">
        <v>339814</v>
      </c>
      <c r="GA33" s="139">
        <v>0</v>
      </c>
      <c r="GB33" s="161">
        <v>2200</v>
      </c>
      <c r="GC33" s="161">
        <v>925</v>
      </c>
      <c r="GD33" s="139">
        <f>2985+6469-GA33-GB33-GC33</f>
        <v>6329</v>
      </c>
      <c r="GE33" s="161">
        <v>264608</v>
      </c>
      <c r="GF33" s="161">
        <v>274062</v>
      </c>
      <c r="GG33" s="161">
        <v>452928</v>
      </c>
      <c r="GH33" s="161">
        <v>75639</v>
      </c>
      <c r="GI33" s="161">
        <v>221509</v>
      </c>
      <c r="GJ33" s="139">
        <f>654432+1408316-GG33-GH33-GI33</f>
        <v>1312672</v>
      </c>
      <c r="GK33" s="139">
        <v>0</v>
      </c>
      <c r="GL33" s="161">
        <v>2062748</v>
      </c>
      <c r="GM33" s="161">
        <v>6697951</v>
      </c>
      <c r="GN33" s="161">
        <v>1666396</v>
      </c>
      <c r="GO33" s="161">
        <v>1337553</v>
      </c>
      <c r="GP33" s="139">
        <f>9657588+6202049-GM33-GN33-GO33</f>
        <v>6157737</v>
      </c>
      <c r="GQ33" s="161">
        <v>3060697</v>
      </c>
      <c r="GR33" s="161">
        <v>18920334</v>
      </c>
      <c r="GS33" s="139">
        <v>0</v>
      </c>
      <c r="GT33" s="139">
        <v>0</v>
      </c>
      <c r="GU33" s="139">
        <v>0</v>
      </c>
      <c r="GV33" s="139">
        <v>0</v>
      </c>
      <c r="GW33" s="139">
        <v>0</v>
      </c>
      <c r="GX33" s="139">
        <v>0</v>
      </c>
      <c r="GY33" s="161">
        <v>6697951</v>
      </c>
      <c r="GZ33" s="161">
        <v>1666396</v>
      </c>
      <c r="HA33" s="161">
        <v>1337553</v>
      </c>
      <c r="HB33" s="139">
        <f>9657588+6202049-GY33-GZ33-HA33</f>
        <v>6157737</v>
      </c>
      <c r="HC33" s="161">
        <v>3060697</v>
      </c>
      <c r="HD33" s="161">
        <v>18920334</v>
      </c>
      <c r="HF33" s="70">
        <f>SUM(AZ33:AZ33)</f>
        <v>704355</v>
      </c>
      <c r="HG33" s="70" t="e">
        <f>#REF!-HF33</f>
        <v>#REF!</v>
      </c>
      <c r="HH33" s="70" t="e">
        <f>SUM(#REF!)</f>
        <v>#REF!</v>
      </c>
      <c r="HI33" s="70" t="e">
        <f>#REF!-HH33</f>
        <v>#REF!</v>
      </c>
      <c r="HJ33" s="70">
        <f>SUM(BA33:BA33)</f>
        <v>3135000</v>
      </c>
      <c r="HK33" s="70" t="e">
        <f>#REF!-HJ33</f>
        <v>#REF!</v>
      </c>
      <c r="HL33" s="70" t="e">
        <f>SUM(#REF!)</f>
        <v>#REF!</v>
      </c>
      <c r="HM33" s="70" t="e">
        <f>BB33-HL33</f>
        <v>#REF!</v>
      </c>
      <c r="HN33" s="70" t="e">
        <f>SUM(#REF!)</f>
        <v>#REF!</v>
      </c>
      <c r="HO33" s="70" t="e">
        <f>#REF!-HN33</f>
        <v>#REF!</v>
      </c>
      <c r="HP33" s="70" t="e">
        <f>SUM(#REF!)</f>
        <v>#REF!</v>
      </c>
      <c r="HQ33" s="70" t="e">
        <f>#REF!-HP33</f>
        <v>#REF!</v>
      </c>
      <c r="HR33" s="70" t="e">
        <f>SUM(#REF!)</f>
        <v>#REF!</v>
      </c>
      <c r="HS33" s="70" t="e">
        <f>#REF!-HR33</f>
        <v>#REF!</v>
      </c>
      <c r="HT33" s="70" t="e">
        <f>SUM(#REF!)</f>
        <v>#REF!</v>
      </c>
      <c r="HU33" s="70" t="e">
        <f>#REF!-HT33</f>
        <v>#REF!</v>
      </c>
      <c r="HV33" s="70" t="e">
        <f>SUM(#REF!)</f>
        <v>#REF!</v>
      </c>
      <c r="HW33" s="70" t="e">
        <f>#REF!-HV33</f>
        <v>#REF!</v>
      </c>
      <c r="HX33" s="70" t="e">
        <f>SUM(#REF!)</f>
        <v>#REF!</v>
      </c>
      <c r="HY33" s="70" t="e">
        <f>#REF!-HX33</f>
        <v>#REF!</v>
      </c>
      <c r="HZ33" s="70">
        <f>SUM(BC33:BC33)</f>
        <v>19522</v>
      </c>
      <c r="IA33" s="70" t="e">
        <f>#REF!-HZ33</f>
        <v>#REF!</v>
      </c>
      <c r="IB33" s="70">
        <f>SUM(BD33:BD33)</f>
        <v>0</v>
      </c>
      <c r="IC33" s="70" t="e">
        <f>#REF!-IB33</f>
        <v>#REF!</v>
      </c>
      <c r="ID33" s="70">
        <f t="shared" ref="ID33:ID64" si="56">SUM(BE33:BI33)</f>
        <v>49980</v>
      </c>
      <c r="IE33" s="70">
        <f t="shared" ref="IE33:IE64" si="57">BJ33-ID33</f>
        <v>0</v>
      </c>
      <c r="IF33" s="70">
        <f t="shared" ref="IF33:IF64" si="58">SUM(BK33:BO33)</f>
        <v>419243</v>
      </c>
      <c r="IG33" s="70">
        <f t="shared" ref="IG33:IG64" si="59">BP33-IF33</f>
        <v>0</v>
      </c>
      <c r="IH33" s="70">
        <f t="shared" ref="IH33:IH64" si="60">SUM(BQ33:BU33)</f>
        <v>201039</v>
      </c>
      <c r="II33" s="70">
        <f t="shared" ref="II33:II64" si="61">BV33-IH33</f>
        <v>0</v>
      </c>
      <c r="IJ33" s="70">
        <f t="shared" ref="IJ33:IJ64" si="62">SUM(BW33:CA33)</f>
        <v>18920916</v>
      </c>
      <c r="IK33" s="70">
        <f t="shared" ref="IK33:IK64" si="63">CB33-IJ33</f>
        <v>0</v>
      </c>
      <c r="IL33" s="70">
        <f>SUM(CC33:CG33)</f>
        <v>5418987</v>
      </c>
      <c r="IM33" s="70">
        <f t="shared" ref="IM33:IM64" si="64">CH33-IL33</f>
        <v>0</v>
      </c>
      <c r="IN33" s="70">
        <f t="shared" ref="IN33:IN64" si="65">SUM(CI33:CM33)</f>
        <v>807373</v>
      </c>
      <c r="IO33" s="70">
        <f t="shared" ref="IO33:IO64" si="66">CN33-IN33</f>
        <v>0</v>
      </c>
      <c r="IP33" s="70">
        <f t="shared" ref="IP33:IP64" si="67">SUM(CO33:CS33)</f>
        <v>2805649</v>
      </c>
      <c r="IQ33" s="70">
        <f t="shared" ref="IQ33:IQ64" si="68">CT33-IP33</f>
        <v>0</v>
      </c>
      <c r="IR33" s="70">
        <f t="shared" si="54"/>
        <v>433650</v>
      </c>
      <c r="IS33" s="70">
        <f t="shared" si="55"/>
        <v>0</v>
      </c>
      <c r="IT33" s="70">
        <f>SUM(DA33:DE33)</f>
        <v>2016004</v>
      </c>
      <c r="IU33" s="70">
        <f>DF33-IT33</f>
        <v>0</v>
      </c>
      <c r="IV33" s="70">
        <f>SUM(DG33:DK33)</f>
        <v>15000</v>
      </c>
      <c r="IW33" s="70">
        <f>DL33-IV33</f>
        <v>0</v>
      </c>
      <c r="IX33" s="70">
        <f t="shared" ref="IX33:IX64" si="69">SUM(DM33:DQ33)</f>
        <v>0</v>
      </c>
      <c r="IY33" s="70">
        <f t="shared" ref="IY33:IY64" si="70">DR33-IX33</f>
        <v>0</v>
      </c>
      <c r="IZ33" s="70">
        <f t="shared" ref="IZ33:IZ64" si="71">SUM(DS33:DW33)</f>
        <v>387577</v>
      </c>
      <c r="JA33" s="70">
        <f t="shared" ref="JA33:JA64" si="72">DX33-IZ33</f>
        <v>0</v>
      </c>
      <c r="JB33" s="70">
        <f t="shared" ref="JB33:JB64" si="73">SUM(DY33:EC33)</f>
        <v>2191881</v>
      </c>
      <c r="JC33" s="70">
        <f t="shared" ref="JC33:JC64" si="74">ED33-JB33</f>
        <v>0</v>
      </c>
      <c r="JD33" s="70">
        <f t="shared" ref="JD33:JD64" si="75">SUM(EE33:EI33)</f>
        <v>556097</v>
      </c>
      <c r="JE33" s="70">
        <f t="shared" ref="JE33:JE64" si="76">EJ33-JD33</f>
        <v>0</v>
      </c>
      <c r="JF33" s="70">
        <f t="shared" ref="JF33:JF64" si="77">SUM(EK33:EO33)</f>
        <v>650815</v>
      </c>
      <c r="JG33" s="70">
        <f t="shared" ref="JG33:JG64" si="78">EP33-JF33</f>
        <v>0</v>
      </c>
      <c r="JH33" s="70">
        <f t="shared" ref="JH33:JH64" si="79">SUM(EQ33:EU33)</f>
        <v>385136</v>
      </c>
      <c r="JI33" s="70">
        <f t="shared" ref="JI33:JI64" si="80">EV33-JH33</f>
        <v>0</v>
      </c>
      <c r="JJ33" s="70">
        <f t="shared" ref="JJ33:JJ64" si="81">SUM(EW33:FA33)</f>
        <v>11663</v>
      </c>
      <c r="JK33" s="70">
        <f t="shared" ref="JK33:JK64" si="82">FB33-JJ33</f>
        <v>0</v>
      </c>
      <c r="JL33" s="70">
        <f t="shared" ref="JL33:JL64" si="83">SUM(FC33:FG33)</f>
        <v>68293</v>
      </c>
      <c r="JM33" s="70">
        <f t="shared" ref="JM33:JM64" si="84">FH33-JL33</f>
        <v>0</v>
      </c>
      <c r="JN33" s="70">
        <f t="shared" ref="JN33:JN64" si="85">SUM(FI33:FM33)</f>
        <v>0</v>
      </c>
      <c r="JO33" s="70">
        <f t="shared" ref="JO33:JO64" si="86">FN33-JN33</f>
        <v>0</v>
      </c>
      <c r="JP33" s="70">
        <f t="shared" ref="JP33:JP64" si="87">SUM(FO33:FS33)</f>
        <v>495585</v>
      </c>
      <c r="JQ33" s="70">
        <f t="shared" ref="JQ33:JQ64" si="88">FT33-JP33</f>
        <v>0</v>
      </c>
      <c r="JR33" s="70">
        <f t="shared" ref="JR33:JR64" si="89">SUM(FU33:FY33)</f>
        <v>339814</v>
      </c>
      <c r="JS33" s="70">
        <f t="shared" ref="JS33:JS64" si="90">FZ33-JR33</f>
        <v>0</v>
      </c>
      <c r="JT33" s="70">
        <f t="shared" ref="JT33:JT64" si="91">SUM(GA33:GE33)</f>
        <v>274062</v>
      </c>
      <c r="JU33" s="70">
        <f t="shared" ref="JU33:JU64" si="92">GF33-JT33</f>
        <v>0</v>
      </c>
      <c r="JV33" s="70">
        <f t="shared" ref="JV33:JV64" si="93">SUM(GG33:GK33)</f>
        <v>2062748</v>
      </c>
      <c r="JW33" s="70">
        <f t="shared" ref="JW33:JW64" si="94">GL33-JV33</f>
        <v>0</v>
      </c>
      <c r="JX33" s="70">
        <f t="shared" ref="JX33:JX64" si="95">SUM(GM33:GQ33)</f>
        <v>18920334</v>
      </c>
      <c r="JY33" s="70">
        <f t="shared" ref="JY33:JY64" si="96">GR33-JX33</f>
        <v>0</v>
      </c>
      <c r="JZ33" s="70">
        <f t="shared" ref="JZ33:JZ64" si="97">SUM(GS33:GW33)</f>
        <v>0</v>
      </c>
      <c r="KA33" s="70">
        <f t="shared" ref="KA33:KA64" si="98">GX33-JZ33</f>
        <v>0</v>
      </c>
      <c r="KB33" s="70">
        <f t="shared" ref="KB33:KB64" si="99">SUM(GY33:HC33)</f>
        <v>18920334</v>
      </c>
      <c r="KC33" s="70">
        <f t="shared" ref="KC33:KC64" si="100">HD33-KB33</f>
        <v>0</v>
      </c>
      <c r="KE33" s="70" t="e">
        <f t="shared" ref="KE33:KE64" si="101">SUM(HG33,HI33,HK33,HM33,HO33,HQ33,HS33,HU33,HW33,HY33,IA33,IC33,IE33,IG33,II33,IK33,IM33,IO33,IQ33,IS33,IU33,IY33,JA33,,JE33,JG33,JI33,JK33,JM33,JO33,JQ33,JS33,JU33,JW33,JY33,KA33,KC33)</f>
        <v>#REF!</v>
      </c>
      <c r="KG33" s="68" t="e">
        <f t="shared" si="53"/>
        <v>#REF!</v>
      </c>
    </row>
    <row r="34" spans="1:293">
      <c r="A34" s="180" t="s">
        <v>259</v>
      </c>
      <c r="B34" s="76" t="s">
        <v>361</v>
      </c>
      <c r="C34" s="90">
        <v>145637</v>
      </c>
      <c r="D34" s="90">
        <v>2014</v>
      </c>
      <c r="E34" s="90">
        <v>1</v>
      </c>
      <c r="F34" s="91">
        <v>3</v>
      </c>
      <c r="G34" s="92">
        <v>18455</v>
      </c>
      <c r="H34" s="92">
        <v>14240</v>
      </c>
      <c r="I34" s="93">
        <v>5282683000</v>
      </c>
      <c r="J34" s="93">
        <v>5164846000</v>
      </c>
      <c r="K34" s="93">
        <v>11290954</v>
      </c>
      <c r="L34" s="93">
        <v>9681588</v>
      </c>
      <c r="M34" s="93">
        <v>82716230</v>
      </c>
      <c r="N34" s="93">
        <v>88516959</v>
      </c>
      <c r="O34" s="93">
        <v>263053858</v>
      </c>
      <c r="P34" s="93">
        <v>108987901</v>
      </c>
      <c r="Q34" s="93">
        <v>1055427940</v>
      </c>
      <c r="R34" s="93">
        <v>838743648</v>
      </c>
      <c r="S34" s="93">
        <v>3907563000</v>
      </c>
      <c r="T34" s="93">
        <v>3825983000</v>
      </c>
      <c r="U34" s="93">
        <v>28751</v>
      </c>
      <c r="V34" s="93">
        <v>27648</v>
      </c>
      <c r="W34" s="93">
        <v>42701</v>
      </c>
      <c r="X34" s="93">
        <v>41790</v>
      </c>
      <c r="Y34" s="93">
        <v>29594</v>
      </c>
      <c r="Z34" s="93">
        <v>29002</v>
      </c>
      <c r="AA34" s="93">
        <v>43976</v>
      </c>
      <c r="AB34" s="93">
        <v>43144</v>
      </c>
      <c r="AC34" s="114">
        <v>10</v>
      </c>
      <c r="AD34" s="114">
        <v>11</v>
      </c>
      <c r="AE34" s="114">
        <v>0</v>
      </c>
      <c r="AF34" s="115">
        <v>6401822</v>
      </c>
      <c r="AG34" s="115">
        <v>4490238</v>
      </c>
      <c r="AH34" s="115">
        <v>1419475</v>
      </c>
      <c r="AI34" s="115">
        <v>405012</v>
      </c>
      <c r="AJ34" s="115">
        <v>566753</v>
      </c>
      <c r="AK34" s="116">
        <v>8</v>
      </c>
      <c r="AL34" s="115">
        <v>566753</v>
      </c>
      <c r="AM34" s="116">
        <v>8</v>
      </c>
      <c r="AN34" s="115">
        <v>157399</v>
      </c>
      <c r="AO34" s="116">
        <v>9</v>
      </c>
      <c r="AP34" s="115">
        <v>157399</v>
      </c>
      <c r="AQ34" s="116">
        <v>9</v>
      </c>
      <c r="AR34" s="115">
        <v>160003</v>
      </c>
      <c r="AS34" s="116">
        <v>22</v>
      </c>
      <c r="AT34" s="115">
        <v>160003</v>
      </c>
      <c r="AU34" s="116">
        <v>22</v>
      </c>
      <c r="AV34" s="115">
        <v>77327</v>
      </c>
      <c r="AW34" s="116">
        <v>17</v>
      </c>
      <c r="AX34" s="115">
        <v>77327</v>
      </c>
      <c r="AY34" s="116">
        <v>17</v>
      </c>
      <c r="AZ34" s="139">
        <v>9236799</v>
      </c>
      <c r="BA34" s="139">
        <v>0</v>
      </c>
      <c r="BB34" s="139">
        <v>16909059</v>
      </c>
      <c r="BC34" s="139">
        <v>1006545</v>
      </c>
      <c r="BD34" s="139">
        <v>1461785</v>
      </c>
      <c r="BE34" s="139">
        <v>74754</v>
      </c>
      <c r="BF34" s="139">
        <v>274602</v>
      </c>
      <c r="BG34" s="139">
        <v>64065</v>
      </c>
      <c r="BH34" s="139">
        <v>1066874</v>
      </c>
      <c r="BI34" s="139">
        <v>252053</v>
      </c>
      <c r="BJ34" s="139">
        <v>1732348</v>
      </c>
      <c r="BK34" s="139">
        <v>412815</v>
      </c>
      <c r="BL34" s="139">
        <v>189432</v>
      </c>
      <c r="BM34" s="139">
        <v>89958</v>
      </c>
      <c r="BN34" s="139">
        <v>287924</v>
      </c>
      <c r="BO34" s="139">
        <v>874608</v>
      </c>
      <c r="BP34" s="139">
        <v>1854737</v>
      </c>
      <c r="BQ34" s="139">
        <v>0</v>
      </c>
      <c r="BR34" s="139">
        <v>0</v>
      </c>
      <c r="BS34" s="139">
        <v>0</v>
      </c>
      <c r="BT34" s="139">
        <v>8650</v>
      </c>
      <c r="BU34" s="139">
        <v>1482559</v>
      </c>
      <c r="BV34" s="139">
        <v>1491209</v>
      </c>
      <c r="BW34" s="139">
        <v>30459701</v>
      </c>
      <c r="BX34" s="139">
        <v>17771937</v>
      </c>
      <c r="BY34" s="139">
        <v>1101193</v>
      </c>
      <c r="BZ34" s="139">
        <v>9930057</v>
      </c>
      <c r="CA34" s="139">
        <v>21585681</v>
      </c>
      <c r="CB34" s="139">
        <v>80848569</v>
      </c>
      <c r="CC34" s="139">
        <v>3737590</v>
      </c>
      <c r="CD34" s="139">
        <v>496908</v>
      </c>
      <c r="CE34" s="139">
        <v>625919</v>
      </c>
      <c r="CF34" s="139">
        <v>6031643</v>
      </c>
      <c r="CG34" s="139">
        <v>5476</v>
      </c>
      <c r="CH34" s="139">
        <v>10897536</v>
      </c>
      <c r="CI34" s="139">
        <v>1850000</v>
      </c>
      <c r="CJ34" s="139">
        <v>610000</v>
      </c>
      <c r="CK34" s="139">
        <v>44244</v>
      </c>
      <c r="CL34" s="139">
        <v>10158</v>
      </c>
      <c r="CM34" s="139">
        <v>0</v>
      </c>
      <c r="CN34" s="139">
        <v>2514402</v>
      </c>
      <c r="CO34" s="139">
        <v>4027876</v>
      </c>
      <c r="CP34" s="139">
        <v>2432179</v>
      </c>
      <c r="CQ34" s="139">
        <v>855183</v>
      </c>
      <c r="CR34" s="139">
        <v>3469997</v>
      </c>
      <c r="CS34" s="139">
        <v>0</v>
      </c>
      <c r="CT34" s="139">
        <v>10785235</v>
      </c>
      <c r="CU34" s="139">
        <v>0</v>
      </c>
      <c r="CV34" s="139">
        <v>0</v>
      </c>
      <c r="CW34" s="139">
        <v>0</v>
      </c>
      <c r="CX34" s="139">
        <v>0</v>
      </c>
      <c r="CY34" s="139">
        <v>0</v>
      </c>
      <c r="CZ34" s="139">
        <v>0</v>
      </c>
      <c r="DA34" s="139">
        <v>1545548</v>
      </c>
      <c r="DB34" s="139">
        <v>412128</v>
      </c>
      <c r="DC34" s="139">
        <v>157754</v>
      </c>
      <c r="DD34" s="139">
        <v>252826</v>
      </c>
      <c r="DE34" s="139">
        <v>11366173</v>
      </c>
      <c r="DF34" s="139">
        <v>13734429</v>
      </c>
      <c r="DG34" s="139">
        <v>0</v>
      </c>
      <c r="DH34" s="139">
        <v>0</v>
      </c>
      <c r="DI34" s="139">
        <v>0</v>
      </c>
      <c r="DJ34" s="139">
        <v>0</v>
      </c>
      <c r="DK34" s="139">
        <v>0</v>
      </c>
      <c r="DL34" s="139">
        <v>0</v>
      </c>
      <c r="DM34" s="139">
        <v>1453718</v>
      </c>
      <c r="DN34" s="139">
        <v>1428403</v>
      </c>
      <c r="DO34" s="139">
        <v>321749</v>
      </c>
      <c r="DP34" s="139">
        <v>0</v>
      </c>
      <c r="DQ34" s="139">
        <v>0</v>
      </c>
      <c r="DR34" s="139">
        <v>3203870</v>
      </c>
      <c r="DS34" s="139">
        <v>783959</v>
      </c>
      <c r="DT34" s="139">
        <v>431327</v>
      </c>
      <c r="DU34" s="139">
        <v>146799</v>
      </c>
      <c r="DV34" s="139">
        <v>462402</v>
      </c>
      <c r="DW34" s="139">
        <v>0</v>
      </c>
      <c r="DX34" s="139">
        <v>1824487</v>
      </c>
      <c r="DY34" s="139">
        <v>987640</v>
      </c>
      <c r="DZ34" s="139">
        <v>999438</v>
      </c>
      <c r="EA34" s="139">
        <v>563169</v>
      </c>
      <c r="EB34" s="139">
        <v>2159771</v>
      </c>
      <c r="EC34" s="139">
        <v>0</v>
      </c>
      <c r="ED34" s="139">
        <v>4710018</v>
      </c>
      <c r="EE34" s="139">
        <v>587399</v>
      </c>
      <c r="EF34" s="139">
        <v>207213</v>
      </c>
      <c r="EG34" s="139">
        <v>106095</v>
      </c>
      <c r="EH34" s="139">
        <v>736513</v>
      </c>
      <c r="EI34" s="139">
        <v>36893</v>
      </c>
      <c r="EJ34" s="139">
        <v>1674113</v>
      </c>
      <c r="EK34" s="139">
        <v>1240556</v>
      </c>
      <c r="EL34" s="139">
        <v>571765</v>
      </c>
      <c r="EM34" s="139">
        <v>276637</v>
      </c>
      <c r="EN34" s="139">
        <v>269338</v>
      </c>
      <c r="EO34" s="139">
        <v>0</v>
      </c>
      <c r="EP34" s="139">
        <v>2358296</v>
      </c>
      <c r="EQ34" s="139">
        <v>0</v>
      </c>
      <c r="ER34" s="139">
        <v>0</v>
      </c>
      <c r="ES34" s="139">
        <v>0</v>
      </c>
      <c r="ET34" s="139">
        <v>0</v>
      </c>
      <c r="EU34" s="139">
        <v>3124462</v>
      </c>
      <c r="EV34" s="139">
        <v>3124462</v>
      </c>
      <c r="EW34" s="139">
        <v>71453</v>
      </c>
      <c r="EX34" s="139">
        <v>211219</v>
      </c>
      <c r="EY34" s="139">
        <v>29806</v>
      </c>
      <c r="EZ34" s="139">
        <v>572128</v>
      </c>
      <c r="FA34" s="139">
        <v>183319</v>
      </c>
      <c r="FB34" s="139">
        <v>1067925</v>
      </c>
      <c r="FC34" s="139">
        <v>0</v>
      </c>
      <c r="FD34" s="139">
        <v>0</v>
      </c>
      <c r="FE34" s="139">
        <v>0</v>
      </c>
      <c r="FF34" s="139">
        <v>0</v>
      </c>
      <c r="FG34" s="139">
        <v>20764804</v>
      </c>
      <c r="FH34" s="139">
        <v>20764804</v>
      </c>
      <c r="FI34" s="139">
        <v>0</v>
      </c>
      <c r="FJ34" s="139">
        <v>0</v>
      </c>
      <c r="FK34" s="139">
        <v>0</v>
      </c>
      <c r="FL34" s="139">
        <v>0</v>
      </c>
      <c r="FM34" s="139">
        <v>357731</v>
      </c>
      <c r="FN34" s="139">
        <v>357731</v>
      </c>
      <c r="FO34" s="139">
        <v>0</v>
      </c>
      <c r="FP34" s="139">
        <v>0</v>
      </c>
      <c r="FQ34" s="139">
        <v>0</v>
      </c>
      <c r="FR34" s="139">
        <v>0</v>
      </c>
      <c r="FS34" s="139">
        <v>0</v>
      </c>
      <c r="FT34" s="139">
        <v>0</v>
      </c>
      <c r="FU34" s="139">
        <v>16595</v>
      </c>
      <c r="FV34" s="139">
        <v>1098</v>
      </c>
      <c r="FW34" s="139">
        <v>0</v>
      </c>
      <c r="FX34" s="139">
        <v>0</v>
      </c>
      <c r="FY34" s="139">
        <v>451155</v>
      </c>
      <c r="FZ34" s="139">
        <v>468848</v>
      </c>
      <c r="GA34" s="139">
        <v>6148</v>
      </c>
      <c r="GB34" s="139">
        <v>5504</v>
      </c>
      <c r="GC34" s="139">
        <v>5188</v>
      </c>
      <c r="GD34" s="139">
        <v>9411</v>
      </c>
      <c r="GE34" s="139">
        <v>144214</v>
      </c>
      <c r="GF34" s="139">
        <v>170465</v>
      </c>
      <c r="GG34" s="139">
        <v>472614</v>
      </c>
      <c r="GH34" s="139">
        <v>421797</v>
      </c>
      <c r="GI34" s="139">
        <v>118308</v>
      </c>
      <c r="GJ34" s="139">
        <v>496728</v>
      </c>
      <c r="GK34" s="139">
        <v>3946283</v>
      </c>
      <c r="GL34" s="139">
        <v>5455730</v>
      </c>
      <c r="GM34" s="139">
        <v>16781096</v>
      </c>
      <c r="GN34" s="139">
        <v>8228979</v>
      </c>
      <c r="GO34" s="139">
        <v>3250851</v>
      </c>
      <c r="GP34" s="139">
        <v>14470915</v>
      </c>
      <c r="GQ34" s="139">
        <v>40380510</v>
      </c>
      <c r="GR34" s="139">
        <v>83112351</v>
      </c>
      <c r="GS34" s="139">
        <v>0</v>
      </c>
      <c r="GT34" s="139">
        <v>0</v>
      </c>
      <c r="GU34" s="139">
        <v>0</v>
      </c>
      <c r="GV34" s="139">
        <v>0</v>
      </c>
      <c r="GW34" s="139">
        <v>661300</v>
      </c>
      <c r="GX34" s="139">
        <v>661300</v>
      </c>
      <c r="GY34" s="139">
        <v>16781096</v>
      </c>
      <c r="GZ34" s="139">
        <v>8228979</v>
      </c>
      <c r="HA34" s="139">
        <v>3250851</v>
      </c>
      <c r="HB34" s="139">
        <v>14470915</v>
      </c>
      <c r="HC34" s="139">
        <v>41041810</v>
      </c>
      <c r="HD34" s="139">
        <v>83773651</v>
      </c>
      <c r="HF34" s="70">
        <f>SUM(AZ34:AZ34)</f>
        <v>9236799</v>
      </c>
      <c r="HG34" s="70" t="e">
        <f>#REF!-HF34</f>
        <v>#REF!</v>
      </c>
      <c r="HH34" s="70" t="e">
        <f>SUM(#REF!)</f>
        <v>#REF!</v>
      </c>
      <c r="HI34" s="70" t="e">
        <f>#REF!-HH34</f>
        <v>#REF!</v>
      </c>
      <c r="HJ34" s="70">
        <f>SUM(BA34:BA34)</f>
        <v>0</v>
      </c>
      <c r="HK34" s="70" t="e">
        <f>#REF!-HJ34</f>
        <v>#REF!</v>
      </c>
      <c r="HL34" s="70" t="e">
        <f>SUM(#REF!)</f>
        <v>#REF!</v>
      </c>
      <c r="HM34" s="70" t="e">
        <f>BB34-HL34</f>
        <v>#REF!</v>
      </c>
      <c r="HN34" s="70" t="e">
        <f>SUM(#REF!)</f>
        <v>#REF!</v>
      </c>
      <c r="HO34" s="70" t="e">
        <f>#REF!-HN34</f>
        <v>#REF!</v>
      </c>
      <c r="HP34" s="70" t="e">
        <f>SUM(#REF!)</f>
        <v>#REF!</v>
      </c>
      <c r="HQ34" s="70" t="e">
        <f>#REF!-HP34</f>
        <v>#REF!</v>
      </c>
      <c r="HR34" s="70" t="e">
        <f>SUM(#REF!)</f>
        <v>#REF!</v>
      </c>
      <c r="HS34" s="70" t="e">
        <f>#REF!-HR34</f>
        <v>#REF!</v>
      </c>
      <c r="HT34" s="70" t="e">
        <f>SUM(#REF!)</f>
        <v>#REF!</v>
      </c>
      <c r="HU34" s="70" t="e">
        <f>#REF!-HT34</f>
        <v>#REF!</v>
      </c>
      <c r="HV34" s="70" t="e">
        <f>SUM(#REF!)</f>
        <v>#REF!</v>
      </c>
      <c r="HW34" s="70" t="e">
        <f>#REF!-HV34</f>
        <v>#REF!</v>
      </c>
      <c r="HX34" s="70" t="e">
        <f>SUM(#REF!)</f>
        <v>#REF!</v>
      </c>
      <c r="HY34" s="70" t="e">
        <f>#REF!-HX34</f>
        <v>#REF!</v>
      </c>
      <c r="HZ34" s="70">
        <f>SUM(BC34:BC34)</f>
        <v>1006545</v>
      </c>
      <c r="IA34" s="70" t="e">
        <f>#REF!-HZ34</f>
        <v>#REF!</v>
      </c>
      <c r="IB34" s="70">
        <f>SUM(BD34:BD34)</f>
        <v>1461785</v>
      </c>
      <c r="IC34" s="70" t="e">
        <f>#REF!-IB34</f>
        <v>#REF!</v>
      </c>
      <c r="ID34" s="70">
        <f t="shared" si="56"/>
        <v>1732348</v>
      </c>
      <c r="IE34" s="70">
        <f t="shared" si="57"/>
        <v>0</v>
      </c>
      <c r="IF34" s="70">
        <f t="shared" si="58"/>
        <v>1854737</v>
      </c>
      <c r="IG34" s="70">
        <f t="shared" si="59"/>
        <v>0</v>
      </c>
      <c r="IH34" s="70">
        <f t="shared" si="60"/>
        <v>1491209</v>
      </c>
      <c r="II34" s="70">
        <f t="shared" si="61"/>
        <v>0</v>
      </c>
      <c r="IJ34" s="70">
        <f t="shared" si="62"/>
        <v>80848569</v>
      </c>
      <c r="IK34" s="70">
        <f t="shared" si="63"/>
        <v>0</v>
      </c>
      <c r="IL34" s="70">
        <f t="shared" ref="IL34:IL64" si="102">SUM(CC34:CG34)</f>
        <v>10897536</v>
      </c>
      <c r="IM34" s="70">
        <f t="shared" si="64"/>
        <v>0</v>
      </c>
      <c r="IN34" s="70">
        <f t="shared" si="65"/>
        <v>2514402</v>
      </c>
      <c r="IO34" s="70">
        <f t="shared" si="66"/>
        <v>0</v>
      </c>
      <c r="IP34" s="70">
        <f t="shared" si="67"/>
        <v>10785235</v>
      </c>
      <c r="IQ34" s="70">
        <f t="shared" si="68"/>
        <v>0</v>
      </c>
      <c r="IR34" s="70">
        <f t="shared" si="54"/>
        <v>0</v>
      </c>
      <c r="IS34" s="70">
        <f t="shared" si="55"/>
        <v>0</v>
      </c>
      <c r="IT34" s="70">
        <f t="shared" ref="IT34:IT64" si="103">SUM(DA34:DE34)</f>
        <v>13734429</v>
      </c>
      <c r="IU34" s="70">
        <f t="shared" ref="IU34:IU64" si="104">DF34-IT34</f>
        <v>0</v>
      </c>
      <c r="IV34" s="70">
        <f t="shared" ref="IV34:IV64" si="105">SUM(DG34:DK34)</f>
        <v>0</v>
      </c>
      <c r="IW34" s="70">
        <f t="shared" ref="IW34:IW64" si="106">DL34-IV34</f>
        <v>0</v>
      </c>
      <c r="IX34" s="70">
        <f t="shared" si="69"/>
        <v>3203870</v>
      </c>
      <c r="IY34" s="70">
        <f t="shared" si="70"/>
        <v>0</v>
      </c>
      <c r="IZ34" s="70">
        <f t="shared" si="71"/>
        <v>1824487</v>
      </c>
      <c r="JA34" s="70">
        <f t="shared" si="72"/>
        <v>0</v>
      </c>
      <c r="JB34" s="70">
        <f t="shared" si="73"/>
        <v>4710018</v>
      </c>
      <c r="JC34" s="70">
        <f t="shared" si="74"/>
        <v>0</v>
      </c>
      <c r="JD34" s="70">
        <f t="shared" si="75"/>
        <v>1674113</v>
      </c>
      <c r="JE34" s="70">
        <f t="shared" si="76"/>
        <v>0</v>
      </c>
      <c r="JF34" s="70">
        <f t="shared" si="77"/>
        <v>2358296</v>
      </c>
      <c r="JG34" s="70">
        <f t="shared" si="78"/>
        <v>0</v>
      </c>
      <c r="JH34" s="70">
        <f t="shared" si="79"/>
        <v>3124462</v>
      </c>
      <c r="JI34" s="70">
        <f t="shared" si="80"/>
        <v>0</v>
      </c>
      <c r="JJ34" s="70">
        <f t="shared" si="81"/>
        <v>1067925</v>
      </c>
      <c r="JK34" s="70">
        <f t="shared" si="82"/>
        <v>0</v>
      </c>
      <c r="JL34" s="70">
        <f t="shared" si="83"/>
        <v>20764804</v>
      </c>
      <c r="JM34" s="70">
        <f t="shared" si="84"/>
        <v>0</v>
      </c>
      <c r="JN34" s="70">
        <f t="shared" si="85"/>
        <v>357731</v>
      </c>
      <c r="JO34" s="70">
        <f t="shared" si="86"/>
        <v>0</v>
      </c>
      <c r="JP34" s="70">
        <f t="shared" si="87"/>
        <v>0</v>
      </c>
      <c r="JQ34" s="70">
        <f t="shared" si="88"/>
        <v>0</v>
      </c>
      <c r="JR34" s="70">
        <f t="shared" si="89"/>
        <v>468848</v>
      </c>
      <c r="JS34" s="70">
        <f t="shared" si="90"/>
        <v>0</v>
      </c>
      <c r="JT34" s="70">
        <f t="shared" si="91"/>
        <v>170465</v>
      </c>
      <c r="JU34" s="70">
        <f t="shared" si="92"/>
        <v>0</v>
      </c>
      <c r="JV34" s="70">
        <f t="shared" si="93"/>
        <v>5455730</v>
      </c>
      <c r="JW34" s="70">
        <f t="shared" si="94"/>
        <v>0</v>
      </c>
      <c r="JX34" s="70">
        <f t="shared" si="95"/>
        <v>83112351</v>
      </c>
      <c r="JY34" s="70">
        <f t="shared" si="96"/>
        <v>0</v>
      </c>
      <c r="JZ34" s="70">
        <f t="shared" si="97"/>
        <v>661300</v>
      </c>
      <c r="KA34" s="70">
        <f t="shared" si="98"/>
        <v>0</v>
      </c>
      <c r="KB34" s="70">
        <f t="shared" si="99"/>
        <v>83773651</v>
      </c>
      <c r="KC34" s="70">
        <f t="shared" si="100"/>
        <v>0</v>
      </c>
      <c r="KE34" s="70" t="e">
        <f t="shared" si="101"/>
        <v>#REF!</v>
      </c>
      <c r="KG34" s="68" t="e">
        <f t="shared" si="53"/>
        <v>#REF!</v>
      </c>
    </row>
    <row r="35" spans="1:293">
      <c r="A35" s="180" t="s">
        <v>260</v>
      </c>
      <c r="B35" s="76" t="s">
        <v>361</v>
      </c>
      <c r="C35" s="90">
        <v>151351</v>
      </c>
      <c r="D35" s="90">
        <v>2014</v>
      </c>
      <c r="E35" s="90">
        <v>1</v>
      </c>
      <c r="F35" s="91">
        <v>3</v>
      </c>
      <c r="G35" s="92">
        <v>15417</v>
      </c>
      <c r="H35" s="92">
        <v>15633</v>
      </c>
      <c r="I35" s="93">
        <v>1576148319</v>
      </c>
      <c r="J35" s="93">
        <v>1602836139</v>
      </c>
      <c r="K35" s="93">
        <v>4428448</v>
      </c>
      <c r="L35" s="93">
        <v>4424805</v>
      </c>
      <c r="M35" s="93">
        <v>47369213</v>
      </c>
      <c r="N35" s="93">
        <v>45525028</v>
      </c>
      <c r="O35" s="93">
        <v>49906649</v>
      </c>
      <c r="P35" s="93">
        <v>52123117</v>
      </c>
      <c r="Q35" s="93">
        <v>421903518</v>
      </c>
      <c r="R35" s="93">
        <v>445168823</v>
      </c>
      <c r="S35" s="93">
        <v>1254605190</v>
      </c>
      <c r="T35" s="93">
        <v>1182802057</v>
      </c>
      <c r="U35" s="93">
        <v>22098</v>
      </c>
      <c r="V35" s="93">
        <v>20594</v>
      </c>
      <c r="W35" s="93">
        <v>44950</v>
      </c>
      <c r="X35" s="93">
        <v>42044</v>
      </c>
      <c r="Y35" s="93">
        <v>23820</v>
      </c>
      <c r="Z35" s="93">
        <v>23116</v>
      </c>
      <c r="AA35" s="93">
        <v>45961</v>
      </c>
      <c r="AB35" s="93">
        <v>44566</v>
      </c>
      <c r="AC35" s="114">
        <v>11</v>
      </c>
      <c r="AD35" s="114">
        <v>13</v>
      </c>
      <c r="AE35" s="114">
        <v>0</v>
      </c>
      <c r="AF35" s="115">
        <v>6801310</v>
      </c>
      <c r="AG35" s="115">
        <v>6014262</v>
      </c>
      <c r="AH35" s="115">
        <v>1468216</v>
      </c>
      <c r="AI35" s="115">
        <v>367431</v>
      </c>
      <c r="AJ35" s="115">
        <v>810331</v>
      </c>
      <c r="AK35" s="116">
        <v>8.5</v>
      </c>
      <c r="AL35" s="115">
        <v>688781</v>
      </c>
      <c r="AM35" s="116">
        <v>10</v>
      </c>
      <c r="AN35" s="115">
        <v>180422</v>
      </c>
      <c r="AO35" s="116">
        <v>10.5</v>
      </c>
      <c r="AP35" s="115">
        <v>157869</v>
      </c>
      <c r="AQ35" s="116">
        <v>12</v>
      </c>
      <c r="AR35" s="115">
        <v>203836</v>
      </c>
      <c r="AS35" s="116">
        <v>24.5</v>
      </c>
      <c r="AT35" s="115">
        <v>172206</v>
      </c>
      <c r="AU35" s="116">
        <v>29</v>
      </c>
      <c r="AV35" s="115">
        <v>79039</v>
      </c>
      <c r="AW35" s="116">
        <v>20.5</v>
      </c>
      <c r="AX35" s="115">
        <v>64812</v>
      </c>
      <c r="AY35" s="116">
        <v>25</v>
      </c>
      <c r="AZ35" s="139">
        <v>6585484</v>
      </c>
      <c r="BA35" s="139">
        <v>0</v>
      </c>
      <c r="BB35" s="139">
        <v>16792186</v>
      </c>
      <c r="BC35" s="139">
        <v>1284712</v>
      </c>
      <c r="BD35" s="139">
        <v>880536</v>
      </c>
      <c r="BE35" s="139">
        <v>0</v>
      </c>
      <c r="BF35" s="139">
        <v>0</v>
      </c>
      <c r="BG35" s="139">
        <v>0</v>
      </c>
      <c r="BH35" s="139">
        <v>0</v>
      </c>
      <c r="BI35" s="139">
        <v>0</v>
      </c>
      <c r="BJ35" s="139">
        <v>0</v>
      </c>
      <c r="BK35" s="139">
        <v>0</v>
      </c>
      <c r="BL35" s="139">
        <v>0</v>
      </c>
      <c r="BM35" s="139">
        <v>0</v>
      </c>
      <c r="BN35" s="139">
        <v>0</v>
      </c>
      <c r="BO35" s="139">
        <v>0</v>
      </c>
      <c r="BP35" s="139">
        <v>0</v>
      </c>
      <c r="BQ35" s="139">
        <v>77193</v>
      </c>
      <c r="BR35" s="139">
        <v>3140</v>
      </c>
      <c r="BS35" s="139">
        <v>1040</v>
      </c>
      <c r="BT35" s="139">
        <v>133202</v>
      </c>
      <c r="BU35" s="139">
        <v>3377240</v>
      </c>
      <c r="BV35" s="139">
        <v>3591815</v>
      </c>
      <c r="BW35" s="139">
        <v>26497039</v>
      </c>
      <c r="BX35" s="139">
        <v>22252976</v>
      </c>
      <c r="BY35" s="139">
        <v>247380</v>
      </c>
      <c r="BZ35" s="139">
        <v>1596139</v>
      </c>
      <c r="CA35" s="139">
        <v>34075245</v>
      </c>
      <c r="CB35" s="139">
        <v>84668779</v>
      </c>
      <c r="CC35" s="139">
        <v>3765092</v>
      </c>
      <c r="CD35" s="139">
        <v>560430</v>
      </c>
      <c r="CE35" s="139">
        <v>680482</v>
      </c>
      <c r="CF35" s="139">
        <v>7809568</v>
      </c>
      <c r="CG35" s="139">
        <v>7630</v>
      </c>
      <c r="CH35" s="139">
        <v>12823202</v>
      </c>
      <c r="CI35" s="139">
        <v>2319432</v>
      </c>
      <c r="CJ35" s="139">
        <v>1406461</v>
      </c>
      <c r="CK35" s="139">
        <v>96529</v>
      </c>
      <c r="CL35" s="139">
        <v>154980</v>
      </c>
      <c r="CM35" s="139">
        <v>0</v>
      </c>
      <c r="CN35" s="139">
        <v>3977402</v>
      </c>
      <c r="CO35" s="139">
        <v>4628843</v>
      </c>
      <c r="CP35" s="139">
        <v>4569266</v>
      </c>
      <c r="CQ35" s="139">
        <v>807078</v>
      </c>
      <c r="CR35" s="139">
        <v>5391338</v>
      </c>
      <c r="CS35" s="139">
        <v>0</v>
      </c>
      <c r="CT35" s="139">
        <v>15396525</v>
      </c>
      <c r="CU35" s="139">
        <v>80597</v>
      </c>
      <c r="CV35" s="139">
        <v>60103</v>
      </c>
      <c r="CW35" s="139">
        <v>20871</v>
      </c>
      <c r="CX35" s="139">
        <v>11513</v>
      </c>
      <c r="CY35" s="139">
        <v>0</v>
      </c>
      <c r="CZ35" s="139">
        <v>173084</v>
      </c>
      <c r="DA35" s="139">
        <v>1425511</v>
      </c>
      <c r="DB35" s="139">
        <v>897987</v>
      </c>
      <c r="DC35" s="139">
        <v>259429</v>
      </c>
      <c r="DD35" s="139">
        <v>382942</v>
      </c>
      <c r="DE35" s="139">
        <v>13015949</v>
      </c>
      <c r="DF35" s="139">
        <v>15981818</v>
      </c>
      <c r="DG35" s="139">
        <v>13039</v>
      </c>
      <c r="DH35" s="139">
        <v>6250</v>
      </c>
      <c r="DI35" s="139">
        <v>0</v>
      </c>
      <c r="DJ35" s="139">
        <v>0</v>
      </c>
      <c r="DK35" s="139">
        <v>86647</v>
      </c>
      <c r="DL35" s="139">
        <v>105936</v>
      </c>
      <c r="DM35" s="139">
        <v>378443</v>
      </c>
      <c r="DN35" s="139">
        <v>57992</v>
      </c>
      <c r="DO35" s="139">
        <v>107696</v>
      </c>
      <c r="DP35" s="139">
        <v>188863</v>
      </c>
      <c r="DQ35" s="139">
        <v>568152</v>
      </c>
      <c r="DR35" s="139">
        <v>1301146</v>
      </c>
      <c r="DS35" s="139">
        <v>545017</v>
      </c>
      <c r="DT35" s="139">
        <v>716888</v>
      </c>
      <c r="DU35" s="139">
        <v>114219</v>
      </c>
      <c r="DV35" s="139">
        <v>459523</v>
      </c>
      <c r="DW35" s="139">
        <v>0</v>
      </c>
      <c r="DX35" s="139">
        <v>1835647</v>
      </c>
      <c r="DY35" s="139">
        <v>580935</v>
      </c>
      <c r="DZ35" s="139">
        <v>703751</v>
      </c>
      <c r="EA35" s="139">
        <v>304950</v>
      </c>
      <c r="EB35" s="139">
        <v>2426898</v>
      </c>
      <c r="EC35" s="139">
        <v>0</v>
      </c>
      <c r="ED35" s="139">
        <v>4016534</v>
      </c>
      <c r="EE35" s="139">
        <v>580935</v>
      </c>
      <c r="EF35" s="139">
        <v>703751</v>
      </c>
      <c r="EG35" s="139">
        <v>304950</v>
      </c>
      <c r="EH35" s="139">
        <v>2426898</v>
      </c>
      <c r="EI35" s="139">
        <v>0</v>
      </c>
      <c r="EJ35" s="139">
        <v>4016534</v>
      </c>
      <c r="EK35" s="139">
        <v>1364732</v>
      </c>
      <c r="EL35" s="139">
        <v>1222502</v>
      </c>
      <c r="EM35" s="139">
        <v>311599</v>
      </c>
      <c r="EN35" s="139">
        <v>311660</v>
      </c>
      <c r="EO35" s="139">
        <v>159687</v>
      </c>
      <c r="EP35" s="139">
        <v>3370180</v>
      </c>
      <c r="EQ35" s="139">
        <v>574156</v>
      </c>
      <c r="ER35" s="139">
        <v>160819</v>
      </c>
      <c r="ES35" s="139">
        <v>38595</v>
      </c>
      <c r="ET35" s="139">
        <v>157209</v>
      </c>
      <c r="EU35" s="139">
        <v>822742</v>
      </c>
      <c r="EV35" s="139">
        <v>1753521</v>
      </c>
      <c r="EW35" s="139">
        <v>0</v>
      </c>
      <c r="EX35" s="139">
        <v>0</v>
      </c>
      <c r="EY35" s="139">
        <v>0</v>
      </c>
      <c r="EZ35" s="139">
        <v>0</v>
      </c>
      <c r="FA35" s="139">
        <v>0</v>
      </c>
      <c r="FB35" s="139">
        <v>0</v>
      </c>
      <c r="FC35" s="139">
        <v>567160</v>
      </c>
      <c r="FD35" s="139">
        <v>208834</v>
      </c>
      <c r="FE35" s="139">
        <v>157457</v>
      </c>
      <c r="FF35" s="139">
        <v>943173</v>
      </c>
      <c r="FG35" s="139">
        <v>4740703</v>
      </c>
      <c r="FH35" s="139">
        <v>6617327</v>
      </c>
      <c r="FI35" s="139">
        <v>0</v>
      </c>
      <c r="FJ35" s="139">
        <v>0</v>
      </c>
      <c r="FK35" s="139">
        <v>0</v>
      </c>
      <c r="FL35" s="139">
        <v>0</v>
      </c>
      <c r="FM35" s="139">
        <v>175079</v>
      </c>
      <c r="FN35" s="139">
        <v>175079</v>
      </c>
      <c r="FO35" s="139">
        <v>0</v>
      </c>
      <c r="FP35" s="139">
        <v>0</v>
      </c>
      <c r="FQ35" s="139">
        <v>0</v>
      </c>
      <c r="FR35" s="139">
        <v>0</v>
      </c>
      <c r="FS35" s="139">
        <v>3008362</v>
      </c>
      <c r="FT35" s="139">
        <v>3008362</v>
      </c>
      <c r="FU35" s="139">
        <v>349927</v>
      </c>
      <c r="FV35" s="139">
        <v>30849</v>
      </c>
      <c r="FW35" s="139">
        <v>9713</v>
      </c>
      <c r="FX35" s="139">
        <v>420240</v>
      </c>
      <c r="FY35" s="139">
        <v>673947</v>
      </c>
      <c r="FZ35" s="139">
        <v>1484676</v>
      </c>
      <c r="GA35" s="139">
        <v>3120</v>
      </c>
      <c r="GB35" s="139">
        <v>2787</v>
      </c>
      <c r="GC35" s="139">
        <v>882</v>
      </c>
      <c r="GD35" s="139">
        <v>17994</v>
      </c>
      <c r="GE35" s="139">
        <v>116249</v>
      </c>
      <c r="GF35" s="139">
        <v>141032</v>
      </c>
      <c r="GG35" s="139">
        <v>728936</v>
      </c>
      <c r="GH35" s="139">
        <v>286629</v>
      </c>
      <c r="GI35" s="139">
        <v>149173</v>
      </c>
      <c r="GJ35" s="139">
        <v>624828</v>
      </c>
      <c r="GK35" s="139">
        <v>4878391</v>
      </c>
      <c r="GL35" s="139">
        <v>6667957</v>
      </c>
      <c r="GM35" s="139">
        <v>17829682</v>
      </c>
      <c r="GN35" s="139">
        <v>10977463</v>
      </c>
      <c r="GO35" s="139">
        <v>3107847</v>
      </c>
      <c r="GP35" s="139">
        <v>20210989</v>
      </c>
      <c r="GQ35" s="139">
        <v>28260751</v>
      </c>
      <c r="GR35" s="139">
        <v>80386732</v>
      </c>
      <c r="GS35" s="139">
        <v>0</v>
      </c>
      <c r="GT35" s="139">
        <v>0</v>
      </c>
      <c r="GU35" s="139">
        <v>0</v>
      </c>
      <c r="GV35" s="139">
        <v>0</v>
      </c>
      <c r="GW35" s="139">
        <v>0</v>
      </c>
      <c r="GX35" s="139">
        <v>0</v>
      </c>
      <c r="GY35" s="139">
        <v>17829682</v>
      </c>
      <c r="GZ35" s="139">
        <v>10977463</v>
      </c>
      <c r="HA35" s="139">
        <v>3107847</v>
      </c>
      <c r="HB35" s="139">
        <v>20210989</v>
      </c>
      <c r="HC35" s="139">
        <v>28260751</v>
      </c>
      <c r="HD35" s="139">
        <v>80386732</v>
      </c>
      <c r="HF35" s="70">
        <f>SUM(AZ35:AZ35)</f>
        <v>6585484</v>
      </c>
      <c r="HG35" s="70" t="e">
        <f>#REF!-HF35</f>
        <v>#REF!</v>
      </c>
      <c r="HH35" s="70" t="e">
        <f>SUM(#REF!)</f>
        <v>#REF!</v>
      </c>
      <c r="HI35" s="70" t="e">
        <f>#REF!-HH35</f>
        <v>#REF!</v>
      </c>
      <c r="HJ35" s="70">
        <f>SUM(BA35:BA35)</f>
        <v>0</v>
      </c>
      <c r="HK35" s="70" t="e">
        <f>#REF!-HJ35</f>
        <v>#REF!</v>
      </c>
      <c r="HL35" s="70" t="e">
        <f>SUM(#REF!)</f>
        <v>#REF!</v>
      </c>
      <c r="HM35" s="70" t="e">
        <f>BB35-HL35</f>
        <v>#REF!</v>
      </c>
      <c r="HN35" s="70" t="e">
        <f>SUM(#REF!)</f>
        <v>#REF!</v>
      </c>
      <c r="HO35" s="70" t="e">
        <f>#REF!-HN35</f>
        <v>#REF!</v>
      </c>
      <c r="HP35" s="70" t="e">
        <f>SUM(#REF!)</f>
        <v>#REF!</v>
      </c>
      <c r="HQ35" s="70" t="e">
        <f>#REF!-HP35</f>
        <v>#REF!</v>
      </c>
      <c r="HR35" s="70" t="e">
        <f>SUM(#REF!)</f>
        <v>#REF!</v>
      </c>
      <c r="HS35" s="70" t="e">
        <f>#REF!-HR35</f>
        <v>#REF!</v>
      </c>
      <c r="HT35" s="70" t="e">
        <f>SUM(#REF!)</f>
        <v>#REF!</v>
      </c>
      <c r="HU35" s="70" t="e">
        <f>#REF!-HT35</f>
        <v>#REF!</v>
      </c>
      <c r="HV35" s="70" t="e">
        <f>SUM(#REF!)</f>
        <v>#REF!</v>
      </c>
      <c r="HW35" s="70" t="e">
        <f>#REF!-HV35</f>
        <v>#REF!</v>
      </c>
      <c r="HX35" s="70" t="e">
        <f>SUM(#REF!)</f>
        <v>#REF!</v>
      </c>
      <c r="HY35" s="70" t="e">
        <f>#REF!-HX35</f>
        <v>#REF!</v>
      </c>
      <c r="HZ35" s="70">
        <f>SUM(BC35:BC35)</f>
        <v>1284712</v>
      </c>
      <c r="IA35" s="70" t="e">
        <f>#REF!-HZ35</f>
        <v>#REF!</v>
      </c>
      <c r="IB35" s="70">
        <f>SUM(BD35:BD35)</f>
        <v>880536</v>
      </c>
      <c r="IC35" s="70" t="e">
        <f>#REF!-IB35</f>
        <v>#REF!</v>
      </c>
      <c r="ID35" s="70">
        <f t="shared" si="56"/>
        <v>0</v>
      </c>
      <c r="IE35" s="70">
        <f t="shared" si="57"/>
        <v>0</v>
      </c>
      <c r="IF35" s="70">
        <f t="shared" si="58"/>
        <v>0</v>
      </c>
      <c r="IG35" s="70">
        <f t="shared" si="59"/>
        <v>0</v>
      </c>
      <c r="IH35" s="70">
        <f t="shared" si="60"/>
        <v>3591815</v>
      </c>
      <c r="II35" s="70">
        <f t="shared" si="61"/>
        <v>0</v>
      </c>
      <c r="IJ35" s="70">
        <f t="shared" si="62"/>
        <v>84668779</v>
      </c>
      <c r="IK35" s="70">
        <f t="shared" si="63"/>
        <v>0</v>
      </c>
      <c r="IL35" s="70">
        <f t="shared" si="102"/>
        <v>12823202</v>
      </c>
      <c r="IM35" s="70">
        <f t="shared" si="64"/>
        <v>0</v>
      </c>
      <c r="IN35" s="70">
        <f t="shared" si="65"/>
        <v>3977402</v>
      </c>
      <c r="IO35" s="70">
        <f t="shared" si="66"/>
        <v>0</v>
      </c>
      <c r="IP35" s="70">
        <f t="shared" si="67"/>
        <v>15396525</v>
      </c>
      <c r="IQ35" s="70">
        <f t="shared" si="68"/>
        <v>0</v>
      </c>
      <c r="IR35" s="70">
        <f t="shared" si="54"/>
        <v>173084</v>
      </c>
      <c r="IS35" s="70">
        <f t="shared" si="55"/>
        <v>0</v>
      </c>
      <c r="IT35" s="70">
        <f t="shared" si="103"/>
        <v>15981818</v>
      </c>
      <c r="IU35" s="70">
        <f t="shared" si="104"/>
        <v>0</v>
      </c>
      <c r="IV35" s="70">
        <f t="shared" si="105"/>
        <v>105936</v>
      </c>
      <c r="IW35" s="70">
        <f t="shared" si="106"/>
        <v>0</v>
      </c>
      <c r="IX35" s="70">
        <f t="shared" si="69"/>
        <v>1301146</v>
      </c>
      <c r="IY35" s="70">
        <f t="shared" si="70"/>
        <v>0</v>
      </c>
      <c r="IZ35" s="70">
        <f t="shared" si="71"/>
        <v>1835647</v>
      </c>
      <c r="JA35" s="70">
        <f t="shared" si="72"/>
        <v>0</v>
      </c>
      <c r="JB35" s="70">
        <f t="shared" si="73"/>
        <v>4016534</v>
      </c>
      <c r="JC35" s="70">
        <f t="shared" si="74"/>
        <v>0</v>
      </c>
      <c r="JD35" s="70">
        <f t="shared" si="75"/>
        <v>4016534</v>
      </c>
      <c r="JE35" s="70">
        <f t="shared" si="76"/>
        <v>0</v>
      </c>
      <c r="JF35" s="70">
        <f t="shared" si="77"/>
        <v>3370180</v>
      </c>
      <c r="JG35" s="70">
        <f t="shared" si="78"/>
        <v>0</v>
      </c>
      <c r="JH35" s="70">
        <f t="shared" si="79"/>
        <v>1753521</v>
      </c>
      <c r="JI35" s="70">
        <f t="shared" si="80"/>
        <v>0</v>
      </c>
      <c r="JJ35" s="70">
        <f t="shared" si="81"/>
        <v>0</v>
      </c>
      <c r="JK35" s="70">
        <f t="shared" si="82"/>
        <v>0</v>
      </c>
      <c r="JL35" s="70">
        <f t="shared" si="83"/>
        <v>6617327</v>
      </c>
      <c r="JM35" s="70">
        <f t="shared" si="84"/>
        <v>0</v>
      </c>
      <c r="JN35" s="70">
        <f t="shared" si="85"/>
        <v>175079</v>
      </c>
      <c r="JO35" s="70">
        <f t="shared" si="86"/>
        <v>0</v>
      </c>
      <c r="JP35" s="70">
        <f t="shared" si="87"/>
        <v>3008362</v>
      </c>
      <c r="JQ35" s="70">
        <f t="shared" si="88"/>
        <v>0</v>
      </c>
      <c r="JR35" s="70">
        <f t="shared" si="89"/>
        <v>1484676</v>
      </c>
      <c r="JS35" s="70">
        <f t="shared" si="90"/>
        <v>0</v>
      </c>
      <c r="JT35" s="70">
        <f t="shared" si="91"/>
        <v>141032</v>
      </c>
      <c r="JU35" s="70">
        <f t="shared" si="92"/>
        <v>0</v>
      </c>
      <c r="JV35" s="70">
        <f t="shared" si="93"/>
        <v>6667957</v>
      </c>
      <c r="JW35" s="70">
        <f t="shared" si="94"/>
        <v>0</v>
      </c>
      <c r="JX35" s="70">
        <f t="shared" si="95"/>
        <v>80386732</v>
      </c>
      <c r="JY35" s="70">
        <f t="shared" si="96"/>
        <v>0</v>
      </c>
      <c r="JZ35" s="70">
        <f t="shared" si="97"/>
        <v>0</v>
      </c>
      <c r="KA35" s="70">
        <f t="shared" si="98"/>
        <v>0</v>
      </c>
      <c r="KB35" s="70">
        <f t="shared" si="99"/>
        <v>80386732</v>
      </c>
      <c r="KC35" s="70">
        <f t="shared" si="100"/>
        <v>0</v>
      </c>
      <c r="KE35" s="70" t="e">
        <f t="shared" si="101"/>
        <v>#REF!</v>
      </c>
      <c r="KG35" s="68" t="e">
        <f t="shared" si="53"/>
        <v>#REF!</v>
      </c>
    </row>
    <row r="36" spans="1:293">
      <c r="A36" s="180" t="s">
        <v>261</v>
      </c>
      <c r="B36" s="76" t="s">
        <v>361</v>
      </c>
      <c r="C36" s="90">
        <v>153658</v>
      </c>
      <c r="D36" s="90">
        <v>2014</v>
      </c>
      <c r="E36" s="90">
        <v>1</v>
      </c>
      <c r="F36" s="91">
        <v>3</v>
      </c>
      <c r="G36" s="92">
        <v>9289</v>
      </c>
      <c r="H36" s="92">
        <v>10012</v>
      </c>
      <c r="I36" s="93">
        <v>2803827276</v>
      </c>
      <c r="J36" s="93">
        <v>2641702772</v>
      </c>
      <c r="K36" s="93">
        <v>10715696</v>
      </c>
      <c r="L36" s="93">
        <v>10265171</v>
      </c>
      <c r="M36" s="93">
        <v>95421604</v>
      </c>
      <c r="N36" s="93">
        <v>86320273</v>
      </c>
      <c r="O36" s="93">
        <v>141400000</v>
      </c>
      <c r="P36" s="93">
        <v>145575000</v>
      </c>
      <c r="Q36" s="93">
        <v>1227535163</v>
      </c>
      <c r="R36" s="93">
        <v>1171304838</v>
      </c>
      <c r="S36" s="93">
        <v>1047535712</v>
      </c>
      <c r="T36" s="93">
        <v>1005323395</v>
      </c>
      <c r="U36" s="93">
        <v>17885</v>
      </c>
      <c r="V36" s="93">
        <v>17627</v>
      </c>
      <c r="W36" s="93">
        <v>36755</v>
      </c>
      <c r="X36" s="93">
        <v>35849</v>
      </c>
      <c r="Y36" s="93">
        <v>20691</v>
      </c>
      <c r="Z36" s="93">
        <v>21832</v>
      </c>
      <c r="AA36" s="93">
        <v>39561</v>
      </c>
      <c r="AB36" s="93">
        <v>40054</v>
      </c>
      <c r="AC36" s="114">
        <v>11</v>
      </c>
      <c r="AD36" s="114">
        <v>13</v>
      </c>
      <c r="AE36" s="114">
        <v>0</v>
      </c>
      <c r="AF36" s="115">
        <v>6156088</v>
      </c>
      <c r="AG36" s="115">
        <v>5060703</v>
      </c>
      <c r="AH36" s="115">
        <v>840210</v>
      </c>
      <c r="AI36" s="115">
        <v>481214</v>
      </c>
      <c r="AJ36" s="115">
        <v>834159</v>
      </c>
      <c r="AK36" s="116">
        <v>8.5</v>
      </c>
      <c r="AL36" s="115">
        <v>709035</v>
      </c>
      <c r="AM36" s="116">
        <v>10</v>
      </c>
      <c r="AN36" s="115">
        <v>242385</v>
      </c>
      <c r="AO36" s="116">
        <v>10.5</v>
      </c>
      <c r="AP36" s="115">
        <v>212087</v>
      </c>
      <c r="AQ36" s="116">
        <v>12</v>
      </c>
      <c r="AR36" s="115">
        <v>214147</v>
      </c>
      <c r="AS36" s="116">
        <v>25.5</v>
      </c>
      <c r="AT36" s="115">
        <v>170649</v>
      </c>
      <c r="AU36" s="116">
        <v>32</v>
      </c>
      <c r="AV36" s="115">
        <v>84490</v>
      </c>
      <c r="AW36" s="116">
        <v>22</v>
      </c>
      <c r="AX36" s="115">
        <v>68844</v>
      </c>
      <c r="AY36" s="116">
        <v>27</v>
      </c>
      <c r="AZ36" s="139">
        <v>21042903</v>
      </c>
      <c r="BA36" s="139">
        <v>0</v>
      </c>
      <c r="BB36" s="139">
        <v>450000</v>
      </c>
      <c r="BC36" s="139">
        <v>1158390</v>
      </c>
      <c r="BD36" s="139">
        <v>2653467</v>
      </c>
      <c r="BE36" s="139">
        <v>50319</v>
      </c>
      <c r="BF36" s="139">
        <v>215146</v>
      </c>
      <c r="BG36" s="139">
        <v>85040</v>
      </c>
      <c r="BH36" s="139">
        <v>634268</v>
      </c>
      <c r="BI36" s="139">
        <v>26778</v>
      </c>
      <c r="BJ36" s="139">
        <v>1011551</v>
      </c>
      <c r="BK36" s="139">
        <v>530251</v>
      </c>
      <c r="BL36" s="139">
        <v>108677</v>
      </c>
      <c r="BM36" s="139">
        <v>51704</v>
      </c>
      <c r="BN36" s="139">
        <v>267534</v>
      </c>
      <c r="BO36" s="139">
        <v>2170265</v>
      </c>
      <c r="BP36" s="139">
        <v>3128431</v>
      </c>
      <c r="BQ36" s="139">
        <v>693762</v>
      </c>
      <c r="BR36" s="139">
        <v>48132</v>
      </c>
      <c r="BS36" s="139">
        <v>35615</v>
      </c>
      <c r="BT36" s="139">
        <v>44306</v>
      </c>
      <c r="BU36" s="139">
        <v>2240343</v>
      </c>
      <c r="BV36" s="139">
        <v>3062158</v>
      </c>
      <c r="BW36" s="139">
        <v>58278228</v>
      </c>
      <c r="BX36" s="139">
        <v>11394633</v>
      </c>
      <c r="BY36" s="139">
        <v>987250</v>
      </c>
      <c r="BZ36" s="139">
        <v>3160904</v>
      </c>
      <c r="CA36" s="139">
        <v>32137939</v>
      </c>
      <c r="CB36" s="139">
        <v>105958954</v>
      </c>
      <c r="CC36" s="139">
        <v>3552369</v>
      </c>
      <c r="CD36" s="139">
        <v>569386</v>
      </c>
      <c r="CE36" s="139">
        <v>533658</v>
      </c>
      <c r="CF36" s="139">
        <v>6561378</v>
      </c>
      <c r="CG36" s="139">
        <v>545990</v>
      </c>
      <c r="CH36" s="139">
        <v>11762781</v>
      </c>
      <c r="CI36" s="139">
        <v>1975000</v>
      </c>
      <c r="CJ36" s="139">
        <v>696310</v>
      </c>
      <c r="CK36" s="139">
        <v>136664</v>
      </c>
      <c r="CL36" s="139">
        <v>11997</v>
      </c>
      <c r="CM36" s="139">
        <v>0</v>
      </c>
      <c r="CN36" s="139">
        <v>2819971</v>
      </c>
      <c r="CO36" s="139">
        <v>8004886</v>
      </c>
      <c r="CP36" s="139">
        <v>2317189</v>
      </c>
      <c r="CQ36" s="139">
        <v>1517934</v>
      </c>
      <c r="CR36" s="139">
        <v>5114925</v>
      </c>
      <c r="CS36" s="139">
        <v>0</v>
      </c>
      <c r="CT36" s="139">
        <v>16954934</v>
      </c>
      <c r="CU36" s="139">
        <v>150000</v>
      </c>
      <c r="CV36" s="139">
        <v>300000</v>
      </c>
      <c r="CW36" s="139">
        <v>0</v>
      </c>
      <c r="CX36" s="139">
        <v>0</v>
      </c>
      <c r="CY36" s="139">
        <v>0</v>
      </c>
      <c r="CZ36" s="139">
        <v>450000</v>
      </c>
      <c r="DA36" s="139">
        <v>1878656</v>
      </c>
      <c r="DB36" s="139">
        <v>350170</v>
      </c>
      <c r="DC36" s="139">
        <v>215385</v>
      </c>
      <c r="DD36" s="139">
        <v>271649</v>
      </c>
      <c r="DE36" s="139">
        <v>13384348</v>
      </c>
      <c r="DF36" s="139">
        <v>16100208</v>
      </c>
      <c r="DG36" s="139">
        <v>0</v>
      </c>
      <c r="DH36" s="139">
        <v>0</v>
      </c>
      <c r="DI36" s="139">
        <v>0</v>
      </c>
      <c r="DJ36" s="139">
        <v>0</v>
      </c>
      <c r="DK36" s="139">
        <v>0</v>
      </c>
      <c r="DL36" s="139">
        <v>0</v>
      </c>
      <c r="DM36" s="139">
        <v>0</v>
      </c>
      <c r="DN36" s="139">
        <v>0</v>
      </c>
      <c r="DO36" s="139">
        <v>0</v>
      </c>
      <c r="DP36" s="139">
        <v>0</v>
      </c>
      <c r="DQ36" s="139">
        <v>0</v>
      </c>
      <c r="DR36" s="139">
        <v>0</v>
      </c>
      <c r="DS36" s="139">
        <v>347037</v>
      </c>
      <c r="DT36" s="139">
        <v>291811</v>
      </c>
      <c r="DU36" s="139">
        <v>118918</v>
      </c>
      <c r="DV36" s="139">
        <v>563658</v>
      </c>
      <c r="DW36" s="139">
        <v>0</v>
      </c>
      <c r="DX36" s="139">
        <v>1321424</v>
      </c>
      <c r="DY36" s="139">
        <v>2098856</v>
      </c>
      <c r="DZ36" s="139">
        <v>1036851</v>
      </c>
      <c r="EA36" s="139">
        <v>637659</v>
      </c>
      <c r="EB36" s="139">
        <v>2799338</v>
      </c>
      <c r="EC36" s="139">
        <v>0</v>
      </c>
      <c r="ED36" s="139">
        <v>6572704</v>
      </c>
      <c r="EE36" s="139">
        <v>908478</v>
      </c>
      <c r="EF36" s="139">
        <v>157321</v>
      </c>
      <c r="EG36" s="139">
        <v>127283</v>
      </c>
      <c r="EH36" s="139">
        <v>1057496</v>
      </c>
      <c r="EI36" s="139">
        <v>0</v>
      </c>
      <c r="EJ36" s="139">
        <v>2250578</v>
      </c>
      <c r="EK36" s="139">
        <v>1963069</v>
      </c>
      <c r="EL36" s="139">
        <v>517943</v>
      </c>
      <c r="EM36" s="139">
        <v>432218</v>
      </c>
      <c r="EN36" s="139">
        <v>590561</v>
      </c>
      <c r="EO36" s="139">
        <v>0</v>
      </c>
      <c r="EP36" s="139">
        <v>3503791</v>
      </c>
      <c r="EQ36" s="139">
        <v>566804</v>
      </c>
      <c r="ER36" s="139">
        <v>195867</v>
      </c>
      <c r="ES36" s="139">
        <v>108722</v>
      </c>
      <c r="ET36" s="139">
        <v>219153</v>
      </c>
      <c r="EU36" s="139">
        <v>2638209</v>
      </c>
      <c r="EV36" s="139">
        <v>3728755</v>
      </c>
      <c r="EW36" s="139">
        <v>81420</v>
      </c>
      <c r="EX36" s="139">
        <v>138744</v>
      </c>
      <c r="EY36" s="139">
        <v>60830</v>
      </c>
      <c r="EZ36" s="139">
        <v>295113</v>
      </c>
      <c r="FA36" s="139">
        <v>12044</v>
      </c>
      <c r="FB36" s="139">
        <v>588151</v>
      </c>
      <c r="FC36" s="139">
        <v>818822</v>
      </c>
      <c r="FD36" s="139">
        <v>0</v>
      </c>
      <c r="FE36" s="139">
        <v>0</v>
      </c>
      <c r="FF36" s="139">
        <v>1692984</v>
      </c>
      <c r="FG36" s="139">
        <v>23758387</v>
      </c>
      <c r="FH36" s="139">
        <v>26270193</v>
      </c>
      <c r="FI36" s="139">
        <v>0</v>
      </c>
      <c r="FJ36" s="139">
        <v>0</v>
      </c>
      <c r="FK36" s="139">
        <v>0</v>
      </c>
      <c r="FL36" s="139">
        <v>0</v>
      </c>
      <c r="FM36" s="139">
        <v>860004</v>
      </c>
      <c r="FN36" s="139">
        <v>860004</v>
      </c>
      <c r="FO36" s="139">
        <v>0</v>
      </c>
      <c r="FP36" s="139">
        <v>0</v>
      </c>
      <c r="FQ36" s="139">
        <v>0</v>
      </c>
      <c r="FR36" s="139">
        <v>0</v>
      </c>
      <c r="FS36" s="139">
        <v>0</v>
      </c>
      <c r="FT36" s="139">
        <v>0</v>
      </c>
      <c r="FU36" s="139">
        <v>61186</v>
      </c>
      <c r="FV36" s="139">
        <v>10526</v>
      </c>
      <c r="FW36" s="139">
        <v>31721</v>
      </c>
      <c r="FX36" s="139">
        <v>272944</v>
      </c>
      <c r="FY36" s="139">
        <v>340983</v>
      </c>
      <c r="FZ36" s="139">
        <v>717360</v>
      </c>
      <c r="GA36" s="139">
        <v>1675</v>
      </c>
      <c r="GB36" s="139">
        <v>3220</v>
      </c>
      <c r="GC36" s="139">
        <v>800</v>
      </c>
      <c r="GD36" s="139">
        <v>14819</v>
      </c>
      <c r="GE36" s="139">
        <v>194575</v>
      </c>
      <c r="GF36" s="139">
        <v>215089</v>
      </c>
      <c r="GG36" s="139">
        <v>1876200</v>
      </c>
      <c r="GH36" s="139">
        <v>215212</v>
      </c>
      <c r="GI36" s="139">
        <v>176815</v>
      </c>
      <c r="GJ36" s="139">
        <v>753825</v>
      </c>
      <c r="GK36" s="139">
        <v>5140852</v>
      </c>
      <c r="GL36" s="139">
        <v>8162904</v>
      </c>
      <c r="GM36" s="139">
        <v>24284458</v>
      </c>
      <c r="GN36" s="139">
        <v>6800550</v>
      </c>
      <c r="GO36" s="139">
        <v>4098607</v>
      </c>
      <c r="GP36" s="139">
        <v>20219840</v>
      </c>
      <c r="GQ36" s="139">
        <v>46875392</v>
      </c>
      <c r="GR36" s="139">
        <v>102278847</v>
      </c>
      <c r="GS36" s="139">
        <v>0</v>
      </c>
      <c r="GT36" s="139">
        <v>0</v>
      </c>
      <c r="GU36" s="139">
        <v>0</v>
      </c>
      <c r="GV36" s="139">
        <v>0</v>
      </c>
      <c r="GW36" s="139">
        <v>0</v>
      </c>
      <c r="GX36" s="139">
        <v>0</v>
      </c>
      <c r="GY36" s="139">
        <v>24284458</v>
      </c>
      <c r="GZ36" s="139">
        <v>6800550</v>
      </c>
      <c r="HA36" s="139">
        <v>4098607</v>
      </c>
      <c r="HB36" s="139">
        <v>20219840</v>
      </c>
      <c r="HC36" s="139">
        <v>46875392</v>
      </c>
      <c r="HD36" s="139">
        <v>102278847</v>
      </c>
      <c r="HF36" s="70">
        <f>SUM(AZ36:AZ36)</f>
        <v>21042903</v>
      </c>
      <c r="HG36" s="70" t="e">
        <f>#REF!-HF36</f>
        <v>#REF!</v>
      </c>
      <c r="HH36" s="70" t="e">
        <f>SUM(#REF!)</f>
        <v>#REF!</v>
      </c>
      <c r="HI36" s="70" t="e">
        <f>#REF!-HH36</f>
        <v>#REF!</v>
      </c>
      <c r="HJ36" s="70">
        <f>SUM(BA36:BA36)</f>
        <v>0</v>
      </c>
      <c r="HK36" s="70" t="e">
        <f>#REF!-HJ36</f>
        <v>#REF!</v>
      </c>
      <c r="HL36" s="70" t="e">
        <f>SUM(#REF!)</f>
        <v>#REF!</v>
      </c>
      <c r="HM36" s="70" t="e">
        <f>BB36-HL36</f>
        <v>#REF!</v>
      </c>
      <c r="HN36" s="70" t="e">
        <f>SUM(#REF!)</f>
        <v>#REF!</v>
      </c>
      <c r="HO36" s="70" t="e">
        <f>#REF!-HN36</f>
        <v>#REF!</v>
      </c>
      <c r="HP36" s="70" t="e">
        <f>SUM(#REF!)</f>
        <v>#REF!</v>
      </c>
      <c r="HQ36" s="70" t="e">
        <f>#REF!-HP36</f>
        <v>#REF!</v>
      </c>
      <c r="HR36" s="70" t="e">
        <f>SUM(#REF!)</f>
        <v>#REF!</v>
      </c>
      <c r="HS36" s="70" t="e">
        <f>#REF!-HR36</f>
        <v>#REF!</v>
      </c>
      <c r="HT36" s="70" t="e">
        <f>SUM(#REF!)</f>
        <v>#REF!</v>
      </c>
      <c r="HU36" s="70" t="e">
        <f>#REF!-HT36</f>
        <v>#REF!</v>
      </c>
      <c r="HV36" s="70" t="e">
        <f>SUM(#REF!)</f>
        <v>#REF!</v>
      </c>
      <c r="HW36" s="70" t="e">
        <f>#REF!-HV36</f>
        <v>#REF!</v>
      </c>
      <c r="HX36" s="70" t="e">
        <f>SUM(#REF!)</f>
        <v>#REF!</v>
      </c>
      <c r="HY36" s="70" t="e">
        <f>#REF!-HX36</f>
        <v>#REF!</v>
      </c>
      <c r="HZ36" s="70">
        <f>SUM(BC36:BC36)</f>
        <v>1158390</v>
      </c>
      <c r="IA36" s="70" t="e">
        <f>#REF!-HZ36</f>
        <v>#REF!</v>
      </c>
      <c r="IB36" s="70">
        <f>SUM(BD36:BD36)</f>
        <v>2653467</v>
      </c>
      <c r="IC36" s="70" t="e">
        <f>#REF!-IB36</f>
        <v>#REF!</v>
      </c>
      <c r="ID36" s="70">
        <f t="shared" si="56"/>
        <v>1011551</v>
      </c>
      <c r="IE36" s="70">
        <f t="shared" si="57"/>
        <v>0</v>
      </c>
      <c r="IF36" s="70">
        <f t="shared" si="58"/>
        <v>3128431</v>
      </c>
      <c r="IG36" s="70">
        <f t="shared" si="59"/>
        <v>0</v>
      </c>
      <c r="IH36" s="70">
        <f t="shared" si="60"/>
        <v>3062158</v>
      </c>
      <c r="II36" s="70">
        <f t="shared" si="61"/>
        <v>0</v>
      </c>
      <c r="IJ36" s="70">
        <f t="shared" si="62"/>
        <v>105958954</v>
      </c>
      <c r="IK36" s="70">
        <f t="shared" si="63"/>
        <v>0</v>
      </c>
      <c r="IL36" s="70">
        <f t="shared" si="102"/>
        <v>11762781</v>
      </c>
      <c r="IM36" s="70">
        <f t="shared" si="64"/>
        <v>0</v>
      </c>
      <c r="IN36" s="70">
        <f t="shared" si="65"/>
        <v>2819971</v>
      </c>
      <c r="IO36" s="70">
        <f t="shared" si="66"/>
        <v>0</v>
      </c>
      <c r="IP36" s="70">
        <f t="shared" si="67"/>
        <v>16954934</v>
      </c>
      <c r="IQ36" s="70">
        <f t="shared" si="68"/>
        <v>0</v>
      </c>
      <c r="IR36" s="70">
        <f t="shared" si="54"/>
        <v>450000</v>
      </c>
      <c r="IS36" s="70">
        <f t="shared" si="55"/>
        <v>0</v>
      </c>
      <c r="IT36" s="70">
        <f t="shared" si="103"/>
        <v>16100208</v>
      </c>
      <c r="IU36" s="70">
        <f t="shared" si="104"/>
        <v>0</v>
      </c>
      <c r="IV36" s="70">
        <f t="shared" si="105"/>
        <v>0</v>
      </c>
      <c r="IW36" s="70">
        <f t="shared" si="106"/>
        <v>0</v>
      </c>
      <c r="IX36" s="70">
        <f t="shared" si="69"/>
        <v>0</v>
      </c>
      <c r="IY36" s="70">
        <f t="shared" si="70"/>
        <v>0</v>
      </c>
      <c r="IZ36" s="70">
        <f t="shared" si="71"/>
        <v>1321424</v>
      </c>
      <c r="JA36" s="70">
        <f t="shared" si="72"/>
        <v>0</v>
      </c>
      <c r="JB36" s="70">
        <f t="shared" si="73"/>
        <v>6572704</v>
      </c>
      <c r="JC36" s="70">
        <f t="shared" si="74"/>
        <v>0</v>
      </c>
      <c r="JD36" s="70">
        <f t="shared" si="75"/>
        <v>2250578</v>
      </c>
      <c r="JE36" s="70">
        <f t="shared" si="76"/>
        <v>0</v>
      </c>
      <c r="JF36" s="70">
        <f t="shared" si="77"/>
        <v>3503791</v>
      </c>
      <c r="JG36" s="70">
        <f t="shared" si="78"/>
        <v>0</v>
      </c>
      <c r="JH36" s="70">
        <f t="shared" si="79"/>
        <v>3728755</v>
      </c>
      <c r="JI36" s="70">
        <f t="shared" si="80"/>
        <v>0</v>
      </c>
      <c r="JJ36" s="70">
        <f t="shared" si="81"/>
        <v>588151</v>
      </c>
      <c r="JK36" s="70">
        <f t="shared" si="82"/>
        <v>0</v>
      </c>
      <c r="JL36" s="70">
        <f t="shared" si="83"/>
        <v>26270193</v>
      </c>
      <c r="JM36" s="70">
        <f t="shared" si="84"/>
        <v>0</v>
      </c>
      <c r="JN36" s="70">
        <f t="shared" si="85"/>
        <v>860004</v>
      </c>
      <c r="JO36" s="70">
        <f t="shared" si="86"/>
        <v>0</v>
      </c>
      <c r="JP36" s="70">
        <f t="shared" si="87"/>
        <v>0</v>
      </c>
      <c r="JQ36" s="70">
        <f t="shared" si="88"/>
        <v>0</v>
      </c>
      <c r="JR36" s="70">
        <f t="shared" si="89"/>
        <v>717360</v>
      </c>
      <c r="JS36" s="70">
        <f t="shared" si="90"/>
        <v>0</v>
      </c>
      <c r="JT36" s="70">
        <f t="shared" si="91"/>
        <v>215089</v>
      </c>
      <c r="JU36" s="70">
        <f t="shared" si="92"/>
        <v>0</v>
      </c>
      <c r="JV36" s="70">
        <f t="shared" si="93"/>
        <v>8162904</v>
      </c>
      <c r="JW36" s="70">
        <f t="shared" si="94"/>
        <v>0</v>
      </c>
      <c r="JX36" s="70">
        <f t="shared" si="95"/>
        <v>102278847</v>
      </c>
      <c r="JY36" s="70">
        <f t="shared" si="96"/>
        <v>0</v>
      </c>
      <c r="JZ36" s="70">
        <f t="shared" si="97"/>
        <v>0</v>
      </c>
      <c r="KA36" s="70">
        <f t="shared" si="98"/>
        <v>0</v>
      </c>
      <c r="KB36" s="70">
        <f t="shared" si="99"/>
        <v>102278847</v>
      </c>
      <c r="KC36" s="70">
        <f t="shared" si="100"/>
        <v>0</v>
      </c>
      <c r="KE36" s="70" t="e">
        <f t="shared" si="101"/>
        <v>#REF!</v>
      </c>
      <c r="KG36" s="68" t="e">
        <f t="shared" si="53"/>
        <v>#REF!</v>
      </c>
    </row>
    <row r="37" spans="1:293">
      <c r="A37" s="76" t="s">
        <v>262</v>
      </c>
      <c r="B37" s="76" t="s">
        <v>361</v>
      </c>
      <c r="C37" s="90">
        <v>153603</v>
      </c>
      <c r="D37" s="90">
        <v>2014</v>
      </c>
      <c r="E37" s="90">
        <v>1</v>
      </c>
      <c r="F37" s="91">
        <v>2</v>
      </c>
      <c r="G37" s="92">
        <v>14595</v>
      </c>
      <c r="H37" s="92">
        <v>11381</v>
      </c>
      <c r="I37" s="93">
        <v>1070723175</v>
      </c>
      <c r="J37" s="93">
        <v>1030723369</v>
      </c>
      <c r="K37" s="93">
        <v>6231918</v>
      </c>
      <c r="L37" s="93">
        <v>4651085</v>
      </c>
      <c r="M37" s="93">
        <v>41774321</v>
      </c>
      <c r="N37" s="93">
        <v>35753363</v>
      </c>
      <c r="O37" s="93">
        <v>68354076</v>
      </c>
      <c r="P37" s="93">
        <v>71809129</v>
      </c>
      <c r="Q37" s="93">
        <v>483507369</v>
      </c>
      <c r="R37" s="93">
        <v>467433966</v>
      </c>
      <c r="S37" s="93">
        <v>817150912</v>
      </c>
      <c r="T37" s="93">
        <v>794672497</v>
      </c>
      <c r="U37" s="93">
        <v>16490</v>
      </c>
      <c r="V37" s="93">
        <v>16247</v>
      </c>
      <c r="W37" s="93">
        <v>29040</v>
      </c>
      <c r="X37" s="93">
        <v>28359</v>
      </c>
      <c r="Y37" s="93">
        <v>18920</v>
      </c>
      <c r="Z37" s="93">
        <v>18920</v>
      </c>
      <c r="AA37" s="93">
        <v>31470</v>
      </c>
      <c r="AB37" s="93">
        <v>31030</v>
      </c>
      <c r="AC37" s="114">
        <v>7</v>
      </c>
      <c r="AD37" s="114">
        <v>11</v>
      </c>
      <c r="AE37" s="114">
        <v>0</v>
      </c>
      <c r="AF37" s="115">
        <v>3781851</v>
      </c>
      <c r="AG37" s="115">
        <v>3324910</v>
      </c>
      <c r="AH37" s="115">
        <v>1006720</v>
      </c>
      <c r="AI37" s="115">
        <v>394075</v>
      </c>
      <c r="AJ37" s="115">
        <v>929849</v>
      </c>
      <c r="AK37" s="116">
        <v>4.5</v>
      </c>
      <c r="AL37" s="115">
        <v>836864</v>
      </c>
      <c r="AM37" s="116">
        <v>5</v>
      </c>
      <c r="AN37" s="115">
        <v>212254</v>
      </c>
      <c r="AO37" s="116">
        <v>8.5</v>
      </c>
      <c r="AP37" s="115">
        <v>200462</v>
      </c>
      <c r="AQ37" s="116">
        <v>9</v>
      </c>
      <c r="AR37" s="115">
        <v>226153</v>
      </c>
      <c r="AS37" s="116">
        <v>17.5</v>
      </c>
      <c r="AT37" s="115">
        <v>197884</v>
      </c>
      <c r="AU37" s="116">
        <v>20</v>
      </c>
      <c r="AV37" s="115">
        <v>89889</v>
      </c>
      <c r="AW37" s="116">
        <v>17.5</v>
      </c>
      <c r="AX37" s="115">
        <v>78653</v>
      </c>
      <c r="AY37" s="116">
        <v>20</v>
      </c>
      <c r="AZ37" s="139">
        <v>10278389</v>
      </c>
      <c r="BA37" s="139">
        <v>150000</v>
      </c>
      <c r="BB37" s="139">
        <v>17402605</v>
      </c>
      <c r="BC37" s="139">
        <v>1093280</v>
      </c>
      <c r="BD37" s="139">
        <v>0</v>
      </c>
      <c r="BE37" s="139">
        <v>0</v>
      </c>
      <c r="BF37" s="139">
        <v>0</v>
      </c>
      <c r="BG37" s="139">
        <v>0</v>
      </c>
      <c r="BH37" s="139">
        <v>0</v>
      </c>
      <c r="BI37" s="139">
        <v>0</v>
      </c>
      <c r="BJ37" s="139">
        <v>0</v>
      </c>
      <c r="BK37" s="139">
        <v>0</v>
      </c>
      <c r="BL37" s="139">
        <v>0</v>
      </c>
      <c r="BM37" s="139">
        <v>0</v>
      </c>
      <c r="BN37" s="139">
        <v>0</v>
      </c>
      <c r="BO37" s="139">
        <v>368790</v>
      </c>
      <c r="BP37" s="139">
        <v>368790</v>
      </c>
      <c r="BQ37" s="139">
        <v>0</v>
      </c>
      <c r="BR37" s="139">
        <v>0</v>
      </c>
      <c r="BS37" s="139">
        <v>115219</v>
      </c>
      <c r="BT37" s="139">
        <v>1338128</v>
      </c>
      <c r="BU37" s="139">
        <v>1756693</v>
      </c>
      <c r="BV37" s="139">
        <v>3210040</v>
      </c>
      <c r="BW37" s="139">
        <v>30968258</v>
      </c>
      <c r="BX37" s="139">
        <v>9586993</v>
      </c>
      <c r="BY37" s="139">
        <v>842935</v>
      </c>
      <c r="BZ37" s="139">
        <v>2015474</v>
      </c>
      <c r="CA37" s="139">
        <v>24756721</v>
      </c>
      <c r="CB37" s="139">
        <v>68170381</v>
      </c>
      <c r="CC37" s="139">
        <v>2614392</v>
      </c>
      <c r="CD37" s="139">
        <v>396815</v>
      </c>
      <c r="CE37" s="139">
        <v>401388</v>
      </c>
      <c r="CF37" s="139">
        <v>3694166</v>
      </c>
      <c r="CG37" s="139">
        <v>124577</v>
      </c>
      <c r="CH37" s="139">
        <v>7231338</v>
      </c>
      <c r="CI37" s="139">
        <v>350000</v>
      </c>
      <c r="CJ37" s="139">
        <v>288131</v>
      </c>
      <c r="CK37" s="139">
        <v>134907</v>
      </c>
      <c r="CL37" s="139">
        <v>74791</v>
      </c>
      <c r="CM37" s="139">
        <v>0</v>
      </c>
      <c r="CN37" s="139">
        <v>847829</v>
      </c>
      <c r="CO37" s="139">
        <v>4558908</v>
      </c>
      <c r="CP37" s="139">
        <v>2778588</v>
      </c>
      <c r="CQ37" s="139">
        <v>1139297</v>
      </c>
      <c r="CR37" s="139">
        <v>3042413</v>
      </c>
      <c r="CS37" s="139">
        <v>0</v>
      </c>
      <c r="CT37" s="139">
        <v>11519206</v>
      </c>
      <c r="CU37" s="139">
        <v>0</v>
      </c>
      <c r="CV37" s="139">
        <v>0</v>
      </c>
      <c r="CW37" s="139">
        <v>0</v>
      </c>
      <c r="CX37" s="139">
        <v>0</v>
      </c>
      <c r="CY37" s="139">
        <v>0</v>
      </c>
      <c r="CZ37" s="139">
        <v>0</v>
      </c>
      <c r="DA37" s="139">
        <v>1629799</v>
      </c>
      <c r="DB37" s="139">
        <v>486743</v>
      </c>
      <c r="DC37" s="139">
        <v>334178</v>
      </c>
      <c r="DD37" s="139">
        <v>829279</v>
      </c>
      <c r="DE37" s="139">
        <v>6591631</v>
      </c>
      <c r="DF37" s="139">
        <v>9871630</v>
      </c>
      <c r="DG37" s="139">
        <v>0</v>
      </c>
      <c r="DH37" s="139">
        <v>0</v>
      </c>
      <c r="DI37" s="139">
        <v>0</v>
      </c>
      <c r="DJ37" s="139">
        <v>0</v>
      </c>
      <c r="DK37" s="139">
        <v>0</v>
      </c>
      <c r="DL37" s="139">
        <v>0</v>
      </c>
      <c r="DM37" s="139">
        <v>107000</v>
      </c>
      <c r="DN37" s="139">
        <v>0</v>
      </c>
      <c r="DO37" s="139">
        <v>0</v>
      </c>
      <c r="DP37" s="139">
        <v>0</v>
      </c>
      <c r="DQ37" s="139">
        <v>0</v>
      </c>
      <c r="DR37" s="139">
        <v>107000</v>
      </c>
      <c r="DS37" s="139">
        <v>644213</v>
      </c>
      <c r="DT37" s="139">
        <v>248273</v>
      </c>
      <c r="DU37" s="139">
        <v>107501</v>
      </c>
      <c r="DV37" s="139">
        <v>400808</v>
      </c>
      <c r="DW37" s="139">
        <v>0</v>
      </c>
      <c r="DX37" s="139">
        <v>1400795</v>
      </c>
      <c r="DY37" s="139">
        <v>949255</v>
      </c>
      <c r="DZ37" s="139">
        <v>1060061</v>
      </c>
      <c r="EA37" s="139">
        <v>744327</v>
      </c>
      <c r="EB37" s="139">
        <v>2123338</v>
      </c>
      <c r="EC37" s="139">
        <v>0</v>
      </c>
      <c r="ED37" s="139">
        <v>4876981</v>
      </c>
      <c r="EE37" s="139">
        <v>903080</v>
      </c>
      <c r="EF37" s="139">
        <v>143821</v>
      </c>
      <c r="EG37" s="139">
        <v>113894</v>
      </c>
      <c r="EH37" s="139">
        <v>437939</v>
      </c>
      <c r="EI37" s="139">
        <v>249261</v>
      </c>
      <c r="EJ37" s="139">
        <v>1847995</v>
      </c>
      <c r="EK37" s="139">
        <v>1293169</v>
      </c>
      <c r="EL37" s="139">
        <v>369162</v>
      </c>
      <c r="EM37" s="139">
        <v>307361</v>
      </c>
      <c r="EN37" s="139">
        <v>308041</v>
      </c>
      <c r="EO37" s="139">
        <v>15445</v>
      </c>
      <c r="EP37" s="139">
        <v>2293178</v>
      </c>
      <c r="EQ37" s="139">
        <v>121405</v>
      </c>
      <c r="ER37" s="139">
        <v>112987</v>
      </c>
      <c r="ES37" s="139">
        <v>108506</v>
      </c>
      <c r="ET37" s="139">
        <v>126329</v>
      </c>
      <c r="EU37" s="139">
        <v>1687305</v>
      </c>
      <c r="EV37" s="139">
        <v>2156532</v>
      </c>
      <c r="EW37" s="139">
        <v>0</v>
      </c>
      <c r="EX37" s="139">
        <v>0</v>
      </c>
      <c r="EY37" s="139">
        <v>0</v>
      </c>
      <c r="EZ37" s="139">
        <v>0</v>
      </c>
      <c r="FA37" s="139">
        <v>0</v>
      </c>
      <c r="FB37" s="139">
        <v>0</v>
      </c>
      <c r="FC37" s="139">
        <v>367223</v>
      </c>
      <c r="FD37" s="139">
        <v>74398</v>
      </c>
      <c r="FE37" s="139">
        <v>49186</v>
      </c>
      <c r="FF37" s="139">
        <v>1615667</v>
      </c>
      <c r="FG37" s="139">
        <v>16676803</v>
      </c>
      <c r="FH37" s="139">
        <v>18783277</v>
      </c>
      <c r="FI37" s="139">
        <v>0</v>
      </c>
      <c r="FJ37" s="139">
        <v>0</v>
      </c>
      <c r="FK37" s="139">
        <v>0</v>
      </c>
      <c r="FL37" s="139">
        <v>0</v>
      </c>
      <c r="FM37" s="139">
        <v>391440</v>
      </c>
      <c r="FN37" s="139">
        <v>391440</v>
      </c>
      <c r="FO37" s="139">
        <v>0</v>
      </c>
      <c r="FP37" s="139">
        <v>0</v>
      </c>
      <c r="FQ37" s="139">
        <v>0</v>
      </c>
      <c r="FR37" s="139">
        <v>0</v>
      </c>
      <c r="FS37" s="139">
        <v>0</v>
      </c>
      <c r="FT37" s="139">
        <v>0</v>
      </c>
      <c r="FU37" s="139">
        <v>191481</v>
      </c>
      <c r="FV37" s="139">
        <v>7691</v>
      </c>
      <c r="FW37" s="139">
        <v>14957</v>
      </c>
      <c r="FX37" s="139">
        <v>237919</v>
      </c>
      <c r="FY37" s="139">
        <v>2741</v>
      </c>
      <c r="FZ37" s="139">
        <v>454789</v>
      </c>
      <c r="GA37" s="139">
        <v>3224</v>
      </c>
      <c r="GB37" s="139">
        <v>1155</v>
      </c>
      <c r="GC37" s="139">
        <v>0</v>
      </c>
      <c r="GD37" s="139">
        <v>7065</v>
      </c>
      <c r="GE37" s="139">
        <v>1634308</v>
      </c>
      <c r="GF37" s="139">
        <v>1645752</v>
      </c>
      <c r="GG37" s="139">
        <v>728113</v>
      </c>
      <c r="GH37" s="139">
        <v>101311</v>
      </c>
      <c r="GI37" s="139">
        <v>75401</v>
      </c>
      <c r="GJ37" s="139">
        <v>267649</v>
      </c>
      <c r="GK37" s="139">
        <v>3367496</v>
      </c>
      <c r="GL37" s="139">
        <v>4539970</v>
      </c>
      <c r="GM37" s="139">
        <v>14461262</v>
      </c>
      <c r="GN37" s="139">
        <v>6069136</v>
      </c>
      <c r="GO37" s="139">
        <v>3530903</v>
      </c>
      <c r="GP37" s="139">
        <v>13165404</v>
      </c>
      <c r="GQ37" s="139">
        <v>30741007</v>
      </c>
      <c r="GR37" s="139">
        <v>67967712</v>
      </c>
      <c r="GS37" s="139">
        <v>0</v>
      </c>
      <c r="GT37" s="139">
        <v>0</v>
      </c>
      <c r="GU37" s="139">
        <v>0</v>
      </c>
      <c r="GV37" s="139">
        <v>0</v>
      </c>
      <c r="GW37" s="139">
        <v>0</v>
      </c>
      <c r="GX37" s="139">
        <v>0</v>
      </c>
      <c r="GY37" s="139">
        <v>14461262</v>
      </c>
      <c r="GZ37" s="139">
        <v>6069136</v>
      </c>
      <c r="HA37" s="139">
        <v>3530903</v>
      </c>
      <c r="HB37" s="139">
        <v>13165404</v>
      </c>
      <c r="HC37" s="139">
        <v>30741007</v>
      </c>
      <c r="HD37" s="139">
        <v>67967712</v>
      </c>
      <c r="HF37" s="70">
        <f>SUM(AZ37:AZ37)</f>
        <v>10278389</v>
      </c>
      <c r="HG37" s="70" t="e">
        <f>#REF!-HF37</f>
        <v>#REF!</v>
      </c>
      <c r="HH37" s="70" t="e">
        <f>SUM(#REF!)</f>
        <v>#REF!</v>
      </c>
      <c r="HI37" s="70" t="e">
        <f>#REF!-HH37</f>
        <v>#REF!</v>
      </c>
      <c r="HJ37" s="70">
        <f>SUM(BA37:BA37)</f>
        <v>150000</v>
      </c>
      <c r="HK37" s="70" t="e">
        <f>#REF!-HJ37</f>
        <v>#REF!</v>
      </c>
      <c r="HL37" s="70" t="e">
        <f>SUM(#REF!)</f>
        <v>#REF!</v>
      </c>
      <c r="HM37" s="70" t="e">
        <f>BB37-HL37</f>
        <v>#REF!</v>
      </c>
      <c r="HN37" s="70" t="e">
        <f>SUM(#REF!)</f>
        <v>#REF!</v>
      </c>
      <c r="HO37" s="70" t="e">
        <f>#REF!-HN37</f>
        <v>#REF!</v>
      </c>
      <c r="HP37" s="70" t="e">
        <f>SUM(#REF!)</f>
        <v>#REF!</v>
      </c>
      <c r="HQ37" s="70" t="e">
        <f>#REF!-HP37</f>
        <v>#REF!</v>
      </c>
      <c r="HR37" s="70" t="e">
        <f>SUM(#REF!)</f>
        <v>#REF!</v>
      </c>
      <c r="HS37" s="70" t="e">
        <f>#REF!-HR37</f>
        <v>#REF!</v>
      </c>
      <c r="HT37" s="70" t="e">
        <f>SUM(#REF!)</f>
        <v>#REF!</v>
      </c>
      <c r="HU37" s="70" t="e">
        <f>#REF!-HT37</f>
        <v>#REF!</v>
      </c>
      <c r="HV37" s="70" t="e">
        <f>SUM(#REF!)</f>
        <v>#REF!</v>
      </c>
      <c r="HW37" s="70" t="e">
        <f>#REF!-HV37</f>
        <v>#REF!</v>
      </c>
      <c r="HX37" s="70" t="e">
        <f>SUM(#REF!)</f>
        <v>#REF!</v>
      </c>
      <c r="HY37" s="70" t="e">
        <f>#REF!-HX37</f>
        <v>#REF!</v>
      </c>
      <c r="HZ37" s="70">
        <f>SUM(BC37:BC37)</f>
        <v>1093280</v>
      </c>
      <c r="IA37" s="70" t="e">
        <f>#REF!-HZ37</f>
        <v>#REF!</v>
      </c>
      <c r="IB37" s="70">
        <f>SUM(BD37:BD37)</f>
        <v>0</v>
      </c>
      <c r="IC37" s="70" t="e">
        <f>#REF!-IB37</f>
        <v>#REF!</v>
      </c>
      <c r="ID37" s="70">
        <f t="shared" si="56"/>
        <v>0</v>
      </c>
      <c r="IE37" s="70">
        <f t="shared" si="57"/>
        <v>0</v>
      </c>
      <c r="IF37" s="70">
        <f t="shared" si="58"/>
        <v>368790</v>
      </c>
      <c r="IG37" s="70">
        <f t="shared" si="59"/>
        <v>0</v>
      </c>
      <c r="IH37" s="70">
        <f t="shared" si="60"/>
        <v>3210040</v>
      </c>
      <c r="II37" s="70">
        <f t="shared" si="61"/>
        <v>0</v>
      </c>
      <c r="IJ37" s="70">
        <f t="shared" si="62"/>
        <v>68170381</v>
      </c>
      <c r="IK37" s="70">
        <f t="shared" si="63"/>
        <v>0</v>
      </c>
      <c r="IL37" s="70">
        <f t="shared" si="102"/>
        <v>7231338</v>
      </c>
      <c r="IM37" s="70">
        <f t="shared" si="64"/>
        <v>0</v>
      </c>
      <c r="IN37" s="70">
        <f t="shared" si="65"/>
        <v>847829</v>
      </c>
      <c r="IO37" s="70">
        <f t="shared" si="66"/>
        <v>0</v>
      </c>
      <c r="IP37" s="70">
        <f t="shared" si="67"/>
        <v>11519206</v>
      </c>
      <c r="IQ37" s="70">
        <f t="shared" si="68"/>
        <v>0</v>
      </c>
      <c r="IR37" s="70">
        <f t="shared" si="54"/>
        <v>0</v>
      </c>
      <c r="IS37" s="70">
        <f t="shared" si="55"/>
        <v>0</v>
      </c>
      <c r="IT37" s="70">
        <f t="shared" si="103"/>
        <v>9871630</v>
      </c>
      <c r="IU37" s="70">
        <f t="shared" si="104"/>
        <v>0</v>
      </c>
      <c r="IV37" s="70">
        <f t="shared" si="105"/>
        <v>0</v>
      </c>
      <c r="IW37" s="70">
        <f t="shared" si="106"/>
        <v>0</v>
      </c>
      <c r="IX37" s="70">
        <f t="shared" si="69"/>
        <v>107000</v>
      </c>
      <c r="IY37" s="70">
        <f t="shared" si="70"/>
        <v>0</v>
      </c>
      <c r="IZ37" s="70">
        <f t="shared" si="71"/>
        <v>1400795</v>
      </c>
      <c r="JA37" s="70">
        <f t="shared" si="72"/>
        <v>0</v>
      </c>
      <c r="JB37" s="70">
        <f t="shared" si="73"/>
        <v>4876981</v>
      </c>
      <c r="JC37" s="70">
        <f t="shared" si="74"/>
        <v>0</v>
      </c>
      <c r="JD37" s="70">
        <f t="shared" si="75"/>
        <v>1847995</v>
      </c>
      <c r="JE37" s="70">
        <f t="shared" si="76"/>
        <v>0</v>
      </c>
      <c r="JF37" s="70">
        <f t="shared" si="77"/>
        <v>2293178</v>
      </c>
      <c r="JG37" s="70">
        <f t="shared" si="78"/>
        <v>0</v>
      </c>
      <c r="JH37" s="70">
        <f t="shared" si="79"/>
        <v>2156532</v>
      </c>
      <c r="JI37" s="70">
        <f t="shared" si="80"/>
        <v>0</v>
      </c>
      <c r="JJ37" s="70">
        <f t="shared" si="81"/>
        <v>0</v>
      </c>
      <c r="JK37" s="70">
        <f t="shared" si="82"/>
        <v>0</v>
      </c>
      <c r="JL37" s="70">
        <f t="shared" si="83"/>
        <v>18783277</v>
      </c>
      <c r="JM37" s="70">
        <f t="shared" si="84"/>
        <v>0</v>
      </c>
      <c r="JN37" s="70">
        <f t="shared" si="85"/>
        <v>391440</v>
      </c>
      <c r="JO37" s="70">
        <f t="shared" si="86"/>
        <v>0</v>
      </c>
      <c r="JP37" s="70">
        <f t="shared" si="87"/>
        <v>0</v>
      </c>
      <c r="JQ37" s="70">
        <f t="shared" si="88"/>
        <v>0</v>
      </c>
      <c r="JR37" s="70">
        <f t="shared" si="89"/>
        <v>454789</v>
      </c>
      <c r="JS37" s="70">
        <f t="shared" si="90"/>
        <v>0</v>
      </c>
      <c r="JT37" s="70">
        <f t="shared" si="91"/>
        <v>1645752</v>
      </c>
      <c r="JU37" s="70">
        <f t="shared" si="92"/>
        <v>0</v>
      </c>
      <c r="JV37" s="70">
        <f t="shared" si="93"/>
        <v>4539970</v>
      </c>
      <c r="JW37" s="70">
        <f t="shared" si="94"/>
        <v>0</v>
      </c>
      <c r="JX37" s="70">
        <f t="shared" si="95"/>
        <v>67967712</v>
      </c>
      <c r="JY37" s="70">
        <f t="shared" si="96"/>
        <v>0</v>
      </c>
      <c r="JZ37" s="70">
        <f t="shared" si="97"/>
        <v>0</v>
      </c>
      <c r="KA37" s="70">
        <f t="shared" si="98"/>
        <v>0</v>
      </c>
      <c r="KB37" s="70">
        <f t="shared" si="99"/>
        <v>67967712</v>
      </c>
      <c r="KC37" s="70">
        <f t="shared" si="100"/>
        <v>0</v>
      </c>
      <c r="KE37" s="70" t="e">
        <f t="shared" si="101"/>
        <v>#REF!</v>
      </c>
      <c r="KG37" s="68" t="e">
        <f t="shared" si="53"/>
        <v>#REF!</v>
      </c>
    </row>
    <row r="38" spans="1:293">
      <c r="A38" s="76" t="s">
        <v>263</v>
      </c>
      <c r="B38" s="76" t="s">
        <v>361</v>
      </c>
      <c r="C38" s="90">
        <v>155317</v>
      </c>
      <c r="D38" s="90">
        <v>2014</v>
      </c>
      <c r="E38" s="90">
        <v>1</v>
      </c>
      <c r="F38" s="91">
        <v>2</v>
      </c>
      <c r="G38" s="92">
        <v>8598</v>
      </c>
      <c r="H38" s="92">
        <v>8280</v>
      </c>
      <c r="I38" s="93">
        <v>1145878000</v>
      </c>
      <c r="J38" s="93">
        <v>1144222000</v>
      </c>
      <c r="K38" s="93">
        <v>3444523</v>
      </c>
      <c r="L38" s="93">
        <v>3710132</v>
      </c>
      <c r="M38" s="93">
        <v>44000000</v>
      </c>
      <c r="N38" s="93">
        <v>38520160</v>
      </c>
      <c r="O38" s="93">
        <v>46897969</v>
      </c>
      <c r="P38" s="93">
        <v>49852218</v>
      </c>
      <c r="Q38" s="93">
        <v>451900000</v>
      </c>
      <c r="R38" s="93">
        <v>356800000</v>
      </c>
      <c r="S38" s="93">
        <v>849047411</v>
      </c>
      <c r="T38" s="93">
        <v>823839840</v>
      </c>
      <c r="U38" s="93">
        <v>21325</v>
      </c>
      <c r="V38" s="93">
        <v>20368</v>
      </c>
      <c r="W38" s="93">
        <v>35002</v>
      </c>
      <c r="X38" s="93">
        <v>32851</v>
      </c>
      <c r="Y38" s="93">
        <v>22791</v>
      </c>
      <c r="Z38" s="93">
        <v>21538</v>
      </c>
      <c r="AA38" s="93">
        <v>36468</v>
      </c>
      <c r="AB38" s="93">
        <v>34022</v>
      </c>
      <c r="AC38" s="114">
        <v>7</v>
      </c>
      <c r="AD38" s="114">
        <v>11</v>
      </c>
      <c r="AE38" s="114">
        <v>0</v>
      </c>
      <c r="AF38" s="115">
        <v>6002709</v>
      </c>
      <c r="AG38" s="115">
        <v>4802958</v>
      </c>
      <c r="AH38" s="115">
        <v>1176977</v>
      </c>
      <c r="AI38" s="115">
        <v>530039</v>
      </c>
      <c r="AJ38" s="115">
        <v>1398885</v>
      </c>
      <c r="AK38" s="116">
        <v>4.5</v>
      </c>
      <c r="AL38" s="115">
        <v>1258997</v>
      </c>
      <c r="AM38" s="116">
        <v>5</v>
      </c>
      <c r="AN38" s="115">
        <v>191597</v>
      </c>
      <c r="AO38" s="116">
        <v>8.5</v>
      </c>
      <c r="AP38" s="115">
        <v>180953</v>
      </c>
      <c r="AQ38" s="116">
        <v>9</v>
      </c>
      <c r="AR38" s="115">
        <v>227462</v>
      </c>
      <c r="AS38" s="116">
        <v>17.5</v>
      </c>
      <c r="AT38" s="115">
        <v>199029</v>
      </c>
      <c r="AU38" s="116">
        <v>20</v>
      </c>
      <c r="AV38" s="115">
        <v>83181</v>
      </c>
      <c r="AW38" s="116">
        <v>17.5</v>
      </c>
      <c r="AX38" s="115">
        <v>72783</v>
      </c>
      <c r="AY38" s="116">
        <v>20</v>
      </c>
      <c r="AZ38" s="139">
        <v>5249002</v>
      </c>
      <c r="BA38" s="139">
        <v>150000</v>
      </c>
      <c r="BB38" s="150">
        <v>28952472</v>
      </c>
      <c r="BC38" s="139">
        <v>68040</v>
      </c>
      <c r="BD38" s="139">
        <v>0</v>
      </c>
      <c r="BE38" s="139">
        <v>0</v>
      </c>
      <c r="BF38" s="139">
        <v>0</v>
      </c>
      <c r="BG38" s="139">
        <v>0</v>
      </c>
      <c r="BH38" s="139">
        <v>0</v>
      </c>
      <c r="BI38" s="139">
        <v>16761</v>
      </c>
      <c r="BJ38" s="139">
        <v>16761</v>
      </c>
      <c r="BK38" s="139">
        <v>0</v>
      </c>
      <c r="BL38" s="139">
        <v>0</v>
      </c>
      <c r="BM38" s="139">
        <v>0</v>
      </c>
      <c r="BN38" s="139">
        <v>0</v>
      </c>
      <c r="BO38" s="139">
        <v>4510182</v>
      </c>
      <c r="BP38" s="139">
        <v>4510182</v>
      </c>
      <c r="BQ38" s="139">
        <v>1288</v>
      </c>
      <c r="BR38" s="139">
        <v>9077</v>
      </c>
      <c r="BS38" s="139">
        <v>0</v>
      </c>
      <c r="BT38" s="139">
        <v>30948</v>
      </c>
      <c r="BU38" s="139">
        <v>4379239</v>
      </c>
      <c r="BV38" s="139">
        <v>4420552</v>
      </c>
      <c r="BW38" s="139">
        <v>23177772</v>
      </c>
      <c r="BX38" s="139">
        <v>18253973</v>
      </c>
      <c r="BY38" s="139">
        <v>294539</v>
      </c>
      <c r="BZ38" s="139">
        <v>1115086</v>
      </c>
      <c r="CA38" s="139">
        <v>54839696</v>
      </c>
      <c r="CB38" s="139">
        <v>97681066</v>
      </c>
      <c r="CC38" s="139">
        <v>4228402</v>
      </c>
      <c r="CD38" s="139">
        <v>629361</v>
      </c>
      <c r="CE38" s="139">
        <v>545120</v>
      </c>
      <c r="CF38" s="139">
        <v>5402784</v>
      </c>
      <c r="CG38" s="139">
        <v>341228</v>
      </c>
      <c r="CH38" s="139">
        <v>11146895</v>
      </c>
      <c r="CI38" s="139">
        <v>1200000</v>
      </c>
      <c r="CJ38" s="139">
        <v>450000</v>
      </c>
      <c r="CK38" s="139">
        <v>99500</v>
      </c>
      <c r="CL38" s="139">
        <v>107615</v>
      </c>
      <c r="CM38" s="139">
        <v>61338</v>
      </c>
      <c r="CN38" s="139">
        <v>1918453</v>
      </c>
      <c r="CO38" s="139">
        <v>4891659</v>
      </c>
      <c r="CP38" s="139">
        <v>4241591</v>
      </c>
      <c r="CQ38" s="139">
        <v>999180</v>
      </c>
      <c r="CR38" s="139">
        <v>3227386</v>
      </c>
      <c r="CS38" s="139">
        <v>0</v>
      </c>
      <c r="CT38" s="139">
        <v>13359816</v>
      </c>
      <c r="CU38" s="139">
        <v>0</v>
      </c>
      <c r="CV38" s="139">
        <v>0</v>
      </c>
      <c r="CW38" s="139">
        <v>0</v>
      </c>
      <c r="CX38" s="139">
        <v>0</v>
      </c>
      <c r="CY38" s="139">
        <v>0</v>
      </c>
      <c r="CZ38" s="139">
        <v>0</v>
      </c>
      <c r="DA38" s="139">
        <v>617017</v>
      </c>
      <c r="DB38" s="139">
        <v>402548</v>
      </c>
      <c r="DC38" s="139">
        <v>335646</v>
      </c>
      <c r="DD38" s="139">
        <v>413508</v>
      </c>
      <c r="DE38" s="139">
        <v>18631948</v>
      </c>
      <c r="DF38" s="139">
        <v>20400667</v>
      </c>
      <c r="DG38" s="139">
        <v>0</v>
      </c>
      <c r="DH38" s="139">
        <v>0</v>
      </c>
      <c r="DI38" s="139">
        <v>0</v>
      </c>
      <c r="DJ38" s="139">
        <v>0</v>
      </c>
      <c r="DK38" s="139">
        <v>0</v>
      </c>
      <c r="DL38" s="139">
        <v>0</v>
      </c>
      <c r="DM38" s="139">
        <v>413937</v>
      </c>
      <c r="DN38" s="139">
        <v>0</v>
      </c>
      <c r="DO38" s="139">
        <v>0</v>
      </c>
      <c r="DP38" s="139">
        <v>1038</v>
      </c>
      <c r="DQ38" s="139">
        <v>0</v>
      </c>
      <c r="DR38" s="139">
        <v>414975</v>
      </c>
      <c r="DS38" s="139">
        <v>577432</v>
      </c>
      <c r="DT38" s="139">
        <v>424298</v>
      </c>
      <c r="DU38" s="139">
        <v>188701</v>
      </c>
      <c r="DV38" s="139">
        <v>516585</v>
      </c>
      <c r="DW38" s="139">
        <v>10444</v>
      </c>
      <c r="DX38" s="139">
        <v>1717460</v>
      </c>
      <c r="DY38" s="139">
        <v>1144509</v>
      </c>
      <c r="DZ38" s="139">
        <v>1223441</v>
      </c>
      <c r="EA38" s="139">
        <v>706109</v>
      </c>
      <c r="EB38" s="139">
        <v>3484626</v>
      </c>
      <c r="EC38" s="139">
        <v>199899</v>
      </c>
      <c r="ED38" s="139">
        <v>6758584</v>
      </c>
      <c r="EE38" s="139">
        <v>337332</v>
      </c>
      <c r="EF38" s="139">
        <v>55063</v>
      </c>
      <c r="EG38" s="139">
        <v>78845</v>
      </c>
      <c r="EH38" s="139">
        <v>595920</v>
      </c>
      <c r="EI38" s="139">
        <v>2670879</v>
      </c>
      <c r="EJ38" s="139">
        <v>3738039</v>
      </c>
      <c r="EK38" s="139">
        <v>868696</v>
      </c>
      <c r="EL38" s="139">
        <v>855526</v>
      </c>
      <c r="EM38" s="139">
        <v>352113</v>
      </c>
      <c r="EN38" s="139">
        <v>456798</v>
      </c>
      <c r="EO38" s="139">
        <v>590656</v>
      </c>
      <c r="EP38" s="139">
        <v>3123789</v>
      </c>
      <c r="EQ38" s="139">
        <v>48068</v>
      </c>
      <c r="ER38" s="139">
        <v>8418</v>
      </c>
      <c r="ES38" s="139">
        <v>4099</v>
      </c>
      <c r="ET38" s="139">
        <v>16738</v>
      </c>
      <c r="EU38" s="139">
        <v>1408463</v>
      </c>
      <c r="EV38" s="139">
        <v>1485786</v>
      </c>
      <c r="EW38" s="139">
        <v>0</v>
      </c>
      <c r="EX38" s="139">
        <v>0</v>
      </c>
      <c r="EY38" s="139">
        <v>0</v>
      </c>
      <c r="EZ38" s="139">
        <v>0</v>
      </c>
      <c r="FA38" s="139">
        <v>0</v>
      </c>
      <c r="FB38" s="139">
        <v>0</v>
      </c>
      <c r="FC38" s="139">
        <v>118400</v>
      </c>
      <c r="FD38" s="139">
        <v>0</v>
      </c>
      <c r="FE38" s="139">
        <v>43</v>
      </c>
      <c r="FF38" s="139">
        <v>218011</v>
      </c>
      <c r="FG38" s="139">
        <v>4816228</v>
      </c>
      <c r="FH38" s="139">
        <v>5152682</v>
      </c>
      <c r="FI38" s="139">
        <v>0</v>
      </c>
      <c r="FJ38" s="139">
        <v>0</v>
      </c>
      <c r="FK38" s="139">
        <v>0</v>
      </c>
      <c r="FL38" s="139">
        <v>0</v>
      </c>
      <c r="FM38" s="139">
        <v>106369</v>
      </c>
      <c r="FN38" s="139">
        <v>106369</v>
      </c>
      <c r="FO38" s="139">
        <v>0</v>
      </c>
      <c r="FP38" s="139">
        <v>0</v>
      </c>
      <c r="FQ38" s="139">
        <v>0</v>
      </c>
      <c r="FR38" s="139">
        <v>0</v>
      </c>
      <c r="FS38" s="139">
        <v>0</v>
      </c>
      <c r="FT38" s="139">
        <v>0</v>
      </c>
      <c r="FU38" s="139">
        <v>0</v>
      </c>
      <c r="FV38" s="139">
        <v>0</v>
      </c>
      <c r="FW38" s="139">
        <v>0</v>
      </c>
      <c r="FX38" s="139">
        <v>0</v>
      </c>
      <c r="FY38" s="139">
        <v>731141</v>
      </c>
      <c r="FZ38" s="139">
        <v>731141</v>
      </c>
      <c r="GA38" s="139">
        <v>40459</v>
      </c>
      <c r="GB38" s="139">
        <v>38796</v>
      </c>
      <c r="GC38" s="139">
        <v>11234</v>
      </c>
      <c r="GD38" s="139">
        <v>72816</v>
      </c>
      <c r="GE38" s="139">
        <v>282392</v>
      </c>
      <c r="GF38" s="139">
        <v>445697</v>
      </c>
      <c r="GG38" s="139">
        <v>358733</v>
      </c>
      <c r="GH38" s="139">
        <v>150289</v>
      </c>
      <c r="GI38" s="139">
        <v>68202</v>
      </c>
      <c r="GJ38" s="139">
        <v>496568</v>
      </c>
      <c r="GK38" s="139">
        <v>18482366</v>
      </c>
      <c r="GL38" s="139">
        <v>19556158</v>
      </c>
      <c r="GM38" s="139">
        <v>14844644</v>
      </c>
      <c r="GN38" s="139">
        <v>8479331</v>
      </c>
      <c r="GO38" s="139">
        <v>3388792</v>
      </c>
      <c r="GP38" s="139">
        <v>15010393</v>
      </c>
      <c r="GQ38" s="139">
        <v>48333351</v>
      </c>
      <c r="GR38" s="139">
        <v>90056511</v>
      </c>
      <c r="GS38" s="139">
        <v>0</v>
      </c>
      <c r="GT38" s="139">
        <v>0</v>
      </c>
      <c r="GU38" s="139">
        <v>0</v>
      </c>
      <c r="GV38" s="139">
        <v>0</v>
      </c>
      <c r="GW38" s="139">
        <v>0</v>
      </c>
      <c r="GX38" s="139">
        <v>0</v>
      </c>
      <c r="GY38" s="139">
        <v>14844644</v>
      </c>
      <c r="GZ38" s="139">
        <v>8479331</v>
      </c>
      <c r="HA38" s="139">
        <v>3388792</v>
      </c>
      <c r="HB38" s="139">
        <v>15010393</v>
      </c>
      <c r="HC38" s="139">
        <v>48333351</v>
      </c>
      <c r="HD38" s="139">
        <v>90056511</v>
      </c>
      <c r="HF38" s="70">
        <f>SUM(AZ38:AZ38)</f>
        <v>5249002</v>
      </c>
      <c r="HG38" s="70" t="e">
        <f>#REF!-HF38</f>
        <v>#REF!</v>
      </c>
      <c r="HH38" s="70" t="e">
        <f>SUM(#REF!)</f>
        <v>#REF!</v>
      </c>
      <c r="HI38" s="70" t="e">
        <f>#REF!-HH38</f>
        <v>#REF!</v>
      </c>
      <c r="HJ38" s="70">
        <f>SUM(BA38:BA38)</f>
        <v>150000</v>
      </c>
      <c r="HK38" s="70" t="e">
        <f>#REF!-HJ38</f>
        <v>#REF!</v>
      </c>
      <c r="HL38" s="70" t="e">
        <f>SUM(#REF!)</f>
        <v>#REF!</v>
      </c>
      <c r="HM38" s="70" t="e">
        <f>BB38-HL38</f>
        <v>#REF!</v>
      </c>
      <c r="HN38" s="70" t="e">
        <f>SUM(#REF!)</f>
        <v>#REF!</v>
      </c>
      <c r="HO38" s="70" t="e">
        <f>#REF!-HN38</f>
        <v>#REF!</v>
      </c>
      <c r="HP38" s="70" t="e">
        <f>SUM(#REF!)</f>
        <v>#REF!</v>
      </c>
      <c r="HQ38" s="70" t="e">
        <f>#REF!-HP38</f>
        <v>#REF!</v>
      </c>
      <c r="HR38" s="70" t="e">
        <f>SUM(#REF!)</f>
        <v>#REF!</v>
      </c>
      <c r="HS38" s="70" t="e">
        <f>#REF!-HR38</f>
        <v>#REF!</v>
      </c>
      <c r="HT38" s="70" t="e">
        <f>SUM(#REF!)</f>
        <v>#REF!</v>
      </c>
      <c r="HU38" s="70" t="e">
        <f>#REF!-HT38</f>
        <v>#REF!</v>
      </c>
      <c r="HV38" s="70" t="e">
        <f>SUM(#REF!)</f>
        <v>#REF!</v>
      </c>
      <c r="HW38" s="70" t="e">
        <f>#REF!-HV38</f>
        <v>#REF!</v>
      </c>
      <c r="HX38" s="70" t="e">
        <f>SUM(#REF!)</f>
        <v>#REF!</v>
      </c>
      <c r="HY38" s="70" t="e">
        <f>#REF!-HX38</f>
        <v>#REF!</v>
      </c>
      <c r="HZ38" s="70">
        <f>SUM(BC38:BC38)</f>
        <v>68040</v>
      </c>
      <c r="IA38" s="70" t="e">
        <f>#REF!-HZ38</f>
        <v>#REF!</v>
      </c>
      <c r="IB38" s="70">
        <f>SUM(BD38:BD38)</f>
        <v>0</v>
      </c>
      <c r="IC38" s="70" t="e">
        <f>#REF!-IB38</f>
        <v>#REF!</v>
      </c>
      <c r="ID38" s="70">
        <f t="shared" si="56"/>
        <v>16761</v>
      </c>
      <c r="IE38" s="70">
        <f t="shared" si="57"/>
        <v>0</v>
      </c>
      <c r="IF38" s="70">
        <f t="shared" si="58"/>
        <v>4510182</v>
      </c>
      <c r="IG38" s="70">
        <f t="shared" si="59"/>
        <v>0</v>
      </c>
      <c r="IH38" s="70">
        <f t="shared" si="60"/>
        <v>4420552</v>
      </c>
      <c r="II38" s="70">
        <f t="shared" si="61"/>
        <v>0</v>
      </c>
      <c r="IJ38" s="70">
        <f t="shared" si="62"/>
        <v>97681066</v>
      </c>
      <c r="IK38" s="70">
        <f t="shared" si="63"/>
        <v>0</v>
      </c>
      <c r="IL38" s="70">
        <f t="shared" si="102"/>
        <v>11146895</v>
      </c>
      <c r="IM38" s="70">
        <f t="shared" si="64"/>
        <v>0</v>
      </c>
      <c r="IN38" s="70">
        <f t="shared" si="65"/>
        <v>1918453</v>
      </c>
      <c r="IO38" s="70">
        <f t="shared" si="66"/>
        <v>0</v>
      </c>
      <c r="IP38" s="70">
        <f t="shared" si="67"/>
        <v>13359816</v>
      </c>
      <c r="IQ38" s="70">
        <f t="shared" si="68"/>
        <v>0</v>
      </c>
      <c r="IR38" s="70">
        <f t="shared" si="54"/>
        <v>0</v>
      </c>
      <c r="IS38" s="70">
        <f t="shared" si="55"/>
        <v>0</v>
      </c>
      <c r="IT38" s="70">
        <f t="shared" si="103"/>
        <v>20400667</v>
      </c>
      <c r="IU38" s="70">
        <f t="shared" si="104"/>
        <v>0</v>
      </c>
      <c r="IV38" s="70">
        <f t="shared" si="105"/>
        <v>0</v>
      </c>
      <c r="IW38" s="70">
        <f t="shared" si="106"/>
        <v>0</v>
      </c>
      <c r="IX38" s="70">
        <f t="shared" si="69"/>
        <v>414975</v>
      </c>
      <c r="IY38" s="70">
        <f t="shared" si="70"/>
        <v>0</v>
      </c>
      <c r="IZ38" s="70">
        <f t="shared" si="71"/>
        <v>1717460</v>
      </c>
      <c r="JA38" s="70">
        <f t="shared" si="72"/>
        <v>0</v>
      </c>
      <c r="JB38" s="70">
        <f t="shared" si="73"/>
        <v>6758584</v>
      </c>
      <c r="JC38" s="70">
        <f t="shared" si="74"/>
        <v>0</v>
      </c>
      <c r="JD38" s="70">
        <f t="shared" si="75"/>
        <v>3738039</v>
      </c>
      <c r="JE38" s="70">
        <f t="shared" si="76"/>
        <v>0</v>
      </c>
      <c r="JF38" s="70">
        <f t="shared" si="77"/>
        <v>3123789</v>
      </c>
      <c r="JG38" s="70">
        <f t="shared" si="78"/>
        <v>0</v>
      </c>
      <c r="JH38" s="70">
        <f t="shared" si="79"/>
        <v>1485786</v>
      </c>
      <c r="JI38" s="70">
        <f t="shared" si="80"/>
        <v>0</v>
      </c>
      <c r="JJ38" s="70">
        <f t="shared" si="81"/>
        <v>0</v>
      </c>
      <c r="JK38" s="70">
        <f t="shared" si="82"/>
        <v>0</v>
      </c>
      <c r="JL38" s="70">
        <f t="shared" si="83"/>
        <v>5152682</v>
      </c>
      <c r="JM38" s="70">
        <f t="shared" si="84"/>
        <v>0</v>
      </c>
      <c r="JN38" s="70">
        <f t="shared" si="85"/>
        <v>106369</v>
      </c>
      <c r="JO38" s="70">
        <f t="shared" si="86"/>
        <v>0</v>
      </c>
      <c r="JP38" s="70">
        <f t="shared" si="87"/>
        <v>0</v>
      </c>
      <c r="JQ38" s="70">
        <f t="shared" si="88"/>
        <v>0</v>
      </c>
      <c r="JR38" s="70">
        <f t="shared" si="89"/>
        <v>731141</v>
      </c>
      <c r="JS38" s="70">
        <f t="shared" si="90"/>
        <v>0</v>
      </c>
      <c r="JT38" s="70">
        <f t="shared" si="91"/>
        <v>445697</v>
      </c>
      <c r="JU38" s="70">
        <f t="shared" si="92"/>
        <v>0</v>
      </c>
      <c r="JV38" s="70">
        <f t="shared" si="93"/>
        <v>19556158</v>
      </c>
      <c r="JW38" s="70">
        <f t="shared" si="94"/>
        <v>0</v>
      </c>
      <c r="JX38" s="70">
        <f t="shared" si="95"/>
        <v>90056511</v>
      </c>
      <c r="JY38" s="70">
        <f t="shared" si="96"/>
        <v>0</v>
      </c>
      <c r="JZ38" s="70">
        <f t="shared" si="97"/>
        <v>0</v>
      </c>
      <c r="KA38" s="70">
        <f t="shared" si="98"/>
        <v>0</v>
      </c>
      <c r="KB38" s="70">
        <f t="shared" si="99"/>
        <v>90056511</v>
      </c>
      <c r="KC38" s="70">
        <f t="shared" si="100"/>
        <v>0</v>
      </c>
      <c r="KE38" s="70" t="e">
        <f t="shared" si="101"/>
        <v>#REF!</v>
      </c>
      <c r="KG38" s="68" t="e">
        <f t="shared" si="53"/>
        <v>#REF!</v>
      </c>
    </row>
    <row r="39" spans="1:293">
      <c r="A39" s="76" t="s">
        <v>264</v>
      </c>
      <c r="B39" s="76" t="s">
        <v>361</v>
      </c>
      <c r="C39" s="90">
        <v>203517</v>
      </c>
      <c r="D39" s="90">
        <v>2014</v>
      </c>
      <c r="E39" s="90">
        <v>1</v>
      </c>
      <c r="F39" s="91">
        <v>9</v>
      </c>
      <c r="G39" s="92">
        <v>7526</v>
      </c>
      <c r="H39" s="92">
        <v>10632</v>
      </c>
      <c r="I39" s="93">
        <v>644062000</v>
      </c>
      <c r="J39" s="93">
        <v>642184000</v>
      </c>
      <c r="K39" s="93">
        <v>0</v>
      </c>
      <c r="L39" s="93">
        <v>0</v>
      </c>
      <c r="M39" s="93">
        <v>39710000</v>
      </c>
      <c r="N39" s="93">
        <v>37946000</v>
      </c>
      <c r="O39" s="93">
        <v>0</v>
      </c>
      <c r="P39" s="93">
        <v>0</v>
      </c>
      <c r="Q39" s="93">
        <v>527828000</v>
      </c>
      <c r="R39" s="93">
        <v>517301000</v>
      </c>
      <c r="S39" s="93">
        <v>472130000</v>
      </c>
      <c r="T39" s="93">
        <v>467953000</v>
      </c>
      <c r="U39" s="93">
        <v>21390</v>
      </c>
      <c r="V39" s="93">
        <v>21298</v>
      </c>
      <c r="W39" s="93">
        <v>29350</v>
      </c>
      <c r="X39" s="93">
        <v>29258</v>
      </c>
      <c r="Y39" s="93">
        <v>26332</v>
      </c>
      <c r="Z39" s="93">
        <v>26628</v>
      </c>
      <c r="AA39" s="93">
        <v>34292</v>
      </c>
      <c r="AB39" s="93">
        <v>34588</v>
      </c>
      <c r="AC39" s="114">
        <v>8</v>
      </c>
      <c r="AD39" s="114">
        <v>10</v>
      </c>
      <c r="AE39" s="114">
        <v>0</v>
      </c>
      <c r="AF39" s="115">
        <v>3285842</v>
      </c>
      <c r="AG39" s="115">
        <v>2456248</v>
      </c>
      <c r="AH39" s="115">
        <v>225590</v>
      </c>
      <c r="AI39" s="115">
        <v>147248</v>
      </c>
      <c r="AJ39" s="115">
        <v>214033</v>
      </c>
      <c r="AK39" s="116">
        <v>5.4</v>
      </c>
      <c r="AL39" s="115">
        <v>192630</v>
      </c>
      <c r="AM39" s="116">
        <v>4</v>
      </c>
      <c r="AN39" s="115">
        <v>103581</v>
      </c>
      <c r="AO39" s="116">
        <v>7.6</v>
      </c>
      <c r="AP39" s="115">
        <v>98402</v>
      </c>
      <c r="AQ39" s="116">
        <v>8</v>
      </c>
      <c r="AR39" s="115">
        <v>73142</v>
      </c>
      <c r="AS39" s="116">
        <v>19.5</v>
      </c>
      <c r="AT39" s="115">
        <v>62011</v>
      </c>
      <c r="AU39" s="116">
        <v>23</v>
      </c>
      <c r="AV39" s="115">
        <v>44015</v>
      </c>
      <c r="AW39" s="116">
        <v>17.600000000000001</v>
      </c>
      <c r="AX39" s="115">
        <v>38733</v>
      </c>
      <c r="AY39" s="116">
        <v>20</v>
      </c>
      <c r="AZ39" s="139">
        <v>224751</v>
      </c>
      <c r="BA39" s="139">
        <v>1905000</v>
      </c>
      <c r="BB39" s="139">
        <v>968748</v>
      </c>
      <c r="BC39" s="139">
        <v>0</v>
      </c>
      <c r="BD39" s="139">
        <v>0</v>
      </c>
      <c r="BE39" s="139">
        <v>16796</v>
      </c>
      <c r="BF39" s="139">
        <v>24895</v>
      </c>
      <c r="BG39" s="139">
        <v>25554</v>
      </c>
      <c r="BH39" s="139">
        <v>600749</v>
      </c>
      <c r="BI39" s="139">
        <v>8915</v>
      </c>
      <c r="BJ39" s="139">
        <v>676909</v>
      </c>
      <c r="BK39" s="139">
        <v>0</v>
      </c>
      <c r="BL39" s="139">
        <v>0</v>
      </c>
      <c r="BM39" s="139">
        <v>0</v>
      </c>
      <c r="BN39" s="139">
        <v>0</v>
      </c>
      <c r="BO39" s="139">
        <v>0</v>
      </c>
      <c r="BP39" s="139">
        <v>0</v>
      </c>
      <c r="BQ39" s="139">
        <v>0</v>
      </c>
      <c r="BR39" s="139">
        <v>0</v>
      </c>
      <c r="BS39" s="139">
        <v>0</v>
      </c>
      <c r="BT39" s="139">
        <v>0</v>
      </c>
      <c r="BU39" s="139">
        <v>169065</v>
      </c>
      <c r="BV39" s="139">
        <v>169065</v>
      </c>
      <c r="BW39" s="139">
        <v>2448440</v>
      </c>
      <c r="BX39" s="139">
        <v>312708</v>
      </c>
      <c r="BY39" s="139">
        <v>119306</v>
      </c>
      <c r="BZ39" s="139">
        <v>1149885</v>
      </c>
      <c r="CA39" s="139">
        <v>20902355</v>
      </c>
      <c r="CB39" s="139">
        <v>24932694</v>
      </c>
      <c r="CC39" s="139">
        <v>1988983</v>
      </c>
      <c r="CD39" s="139">
        <v>433097</v>
      </c>
      <c r="CE39" s="139">
        <v>411028</v>
      </c>
      <c r="CF39" s="139">
        <v>2908982</v>
      </c>
      <c r="CG39" s="139">
        <v>10929</v>
      </c>
      <c r="CH39" s="139">
        <v>5753019</v>
      </c>
      <c r="CI39" s="139">
        <v>300000</v>
      </c>
      <c r="CJ39" s="139">
        <v>76617</v>
      </c>
      <c r="CK39" s="139">
        <v>1500</v>
      </c>
      <c r="CL39" s="139">
        <v>1000</v>
      </c>
      <c r="CM39" s="139">
        <v>0</v>
      </c>
      <c r="CN39" s="139">
        <v>379117</v>
      </c>
      <c r="CO39" s="139">
        <v>1138360</v>
      </c>
      <c r="CP39" s="139">
        <v>511870</v>
      </c>
      <c r="CQ39" s="139">
        <v>384552</v>
      </c>
      <c r="CR39" s="139">
        <v>2109135</v>
      </c>
      <c r="CS39" s="139">
        <v>0</v>
      </c>
      <c r="CT39" s="139">
        <v>4143917</v>
      </c>
      <c r="CU39" s="139">
        <v>4765</v>
      </c>
      <c r="CV39" s="139">
        <v>4600</v>
      </c>
      <c r="CW39" s="139">
        <v>0</v>
      </c>
      <c r="CX39" s="139">
        <v>103576</v>
      </c>
      <c r="CY39" s="139">
        <v>0</v>
      </c>
      <c r="CZ39" s="139">
        <v>112941</v>
      </c>
      <c r="DA39" s="139">
        <v>0</v>
      </c>
      <c r="DB39" s="139">
        <v>0</v>
      </c>
      <c r="DC39" s="139">
        <v>0</v>
      </c>
      <c r="DD39" s="139">
        <v>0</v>
      </c>
      <c r="DE39" s="139">
        <v>5348804</v>
      </c>
      <c r="DF39" s="139">
        <v>5348804</v>
      </c>
      <c r="DG39" s="139">
        <v>0</v>
      </c>
      <c r="DH39" s="139">
        <v>0</v>
      </c>
      <c r="DI39" s="139">
        <v>0</v>
      </c>
      <c r="DJ39" s="139">
        <v>0</v>
      </c>
      <c r="DK39" s="139">
        <v>0</v>
      </c>
      <c r="DL39" s="139">
        <v>0</v>
      </c>
      <c r="DM39" s="139">
        <v>0</v>
      </c>
      <c r="DN39" s="139">
        <v>0</v>
      </c>
      <c r="DO39" s="139">
        <v>0</v>
      </c>
      <c r="DP39" s="139">
        <v>0</v>
      </c>
      <c r="DQ39" s="139">
        <v>0</v>
      </c>
      <c r="DR39" s="139">
        <v>0</v>
      </c>
      <c r="DS39" s="139">
        <v>97760</v>
      </c>
      <c r="DT39" s="139">
        <v>76828</v>
      </c>
      <c r="DU39" s="139">
        <v>48554</v>
      </c>
      <c r="DV39" s="139">
        <v>149696</v>
      </c>
      <c r="DW39" s="139">
        <v>0</v>
      </c>
      <c r="DX39" s="139">
        <v>372838</v>
      </c>
      <c r="DY39" s="139">
        <v>576795</v>
      </c>
      <c r="DZ39" s="139">
        <v>274970</v>
      </c>
      <c r="EA39" s="139">
        <v>107930</v>
      </c>
      <c r="EB39" s="139">
        <v>898720</v>
      </c>
      <c r="EC39" s="139">
        <v>589281</v>
      </c>
      <c r="ED39" s="139">
        <v>2447696</v>
      </c>
      <c r="EE39" s="139">
        <v>354670</v>
      </c>
      <c r="EF39" s="139">
        <v>65045</v>
      </c>
      <c r="EG39" s="139">
        <v>37020</v>
      </c>
      <c r="EH39" s="139">
        <v>340002</v>
      </c>
      <c r="EI39" s="139">
        <v>454569</v>
      </c>
      <c r="EJ39" s="139">
        <v>1251306</v>
      </c>
      <c r="EK39" s="139">
        <v>276353</v>
      </c>
      <c r="EL39" s="139">
        <v>212732</v>
      </c>
      <c r="EM39" s="139">
        <v>89663</v>
      </c>
      <c r="EN39" s="139">
        <v>85137</v>
      </c>
      <c r="EO39" s="139">
        <v>0</v>
      </c>
      <c r="EP39" s="139">
        <v>663885</v>
      </c>
      <c r="EQ39" s="139">
        <v>0</v>
      </c>
      <c r="ER39" s="139">
        <v>0</v>
      </c>
      <c r="ES39" s="139">
        <v>0</v>
      </c>
      <c r="ET39" s="139">
        <v>0</v>
      </c>
      <c r="EU39" s="139">
        <v>538677</v>
      </c>
      <c r="EV39" s="139">
        <v>538677</v>
      </c>
      <c r="EW39" s="139">
        <v>10560</v>
      </c>
      <c r="EX39" s="139">
        <v>11676</v>
      </c>
      <c r="EY39" s="139">
        <v>20179</v>
      </c>
      <c r="EZ39" s="139">
        <v>550573</v>
      </c>
      <c r="FA39" s="139">
        <v>0</v>
      </c>
      <c r="FB39" s="139">
        <v>592988</v>
      </c>
      <c r="FC39" s="139">
        <v>65967</v>
      </c>
      <c r="FD39" s="139">
        <v>19158</v>
      </c>
      <c r="FE39" s="139">
        <v>1800</v>
      </c>
      <c r="FF39" s="139">
        <v>29726</v>
      </c>
      <c r="FG39" s="139">
        <v>502859</v>
      </c>
      <c r="FH39" s="139">
        <v>619510</v>
      </c>
      <c r="FI39" s="139">
        <v>0</v>
      </c>
      <c r="FJ39" s="139">
        <v>0</v>
      </c>
      <c r="FK39" s="139">
        <v>0</v>
      </c>
      <c r="FL39" s="139">
        <v>0</v>
      </c>
      <c r="FM39" s="139">
        <v>122854</v>
      </c>
      <c r="FN39" s="139">
        <v>122854</v>
      </c>
      <c r="FO39" s="139">
        <v>0</v>
      </c>
      <c r="FP39" s="139">
        <v>0</v>
      </c>
      <c r="FQ39" s="139">
        <v>0</v>
      </c>
      <c r="FR39" s="139">
        <v>0</v>
      </c>
      <c r="FS39" s="139">
        <v>119683</v>
      </c>
      <c r="FT39" s="139">
        <v>119683</v>
      </c>
      <c r="FU39" s="139">
        <v>4253</v>
      </c>
      <c r="FV39" s="139">
        <v>0</v>
      </c>
      <c r="FW39" s="139">
        <v>0</v>
      </c>
      <c r="FX39" s="139">
        <v>0</v>
      </c>
      <c r="FY39" s="139">
        <v>308220</v>
      </c>
      <c r="FZ39" s="139">
        <v>312473</v>
      </c>
      <c r="GA39" s="139">
        <v>430</v>
      </c>
      <c r="GB39" s="139">
        <v>706</v>
      </c>
      <c r="GC39" s="139">
        <v>854</v>
      </c>
      <c r="GD39" s="139">
        <v>2739</v>
      </c>
      <c r="GE39" s="139">
        <v>303272</v>
      </c>
      <c r="GF39" s="139">
        <v>308001</v>
      </c>
      <c r="GG39" s="139">
        <v>0</v>
      </c>
      <c r="GH39" s="139">
        <v>0</v>
      </c>
      <c r="GI39" s="139">
        <v>0</v>
      </c>
      <c r="GJ39" s="139">
        <v>0</v>
      </c>
      <c r="GK39" s="139">
        <v>1304572</v>
      </c>
      <c r="GL39" s="139">
        <v>1304572</v>
      </c>
      <c r="GM39" s="139">
        <v>4818896</v>
      </c>
      <c r="GN39" s="139">
        <v>1687299</v>
      </c>
      <c r="GO39" s="139">
        <v>1103080</v>
      </c>
      <c r="GP39" s="139">
        <v>7179286</v>
      </c>
      <c r="GQ39" s="139">
        <v>9603720</v>
      </c>
      <c r="GR39" s="139">
        <v>24392281</v>
      </c>
      <c r="GS39" s="139">
        <v>0</v>
      </c>
      <c r="GT39" s="139">
        <v>0</v>
      </c>
      <c r="GU39" s="139">
        <v>0</v>
      </c>
      <c r="GV39" s="139">
        <v>0</v>
      </c>
      <c r="GW39" s="139">
        <v>0</v>
      </c>
      <c r="GX39" s="139">
        <v>0</v>
      </c>
      <c r="GY39" s="139">
        <v>4818896</v>
      </c>
      <c r="GZ39" s="139">
        <v>1687299</v>
      </c>
      <c r="HA39" s="139">
        <v>1103080</v>
      </c>
      <c r="HB39" s="139">
        <v>7179286</v>
      </c>
      <c r="HC39" s="139">
        <v>10193727</v>
      </c>
      <c r="HD39" s="139">
        <v>24982288</v>
      </c>
      <c r="HF39" s="70">
        <f>SUM(AZ39:AZ39)</f>
        <v>224751</v>
      </c>
      <c r="HG39" s="70" t="e">
        <f>#REF!-HF39</f>
        <v>#REF!</v>
      </c>
      <c r="HH39" s="70" t="e">
        <f>SUM(#REF!)</f>
        <v>#REF!</v>
      </c>
      <c r="HI39" s="70" t="e">
        <f>#REF!-HH39</f>
        <v>#REF!</v>
      </c>
      <c r="HJ39" s="70">
        <f>SUM(BA39:BA39)</f>
        <v>1905000</v>
      </c>
      <c r="HK39" s="70" t="e">
        <f>#REF!-HJ39</f>
        <v>#REF!</v>
      </c>
      <c r="HL39" s="70" t="e">
        <f>SUM(#REF!)</f>
        <v>#REF!</v>
      </c>
      <c r="HM39" s="70" t="e">
        <f>BB39-HL39</f>
        <v>#REF!</v>
      </c>
      <c r="HN39" s="70" t="e">
        <f>SUM(#REF!)</f>
        <v>#REF!</v>
      </c>
      <c r="HO39" s="70" t="e">
        <f>#REF!-HN39</f>
        <v>#REF!</v>
      </c>
      <c r="HP39" s="70" t="e">
        <f>SUM(#REF!)</f>
        <v>#REF!</v>
      </c>
      <c r="HQ39" s="70" t="e">
        <f>#REF!-HP39</f>
        <v>#REF!</v>
      </c>
      <c r="HR39" s="70" t="e">
        <f>SUM(#REF!)</f>
        <v>#REF!</v>
      </c>
      <c r="HS39" s="70" t="e">
        <f>#REF!-HR39</f>
        <v>#REF!</v>
      </c>
      <c r="HT39" s="70" t="e">
        <f>SUM(#REF!)</f>
        <v>#REF!</v>
      </c>
      <c r="HU39" s="70" t="e">
        <f>#REF!-HT39</f>
        <v>#REF!</v>
      </c>
      <c r="HV39" s="70" t="e">
        <f>SUM(#REF!)</f>
        <v>#REF!</v>
      </c>
      <c r="HW39" s="70" t="e">
        <f>#REF!-HV39</f>
        <v>#REF!</v>
      </c>
      <c r="HX39" s="70" t="e">
        <f>SUM(#REF!)</f>
        <v>#REF!</v>
      </c>
      <c r="HY39" s="70" t="e">
        <f>#REF!-HX39</f>
        <v>#REF!</v>
      </c>
      <c r="HZ39" s="70">
        <f>SUM(BC39:BC39)</f>
        <v>0</v>
      </c>
      <c r="IA39" s="70" t="e">
        <f>#REF!-HZ39</f>
        <v>#REF!</v>
      </c>
      <c r="IB39" s="70">
        <f>SUM(BD39:BD39)</f>
        <v>0</v>
      </c>
      <c r="IC39" s="70" t="e">
        <f>#REF!-IB39</f>
        <v>#REF!</v>
      </c>
      <c r="ID39" s="70">
        <f t="shared" si="56"/>
        <v>676909</v>
      </c>
      <c r="IE39" s="70">
        <f t="shared" si="57"/>
        <v>0</v>
      </c>
      <c r="IF39" s="70">
        <f t="shared" si="58"/>
        <v>0</v>
      </c>
      <c r="IG39" s="70">
        <f t="shared" si="59"/>
        <v>0</v>
      </c>
      <c r="IH39" s="70">
        <f t="shared" si="60"/>
        <v>169065</v>
      </c>
      <c r="II39" s="70">
        <f t="shared" si="61"/>
        <v>0</v>
      </c>
      <c r="IJ39" s="70">
        <f t="shared" si="62"/>
        <v>24932694</v>
      </c>
      <c r="IK39" s="70">
        <f t="shared" si="63"/>
        <v>0</v>
      </c>
      <c r="IL39" s="70">
        <f t="shared" si="102"/>
        <v>5753019</v>
      </c>
      <c r="IM39" s="70">
        <f t="shared" si="64"/>
        <v>0</v>
      </c>
      <c r="IN39" s="70">
        <f t="shared" si="65"/>
        <v>379117</v>
      </c>
      <c r="IO39" s="70">
        <f t="shared" si="66"/>
        <v>0</v>
      </c>
      <c r="IP39" s="70">
        <f t="shared" si="67"/>
        <v>4143917</v>
      </c>
      <c r="IQ39" s="70">
        <f t="shared" si="68"/>
        <v>0</v>
      </c>
      <c r="IR39" s="70">
        <f t="shared" si="54"/>
        <v>112941</v>
      </c>
      <c r="IS39" s="70">
        <f t="shared" si="55"/>
        <v>0</v>
      </c>
      <c r="IT39" s="70">
        <f t="shared" si="103"/>
        <v>5348804</v>
      </c>
      <c r="IU39" s="70">
        <f t="shared" si="104"/>
        <v>0</v>
      </c>
      <c r="IV39" s="70">
        <f t="shared" si="105"/>
        <v>0</v>
      </c>
      <c r="IW39" s="70">
        <f t="shared" si="106"/>
        <v>0</v>
      </c>
      <c r="IX39" s="70">
        <f t="shared" si="69"/>
        <v>0</v>
      </c>
      <c r="IY39" s="70">
        <f t="shared" si="70"/>
        <v>0</v>
      </c>
      <c r="IZ39" s="70">
        <f t="shared" si="71"/>
        <v>372838</v>
      </c>
      <c r="JA39" s="70">
        <f t="shared" si="72"/>
        <v>0</v>
      </c>
      <c r="JB39" s="70">
        <f t="shared" si="73"/>
        <v>2447696</v>
      </c>
      <c r="JC39" s="70">
        <f t="shared" si="74"/>
        <v>0</v>
      </c>
      <c r="JD39" s="70">
        <f t="shared" si="75"/>
        <v>1251306</v>
      </c>
      <c r="JE39" s="70">
        <f t="shared" si="76"/>
        <v>0</v>
      </c>
      <c r="JF39" s="70">
        <f t="shared" si="77"/>
        <v>663885</v>
      </c>
      <c r="JG39" s="70">
        <f t="shared" si="78"/>
        <v>0</v>
      </c>
      <c r="JH39" s="70">
        <f t="shared" si="79"/>
        <v>538677</v>
      </c>
      <c r="JI39" s="70">
        <f t="shared" si="80"/>
        <v>0</v>
      </c>
      <c r="JJ39" s="70">
        <f t="shared" si="81"/>
        <v>592988</v>
      </c>
      <c r="JK39" s="70">
        <f t="shared" si="82"/>
        <v>0</v>
      </c>
      <c r="JL39" s="70">
        <f t="shared" si="83"/>
        <v>619510</v>
      </c>
      <c r="JM39" s="70">
        <f t="shared" si="84"/>
        <v>0</v>
      </c>
      <c r="JN39" s="70">
        <f t="shared" si="85"/>
        <v>122854</v>
      </c>
      <c r="JO39" s="70">
        <f t="shared" si="86"/>
        <v>0</v>
      </c>
      <c r="JP39" s="70">
        <f t="shared" si="87"/>
        <v>119683</v>
      </c>
      <c r="JQ39" s="70">
        <f t="shared" si="88"/>
        <v>0</v>
      </c>
      <c r="JR39" s="70">
        <f t="shared" si="89"/>
        <v>312473</v>
      </c>
      <c r="JS39" s="70">
        <f t="shared" si="90"/>
        <v>0</v>
      </c>
      <c r="JT39" s="70">
        <f t="shared" si="91"/>
        <v>308001</v>
      </c>
      <c r="JU39" s="70">
        <f t="shared" si="92"/>
        <v>0</v>
      </c>
      <c r="JV39" s="70">
        <f t="shared" si="93"/>
        <v>1304572</v>
      </c>
      <c r="JW39" s="70">
        <f t="shared" si="94"/>
        <v>0</v>
      </c>
      <c r="JX39" s="70">
        <f t="shared" si="95"/>
        <v>24392281</v>
      </c>
      <c r="JY39" s="70">
        <f t="shared" si="96"/>
        <v>0</v>
      </c>
      <c r="JZ39" s="70">
        <f t="shared" si="97"/>
        <v>0</v>
      </c>
      <c r="KA39" s="70">
        <f t="shared" si="98"/>
        <v>0</v>
      </c>
      <c r="KB39" s="70">
        <f t="shared" si="99"/>
        <v>24982288</v>
      </c>
      <c r="KC39" s="70">
        <f t="shared" si="100"/>
        <v>0</v>
      </c>
      <c r="KE39" s="70" t="e">
        <f t="shared" si="101"/>
        <v>#REF!</v>
      </c>
      <c r="KG39" s="68" t="e">
        <f t="shared" si="53"/>
        <v>#REF!</v>
      </c>
    </row>
    <row r="40" spans="1:293">
      <c r="A40" s="180" t="s">
        <v>276</v>
      </c>
      <c r="B40" s="76" t="s">
        <v>362</v>
      </c>
      <c r="C40" s="90">
        <v>157085</v>
      </c>
      <c r="D40" s="90">
        <v>2014</v>
      </c>
      <c r="E40" s="90">
        <v>1</v>
      </c>
      <c r="F40" s="91">
        <v>5</v>
      </c>
      <c r="G40" s="92">
        <v>9582</v>
      </c>
      <c r="H40" s="92">
        <v>10220</v>
      </c>
      <c r="I40" s="93">
        <v>2441583000</v>
      </c>
      <c r="J40" s="93">
        <v>2331968000</v>
      </c>
      <c r="K40" s="93">
        <v>2735083</v>
      </c>
      <c r="L40" s="93">
        <v>9636742</v>
      </c>
      <c r="M40" s="93">
        <v>79360000</v>
      </c>
      <c r="N40" s="93">
        <v>85954000</v>
      </c>
      <c r="O40" s="93">
        <v>119039963</v>
      </c>
      <c r="P40" s="93">
        <v>14900000</v>
      </c>
      <c r="Q40" s="93">
        <v>838179000</v>
      </c>
      <c r="R40" s="93">
        <v>647790000</v>
      </c>
      <c r="S40" s="93">
        <v>1095432000</v>
      </c>
      <c r="T40" s="93">
        <v>1095584000</v>
      </c>
      <c r="U40" s="93">
        <v>21922</v>
      </c>
      <c r="V40" s="93">
        <v>20808</v>
      </c>
      <c r="W40" s="93">
        <v>34194</v>
      </c>
      <c r="X40" s="93">
        <v>30989</v>
      </c>
      <c r="Y40" s="93">
        <v>25400</v>
      </c>
      <c r="Z40" s="93">
        <v>23100</v>
      </c>
      <c r="AA40" s="93">
        <v>38000</v>
      </c>
      <c r="AB40" s="93">
        <v>33300</v>
      </c>
      <c r="AC40" s="114">
        <v>10</v>
      </c>
      <c r="AD40" s="114">
        <v>11</v>
      </c>
      <c r="AE40" s="114">
        <v>1</v>
      </c>
      <c r="AF40" s="115">
        <v>5623706</v>
      </c>
      <c r="AG40" s="115">
        <v>3880694</v>
      </c>
      <c r="AH40" s="115">
        <v>1277762</v>
      </c>
      <c r="AI40" s="115">
        <v>718157</v>
      </c>
      <c r="AJ40" s="115">
        <v>1291589.3333333333</v>
      </c>
      <c r="AK40" s="116">
        <v>7.5</v>
      </c>
      <c r="AL40" s="115">
        <v>1076324.4444444445</v>
      </c>
      <c r="AM40" s="116">
        <v>9</v>
      </c>
      <c r="AN40" s="115">
        <v>328610.82352941175</v>
      </c>
      <c r="AO40" s="116">
        <v>8.5</v>
      </c>
      <c r="AP40" s="115">
        <v>279319.2</v>
      </c>
      <c r="AQ40" s="116">
        <v>10</v>
      </c>
      <c r="AR40" s="115">
        <v>245396.7659574468</v>
      </c>
      <c r="AS40" s="116">
        <v>23.5</v>
      </c>
      <c r="AT40" s="115">
        <v>198856</v>
      </c>
      <c r="AU40" s="116">
        <v>29</v>
      </c>
      <c r="AV40" s="115">
        <v>108688.27027027027</v>
      </c>
      <c r="AW40" s="116">
        <v>18.5</v>
      </c>
      <c r="AX40" s="115">
        <v>83780.541666666672</v>
      </c>
      <c r="AY40" s="116">
        <v>24</v>
      </c>
      <c r="AZ40" s="139">
        <v>15256006</v>
      </c>
      <c r="BA40" s="139">
        <v>411518</v>
      </c>
      <c r="BB40" s="139">
        <v>19058601</v>
      </c>
      <c r="BC40" s="139">
        <v>2603254</v>
      </c>
      <c r="BD40" s="139">
        <v>187500</v>
      </c>
      <c r="BE40" s="139">
        <v>103413</v>
      </c>
      <c r="BF40" s="139">
        <v>793132</v>
      </c>
      <c r="BG40" s="139">
        <v>94014</v>
      </c>
      <c r="BH40" s="139">
        <v>866198</v>
      </c>
      <c r="BI40" s="139">
        <v>266905</v>
      </c>
      <c r="BJ40" s="139">
        <v>2123662</v>
      </c>
      <c r="BK40" s="139">
        <v>0</v>
      </c>
      <c r="BL40" s="139">
        <v>0</v>
      </c>
      <c r="BM40" s="139">
        <v>0</v>
      </c>
      <c r="BN40" s="139">
        <v>0</v>
      </c>
      <c r="BO40" s="139">
        <v>540597</v>
      </c>
      <c r="BP40" s="139">
        <v>540597</v>
      </c>
      <c r="BQ40" s="139">
        <v>3306</v>
      </c>
      <c r="BR40" s="139">
        <v>53524</v>
      </c>
      <c r="BS40" s="139">
        <v>405</v>
      </c>
      <c r="BT40" s="139">
        <v>9002</v>
      </c>
      <c r="BU40" s="139">
        <v>356266</v>
      </c>
      <c r="BV40" s="139">
        <v>422503</v>
      </c>
      <c r="BW40" s="139">
        <v>34084412</v>
      </c>
      <c r="BX40" s="139">
        <v>23655649</v>
      </c>
      <c r="BY40" s="139">
        <v>611611</v>
      </c>
      <c r="BZ40" s="139">
        <v>1666611</v>
      </c>
      <c r="CA40" s="139">
        <v>36667206</v>
      </c>
      <c r="CB40" s="139">
        <v>96685489</v>
      </c>
      <c r="CC40" s="139">
        <v>3214236</v>
      </c>
      <c r="CD40" s="139">
        <v>594399</v>
      </c>
      <c r="CE40" s="139">
        <v>513004</v>
      </c>
      <c r="CF40" s="139">
        <v>5960980</v>
      </c>
      <c r="CG40" s="139">
        <v>772476</v>
      </c>
      <c r="CH40" s="139">
        <v>11055095</v>
      </c>
      <c r="CI40" s="139">
        <v>1300000</v>
      </c>
      <c r="CJ40" s="139">
        <v>981794</v>
      </c>
      <c r="CK40" s="139">
        <v>144305</v>
      </c>
      <c r="CL40" s="139">
        <v>77761</v>
      </c>
      <c r="CM40" s="139">
        <v>78180</v>
      </c>
      <c r="CN40" s="139">
        <v>2582040</v>
      </c>
      <c r="CO40" s="139">
        <v>5255304</v>
      </c>
      <c r="CP40" s="139">
        <v>7568110</v>
      </c>
      <c r="CQ40" s="139">
        <v>1849288</v>
      </c>
      <c r="CR40" s="139">
        <v>5584967</v>
      </c>
      <c r="CS40" s="139">
        <v>0</v>
      </c>
      <c r="CT40" s="139">
        <v>20257669</v>
      </c>
      <c r="CU40" s="139">
        <v>0</v>
      </c>
      <c r="CV40" s="139">
        <v>0</v>
      </c>
      <c r="CW40" s="139">
        <v>0</v>
      </c>
      <c r="CX40" s="139">
        <v>0</v>
      </c>
      <c r="CY40" s="139">
        <v>0</v>
      </c>
      <c r="CZ40" s="139">
        <v>0</v>
      </c>
      <c r="DA40" s="139">
        <v>799326</v>
      </c>
      <c r="DB40" s="139">
        <v>1149537</v>
      </c>
      <c r="DC40" s="139">
        <v>304644</v>
      </c>
      <c r="DD40" s="139">
        <v>532969</v>
      </c>
      <c r="DE40" s="139">
        <v>12773249</v>
      </c>
      <c r="DF40" s="139">
        <v>15559725</v>
      </c>
      <c r="DG40" s="139">
        <v>0</v>
      </c>
      <c r="DH40" s="139">
        <v>0</v>
      </c>
      <c r="DI40" s="139">
        <v>0</v>
      </c>
      <c r="DJ40" s="139">
        <v>0</v>
      </c>
      <c r="DK40" s="139">
        <v>0</v>
      </c>
      <c r="DL40" s="139">
        <v>0</v>
      </c>
      <c r="DM40" s="139">
        <v>1276146</v>
      </c>
      <c r="DN40" s="139">
        <v>0</v>
      </c>
      <c r="DO40" s="139">
        <v>107693</v>
      </c>
      <c r="DP40" s="139">
        <v>52365</v>
      </c>
      <c r="DQ40" s="139">
        <v>0</v>
      </c>
      <c r="DR40" s="139">
        <v>1436204</v>
      </c>
      <c r="DS40" s="139">
        <v>514835</v>
      </c>
      <c r="DT40" s="139">
        <v>457641</v>
      </c>
      <c r="DU40" s="139">
        <v>311887</v>
      </c>
      <c r="DV40" s="139">
        <v>721701</v>
      </c>
      <c r="DW40" s="139">
        <v>0</v>
      </c>
      <c r="DX40" s="139">
        <v>2006064</v>
      </c>
      <c r="DY40" s="139">
        <v>965921</v>
      </c>
      <c r="DZ40" s="139">
        <v>2244154</v>
      </c>
      <c r="EA40" s="139">
        <v>798254</v>
      </c>
      <c r="EB40" s="139">
        <v>3024401</v>
      </c>
      <c r="EC40" s="139">
        <v>32148</v>
      </c>
      <c r="ED40" s="139">
        <v>7064878</v>
      </c>
      <c r="EE40" s="139">
        <v>1152468</v>
      </c>
      <c r="EF40" s="139">
        <v>308020</v>
      </c>
      <c r="EG40" s="139">
        <v>106676</v>
      </c>
      <c r="EH40" s="139">
        <v>1043554</v>
      </c>
      <c r="EI40" s="139">
        <v>1485037</v>
      </c>
      <c r="EJ40" s="139">
        <v>4095755</v>
      </c>
      <c r="EK40" s="139">
        <v>183980</v>
      </c>
      <c r="EL40" s="139">
        <v>824029</v>
      </c>
      <c r="EM40" s="139">
        <v>167661</v>
      </c>
      <c r="EN40" s="139">
        <v>271082</v>
      </c>
      <c r="EO40" s="139">
        <v>2916738</v>
      </c>
      <c r="EP40" s="139">
        <v>4363490</v>
      </c>
      <c r="EQ40" s="139">
        <v>609</v>
      </c>
      <c r="ER40" s="139">
        <v>11947</v>
      </c>
      <c r="ES40" s="139">
        <v>2022</v>
      </c>
      <c r="ET40" s="139">
        <v>1797</v>
      </c>
      <c r="EU40" s="139">
        <v>2996316</v>
      </c>
      <c r="EV40" s="139">
        <v>3012691</v>
      </c>
      <c r="EW40" s="139">
        <v>91297</v>
      </c>
      <c r="EX40" s="139">
        <v>334883</v>
      </c>
      <c r="EY40" s="139">
        <v>60988</v>
      </c>
      <c r="EZ40" s="139">
        <v>514595</v>
      </c>
      <c r="FA40" s="139">
        <v>266905</v>
      </c>
      <c r="FB40" s="139">
        <v>1268668</v>
      </c>
      <c r="FC40" s="148">
        <v>401746</v>
      </c>
      <c r="FD40" s="139">
        <v>887317</v>
      </c>
      <c r="FE40" s="139">
        <v>11639</v>
      </c>
      <c r="FF40" s="139">
        <v>72044</v>
      </c>
      <c r="FG40" s="139">
        <v>10773770</v>
      </c>
      <c r="FH40" s="139">
        <v>12146516</v>
      </c>
      <c r="FI40" s="139">
        <v>0</v>
      </c>
      <c r="FJ40" s="139">
        <v>0</v>
      </c>
      <c r="FK40" s="139">
        <v>0</v>
      </c>
      <c r="FL40" s="139">
        <v>0</v>
      </c>
      <c r="FM40" s="139">
        <v>935160</v>
      </c>
      <c r="FN40" s="139">
        <v>935160</v>
      </c>
      <c r="FO40" s="139">
        <v>0</v>
      </c>
      <c r="FP40" s="139">
        <v>0</v>
      </c>
      <c r="FQ40" s="139">
        <v>0</v>
      </c>
      <c r="FR40" s="139">
        <v>0</v>
      </c>
      <c r="FS40" s="139">
        <v>0</v>
      </c>
      <c r="FT40" s="139">
        <v>0</v>
      </c>
      <c r="FU40" s="139">
        <v>311414</v>
      </c>
      <c r="FV40" s="139">
        <v>56885</v>
      </c>
      <c r="FW40" s="139">
        <v>39406</v>
      </c>
      <c r="FX40" s="139">
        <v>297911</v>
      </c>
      <c r="FY40" s="139">
        <v>233202</v>
      </c>
      <c r="FZ40" s="139">
        <v>938818</v>
      </c>
      <c r="GA40" s="139">
        <v>0</v>
      </c>
      <c r="GB40" s="139">
        <v>0</v>
      </c>
      <c r="GC40" s="139">
        <v>0</v>
      </c>
      <c r="GD40" s="139">
        <v>8420</v>
      </c>
      <c r="GE40" s="139">
        <v>0</v>
      </c>
      <c r="GF40" s="139">
        <v>8420</v>
      </c>
      <c r="GG40" s="139">
        <v>1046651</v>
      </c>
      <c r="GH40" s="139">
        <v>479809</v>
      </c>
      <c r="GI40" s="139">
        <v>191222</v>
      </c>
      <c r="GJ40" s="139">
        <v>575143</v>
      </c>
      <c r="GK40" s="139">
        <v>5588413</v>
      </c>
      <c r="GL40" s="139">
        <v>7881238</v>
      </c>
      <c r="GM40" s="139">
        <v>16513933</v>
      </c>
      <c r="GN40" s="139">
        <v>15898525</v>
      </c>
      <c r="GO40" s="139">
        <v>4608689</v>
      </c>
      <c r="GP40" s="139">
        <v>18067681</v>
      </c>
      <c r="GQ40" s="139">
        <v>39523603</v>
      </c>
      <c r="GR40" s="139">
        <v>94612431</v>
      </c>
      <c r="GS40" s="139">
        <v>700000</v>
      </c>
      <c r="GT40" s="139">
        <v>300000</v>
      </c>
      <c r="GU40" s="139">
        <v>0</v>
      </c>
      <c r="GV40" s="139">
        <v>0</v>
      </c>
      <c r="GW40" s="139">
        <v>660000</v>
      </c>
      <c r="GX40" s="139">
        <v>1660000</v>
      </c>
      <c r="GY40" s="139">
        <v>17213933</v>
      </c>
      <c r="GZ40" s="139">
        <v>16198525</v>
      </c>
      <c r="HA40" s="139">
        <v>4608689</v>
      </c>
      <c r="HB40" s="139">
        <v>18067681</v>
      </c>
      <c r="HC40" s="139">
        <v>40183603</v>
      </c>
      <c r="HD40" s="139">
        <v>96272431</v>
      </c>
      <c r="HF40" s="70">
        <f>SUM(AZ40:AZ40)</f>
        <v>15256006</v>
      </c>
      <c r="HG40" s="70" t="e">
        <f>#REF!-HF40</f>
        <v>#REF!</v>
      </c>
      <c r="HH40" s="70" t="e">
        <f>SUM(#REF!)</f>
        <v>#REF!</v>
      </c>
      <c r="HI40" s="70" t="e">
        <f>#REF!-HH40</f>
        <v>#REF!</v>
      </c>
      <c r="HJ40" s="70">
        <f>SUM(BA40:BA40)</f>
        <v>411518</v>
      </c>
      <c r="HK40" s="70" t="e">
        <f>#REF!-HJ40</f>
        <v>#REF!</v>
      </c>
      <c r="HL40" s="70" t="e">
        <f>SUM(#REF!)</f>
        <v>#REF!</v>
      </c>
      <c r="HM40" s="70" t="e">
        <f>BB40-HL40</f>
        <v>#REF!</v>
      </c>
      <c r="HN40" s="70" t="e">
        <f>SUM(#REF!)</f>
        <v>#REF!</v>
      </c>
      <c r="HO40" s="70" t="e">
        <f>#REF!-HN40</f>
        <v>#REF!</v>
      </c>
      <c r="HP40" s="70" t="e">
        <f>SUM(#REF!)</f>
        <v>#REF!</v>
      </c>
      <c r="HQ40" s="70" t="e">
        <f>#REF!-HP40</f>
        <v>#REF!</v>
      </c>
      <c r="HR40" s="70" t="e">
        <f>SUM(#REF!)</f>
        <v>#REF!</v>
      </c>
      <c r="HS40" s="70" t="e">
        <f>#REF!-HR40</f>
        <v>#REF!</v>
      </c>
      <c r="HT40" s="70" t="e">
        <f>SUM(#REF!)</f>
        <v>#REF!</v>
      </c>
      <c r="HU40" s="70" t="e">
        <f>#REF!-HT40</f>
        <v>#REF!</v>
      </c>
      <c r="HV40" s="70" t="e">
        <f>SUM(#REF!)</f>
        <v>#REF!</v>
      </c>
      <c r="HW40" s="70" t="e">
        <f>#REF!-HV40</f>
        <v>#REF!</v>
      </c>
      <c r="HX40" s="70" t="e">
        <f>SUM(#REF!)</f>
        <v>#REF!</v>
      </c>
      <c r="HY40" s="70" t="e">
        <f>#REF!-HX40</f>
        <v>#REF!</v>
      </c>
      <c r="HZ40" s="70">
        <f>SUM(BC40:BC40)</f>
        <v>2603254</v>
      </c>
      <c r="IA40" s="70" t="e">
        <f>#REF!-HZ40</f>
        <v>#REF!</v>
      </c>
      <c r="IB40" s="70">
        <f>SUM(BD40:BD40)</f>
        <v>187500</v>
      </c>
      <c r="IC40" s="70" t="e">
        <f>#REF!-IB40</f>
        <v>#REF!</v>
      </c>
      <c r="ID40" s="70">
        <f t="shared" si="56"/>
        <v>2123662</v>
      </c>
      <c r="IE40" s="70">
        <f t="shared" si="57"/>
        <v>0</v>
      </c>
      <c r="IF40" s="70">
        <f t="shared" si="58"/>
        <v>540597</v>
      </c>
      <c r="IG40" s="70">
        <f t="shared" si="59"/>
        <v>0</v>
      </c>
      <c r="IH40" s="70">
        <f t="shared" si="60"/>
        <v>422503</v>
      </c>
      <c r="II40" s="70">
        <f t="shared" si="61"/>
        <v>0</v>
      </c>
      <c r="IJ40" s="70">
        <f t="shared" si="62"/>
        <v>96685489</v>
      </c>
      <c r="IK40" s="70">
        <f t="shared" si="63"/>
        <v>0</v>
      </c>
      <c r="IL40" s="70">
        <f t="shared" si="102"/>
        <v>11055095</v>
      </c>
      <c r="IM40" s="70">
        <f t="shared" si="64"/>
        <v>0</v>
      </c>
      <c r="IN40" s="70">
        <f t="shared" si="65"/>
        <v>2582040</v>
      </c>
      <c r="IO40" s="70">
        <f t="shared" si="66"/>
        <v>0</v>
      </c>
      <c r="IP40" s="70">
        <f t="shared" si="67"/>
        <v>20257669</v>
      </c>
      <c r="IQ40" s="70">
        <f t="shared" si="68"/>
        <v>0</v>
      </c>
      <c r="IR40" s="70">
        <f t="shared" si="54"/>
        <v>0</v>
      </c>
      <c r="IS40" s="70">
        <f t="shared" si="55"/>
        <v>0</v>
      </c>
      <c r="IT40" s="70">
        <f t="shared" si="103"/>
        <v>15559725</v>
      </c>
      <c r="IU40" s="70">
        <f t="shared" si="104"/>
        <v>0</v>
      </c>
      <c r="IV40" s="70">
        <f t="shared" si="105"/>
        <v>0</v>
      </c>
      <c r="IW40" s="70">
        <f t="shared" si="106"/>
        <v>0</v>
      </c>
      <c r="IX40" s="70">
        <f t="shared" si="69"/>
        <v>1436204</v>
      </c>
      <c r="IY40" s="70">
        <f t="shared" si="70"/>
        <v>0</v>
      </c>
      <c r="IZ40" s="70">
        <f t="shared" si="71"/>
        <v>2006064</v>
      </c>
      <c r="JA40" s="70">
        <f t="shared" si="72"/>
        <v>0</v>
      </c>
      <c r="JB40" s="70">
        <f t="shared" si="73"/>
        <v>7064878</v>
      </c>
      <c r="JC40" s="70">
        <f t="shared" si="74"/>
        <v>0</v>
      </c>
      <c r="JD40" s="70">
        <f t="shared" si="75"/>
        <v>4095755</v>
      </c>
      <c r="JE40" s="70">
        <f t="shared" si="76"/>
        <v>0</v>
      </c>
      <c r="JF40" s="70">
        <f t="shared" si="77"/>
        <v>4363490</v>
      </c>
      <c r="JG40" s="70">
        <f t="shared" si="78"/>
        <v>0</v>
      </c>
      <c r="JH40" s="70">
        <f t="shared" si="79"/>
        <v>3012691</v>
      </c>
      <c r="JI40" s="70">
        <f t="shared" si="80"/>
        <v>0</v>
      </c>
      <c r="JJ40" s="70">
        <f t="shared" si="81"/>
        <v>1268668</v>
      </c>
      <c r="JK40" s="70">
        <f t="shared" si="82"/>
        <v>0</v>
      </c>
      <c r="JL40" s="70">
        <f t="shared" si="83"/>
        <v>12146516</v>
      </c>
      <c r="JM40" s="70">
        <f t="shared" si="84"/>
        <v>0</v>
      </c>
      <c r="JN40" s="70">
        <f t="shared" si="85"/>
        <v>935160</v>
      </c>
      <c r="JO40" s="70">
        <f t="shared" si="86"/>
        <v>0</v>
      </c>
      <c r="JP40" s="70">
        <f t="shared" si="87"/>
        <v>0</v>
      </c>
      <c r="JQ40" s="70">
        <f t="shared" si="88"/>
        <v>0</v>
      </c>
      <c r="JR40" s="70">
        <f t="shared" si="89"/>
        <v>938818</v>
      </c>
      <c r="JS40" s="70">
        <f t="shared" si="90"/>
        <v>0</v>
      </c>
      <c r="JT40" s="70">
        <f t="shared" si="91"/>
        <v>8420</v>
      </c>
      <c r="JU40" s="70">
        <f t="shared" si="92"/>
        <v>0</v>
      </c>
      <c r="JV40" s="70">
        <f t="shared" si="93"/>
        <v>7881238</v>
      </c>
      <c r="JW40" s="70">
        <f t="shared" si="94"/>
        <v>0</v>
      </c>
      <c r="JX40" s="70">
        <f t="shared" si="95"/>
        <v>94612431</v>
      </c>
      <c r="JY40" s="70">
        <f t="shared" si="96"/>
        <v>0</v>
      </c>
      <c r="JZ40" s="70">
        <f t="shared" si="97"/>
        <v>1660000</v>
      </c>
      <c r="KA40" s="70">
        <f t="shared" si="98"/>
        <v>0</v>
      </c>
      <c r="KB40" s="70">
        <f t="shared" si="99"/>
        <v>96272431</v>
      </c>
      <c r="KC40" s="70">
        <f t="shared" si="100"/>
        <v>0</v>
      </c>
      <c r="KE40" s="70" t="e">
        <f t="shared" si="101"/>
        <v>#REF!</v>
      </c>
      <c r="KG40" s="68" t="e">
        <f t="shared" si="53"/>
        <v>#REF!</v>
      </c>
    </row>
    <row r="41" spans="1:293">
      <c r="A41" s="180" t="s">
        <v>496</v>
      </c>
      <c r="B41" s="76" t="s">
        <v>362</v>
      </c>
      <c r="C41" s="90">
        <v>160658</v>
      </c>
      <c r="D41" s="90">
        <v>2014</v>
      </c>
      <c r="E41" s="90">
        <v>1</v>
      </c>
      <c r="F41" s="91">
        <v>11</v>
      </c>
      <c r="G41" s="92">
        <v>5643</v>
      </c>
      <c r="H41" s="92">
        <v>6631</v>
      </c>
      <c r="I41" s="93">
        <v>255940752</v>
      </c>
      <c r="J41" s="93">
        <v>251781747</v>
      </c>
      <c r="K41" s="93">
        <v>356243</v>
      </c>
      <c r="L41" s="93">
        <v>0</v>
      </c>
      <c r="M41" s="93">
        <v>9893426</v>
      </c>
      <c r="N41" s="93">
        <v>8394060</v>
      </c>
      <c r="O41" s="93">
        <v>23605000</v>
      </c>
      <c r="P41" s="93">
        <v>0</v>
      </c>
      <c r="Q41" s="93">
        <v>206360000</v>
      </c>
      <c r="R41" s="93">
        <v>148575000</v>
      </c>
      <c r="S41" s="93">
        <v>215236969</v>
      </c>
      <c r="T41" s="93">
        <v>213648173</v>
      </c>
      <c r="U41" s="93">
        <v>13618</v>
      </c>
      <c r="V41" s="93">
        <v>12586</v>
      </c>
      <c r="W41" s="93">
        <v>23168</v>
      </c>
      <c r="X41" s="93">
        <v>21556</v>
      </c>
      <c r="Y41" s="93">
        <v>19185</v>
      </c>
      <c r="Z41" s="93">
        <v>18379</v>
      </c>
      <c r="AA41" s="93">
        <v>28735</v>
      </c>
      <c r="AB41" s="93">
        <v>27349</v>
      </c>
      <c r="AC41" s="114">
        <v>8</v>
      </c>
      <c r="AD41" s="114">
        <v>8</v>
      </c>
      <c r="AE41" s="114">
        <v>0</v>
      </c>
      <c r="AF41" s="115">
        <v>2448227</v>
      </c>
      <c r="AG41" s="115">
        <v>1494076</v>
      </c>
      <c r="AH41" s="115">
        <v>295296</v>
      </c>
      <c r="AI41" s="115">
        <v>130402</v>
      </c>
      <c r="AJ41" s="115">
        <v>361597.27272727271</v>
      </c>
      <c r="AK41" s="116">
        <v>5.5</v>
      </c>
      <c r="AL41" s="115">
        <v>331464.16666666669</v>
      </c>
      <c r="AM41" s="116">
        <v>6</v>
      </c>
      <c r="AN41" s="115">
        <v>126553.77777777778</v>
      </c>
      <c r="AO41" s="116">
        <v>4.5</v>
      </c>
      <c r="AP41" s="115">
        <v>113898.4</v>
      </c>
      <c r="AQ41" s="116">
        <v>5</v>
      </c>
      <c r="AR41" s="115">
        <v>137053</v>
      </c>
      <c r="AS41" s="116">
        <v>16</v>
      </c>
      <c r="AT41" s="115">
        <v>121824.88888888889</v>
      </c>
      <c r="AU41" s="116">
        <v>18</v>
      </c>
      <c r="AV41" s="115">
        <v>58181.666666666664</v>
      </c>
      <c r="AW41" s="116">
        <v>9</v>
      </c>
      <c r="AX41" s="115">
        <v>47603.181818181816</v>
      </c>
      <c r="AY41" s="116">
        <v>11</v>
      </c>
      <c r="AZ41" s="139">
        <v>2314496</v>
      </c>
      <c r="BA41" s="139">
        <v>1500000</v>
      </c>
      <c r="BB41" s="139">
        <v>6638074</v>
      </c>
      <c r="BC41" s="139">
        <v>287914</v>
      </c>
      <c r="BD41" s="139">
        <v>152096</v>
      </c>
      <c r="BE41" s="139">
        <v>0</v>
      </c>
      <c r="BF41" s="139">
        <v>0</v>
      </c>
      <c r="BG41" s="139">
        <v>0</v>
      </c>
      <c r="BH41" s="139">
        <v>0</v>
      </c>
      <c r="BI41" s="139">
        <v>0</v>
      </c>
      <c r="BJ41" s="139">
        <v>0</v>
      </c>
      <c r="BK41" s="139">
        <v>3900</v>
      </c>
      <c r="BL41" s="139">
        <v>400</v>
      </c>
      <c r="BM41" s="139">
        <v>400</v>
      </c>
      <c r="BN41" s="139">
        <v>25602</v>
      </c>
      <c r="BO41" s="139">
        <v>2000</v>
      </c>
      <c r="BP41" s="139">
        <v>32302</v>
      </c>
      <c r="BQ41" s="139">
        <v>34117</v>
      </c>
      <c r="BR41" s="139">
        <v>0</v>
      </c>
      <c r="BS41" s="139">
        <v>0</v>
      </c>
      <c r="BT41" s="139">
        <v>0</v>
      </c>
      <c r="BU41" s="139">
        <v>132859</v>
      </c>
      <c r="BV41" s="139">
        <v>166976</v>
      </c>
      <c r="BW41" s="139">
        <v>8508602</v>
      </c>
      <c r="BX41" s="139">
        <v>2179030</v>
      </c>
      <c r="BY41" s="139">
        <v>1109132</v>
      </c>
      <c r="BZ41" s="139">
        <v>5680122</v>
      </c>
      <c r="CA41" s="139">
        <v>3820228</v>
      </c>
      <c r="CB41" s="139">
        <v>21297114</v>
      </c>
      <c r="CC41" s="139">
        <v>1589869</v>
      </c>
      <c r="CD41" s="139">
        <v>253092</v>
      </c>
      <c r="CE41" s="139">
        <v>272137</v>
      </c>
      <c r="CF41" s="139">
        <v>2176877</v>
      </c>
      <c r="CG41" s="139">
        <v>0</v>
      </c>
      <c r="CH41" s="139">
        <v>4291975</v>
      </c>
      <c r="CI41" s="139">
        <v>335000</v>
      </c>
      <c r="CJ41" s="139">
        <v>24000</v>
      </c>
      <c r="CK41" s="139">
        <v>8000</v>
      </c>
      <c r="CL41" s="139">
        <v>30971</v>
      </c>
      <c r="CM41" s="139">
        <v>0</v>
      </c>
      <c r="CN41" s="139">
        <v>397971</v>
      </c>
      <c r="CO41" s="139">
        <v>2597275</v>
      </c>
      <c r="CP41" s="139">
        <v>896056</v>
      </c>
      <c r="CQ41" s="139">
        <v>381937</v>
      </c>
      <c r="CR41" s="139">
        <v>1399492</v>
      </c>
      <c r="CS41" s="139">
        <v>0</v>
      </c>
      <c r="CT41" s="139">
        <v>5274760</v>
      </c>
      <c r="CU41" s="139">
        <v>0</v>
      </c>
      <c r="CV41" s="139">
        <v>0</v>
      </c>
      <c r="CW41" s="139">
        <v>0</v>
      </c>
      <c r="CX41" s="139">
        <v>0</v>
      </c>
      <c r="CY41" s="139">
        <v>0</v>
      </c>
      <c r="CZ41" s="139">
        <v>0</v>
      </c>
      <c r="DA41" s="139">
        <v>174626</v>
      </c>
      <c r="DB41" s="139">
        <v>50865</v>
      </c>
      <c r="DC41" s="139">
        <v>35116</v>
      </c>
      <c r="DD41" s="139">
        <v>43150</v>
      </c>
      <c r="DE41" s="139">
        <v>1814595</v>
      </c>
      <c r="DF41" s="139">
        <v>2118352</v>
      </c>
      <c r="DG41" s="139">
        <v>0</v>
      </c>
      <c r="DH41" s="139">
        <v>0</v>
      </c>
      <c r="DI41" s="139">
        <v>0</v>
      </c>
      <c r="DJ41" s="139">
        <v>0</v>
      </c>
      <c r="DK41" s="139">
        <v>0</v>
      </c>
      <c r="DL41" s="139">
        <v>0</v>
      </c>
      <c r="DM41" s="139">
        <v>0</v>
      </c>
      <c r="DN41" s="139">
        <v>3024</v>
      </c>
      <c r="DO41" s="139">
        <v>1873</v>
      </c>
      <c r="DP41" s="139">
        <v>1846</v>
      </c>
      <c r="DQ41" s="139">
        <v>22038</v>
      </c>
      <c r="DR41" s="139">
        <v>28781</v>
      </c>
      <c r="DS41" s="139">
        <v>134999</v>
      </c>
      <c r="DT41" s="139">
        <v>103365</v>
      </c>
      <c r="DU41" s="139">
        <v>67095</v>
      </c>
      <c r="DV41" s="139">
        <v>120239</v>
      </c>
      <c r="DW41" s="139">
        <v>3275</v>
      </c>
      <c r="DX41" s="139">
        <v>428973</v>
      </c>
      <c r="DY41" s="139">
        <v>1178337</v>
      </c>
      <c r="DZ41" s="139">
        <v>423180</v>
      </c>
      <c r="EA41" s="139">
        <v>129016</v>
      </c>
      <c r="EB41" s="139">
        <v>671714</v>
      </c>
      <c r="EC41" s="139">
        <v>0</v>
      </c>
      <c r="ED41" s="139">
        <v>2402247</v>
      </c>
      <c r="EE41" s="139">
        <v>683520</v>
      </c>
      <c r="EF41" s="139">
        <v>62706</v>
      </c>
      <c r="EG41" s="139">
        <v>36848</v>
      </c>
      <c r="EH41" s="139">
        <v>519743</v>
      </c>
      <c r="EI41" s="139">
        <v>244295</v>
      </c>
      <c r="EJ41" s="139">
        <v>1547112</v>
      </c>
      <c r="EK41" s="139">
        <v>993765</v>
      </c>
      <c r="EL41" s="139">
        <v>242660</v>
      </c>
      <c r="EM41" s="139">
        <v>119782</v>
      </c>
      <c r="EN41" s="139">
        <v>562377</v>
      </c>
      <c r="EO41" s="139">
        <v>176514</v>
      </c>
      <c r="EP41" s="139">
        <v>2095098</v>
      </c>
      <c r="EQ41" s="139">
        <v>312730</v>
      </c>
      <c r="ER41" s="139">
        <v>53677</v>
      </c>
      <c r="ES41" s="139">
        <v>19056</v>
      </c>
      <c r="ET41" s="139">
        <v>167723</v>
      </c>
      <c r="EU41" s="139">
        <v>317405</v>
      </c>
      <c r="EV41" s="139">
        <v>870591</v>
      </c>
      <c r="EW41" s="139">
        <v>0</v>
      </c>
      <c r="EX41" s="139">
        <v>0</v>
      </c>
      <c r="EY41" s="139">
        <v>0</v>
      </c>
      <c r="EZ41" s="139">
        <v>0</v>
      </c>
      <c r="FA41" s="139">
        <v>0</v>
      </c>
      <c r="FB41" s="139">
        <v>0</v>
      </c>
      <c r="FC41" s="148">
        <v>198451</v>
      </c>
      <c r="FD41" s="139">
        <v>19330</v>
      </c>
      <c r="FE41" s="139">
        <v>8759</v>
      </c>
      <c r="FF41" s="139">
        <v>201444</v>
      </c>
      <c r="FG41" s="139">
        <v>209993</v>
      </c>
      <c r="FH41" s="139">
        <v>637977</v>
      </c>
      <c r="FI41" s="139">
        <v>78485</v>
      </c>
      <c r="FJ41" s="139">
        <v>2422</v>
      </c>
      <c r="FK41" s="139">
        <v>0</v>
      </c>
      <c r="FL41" s="139">
        <v>0</v>
      </c>
      <c r="FM41" s="139">
        <v>3938</v>
      </c>
      <c r="FN41" s="139">
        <v>84845</v>
      </c>
      <c r="FO41" s="139">
        <v>10535</v>
      </c>
      <c r="FP41" s="139">
        <v>4430</v>
      </c>
      <c r="FQ41" s="139">
        <v>4430</v>
      </c>
      <c r="FR41" s="139">
        <v>19683</v>
      </c>
      <c r="FS41" s="139">
        <v>22626</v>
      </c>
      <c r="FT41" s="139">
        <v>61704</v>
      </c>
      <c r="FU41" s="139">
        <v>8505</v>
      </c>
      <c r="FV41" s="139">
        <v>284</v>
      </c>
      <c r="FW41" s="139">
        <v>0</v>
      </c>
      <c r="FX41" s="139">
        <v>3589</v>
      </c>
      <c r="FY41" s="139">
        <v>692691</v>
      </c>
      <c r="FZ41" s="139">
        <v>705069</v>
      </c>
      <c r="GA41" s="139">
        <v>2445</v>
      </c>
      <c r="GB41" s="139">
        <v>1030</v>
      </c>
      <c r="GC41" s="139">
        <v>1008</v>
      </c>
      <c r="GD41" s="139">
        <v>4693</v>
      </c>
      <c r="GE41" s="139">
        <v>90775</v>
      </c>
      <c r="GF41" s="139">
        <v>99951</v>
      </c>
      <c r="GG41" s="139">
        <v>210060</v>
      </c>
      <c r="GH41" s="139">
        <v>38909</v>
      </c>
      <c r="GI41" s="139">
        <v>24075</v>
      </c>
      <c r="GJ41" s="139">
        <v>36498</v>
      </c>
      <c r="GK41" s="139">
        <v>187695</v>
      </c>
      <c r="GL41" s="139">
        <v>497237</v>
      </c>
      <c r="GM41" s="139">
        <v>8508602</v>
      </c>
      <c r="GN41" s="139">
        <v>2179030</v>
      </c>
      <c r="GO41" s="139">
        <v>1109132</v>
      </c>
      <c r="GP41" s="139">
        <v>5610367</v>
      </c>
      <c r="GQ41" s="139">
        <v>4135512</v>
      </c>
      <c r="GR41" s="139">
        <v>21542643</v>
      </c>
      <c r="GS41" s="139">
        <v>0</v>
      </c>
      <c r="GT41" s="139">
        <v>0</v>
      </c>
      <c r="GU41" s="139">
        <v>0</v>
      </c>
      <c r="GV41" s="139">
        <v>0</v>
      </c>
      <c r="GW41" s="139">
        <v>0</v>
      </c>
      <c r="GX41" s="139">
        <v>0</v>
      </c>
      <c r="GY41" s="139">
        <v>8508602</v>
      </c>
      <c r="GZ41" s="139">
        <v>2179030</v>
      </c>
      <c r="HA41" s="139">
        <v>1109132</v>
      </c>
      <c r="HB41" s="139">
        <v>5610367</v>
      </c>
      <c r="HC41" s="139">
        <v>4135512</v>
      </c>
      <c r="HD41" s="139">
        <v>21542643</v>
      </c>
      <c r="HF41" s="70">
        <f>SUM(AZ41:AZ41)</f>
        <v>2314496</v>
      </c>
      <c r="HG41" s="70" t="e">
        <f>#REF!-HF41</f>
        <v>#REF!</v>
      </c>
      <c r="HH41" s="70" t="e">
        <f>SUM(#REF!)</f>
        <v>#REF!</v>
      </c>
      <c r="HI41" s="70" t="e">
        <f>#REF!-HH41</f>
        <v>#REF!</v>
      </c>
      <c r="HJ41" s="70">
        <f>SUM(BA41:BA41)</f>
        <v>1500000</v>
      </c>
      <c r="HK41" s="70" t="e">
        <f>#REF!-HJ41</f>
        <v>#REF!</v>
      </c>
      <c r="HL41" s="70" t="e">
        <f>SUM(#REF!)</f>
        <v>#REF!</v>
      </c>
      <c r="HM41" s="70" t="e">
        <f>BB41-HL41</f>
        <v>#REF!</v>
      </c>
      <c r="HN41" s="70" t="e">
        <f>SUM(#REF!)</f>
        <v>#REF!</v>
      </c>
      <c r="HO41" s="70" t="e">
        <f>#REF!-HN41</f>
        <v>#REF!</v>
      </c>
      <c r="HP41" s="70" t="e">
        <f>SUM(#REF!)</f>
        <v>#REF!</v>
      </c>
      <c r="HQ41" s="70" t="e">
        <f>#REF!-HP41</f>
        <v>#REF!</v>
      </c>
      <c r="HR41" s="70" t="e">
        <f>SUM(#REF!)</f>
        <v>#REF!</v>
      </c>
      <c r="HS41" s="70" t="e">
        <f>#REF!-HR41</f>
        <v>#REF!</v>
      </c>
      <c r="HT41" s="70" t="e">
        <f>SUM(#REF!)</f>
        <v>#REF!</v>
      </c>
      <c r="HU41" s="70" t="e">
        <f>#REF!-HT41</f>
        <v>#REF!</v>
      </c>
      <c r="HV41" s="70" t="e">
        <f>SUM(#REF!)</f>
        <v>#REF!</v>
      </c>
      <c r="HW41" s="70" t="e">
        <f>#REF!-HV41</f>
        <v>#REF!</v>
      </c>
      <c r="HX41" s="70" t="e">
        <f>SUM(#REF!)</f>
        <v>#REF!</v>
      </c>
      <c r="HY41" s="70" t="e">
        <f>#REF!-HX41</f>
        <v>#REF!</v>
      </c>
      <c r="HZ41" s="70">
        <f>SUM(BC41:BC41)</f>
        <v>287914</v>
      </c>
      <c r="IA41" s="70" t="e">
        <f>#REF!-HZ41</f>
        <v>#REF!</v>
      </c>
      <c r="IB41" s="70">
        <f>SUM(BD41:BD41)</f>
        <v>152096</v>
      </c>
      <c r="IC41" s="70" t="e">
        <f>#REF!-IB41</f>
        <v>#REF!</v>
      </c>
      <c r="ID41" s="70">
        <f t="shared" si="56"/>
        <v>0</v>
      </c>
      <c r="IE41" s="70">
        <f t="shared" si="57"/>
        <v>0</v>
      </c>
      <c r="IF41" s="70">
        <f t="shared" si="58"/>
        <v>32302</v>
      </c>
      <c r="IG41" s="70">
        <f t="shared" si="59"/>
        <v>0</v>
      </c>
      <c r="IH41" s="70">
        <f t="shared" si="60"/>
        <v>166976</v>
      </c>
      <c r="II41" s="70">
        <f t="shared" si="61"/>
        <v>0</v>
      </c>
      <c r="IJ41" s="70">
        <f t="shared" si="62"/>
        <v>21297114</v>
      </c>
      <c r="IK41" s="70">
        <f t="shared" si="63"/>
        <v>0</v>
      </c>
      <c r="IL41" s="70">
        <f t="shared" si="102"/>
        <v>4291975</v>
      </c>
      <c r="IM41" s="70">
        <f t="shared" si="64"/>
        <v>0</v>
      </c>
      <c r="IN41" s="70">
        <f t="shared" si="65"/>
        <v>397971</v>
      </c>
      <c r="IO41" s="70">
        <f t="shared" si="66"/>
        <v>0</v>
      </c>
      <c r="IP41" s="70">
        <f t="shared" si="67"/>
        <v>5274760</v>
      </c>
      <c r="IQ41" s="70">
        <f t="shared" si="68"/>
        <v>0</v>
      </c>
      <c r="IR41" s="70">
        <f t="shared" si="54"/>
        <v>0</v>
      </c>
      <c r="IS41" s="70">
        <f t="shared" si="55"/>
        <v>0</v>
      </c>
      <c r="IT41" s="70">
        <f t="shared" si="103"/>
        <v>2118352</v>
      </c>
      <c r="IU41" s="70">
        <f t="shared" si="104"/>
        <v>0</v>
      </c>
      <c r="IV41" s="70">
        <f t="shared" si="105"/>
        <v>0</v>
      </c>
      <c r="IW41" s="70">
        <f t="shared" si="106"/>
        <v>0</v>
      </c>
      <c r="IX41" s="70">
        <f t="shared" si="69"/>
        <v>28781</v>
      </c>
      <c r="IY41" s="70">
        <f t="shared" si="70"/>
        <v>0</v>
      </c>
      <c r="IZ41" s="70">
        <f t="shared" si="71"/>
        <v>428973</v>
      </c>
      <c r="JA41" s="70">
        <f t="shared" si="72"/>
        <v>0</v>
      </c>
      <c r="JB41" s="70">
        <f t="shared" si="73"/>
        <v>2402247</v>
      </c>
      <c r="JC41" s="70">
        <f t="shared" si="74"/>
        <v>0</v>
      </c>
      <c r="JD41" s="70">
        <f t="shared" si="75"/>
        <v>1547112</v>
      </c>
      <c r="JE41" s="70">
        <f t="shared" si="76"/>
        <v>0</v>
      </c>
      <c r="JF41" s="70">
        <f t="shared" si="77"/>
        <v>2095098</v>
      </c>
      <c r="JG41" s="70">
        <f t="shared" si="78"/>
        <v>0</v>
      </c>
      <c r="JH41" s="70">
        <f t="shared" si="79"/>
        <v>870591</v>
      </c>
      <c r="JI41" s="70">
        <f t="shared" si="80"/>
        <v>0</v>
      </c>
      <c r="JJ41" s="70">
        <f t="shared" si="81"/>
        <v>0</v>
      </c>
      <c r="JK41" s="70">
        <f t="shared" si="82"/>
        <v>0</v>
      </c>
      <c r="JL41" s="70">
        <f t="shared" si="83"/>
        <v>637977</v>
      </c>
      <c r="JM41" s="70">
        <f t="shared" si="84"/>
        <v>0</v>
      </c>
      <c r="JN41" s="70">
        <f t="shared" si="85"/>
        <v>84845</v>
      </c>
      <c r="JO41" s="70">
        <f t="shared" si="86"/>
        <v>0</v>
      </c>
      <c r="JP41" s="70">
        <f t="shared" si="87"/>
        <v>61704</v>
      </c>
      <c r="JQ41" s="70">
        <f t="shared" si="88"/>
        <v>0</v>
      </c>
      <c r="JR41" s="70">
        <f t="shared" si="89"/>
        <v>705069</v>
      </c>
      <c r="JS41" s="70">
        <f t="shared" si="90"/>
        <v>0</v>
      </c>
      <c r="JT41" s="70">
        <f t="shared" si="91"/>
        <v>99951</v>
      </c>
      <c r="JU41" s="70">
        <f t="shared" si="92"/>
        <v>0</v>
      </c>
      <c r="JV41" s="70">
        <f t="shared" si="93"/>
        <v>497237</v>
      </c>
      <c r="JW41" s="70">
        <f t="shared" si="94"/>
        <v>0</v>
      </c>
      <c r="JX41" s="70">
        <f t="shared" si="95"/>
        <v>21542643</v>
      </c>
      <c r="JY41" s="70">
        <f t="shared" si="96"/>
        <v>0</v>
      </c>
      <c r="JZ41" s="70">
        <f t="shared" si="97"/>
        <v>0</v>
      </c>
      <c r="KA41" s="70">
        <f t="shared" si="98"/>
        <v>0</v>
      </c>
      <c r="KB41" s="70">
        <f t="shared" si="99"/>
        <v>21542643</v>
      </c>
      <c r="KC41" s="70">
        <f t="shared" si="100"/>
        <v>0</v>
      </c>
      <c r="KE41" s="70" t="e">
        <f t="shared" si="101"/>
        <v>#REF!</v>
      </c>
      <c r="KG41" s="68" t="e">
        <f t="shared" si="53"/>
        <v>#REF!</v>
      </c>
    </row>
    <row r="42" spans="1:293">
      <c r="A42" s="180" t="s">
        <v>277</v>
      </c>
      <c r="B42" s="76" t="s">
        <v>362</v>
      </c>
      <c r="C42" s="90">
        <v>159647</v>
      </c>
      <c r="D42" s="90">
        <v>2014</v>
      </c>
      <c r="E42" s="90">
        <v>1</v>
      </c>
      <c r="F42" s="91">
        <v>8</v>
      </c>
      <c r="G42" s="92">
        <v>3550</v>
      </c>
      <c r="H42" s="92">
        <v>2723</v>
      </c>
      <c r="I42" s="93">
        <v>154009510</v>
      </c>
      <c r="J42" s="93">
        <v>155721249</v>
      </c>
      <c r="K42" s="93">
        <v>0</v>
      </c>
      <c r="L42" s="93">
        <v>0</v>
      </c>
      <c r="M42" s="93">
        <v>1977668</v>
      </c>
      <c r="N42" s="93">
        <v>1397759</v>
      </c>
      <c r="O42" s="93">
        <v>9000000</v>
      </c>
      <c r="P42" s="93">
        <v>0</v>
      </c>
      <c r="Q42" s="93">
        <v>79284375</v>
      </c>
      <c r="R42" s="93">
        <v>72262059</v>
      </c>
      <c r="S42" s="93">
        <v>127787543</v>
      </c>
      <c r="T42" s="93">
        <v>126353582</v>
      </c>
      <c r="U42" s="93">
        <v>14660</v>
      </c>
      <c r="V42" s="93">
        <v>13952</v>
      </c>
      <c r="W42" s="93">
        <v>23432</v>
      </c>
      <c r="X42" s="93">
        <v>20621</v>
      </c>
      <c r="Y42" s="93">
        <v>18927</v>
      </c>
      <c r="Z42" s="93">
        <v>17127</v>
      </c>
      <c r="AA42" s="93">
        <v>30066</v>
      </c>
      <c r="AB42" s="93">
        <v>26748</v>
      </c>
      <c r="AC42" s="114">
        <v>7</v>
      </c>
      <c r="AD42" s="114">
        <v>9</v>
      </c>
      <c r="AE42" s="114">
        <v>0</v>
      </c>
      <c r="AF42" s="115">
        <v>2540646</v>
      </c>
      <c r="AG42" s="115">
        <v>1675891</v>
      </c>
      <c r="AH42" s="115">
        <v>213297</v>
      </c>
      <c r="AI42" s="115">
        <v>86668</v>
      </c>
      <c r="AJ42" s="115">
        <v>308402.88888888888</v>
      </c>
      <c r="AK42" s="116">
        <v>4.5</v>
      </c>
      <c r="AL42" s="115">
        <v>277562.59999999998</v>
      </c>
      <c r="AM42" s="116">
        <v>5</v>
      </c>
      <c r="AN42" s="115">
        <v>96860.833333333328</v>
      </c>
      <c r="AO42" s="116">
        <v>6</v>
      </c>
      <c r="AP42" s="115">
        <v>83023.571428571435</v>
      </c>
      <c r="AQ42" s="116">
        <v>7</v>
      </c>
      <c r="AR42" s="115">
        <v>113914.83870967742</v>
      </c>
      <c r="AS42" s="116">
        <v>15.5</v>
      </c>
      <c r="AT42" s="115">
        <v>103863.5294117647</v>
      </c>
      <c r="AU42" s="116">
        <v>17</v>
      </c>
      <c r="AV42" s="115">
        <v>42568.476190476191</v>
      </c>
      <c r="AW42" s="116">
        <v>10.5</v>
      </c>
      <c r="AX42" s="115">
        <v>37247.416666666664</v>
      </c>
      <c r="AY42" s="116">
        <v>12</v>
      </c>
      <c r="AZ42" s="139">
        <v>1678855</v>
      </c>
      <c r="BA42" s="139">
        <v>1650000</v>
      </c>
      <c r="BB42" s="139">
        <v>3088904</v>
      </c>
      <c r="BC42" s="139">
        <v>29990</v>
      </c>
      <c r="BD42" s="139">
        <v>0</v>
      </c>
      <c r="BE42" s="139">
        <v>0</v>
      </c>
      <c r="BF42" s="139">
        <v>0</v>
      </c>
      <c r="BG42" s="139">
        <v>0</v>
      </c>
      <c r="BH42" s="139">
        <v>0</v>
      </c>
      <c r="BI42" s="139">
        <v>0</v>
      </c>
      <c r="BJ42" s="139">
        <v>0</v>
      </c>
      <c r="BK42" s="139">
        <v>0</v>
      </c>
      <c r="BL42" s="139">
        <v>0</v>
      </c>
      <c r="BM42" s="139">
        <v>0</v>
      </c>
      <c r="BN42" s="139">
        <v>0</v>
      </c>
      <c r="BO42" s="139">
        <v>0</v>
      </c>
      <c r="BP42" s="139">
        <v>0</v>
      </c>
      <c r="BQ42" s="139">
        <v>0</v>
      </c>
      <c r="BR42" s="139">
        <v>0</v>
      </c>
      <c r="BS42" s="139">
        <v>0</v>
      </c>
      <c r="BT42" s="139">
        <v>0</v>
      </c>
      <c r="BU42" s="139">
        <v>9270</v>
      </c>
      <c r="BV42" s="139">
        <v>9270</v>
      </c>
      <c r="BW42" s="139">
        <v>6048056</v>
      </c>
      <c r="BX42" s="139">
        <v>2297667</v>
      </c>
      <c r="BY42" s="139">
        <v>1524281</v>
      </c>
      <c r="BZ42" s="139">
        <v>4456843</v>
      </c>
      <c r="CA42" s="139">
        <v>4950854</v>
      </c>
      <c r="CB42" s="139">
        <v>19277701</v>
      </c>
      <c r="CC42" s="139">
        <v>1595292</v>
      </c>
      <c r="CD42" s="139">
        <v>324133</v>
      </c>
      <c r="CE42" s="139">
        <v>292494</v>
      </c>
      <c r="CF42" s="139">
        <v>2381810</v>
      </c>
      <c r="CG42" s="139">
        <v>0</v>
      </c>
      <c r="CH42" s="139">
        <v>4593729</v>
      </c>
      <c r="CI42" s="139">
        <v>475000</v>
      </c>
      <c r="CJ42" s="139">
        <v>138228</v>
      </c>
      <c r="CK42" s="139">
        <v>14089</v>
      </c>
      <c r="CL42" s="139">
        <v>13963</v>
      </c>
      <c r="CM42" s="139">
        <v>0</v>
      </c>
      <c r="CN42" s="139">
        <v>641280</v>
      </c>
      <c r="CO42" s="139">
        <v>1745936</v>
      </c>
      <c r="CP42" s="139">
        <v>1030439</v>
      </c>
      <c r="CQ42" s="139">
        <v>539679</v>
      </c>
      <c r="CR42" s="139">
        <v>865573</v>
      </c>
      <c r="CS42" s="139">
        <v>0</v>
      </c>
      <c r="CT42" s="139">
        <v>4181627</v>
      </c>
      <c r="CU42" s="139">
        <v>0</v>
      </c>
      <c r="CV42" s="139">
        <v>0</v>
      </c>
      <c r="CW42" s="139">
        <v>0</v>
      </c>
      <c r="CX42" s="139">
        <v>0</v>
      </c>
      <c r="CY42" s="139">
        <v>0</v>
      </c>
      <c r="CZ42" s="139">
        <v>0</v>
      </c>
      <c r="DA42" s="139">
        <v>221917</v>
      </c>
      <c r="DB42" s="139">
        <v>100128</v>
      </c>
      <c r="DC42" s="139">
        <v>79601</v>
      </c>
      <c r="DD42" s="139">
        <v>41991</v>
      </c>
      <c r="DE42" s="139">
        <v>1230184</v>
      </c>
      <c r="DF42" s="139">
        <v>1673821</v>
      </c>
      <c r="DG42" s="139">
        <v>0</v>
      </c>
      <c r="DH42" s="139">
        <v>0</v>
      </c>
      <c r="DI42" s="139">
        <v>0</v>
      </c>
      <c r="DJ42" s="139">
        <v>0</v>
      </c>
      <c r="DK42" s="139">
        <v>0</v>
      </c>
      <c r="DL42" s="139">
        <v>0</v>
      </c>
      <c r="DM42" s="139">
        <v>0</v>
      </c>
      <c r="DN42" s="139">
        <v>0</v>
      </c>
      <c r="DO42" s="139">
        <v>56025</v>
      </c>
      <c r="DP42" s="139">
        <v>0</v>
      </c>
      <c r="DQ42" s="139">
        <v>45000</v>
      </c>
      <c r="DR42" s="139">
        <v>101025</v>
      </c>
      <c r="DS42" s="139">
        <v>137889</v>
      </c>
      <c r="DT42" s="139">
        <v>49665</v>
      </c>
      <c r="DU42" s="139">
        <v>39877</v>
      </c>
      <c r="DV42" s="139">
        <v>72534</v>
      </c>
      <c r="DW42" s="139">
        <v>6430</v>
      </c>
      <c r="DX42" s="139">
        <v>306395</v>
      </c>
      <c r="DY42" s="139">
        <v>743198</v>
      </c>
      <c r="DZ42" s="139">
        <v>219991</v>
      </c>
      <c r="EA42" s="139">
        <v>215599</v>
      </c>
      <c r="EB42" s="139">
        <v>619174</v>
      </c>
      <c r="EC42" s="139">
        <v>14755</v>
      </c>
      <c r="ED42" s="139">
        <v>1812717</v>
      </c>
      <c r="EE42" s="139">
        <v>643076</v>
      </c>
      <c r="EF42" s="139">
        <v>118658</v>
      </c>
      <c r="EG42" s="139">
        <v>46267</v>
      </c>
      <c r="EH42" s="139">
        <v>329813</v>
      </c>
      <c r="EI42" s="139">
        <v>801480</v>
      </c>
      <c r="EJ42" s="139">
        <v>1939294</v>
      </c>
      <c r="EK42" s="139">
        <v>98474</v>
      </c>
      <c r="EL42" s="139">
        <v>116706</v>
      </c>
      <c r="EM42" s="139">
        <v>76900</v>
      </c>
      <c r="EN42" s="139">
        <v>79460</v>
      </c>
      <c r="EO42" s="139">
        <v>91955</v>
      </c>
      <c r="EP42" s="139">
        <v>463495</v>
      </c>
      <c r="EQ42" s="139">
        <v>22435</v>
      </c>
      <c r="ER42" s="139">
        <v>2628</v>
      </c>
      <c r="ES42" s="139">
        <v>1998</v>
      </c>
      <c r="ET42" s="139">
        <v>10535</v>
      </c>
      <c r="EU42" s="139">
        <v>233198</v>
      </c>
      <c r="EV42" s="139">
        <v>270794</v>
      </c>
      <c r="EW42" s="139">
        <v>0</v>
      </c>
      <c r="EX42" s="139">
        <v>0</v>
      </c>
      <c r="EY42" s="139">
        <v>0</v>
      </c>
      <c r="EZ42" s="139">
        <v>0</v>
      </c>
      <c r="FA42" s="139">
        <v>0</v>
      </c>
      <c r="FB42" s="139">
        <v>0</v>
      </c>
      <c r="FC42" s="139">
        <v>133163</v>
      </c>
      <c r="FD42" s="139">
        <v>29259</v>
      </c>
      <c r="FE42" s="139">
        <v>18608</v>
      </c>
      <c r="FF42" s="139">
        <v>15692</v>
      </c>
      <c r="FG42" s="139">
        <v>325595</v>
      </c>
      <c r="FH42" s="139">
        <v>522317</v>
      </c>
      <c r="FI42" s="139">
        <v>0</v>
      </c>
      <c r="FJ42" s="139">
        <v>0</v>
      </c>
      <c r="FK42" s="139">
        <v>0</v>
      </c>
      <c r="FL42" s="139">
        <v>0</v>
      </c>
      <c r="FM42" s="139">
        <v>0</v>
      </c>
      <c r="FN42" s="139">
        <v>0</v>
      </c>
      <c r="FO42" s="139">
        <v>0</v>
      </c>
      <c r="FP42" s="139">
        <v>0</v>
      </c>
      <c r="FQ42" s="139">
        <v>0</v>
      </c>
      <c r="FR42" s="139">
        <v>0</v>
      </c>
      <c r="FS42" s="139">
        <v>2079145</v>
      </c>
      <c r="FT42" s="139">
        <v>2079145</v>
      </c>
      <c r="FU42" s="139">
        <v>0</v>
      </c>
      <c r="FV42" s="139">
        <v>0</v>
      </c>
      <c r="FW42" s="139">
        <v>0</v>
      </c>
      <c r="FX42" s="139">
        <v>0</v>
      </c>
      <c r="FY42" s="139">
        <v>230553</v>
      </c>
      <c r="FZ42" s="139">
        <v>230553</v>
      </c>
      <c r="GA42" s="139">
        <v>1750</v>
      </c>
      <c r="GB42" s="139">
        <v>3015</v>
      </c>
      <c r="GC42" s="139">
        <v>653</v>
      </c>
      <c r="GD42" s="139">
        <v>2351</v>
      </c>
      <c r="GE42" s="139">
        <v>277631</v>
      </c>
      <c r="GF42" s="139">
        <v>285400</v>
      </c>
      <c r="GG42" s="139">
        <v>17576</v>
      </c>
      <c r="GH42" s="139">
        <v>31067</v>
      </c>
      <c r="GI42" s="139">
        <v>11266</v>
      </c>
      <c r="GJ42" s="139">
        <v>7826</v>
      </c>
      <c r="GK42" s="139">
        <v>69690</v>
      </c>
      <c r="GL42" s="139">
        <v>137425</v>
      </c>
      <c r="GM42" s="139">
        <v>5835706</v>
      </c>
      <c r="GN42" s="139">
        <v>2163917</v>
      </c>
      <c r="GO42" s="139">
        <v>1393056</v>
      </c>
      <c r="GP42" s="139">
        <v>4063530</v>
      </c>
      <c r="GQ42" s="139">
        <v>5782808</v>
      </c>
      <c r="GR42" s="139">
        <v>19239017</v>
      </c>
      <c r="GS42" s="139">
        <v>0</v>
      </c>
      <c r="GT42" s="139">
        <v>0</v>
      </c>
      <c r="GU42" s="139">
        <v>0</v>
      </c>
      <c r="GV42" s="139">
        <v>0</v>
      </c>
      <c r="GW42" s="139">
        <v>0</v>
      </c>
      <c r="GX42" s="139">
        <v>0</v>
      </c>
      <c r="GY42" s="139">
        <v>5835706</v>
      </c>
      <c r="GZ42" s="139">
        <v>2163917</v>
      </c>
      <c r="HA42" s="139">
        <v>1393056</v>
      </c>
      <c r="HB42" s="139">
        <v>4063530</v>
      </c>
      <c r="HC42" s="139">
        <v>5782808</v>
      </c>
      <c r="HD42" s="139">
        <v>19239017</v>
      </c>
      <c r="HF42" s="70">
        <f>SUM(AZ42:AZ42)</f>
        <v>1678855</v>
      </c>
      <c r="HG42" s="70" t="e">
        <f>#REF!-HF42</f>
        <v>#REF!</v>
      </c>
      <c r="HH42" s="70" t="e">
        <f>SUM(#REF!)</f>
        <v>#REF!</v>
      </c>
      <c r="HI42" s="70" t="e">
        <f>#REF!-HH42</f>
        <v>#REF!</v>
      </c>
      <c r="HJ42" s="70">
        <f>SUM(BA42:BA42)</f>
        <v>1650000</v>
      </c>
      <c r="HK42" s="70" t="e">
        <f>#REF!-HJ42</f>
        <v>#REF!</v>
      </c>
      <c r="HL42" s="70" t="e">
        <f>SUM(#REF!)</f>
        <v>#REF!</v>
      </c>
      <c r="HM42" s="70" t="e">
        <f>BB42-HL42</f>
        <v>#REF!</v>
      </c>
      <c r="HN42" s="70" t="e">
        <f>SUM(#REF!)</f>
        <v>#REF!</v>
      </c>
      <c r="HO42" s="70" t="e">
        <f>#REF!-HN42</f>
        <v>#REF!</v>
      </c>
      <c r="HP42" s="70" t="e">
        <f>SUM(#REF!)</f>
        <v>#REF!</v>
      </c>
      <c r="HQ42" s="70" t="e">
        <f>#REF!-HP42</f>
        <v>#REF!</v>
      </c>
      <c r="HR42" s="70" t="e">
        <f>SUM(#REF!)</f>
        <v>#REF!</v>
      </c>
      <c r="HS42" s="70" t="e">
        <f>#REF!-HR42</f>
        <v>#REF!</v>
      </c>
      <c r="HT42" s="70" t="e">
        <f>SUM(#REF!)</f>
        <v>#REF!</v>
      </c>
      <c r="HU42" s="70" t="e">
        <f>#REF!-HT42</f>
        <v>#REF!</v>
      </c>
      <c r="HV42" s="70" t="e">
        <f>SUM(#REF!)</f>
        <v>#REF!</v>
      </c>
      <c r="HW42" s="70" t="e">
        <f>#REF!-HV42</f>
        <v>#REF!</v>
      </c>
      <c r="HX42" s="70" t="e">
        <f>SUM(#REF!)</f>
        <v>#REF!</v>
      </c>
      <c r="HY42" s="70" t="e">
        <f>#REF!-HX42</f>
        <v>#REF!</v>
      </c>
      <c r="HZ42" s="70">
        <f>SUM(BC42:BC42)</f>
        <v>29990</v>
      </c>
      <c r="IA42" s="70" t="e">
        <f>#REF!-HZ42</f>
        <v>#REF!</v>
      </c>
      <c r="IB42" s="70">
        <f>SUM(BD42:BD42)</f>
        <v>0</v>
      </c>
      <c r="IC42" s="70" t="e">
        <f>#REF!-IB42</f>
        <v>#REF!</v>
      </c>
      <c r="ID42" s="70">
        <f t="shared" si="56"/>
        <v>0</v>
      </c>
      <c r="IE42" s="70">
        <f t="shared" si="57"/>
        <v>0</v>
      </c>
      <c r="IF42" s="70">
        <f t="shared" si="58"/>
        <v>0</v>
      </c>
      <c r="IG42" s="70">
        <f t="shared" si="59"/>
        <v>0</v>
      </c>
      <c r="IH42" s="70">
        <f t="shared" si="60"/>
        <v>9270</v>
      </c>
      <c r="II42" s="70">
        <f t="shared" si="61"/>
        <v>0</v>
      </c>
      <c r="IJ42" s="70">
        <f t="shared" si="62"/>
        <v>19277701</v>
      </c>
      <c r="IK42" s="70">
        <f t="shared" si="63"/>
        <v>0</v>
      </c>
      <c r="IL42" s="70">
        <f t="shared" si="102"/>
        <v>4593729</v>
      </c>
      <c r="IM42" s="70">
        <f t="shared" si="64"/>
        <v>0</v>
      </c>
      <c r="IN42" s="70">
        <f t="shared" si="65"/>
        <v>641280</v>
      </c>
      <c r="IO42" s="70">
        <f t="shared" si="66"/>
        <v>0</v>
      </c>
      <c r="IP42" s="70">
        <f t="shared" si="67"/>
        <v>4181627</v>
      </c>
      <c r="IQ42" s="70">
        <f t="shared" si="68"/>
        <v>0</v>
      </c>
      <c r="IR42" s="70">
        <f t="shared" si="54"/>
        <v>0</v>
      </c>
      <c r="IS42" s="70">
        <f t="shared" si="55"/>
        <v>0</v>
      </c>
      <c r="IT42" s="70">
        <f t="shared" si="103"/>
        <v>1673821</v>
      </c>
      <c r="IU42" s="70">
        <f t="shared" si="104"/>
        <v>0</v>
      </c>
      <c r="IV42" s="70">
        <f t="shared" si="105"/>
        <v>0</v>
      </c>
      <c r="IW42" s="70">
        <f t="shared" si="106"/>
        <v>0</v>
      </c>
      <c r="IX42" s="70">
        <f t="shared" si="69"/>
        <v>101025</v>
      </c>
      <c r="IY42" s="70">
        <f t="shared" si="70"/>
        <v>0</v>
      </c>
      <c r="IZ42" s="70">
        <f t="shared" si="71"/>
        <v>306395</v>
      </c>
      <c r="JA42" s="70">
        <f t="shared" si="72"/>
        <v>0</v>
      </c>
      <c r="JB42" s="70">
        <f t="shared" si="73"/>
        <v>1812717</v>
      </c>
      <c r="JC42" s="70">
        <f t="shared" si="74"/>
        <v>0</v>
      </c>
      <c r="JD42" s="70">
        <f t="shared" si="75"/>
        <v>1939294</v>
      </c>
      <c r="JE42" s="70">
        <f t="shared" si="76"/>
        <v>0</v>
      </c>
      <c r="JF42" s="70">
        <f t="shared" si="77"/>
        <v>463495</v>
      </c>
      <c r="JG42" s="70">
        <f t="shared" si="78"/>
        <v>0</v>
      </c>
      <c r="JH42" s="70">
        <f t="shared" si="79"/>
        <v>270794</v>
      </c>
      <c r="JI42" s="70">
        <f t="shared" si="80"/>
        <v>0</v>
      </c>
      <c r="JJ42" s="70">
        <f t="shared" si="81"/>
        <v>0</v>
      </c>
      <c r="JK42" s="70">
        <f t="shared" si="82"/>
        <v>0</v>
      </c>
      <c r="JL42" s="70">
        <f t="shared" si="83"/>
        <v>522317</v>
      </c>
      <c r="JM42" s="70">
        <f t="shared" si="84"/>
        <v>0</v>
      </c>
      <c r="JN42" s="70">
        <f t="shared" si="85"/>
        <v>0</v>
      </c>
      <c r="JO42" s="70">
        <f t="shared" si="86"/>
        <v>0</v>
      </c>
      <c r="JP42" s="70">
        <f t="shared" si="87"/>
        <v>2079145</v>
      </c>
      <c r="JQ42" s="70">
        <f t="shared" si="88"/>
        <v>0</v>
      </c>
      <c r="JR42" s="70">
        <f t="shared" si="89"/>
        <v>230553</v>
      </c>
      <c r="JS42" s="70">
        <f t="shared" si="90"/>
        <v>0</v>
      </c>
      <c r="JT42" s="70">
        <f t="shared" si="91"/>
        <v>285400</v>
      </c>
      <c r="JU42" s="70">
        <f t="shared" si="92"/>
        <v>0</v>
      </c>
      <c r="JV42" s="70">
        <f t="shared" si="93"/>
        <v>137425</v>
      </c>
      <c r="JW42" s="70">
        <f t="shared" si="94"/>
        <v>0</v>
      </c>
      <c r="JX42" s="70">
        <f t="shared" si="95"/>
        <v>19239017</v>
      </c>
      <c r="JY42" s="70">
        <f t="shared" si="96"/>
        <v>0</v>
      </c>
      <c r="JZ42" s="70">
        <f t="shared" si="97"/>
        <v>0</v>
      </c>
      <c r="KA42" s="70">
        <f t="shared" si="98"/>
        <v>0</v>
      </c>
      <c r="KB42" s="70">
        <f t="shared" si="99"/>
        <v>19239017</v>
      </c>
      <c r="KC42" s="70">
        <f t="shared" si="100"/>
        <v>0</v>
      </c>
      <c r="KE42" s="70" t="e">
        <f t="shared" si="101"/>
        <v>#REF!</v>
      </c>
      <c r="KG42" s="68" t="e">
        <f t="shared" si="53"/>
        <v>#REF!</v>
      </c>
    </row>
    <row r="43" spans="1:293">
      <c r="A43" s="180" t="s">
        <v>278</v>
      </c>
      <c r="B43" s="76" t="s">
        <v>362</v>
      </c>
      <c r="C43" s="90">
        <v>157289</v>
      </c>
      <c r="D43" s="90">
        <v>2014</v>
      </c>
      <c r="E43" s="90">
        <v>1</v>
      </c>
      <c r="F43" s="91">
        <v>1</v>
      </c>
      <c r="G43" s="92">
        <v>7882</v>
      </c>
      <c r="H43" s="92">
        <v>8269</v>
      </c>
      <c r="I43" s="93">
        <v>870672000</v>
      </c>
      <c r="J43" s="93">
        <v>852005000</v>
      </c>
      <c r="K43" s="93">
        <v>11499487</v>
      </c>
      <c r="L43" s="93">
        <v>11389377</v>
      </c>
      <c r="M43" s="93">
        <v>36895732</v>
      </c>
      <c r="N43" s="93">
        <v>36116860</v>
      </c>
      <c r="O43" s="93">
        <v>89809701</v>
      </c>
      <c r="P43" s="93">
        <v>97789948</v>
      </c>
      <c r="Q43" s="93">
        <v>266512745</v>
      </c>
      <c r="R43" s="93">
        <v>291472994</v>
      </c>
      <c r="S43" s="93">
        <v>680116000</v>
      </c>
      <c r="T43" s="93">
        <v>652927000</v>
      </c>
      <c r="U43" s="93">
        <v>20050</v>
      </c>
      <c r="V43" s="93">
        <v>19766</v>
      </c>
      <c r="W43" s="93">
        <v>33930</v>
      </c>
      <c r="X43" s="93">
        <v>33250</v>
      </c>
      <c r="Y43" s="93">
        <v>22832</v>
      </c>
      <c r="Z43" s="93">
        <v>22528</v>
      </c>
      <c r="AA43" s="93">
        <v>34746</v>
      </c>
      <c r="AB43" s="93">
        <v>34020</v>
      </c>
      <c r="AC43" s="114">
        <v>10</v>
      </c>
      <c r="AD43" s="114">
        <v>13</v>
      </c>
      <c r="AE43" s="114">
        <v>0</v>
      </c>
      <c r="AF43" s="115">
        <v>5053181</v>
      </c>
      <c r="AG43" s="115">
        <v>5019012</v>
      </c>
      <c r="AH43" s="115">
        <v>966269</v>
      </c>
      <c r="AI43" s="115">
        <v>407995</v>
      </c>
      <c r="AJ43" s="115">
        <v>1419945.7142857143</v>
      </c>
      <c r="AK43" s="116">
        <v>7</v>
      </c>
      <c r="AL43" s="115">
        <v>1242452.5</v>
      </c>
      <c r="AM43" s="116">
        <v>8</v>
      </c>
      <c r="AN43" s="115">
        <v>273220.5</v>
      </c>
      <c r="AO43" s="116">
        <v>10</v>
      </c>
      <c r="AP43" s="115">
        <v>248382.27272727274</v>
      </c>
      <c r="AQ43" s="116">
        <v>11</v>
      </c>
      <c r="AR43" s="115">
        <v>277979.82222222222</v>
      </c>
      <c r="AS43" s="116">
        <v>22.5</v>
      </c>
      <c r="AT43" s="115">
        <v>231649.85185185185</v>
      </c>
      <c r="AU43" s="116">
        <v>27</v>
      </c>
      <c r="AV43" s="115">
        <v>91064.651162790702</v>
      </c>
      <c r="AW43" s="116">
        <v>21.5</v>
      </c>
      <c r="AX43" s="115">
        <v>75303.461538461532</v>
      </c>
      <c r="AY43" s="116">
        <v>26</v>
      </c>
      <c r="AZ43" s="139">
        <v>13255425</v>
      </c>
      <c r="BA43" s="139">
        <v>300318</v>
      </c>
      <c r="BB43" s="139">
        <v>29379612</v>
      </c>
      <c r="BC43" s="139">
        <v>1609891</v>
      </c>
      <c r="BD43" s="139">
        <v>0</v>
      </c>
      <c r="BE43" s="139">
        <v>0</v>
      </c>
      <c r="BF43" s="139">
        <v>0</v>
      </c>
      <c r="BG43" s="139">
        <v>0</v>
      </c>
      <c r="BH43" s="139">
        <v>0</v>
      </c>
      <c r="BI43" s="139">
        <v>0</v>
      </c>
      <c r="BJ43" s="139">
        <v>0</v>
      </c>
      <c r="BK43" s="139">
        <v>0</v>
      </c>
      <c r="BL43" s="139">
        <v>0</v>
      </c>
      <c r="BM43" s="139">
        <v>0</v>
      </c>
      <c r="BN43" s="139">
        <v>0</v>
      </c>
      <c r="BO43" s="139">
        <v>268477</v>
      </c>
      <c r="BP43" s="139">
        <v>268477</v>
      </c>
      <c r="BQ43" s="139">
        <v>79845</v>
      </c>
      <c r="BR43" s="139">
        <v>2190732</v>
      </c>
      <c r="BS43" s="139">
        <v>0</v>
      </c>
      <c r="BT43" s="139">
        <v>254</v>
      </c>
      <c r="BU43" s="139">
        <v>3322728</v>
      </c>
      <c r="BV43" s="139">
        <v>5593559</v>
      </c>
      <c r="BW43" s="139">
        <v>26515410</v>
      </c>
      <c r="BX43" s="139">
        <v>40572485</v>
      </c>
      <c r="BY43" s="139">
        <v>1090022</v>
      </c>
      <c r="BZ43" s="139">
        <v>1061204</v>
      </c>
      <c r="CA43" s="139">
        <v>19506227</v>
      </c>
      <c r="CB43" s="139">
        <v>88745348</v>
      </c>
      <c r="CC43" s="139">
        <v>2766338</v>
      </c>
      <c r="CD43" s="139">
        <v>422944</v>
      </c>
      <c r="CE43" s="139">
        <v>494981</v>
      </c>
      <c r="CF43" s="139">
        <v>6387930</v>
      </c>
      <c r="CG43" s="139">
        <v>529281</v>
      </c>
      <c r="CH43" s="139">
        <v>10601474</v>
      </c>
      <c r="CI43" s="139">
        <v>1225000</v>
      </c>
      <c r="CJ43" s="139">
        <v>780000</v>
      </c>
      <c r="CK43" s="139">
        <v>71250</v>
      </c>
      <c r="CL43" s="139">
        <v>47500</v>
      </c>
      <c r="CM43" s="139">
        <v>0</v>
      </c>
      <c r="CN43" s="139">
        <v>2123750</v>
      </c>
      <c r="CO43" s="139">
        <v>7755110</v>
      </c>
      <c r="CP43" s="139">
        <v>5662569</v>
      </c>
      <c r="CQ43" s="139">
        <v>1722985</v>
      </c>
      <c r="CR43" s="139">
        <v>5743597</v>
      </c>
      <c r="CS43" s="139">
        <v>0</v>
      </c>
      <c r="CT43" s="139">
        <v>20884261</v>
      </c>
      <c r="CU43" s="139">
        <v>0</v>
      </c>
      <c r="CV43" s="139">
        <v>0</v>
      </c>
      <c r="CW43" s="139">
        <v>0</v>
      </c>
      <c r="CX43" s="139">
        <v>0</v>
      </c>
      <c r="CY43" s="139">
        <v>0</v>
      </c>
      <c r="CZ43" s="139">
        <v>0</v>
      </c>
      <c r="DA43" s="139">
        <v>1476723</v>
      </c>
      <c r="DB43" s="139">
        <v>670576</v>
      </c>
      <c r="DC43" s="139">
        <v>168887</v>
      </c>
      <c r="DD43" s="139">
        <v>562566</v>
      </c>
      <c r="DE43" s="139">
        <v>11965568</v>
      </c>
      <c r="DF43" s="139">
        <v>14844320</v>
      </c>
      <c r="DG43" s="139">
        <v>0</v>
      </c>
      <c r="DH43" s="139">
        <v>0</v>
      </c>
      <c r="DI43" s="139">
        <v>0</v>
      </c>
      <c r="DJ43" s="139">
        <v>0</v>
      </c>
      <c r="DK43" s="139">
        <v>0</v>
      </c>
      <c r="DL43" s="139">
        <v>0</v>
      </c>
      <c r="DM43" s="139">
        <v>0</v>
      </c>
      <c r="DN43" s="139">
        <v>0</v>
      </c>
      <c r="DO43" s="139">
        <v>0</v>
      </c>
      <c r="DP43" s="139">
        <v>0</v>
      </c>
      <c r="DQ43" s="139">
        <v>0</v>
      </c>
      <c r="DR43" s="139">
        <v>0</v>
      </c>
      <c r="DS43" s="139">
        <v>303474</v>
      </c>
      <c r="DT43" s="139">
        <v>533763</v>
      </c>
      <c r="DU43" s="139">
        <v>97716</v>
      </c>
      <c r="DV43" s="139">
        <v>439311</v>
      </c>
      <c r="DW43" s="139">
        <v>0</v>
      </c>
      <c r="DX43" s="139">
        <v>1374264</v>
      </c>
      <c r="DY43" s="139">
        <v>1492344</v>
      </c>
      <c r="DZ43" s="139">
        <v>1370600</v>
      </c>
      <c r="EA43" s="139">
        <v>539804</v>
      </c>
      <c r="EB43" s="139">
        <v>2706723</v>
      </c>
      <c r="EC43" s="139">
        <v>0</v>
      </c>
      <c r="ED43" s="139">
        <v>6109471</v>
      </c>
      <c r="EE43" s="139">
        <v>741904</v>
      </c>
      <c r="EF43" s="139">
        <v>250665</v>
      </c>
      <c r="EG43" s="139">
        <v>27423</v>
      </c>
      <c r="EH43" s="139">
        <v>535967</v>
      </c>
      <c r="EI43" s="139">
        <v>804362</v>
      </c>
      <c r="EJ43" s="139">
        <v>2360321</v>
      </c>
      <c r="EK43" s="139">
        <v>2091628</v>
      </c>
      <c r="EL43" s="139">
        <v>457838</v>
      </c>
      <c r="EM43" s="139">
        <v>216968</v>
      </c>
      <c r="EN43" s="139">
        <v>804778</v>
      </c>
      <c r="EO43" s="139">
        <v>35160</v>
      </c>
      <c r="EP43" s="139">
        <v>3606372</v>
      </c>
      <c r="EQ43" s="139">
        <v>68881</v>
      </c>
      <c r="ER43" s="139">
        <v>41538</v>
      </c>
      <c r="ES43" s="139">
        <v>15382</v>
      </c>
      <c r="ET43" s="139">
        <v>54391</v>
      </c>
      <c r="EU43" s="139">
        <v>383219</v>
      </c>
      <c r="EV43" s="139">
        <v>563411</v>
      </c>
      <c r="EW43" s="139">
        <v>0</v>
      </c>
      <c r="EX43" s="139">
        <v>0</v>
      </c>
      <c r="EY43" s="139">
        <v>0</v>
      </c>
      <c r="EZ43" s="139">
        <v>0</v>
      </c>
      <c r="FA43" s="139">
        <v>0</v>
      </c>
      <c r="FB43" s="139">
        <v>0</v>
      </c>
      <c r="FC43" s="139">
        <v>83185</v>
      </c>
      <c r="FD43" s="139">
        <v>4456413</v>
      </c>
      <c r="FE43" s="139">
        <v>126324</v>
      </c>
      <c r="FF43" s="139">
        <v>168048</v>
      </c>
      <c r="FG43" s="139">
        <v>3604138</v>
      </c>
      <c r="FH43" s="139">
        <v>8438108</v>
      </c>
      <c r="FI43" s="139">
        <v>0</v>
      </c>
      <c r="FJ43" s="139">
        <v>0</v>
      </c>
      <c r="FK43" s="139">
        <v>0</v>
      </c>
      <c r="FL43" s="139">
        <v>0</v>
      </c>
      <c r="FM43" s="139">
        <v>295623</v>
      </c>
      <c r="FN43" s="139">
        <v>295623</v>
      </c>
      <c r="FO43" s="139">
        <v>0</v>
      </c>
      <c r="FP43" s="139">
        <v>0</v>
      </c>
      <c r="FQ43" s="139">
        <v>0</v>
      </c>
      <c r="FR43" s="139">
        <v>0</v>
      </c>
      <c r="FS43" s="139">
        <v>3720686</v>
      </c>
      <c r="FT43" s="139">
        <v>3720686</v>
      </c>
      <c r="FU43" s="139">
        <v>281421</v>
      </c>
      <c r="FV43" s="139">
        <v>102666</v>
      </c>
      <c r="FW43" s="139">
        <v>37166</v>
      </c>
      <c r="FX43" s="139">
        <v>405626</v>
      </c>
      <c r="FY43" s="139">
        <v>0</v>
      </c>
      <c r="FZ43" s="139">
        <v>826879</v>
      </c>
      <c r="GA43" s="139">
        <v>15438</v>
      </c>
      <c r="GB43" s="139">
        <v>260</v>
      </c>
      <c r="GC43" s="139">
        <v>5630</v>
      </c>
      <c r="GD43" s="139">
        <v>111480</v>
      </c>
      <c r="GE43" s="139">
        <v>53761</v>
      </c>
      <c r="GF43" s="139">
        <v>186569</v>
      </c>
      <c r="GG43" s="139">
        <v>3266046</v>
      </c>
      <c r="GH43" s="139">
        <v>1605144</v>
      </c>
      <c r="GI43" s="139">
        <v>395949</v>
      </c>
      <c r="GJ43" s="139">
        <v>1402706</v>
      </c>
      <c r="GK43" s="139">
        <v>5569120</v>
      </c>
      <c r="GL43" s="139">
        <v>12238965</v>
      </c>
      <c r="GM43" s="139">
        <v>21567492</v>
      </c>
      <c r="GN43" s="139">
        <v>16354976</v>
      </c>
      <c r="GO43" s="139">
        <v>3920465</v>
      </c>
      <c r="GP43" s="139">
        <v>19370623</v>
      </c>
      <c r="GQ43" s="139">
        <v>26960918</v>
      </c>
      <c r="GR43" s="139">
        <v>88174474</v>
      </c>
      <c r="GS43" s="139">
        <v>0</v>
      </c>
      <c r="GT43" s="139">
        <v>0</v>
      </c>
      <c r="GU43" s="139">
        <v>0</v>
      </c>
      <c r="GV43" s="139">
        <v>0</v>
      </c>
      <c r="GW43" s="139">
        <v>0</v>
      </c>
      <c r="GX43" s="139">
        <v>0</v>
      </c>
      <c r="GY43" s="139">
        <v>21567492</v>
      </c>
      <c r="GZ43" s="139">
        <v>16354976</v>
      </c>
      <c r="HA43" s="139">
        <v>3920465</v>
      </c>
      <c r="HB43" s="139">
        <v>19370623</v>
      </c>
      <c r="HC43" s="139">
        <v>26960918</v>
      </c>
      <c r="HD43" s="139">
        <v>88174474</v>
      </c>
      <c r="HF43" s="70">
        <f>SUM(AZ43:AZ43)</f>
        <v>13255425</v>
      </c>
      <c r="HG43" s="70" t="e">
        <f>#REF!-HF43</f>
        <v>#REF!</v>
      </c>
      <c r="HH43" s="70" t="e">
        <f>SUM(#REF!)</f>
        <v>#REF!</v>
      </c>
      <c r="HI43" s="70" t="e">
        <f>#REF!-HH43</f>
        <v>#REF!</v>
      </c>
      <c r="HJ43" s="70">
        <f>SUM(BA43:BA43)</f>
        <v>300318</v>
      </c>
      <c r="HK43" s="70" t="e">
        <f>#REF!-HJ43</f>
        <v>#REF!</v>
      </c>
      <c r="HL43" s="70" t="e">
        <f>SUM(#REF!)</f>
        <v>#REF!</v>
      </c>
      <c r="HM43" s="70" t="e">
        <f>BB43-HL43</f>
        <v>#REF!</v>
      </c>
      <c r="HN43" s="70" t="e">
        <f>SUM(#REF!)</f>
        <v>#REF!</v>
      </c>
      <c r="HO43" s="70" t="e">
        <f>#REF!-HN43</f>
        <v>#REF!</v>
      </c>
      <c r="HP43" s="70" t="e">
        <f>SUM(#REF!)</f>
        <v>#REF!</v>
      </c>
      <c r="HQ43" s="70" t="e">
        <f>#REF!-HP43</f>
        <v>#REF!</v>
      </c>
      <c r="HR43" s="70" t="e">
        <f>SUM(#REF!)</f>
        <v>#REF!</v>
      </c>
      <c r="HS43" s="70" t="e">
        <f>#REF!-HR43</f>
        <v>#REF!</v>
      </c>
      <c r="HT43" s="70" t="e">
        <f>SUM(#REF!)</f>
        <v>#REF!</v>
      </c>
      <c r="HU43" s="70" t="e">
        <f>#REF!-HT43</f>
        <v>#REF!</v>
      </c>
      <c r="HV43" s="70" t="e">
        <f>SUM(#REF!)</f>
        <v>#REF!</v>
      </c>
      <c r="HW43" s="70" t="e">
        <f>#REF!-HV43</f>
        <v>#REF!</v>
      </c>
      <c r="HX43" s="70" t="e">
        <f>SUM(#REF!)</f>
        <v>#REF!</v>
      </c>
      <c r="HY43" s="70" t="e">
        <f>#REF!-HX43</f>
        <v>#REF!</v>
      </c>
      <c r="HZ43" s="70">
        <f>SUM(BC43:BC43)</f>
        <v>1609891</v>
      </c>
      <c r="IA43" s="70" t="e">
        <f>#REF!-HZ43</f>
        <v>#REF!</v>
      </c>
      <c r="IB43" s="70">
        <f>SUM(BD43:BD43)</f>
        <v>0</v>
      </c>
      <c r="IC43" s="70" t="e">
        <f>#REF!-IB43</f>
        <v>#REF!</v>
      </c>
      <c r="ID43" s="70">
        <f t="shared" si="56"/>
        <v>0</v>
      </c>
      <c r="IE43" s="70">
        <f t="shared" si="57"/>
        <v>0</v>
      </c>
      <c r="IF43" s="70">
        <f t="shared" si="58"/>
        <v>268477</v>
      </c>
      <c r="IG43" s="70">
        <f t="shared" si="59"/>
        <v>0</v>
      </c>
      <c r="IH43" s="70">
        <f t="shared" si="60"/>
        <v>5593559</v>
      </c>
      <c r="II43" s="70">
        <f t="shared" si="61"/>
        <v>0</v>
      </c>
      <c r="IJ43" s="70">
        <f t="shared" si="62"/>
        <v>88745348</v>
      </c>
      <c r="IK43" s="70">
        <f t="shared" si="63"/>
        <v>0</v>
      </c>
      <c r="IL43" s="70">
        <f t="shared" si="102"/>
        <v>10601474</v>
      </c>
      <c r="IM43" s="70">
        <f t="shared" si="64"/>
        <v>0</v>
      </c>
      <c r="IN43" s="70">
        <f t="shared" si="65"/>
        <v>2123750</v>
      </c>
      <c r="IO43" s="70">
        <f t="shared" si="66"/>
        <v>0</v>
      </c>
      <c r="IP43" s="70">
        <f t="shared" si="67"/>
        <v>20884261</v>
      </c>
      <c r="IQ43" s="70">
        <f t="shared" si="68"/>
        <v>0</v>
      </c>
      <c r="IR43" s="70">
        <f t="shared" si="54"/>
        <v>0</v>
      </c>
      <c r="IS43" s="70">
        <f t="shared" si="55"/>
        <v>0</v>
      </c>
      <c r="IT43" s="70">
        <f t="shared" si="103"/>
        <v>14844320</v>
      </c>
      <c r="IU43" s="70">
        <f t="shared" si="104"/>
        <v>0</v>
      </c>
      <c r="IV43" s="70">
        <f t="shared" si="105"/>
        <v>0</v>
      </c>
      <c r="IW43" s="70">
        <f t="shared" si="106"/>
        <v>0</v>
      </c>
      <c r="IX43" s="70">
        <f t="shared" si="69"/>
        <v>0</v>
      </c>
      <c r="IY43" s="70">
        <f t="shared" si="70"/>
        <v>0</v>
      </c>
      <c r="IZ43" s="70">
        <f t="shared" si="71"/>
        <v>1374264</v>
      </c>
      <c r="JA43" s="70">
        <f t="shared" si="72"/>
        <v>0</v>
      </c>
      <c r="JB43" s="70">
        <f t="shared" si="73"/>
        <v>6109471</v>
      </c>
      <c r="JC43" s="70">
        <f t="shared" si="74"/>
        <v>0</v>
      </c>
      <c r="JD43" s="70">
        <f t="shared" si="75"/>
        <v>2360321</v>
      </c>
      <c r="JE43" s="70">
        <f t="shared" si="76"/>
        <v>0</v>
      </c>
      <c r="JF43" s="70">
        <f t="shared" si="77"/>
        <v>3606372</v>
      </c>
      <c r="JG43" s="70">
        <f t="shared" si="78"/>
        <v>0</v>
      </c>
      <c r="JH43" s="70">
        <f t="shared" si="79"/>
        <v>563411</v>
      </c>
      <c r="JI43" s="70">
        <f t="shared" si="80"/>
        <v>0</v>
      </c>
      <c r="JJ43" s="70">
        <f t="shared" si="81"/>
        <v>0</v>
      </c>
      <c r="JK43" s="70">
        <f t="shared" si="82"/>
        <v>0</v>
      </c>
      <c r="JL43" s="70">
        <f t="shared" si="83"/>
        <v>8438108</v>
      </c>
      <c r="JM43" s="70">
        <f t="shared" si="84"/>
        <v>0</v>
      </c>
      <c r="JN43" s="70">
        <f t="shared" si="85"/>
        <v>295623</v>
      </c>
      <c r="JO43" s="70">
        <f t="shared" si="86"/>
        <v>0</v>
      </c>
      <c r="JP43" s="70">
        <f t="shared" si="87"/>
        <v>3720686</v>
      </c>
      <c r="JQ43" s="70">
        <f t="shared" si="88"/>
        <v>0</v>
      </c>
      <c r="JR43" s="70">
        <f t="shared" si="89"/>
        <v>826879</v>
      </c>
      <c r="JS43" s="70">
        <f t="shared" si="90"/>
        <v>0</v>
      </c>
      <c r="JT43" s="70">
        <f t="shared" si="91"/>
        <v>186569</v>
      </c>
      <c r="JU43" s="70">
        <f t="shared" si="92"/>
        <v>0</v>
      </c>
      <c r="JV43" s="70">
        <f t="shared" si="93"/>
        <v>12238965</v>
      </c>
      <c r="JW43" s="70">
        <f t="shared" si="94"/>
        <v>0</v>
      </c>
      <c r="JX43" s="70">
        <f t="shared" si="95"/>
        <v>88174474</v>
      </c>
      <c r="JY43" s="70">
        <f t="shared" si="96"/>
        <v>0</v>
      </c>
      <c r="JZ43" s="70">
        <f t="shared" si="97"/>
        <v>0</v>
      </c>
      <c r="KA43" s="70">
        <f t="shared" si="98"/>
        <v>0</v>
      </c>
      <c r="KB43" s="70">
        <f t="shared" si="99"/>
        <v>88174474</v>
      </c>
      <c r="KC43" s="70">
        <f t="shared" si="100"/>
        <v>0</v>
      </c>
      <c r="KE43" s="70" t="e">
        <f t="shared" si="101"/>
        <v>#REF!</v>
      </c>
      <c r="KG43" s="68" t="e">
        <f t="shared" si="53"/>
        <v>#REF!</v>
      </c>
    </row>
    <row r="44" spans="1:293">
      <c r="A44" s="180" t="s">
        <v>498</v>
      </c>
      <c r="B44" s="76" t="s">
        <v>362</v>
      </c>
      <c r="C44" s="90">
        <v>159391</v>
      </c>
      <c r="D44" s="90">
        <v>2014</v>
      </c>
      <c r="E44" s="90">
        <v>1</v>
      </c>
      <c r="F44" s="91">
        <v>5</v>
      </c>
      <c r="G44" s="92">
        <v>10920</v>
      </c>
      <c r="H44" s="92">
        <v>11787</v>
      </c>
      <c r="I44" s="93">
        <v>801588764</v>
      </c>
      <c r="J44" s="93">
        <v>788806157</v>
      </c>
      <c r="K44" s="93">
        <v>15369889</v>
      </c>
      <c r="L44" s="93">
        <v>13479926</v>
      </c>
      <c r="M44" s="93">
        <v>34922260</v>
      </c>
      <c r="N44" s="93">
        <v>33875753</v>
      </c>
      <c r="O44" s="93">
        <v>193334531</v>
      </c>
      <c r="P44" s="93">
        <v>197214131</v>
      </c>
      <c r="Q44" s="93">
        <v>455405251</v>
      </c>
      <c r="R44" s="93">
        <v>459450000</v>
      </c>
      <c r="S44" s="93">
        <v>653097118</v>
      </c>
      <c r="T44" s="93">
        <v>644086523</v>
      </c>
      <c r="U44" s="93">
        <v>21975</v>
      </c>
      <c r="V44" s="93">
        <v>20798</v>
      </c>
      <c r="W44" s="93">
        <v>37245</v>
      </c>
      <c r="X44" s="93">
        <v>33802</v>
      </c>
      <c r="Y44" s="93">
        <v>28272</v>
      </c>
      <c r="Z44" s="93">
        <v>24849</v>
      </c>
      <c r="AA44" s="93">
        <v>46190</v>
      </c>
      <c r="AB44" s="93">
        <v>40118</v>
      </c>
      <c r="AC44" s="114">
        <v>9</v>
      </c>
      <c r="AD44" s="114">
        <v>12</v>
      </c>
      <c r="AE44" s="114">
        <v>0</v>
      </c>
      <c r="AF44" s="115">
        <v>6394995</v>
      </c>
      <c r="AG44" s="115">
        <v>5351088</v>
      </c>
      <c r="AH44" s="115">
        <v>892996</v>
      </c>
      <c r="AI44" s="115">
        <v>420265</v>
      </c>
      <c r="AJ44" s="115">
        <v>1104050.4615384615</v>
      </c>
      <c r="AK44" s="116">
        <v>6.5</v>
      </c>
      <c r="AL44" s="115">
        <v>897041</v>
      </c>
      <c r="AM44" s="116">
        <v>8</v>
      </c>
      <c r="AN44" s="115">
        <v>284151.36842105264</v>
      </c>
      <c r="AO44" s="116">
        <v>9.5</v>
      </c>
      <c r="AP44" s="115">
        <v>245403.45454545456</v>
      </c>
      <c r="AQ44" s="116">
        <v>11</v>
      </c>
      <c r="AR44" s="115">
        <v>429474.25</v>
      </c>
      <c r="AS44" s="116">
        <v>20</v>
      </c>
      <c r="AT44" s="115">
        <v>357895.20833333331</v>
      </c>
      <c r="AU44" s="116">
        <v>24</v>
      </c>
      <c r="AV44" s="115">
        <v>117779.64705882352</v>
      </c>
      <c r="AW44" s="116">
        <v>17</v>
      </c>
      <c r="AX44" s="115">
        <v>95345.428571428565</v>
      </c>
      <c r="AY44" s="116">
        <v>21</v>
      </c>
      <c r="AZ44" s="139">
        <v>31841481</v>
      </c>
      <c r="BA44" s="139">
        <v>3041000</v>
      </c>
      <c r="BB44" s="139">
        <v>49333582</v>
      </c>
      <c r="BC44" s="139">
        <v>2622995</v>
      </c>
      <c r="BD44" s="139">
        <v>0</v>
      </c>
      <c r="BE44" s="139">
        <v>0</v>
      </c>
      <c r="BF44" s="139">
        <v>0</v>
      </c>
      <c r="BG44" s="139">
        <v>0</v>
      </c>
      <c r="BH44" s="139">
        <v>0</v>
      </c>
      <c r="BI44" s="139">
        <v>0</v>
      </c>
      <c r="BJ44" s="139">
        <v>0</v>
      </c>
      <c r="BK44" s="139">
        <v>0</v>
      </c>
      <c r="BL44" s="139">
        <v>0</v>
      </c>
      <c r="BM44" s="139">
        <v>0</v>
      </c>
      <c r="BN44" s="139">
        <v>0</v>
      </c>
      <c r="BO44" s="139">
        <v>1062725</v>
      </c>
      <c r="BP44" s="139">
        <v>1062725</v>
      </c>
      <c r="BQ44" s="139">
        <v>0</v>
      </c>
      <c r="BR44" s="139">
        <v>0</v>
      </c>
      <c r="BS44" s="139">
        <v>0</v>
      </c>
      <c r="BT44" s="139">
        <v>0</v>
      </c>
      <c r="BU44" s="139">
        <v>1681835</v>
      </c>
      <c r="BV44" s="139">
        <v>1681835</v>
      </c>
      <c r="BW44" s="139">
        <v>88500373</v>
      </c>
      <c r="BX44" s="139">
        <v>7872850</v>
      </c>
      <c r="BY44" s="139">
        <v>414402</v>
      </c>
      <c r="BZ44" s="139">
        <v>10809004</v>
      </c>
      <c r="CA44" s="139">
        <v>26082627</v>
      </c>
      <c r="CB44" s="139">
        <v>133679256</v>
      </c>
      <c r="CC44" s="139">
        <v>3344380</v>
      </c>
      <c r="CD44" s="139">
        <v>682158</v>
      </c>
      <c r="CE44" s="139">
        <v>721675</v>
      </c>
      <c r="CF44" s="139">
        <v>7949669</v>
      </c>
      <c r="CG44" s="139">
        <v>0</v>
      </c>
      <c r="CH44" s="139">
        <v>12697882</v>
      </c>
      <c r="CI44" s="139">
        <v>2430000</v>
      </c>
      <c r="CJ44" s="139">
        <v>438000</v>
      </c>
      <c r="CK44" s="139">
        <v>76135</v>
      </c>
      <c r="CL44" s="139">
        <v>132765</v>
      </c>
      <c r="CM44" s="139">
        <v>0</v>
      </c>
      <c r="CN44" s="139">
        <v>3076900</v>
      </c>
      <c r="CO44" s="139">
        <v>10794471</v>
      </c>
      <c r="CP44" s="139">
        <v>2181714</v>
      </c>
      <c r="CQ44" s="139">
        <v>1608374</v>
      </c>
      <c r="CR44" s="139">
        <v>5882946</v>
      </c>
      <c r="CS44" s="139">
        <v>0</v>
      </c>
      <c r="CT44" s="139">
        <v>20467505</v>
      </c>
      <c r="CU44" s="139">
        <v>612603</v>
      </c>
      <c r="CV44" s="139">
        <v>14083</v>
      </c>
      <c r="CW44" s="139">
        <v>0</v>
      </c>
      <c r="CX44" s="139">
        <v>45394</v>
      </c>
      <c r="CY44" s="139">
        <v>0</v>
      </c>
      <c r="CZ44" s="139">
        <v>672080</v>
      </c>
      <c r="DA44" s="139">
        <v>1634061</v>
      </c>
      <c r="DB44" s="139">
        <v>239016</v>
      </c>
      <c r="DC44" s="139">
        <v>257546</v>
      </c>
      <c r="DD44" s="139">
        <v>579633</v>
      </c>
      <c r="DE44" s="139">
        <v>13754118</v>
      </c>
      <c r="DF44" s="139">
        <v>16464374</v>
      </c>
      <c r="DG44" s="139">
        <v>20502</v>
      </c>
      <c r="DH44" s="139">
        <v>0</v>
      </c>
      <c r="DI44" s="139">
        <v>0</v>
      </c>
      <c r="DJ44" s="139">
        <v>0</v>
      </c>
      <c r="DK44" s="139">
        <v>160245</v>
      </c>
      <c r="DL44" s="139">
        <v>180747</v>
      </c>
      <c r="DM44" s="139">
        <v>96667</v>
      </c>
      <c r="DN44" s="139">
        <v>7115</v>
      </c>
      <c r="DO44" s="139">
        <v>0</v>
      </c>
      <c r="DP44" s="139">
        <v>28916</v>
      </c>
      <c r="DQ44" s="139">
        <v>52982</v>
      </c>
      <c r="DR44" s="139">
        <v>185680</v>
      </c>
      <c r="DS44" s="139">
        <v>523543</v>
      </c>
      <c r="DT44" s="139">
        <v>159462</v>
      </c>
      <c r="DU44" s="139">
        <v>139010</v>
      </c>
      <c r="DV44" s="139">
        <v>491246</v>
      </c>
      <c r="DW44" s="139">
        <v>55296</v>
      </c>
      <c r="DX44" s="139">
        <v>1368557</v>
      </c>
      <c r="DY44" s="139">
        <v>1309805</v>
      </c>
      <c r="DZ44" s="139">
        <v>719217</v>
      </c>
      <c r="EA44" s="139">
        <v>741650</v>
      </c>
      <c r="EB44" s="139">
        <v>2756127</v>
      </c>
      <c r="EC44" s="139">
        <v>30944</v>
      </c>
      <c r="ED44" s="139">
        <v>5557743</v>
      </c>
      <c r="EE44" s="139">
        <v>1160746</v>
      </c>
      <c r="EF44" s="139">
        <v>106881</v>
      </c>
      <c r="EG44" s="139">
        <v>103802</v>
      </c>
      <c r="EH44" s="139">
        <v>1240691</v>
      </c>
      <c r="EI44" s="139">
        <v>429605</v>
      </c>
      <c r="EJ44" s="139">
        <v>3041725</v>
      </c>
      <c r="EK44" s="139">
        <v>929407</v>
      </c>
      <c r="EL44" s="139">
        <v>200864</v>
      </c>
      <c r="EM44" s="139">
        <v>157642</v>
      </c>
      <c r="EN44" s="139">
        <v>555435</v>
      </c>
      <c r="EO44" s="139">
        <v>5432576</v>
      </c>
      <c r="EP44" s="139">
        <v>7275924</v>
      </c>
      <c r="EQ44" s="139">
        <v>148895</v>
      </c>
      <c r="ER44" s="139">
        <v>38332</v>
      </c>
      <c r="ES44" s="139">
        <v>21526</v>
      </c>
      <c r="ET44" s="139">
        <v>210629</v>
      </c>
      <c r="EU44" s="139">
        <v>774156</v>
      </c>
      <c r="EV44" s="139">
        <v>1193538</v>
      </c>
      <c r="EW44" s="139">
        <v>0</v>
      </c>
      <c r="EX44" s="139">
        <v>0</v>
      </c>
      <c r="EY44" s="139">
        <v>0</v>
      </c>
      <c r="EZ44" s="139">
        <v>0</v>
      </c>
      <c r="FA44" s="139">
        <v>0</v>
      </c>
      <c r="FB44" s="139">
        <v>0</v>
      </c>
      <c r="FC44" s="148">
        <v>20576</v>
      </c>
      <c r="FD44" s="139">
        <v>4153</v>
      </c>
      <c r="FE44" s="139">
        <v>0</v>
      </c>
      <c r="FF44" s="139">
        <v>45664</v>
      </c>
      <c r="FG44" s="139">
        <v>18618115</v>
      </c>
      <c r="FH44" s="139">
        <v>18688508</v>
      </c>
      <c r="FI44" s="139">
        <v>0</v>
      </c>
      <c r="FJ44" s="139">
        <v>0</v>
      </c>
      <c r="FK44" s="139">
        <v>0</v>
      </c>
      <c r="FL44" s="139">
        <v>0</v>
      </c>
      <c r="FM44" s="139">
        <v>1174128</v>
      </c>
      <c r="FN44" s="139">
        <v>1174128</v>
      </c>
      <c r="FO44" s="139">
        <v>0</v>
      </c>
      <c r="FP44" s="139">
        <v>0</v>
      </c>
      <c r="FQ44" s="139">
        <v>0</v>
      </c>
      <c r="FR44" s="139">
        <v>0</v>
      </c>
      <c r="FS44" s="139">
        <v>0</v>
      </c>
      <c r="FT44" s="139">
        <v>0</v>
      </c>
      <c r="FU44" s="139">
        <v>156690</v>
      </c>
      <c r="FV44" s="139">
        <v>6392</v>
      </c>
      <c r="FW44" s="139">
        <v>30821</v>
      </c>
      <c r="FX44" s="139">
        <v>139293</v>
      </c>
      <c r="FY44" s="139">
        <v>235044</v>
      </c>
      <c r="FZ44" s="139">
        <v>568240</v>
      </c>
      <c r="GA44" s="139">
        <v>18655</v>
      </c>
      <c r="GB44" s="139">
        <v>3186</v>
      </c>
      <c r="GC44" s="139">
        <v>725</v>
      </c>
      <c r="GD44" s="139">
        <v>29589</v>
      </c>
      <c r="GE44" s="139">
        <v>31491</v>
      </c>
      <c r="GF44" s="139">
        <v>83646</v>
      </c>
      <c r="GG44" s="139">
        <v>15289224</v>
      </c>
      <c r="GH44" s="139">
        <v>524297</v>
      </c>
      <c r="GI44" s="139">
        <v>238615</v>
      </c>
      <c r="GJ44" s="139">
        <v>5543031</v>
      </c>
      <c r="GK44" s="139">
        <v>8653366</v>
      </c>
      <c r="GL44" s="139">
        <v>30248533</v>
      </c>
      <c r="GM44" s="139">
        <v>38490225</v>
      </c>
      <c r="GN44" s="139">
        <v>5324870</v>
      </c>
      <c r="GO44" s="139">
        <v>4097521</v>
      </c>
      <c r="GP44" s="139">
        <v>24679229</v>
      </c>
      <c r="GQ44" s="139">
        <v>50353865</v>
      </c>
      <c r="GR44" s="139">
        <v>122945710</v>
      </c>
      <c r="GS44" s="139">
        <v>0</v>
      </c>
      <c r="GT44" s="139">
        <v>0</v>
      </c>
      <c r="GU44" s="139">
        <v>0</v>
      </c>
      <c r="GV44" s="139">
        <v>0</v>
      </c>
      <c r="GW44" s="139">
        <v>4684602</v>
      </c>
      <c r="GX44" s="139">
        <v>4684602</v>
      </c>
      <c r="GY44" s="139">
        <v>38490225</v>
      </c>
      <c r="GZ44" s="139">
        <v>5324870</v>
      </c>
      <c r="HA44" s="139">
        <v>4097521</v>
      </c>
      <c r="HB44" s="139">
        <v>24679229</v>
      </c>
      <c r="HC44" s="139">
        <v>55038467</v>
      </c>
      <c r="HD44" s="139">
        <v>127630312</v>
      </c>
      <c r="HF44" s="70">
        <f>SUM(AZ44:AZ44)</f>
        <v>31841481</v>
      </c>
      <c r="HG44" s="70" t="e">
        <f>#REF!-HF44</f>
        <v>#REF!</v>
      </c>
      <c r="HH44" s="70" t="e">
        <f>SUM(#REF!)</f>
        <v>#REF!</v>
      </c>
      <c r="HI44" s="70" t="e">
        <f>#REF!-HH44</f>
        <v>#REF!</v>
      </c>
      <c r="HJ44" s="70">
        <f>SUM(BA44:BA44)</f>
        <v>3041000</v>
      </c>
      <c r="HK44" s="70" t="e">
        <f>#REF!-HJ44</f>
        <v>#REF!</v>
      </c>
      <c r="HL44" s="70" t="e">
        <f>SUM(#REF!)</f>
        <v>#REF!</v>
      </c>
      <c r="HM44" s="70" t="e">
        <f>BB44-HL44</f>
        <v>#REF!</v>
      </c>
      <c r="HN44" s="70" t="e">
        <f>SUM(#REF!)</f>
        <v>#REF!</v>
      </c>
      <c r="HO44" s="70" t="e">
        <f>#REF!-HN44</f>
        <v>#REF!</v>
      </c>
      <c r="HP44" s="70" t="e">
        <f>SUM(#REF!)</f>
        <v>#REF!</v>
      </c>
      <c r="HQ44" s="70" t="e">
        <f>#REF!-HP44</f>
        <v>#REF!</v>
      </c>
      <c r="HR44" s="70" t="e">
        <f>SUM(#REF!)</f>
        <v>#REF!</v>
      </c>
      <c r="HS44" s="70" t="e">
        <f>#REF!-HR44</f>
        <v>#REF!</v>
      </c>
      <c r="HT44" s="70" t="e">
        <f>SUM(#REF!)</f>
        <v>#REF!</v>
      </c>
      <c r="HU44" s="70" t="e">
        <f>#REF!-HT44</f>
        <v>#REF!</v>
      </c>
      <c r="HV44" s="70" t="e">
        <f>SUM(#REF!)</f>
        <v>#REF!</v>
      </c>
      <c r="HW44" s="70" t="e">
        <f>#REF!-HV44</f>
        <v>#REF!</v>
      </c>
      <c r="HX44" s="70" t="e">
        <f>SUM(#REF!)</f>
        <v>#REF!</v>
      </c>
      <c r="HY44" s="70" t="e">
        <f>#REF!-HX44</f>
        <v>#REF!</v>
      </c>
      <c r="HZ44" s="70">
        <f>SUM(BC44:BC44)</f>
        <v>2622995</v>
      </c>
      <c r="IA44" s="70" t="e">
        <f>#REF!-HZ44</f>
        <v>#REF!</v>
      </c>
      <c r="IB44" s="70">
        <f>SUM(BD44:BD44)</f>
        <v>0</v>
      </c>
      <c r="IC44" s="70" t="e">
        <f>#REF!-IB44</f>
        <v>#REF!</v>
      </c>
      <c r="ID44" s="70">
        <f t="shared" si="56"/>
        <v>0</v>
      </c>
      <c r="IE44" s="70">
        <f t="shared" si="57"/>
        <v>0</v>
      </c>
      <c r="IF44" s="70">
        <f t="shared" si="58"/>
        <v>1062725</v>
      </c>
      <c r="IG44" s="70">
        <f t="shared" si="59"/>
        <v>0</v>
      </c>
      <c r="IH44" s="70">
        <f t="shared" si="60"/>
        <v>1681835</v>
      </c>
      <c r="II44" s="70">
        <f t="shared" si="61"/>
        <v>0</v>
      </c>
      <c r="IJ44" s="70">
        <f t="shared" si="62"/>
        <v>133679256</v>
      </c>
      <c r="IK44" s="70">
        <f t="shared" si="63"/>
        <v>0</v>
      </c>
      <c r="IL44" s="70">
        <f t="shared" si="102"/>
        <v>12697882</v>
      </c>
      <c r="IM44" s="70">
        <f t="shared" si="64"/>
        <v>0</v>
      </c>
      <c r="IN44" s="70">
        <f t="shared" si="65"/>
        <v>3076900</v>
      </c>
      <c r="IO44" s="70">
        <f t="shared" si="66"/>
        <v>0</v>
      </c>
      <c r="IP44" s="70">
        <f t="shared" si="67"/>
        <v>20467505</v>
      </c>
      <c r="IQ44" s="70">
        <f t="shared" si="68"/>
        <v>0</v>
      </c>
      <c r="IR44" s="70">
        <f t="shared" si="54"/>
        <v>672080</v>
      </c>
      <c r="IS44" s="70">
        <f t="shared" si="55"/>
        <v>0</v>
      </c>
      <c r="IT44" s="70">
        <f t="shared" si="103"/>
        <v>16464374</v>
      </c>
      <c r="IU44" s="70">
        <f t="shared" si="104"/>
        <v>0</v>
      </c>
      <c r="IV44" s="70">
        <f t="shared" si="105"/>
        <v>180747</v>
      </c>
      <c r="IW44" s="70">
        <f t="shared" si="106"/>
        <v>0</v>
      </c>
      <c r="IX44" s="70">
        <f t="shared" si="69"/>
        <v>185680</v>
      </c>
      <c r="IY44" s="70">
        <f t="shared" si="70"/>
        <v>0</v>
      </c>
      <c r="IZ44" s="70">
        <f t="shared" si="71"/>
        <v>1368557</v>
      </c>
      <c r="JA44" s="70">
        <f t="shared" si="72"/>
        <v>0</v>
      </c>
      <c r="JB44" s="70">
        <f t="shared" si="73"/>
        <v>5557743</v>
      </c>
      <c r="JC44" s="70">
        <f t="shared" si="74"/>
        <v>0</v>
      </c>
      <c r="JD44" s="70">
        <f t="shared" si="75"/>
        <v>3041725</v>
      </c>
      <c r="JE44" s="70">
        <f t="shared" si="76"/>
        <v>0</v>
      </c>
      <c r="JF44" s="70">
        <f t="shared" si="77"/>
        <v>7275924</v>
      </c>
      <c r="JG44" s="70">
        <f t="shared" si="78"/>
        <v>0</v>
      </c>
      <c r="JH44" s="70">
        <f t="shared" si="79"/>
        <v>1193538</v>
      </c>
      <c r="JI44" s="70">
        <f t="shared" si="80"/>
        <v>0</v>
      </c>
      <c r="JJ44" s="70">
        <f t="shared" si="81"/>
        <v>0</v>
      </c>
      <c r="JK44" s="70">
        <f t="shared" si="82"/>
        <v>0</v>
      </c>
      <c r="JL44" s="70">
        <f t="shared" si="83"/>
        <v>18688508</v>
      </c>
      <c r="JM44" s="70">
        <f t="shared" si="84"/>
        <v>0</v>
      </c>
      <c r="JN44" s="70">
        <f t="shared" si="85"/>
        <v>1174128</v>
      </c>
      <c r="JO44" s="70">
        <f t="shared" si="86"/>
        <v>0</v>
      </c>
      <c r="JP44" s="70">
        <f t="shared" si="87"/>
        <v>0</v>
      </c>
      <c r="JQ44" s="70">
        <f t="shared" si="88"/>
        <v>0</v>
      </c>
      <c r="JR44" s="70">
        <f t="shared" si="89"/>
        <v>568240</v>
      </c>
      <c r="JS44" s="70">
        <f t="shared" si="90"/>
        <v>0</v>
      </c>
      <c r="JT44" s="70">
        <f t="shared" si="91"/>
        <v>83646</v>
      </c>
      <c r="JU44" s="70">
        <f t="shared" si="92"/>
        <v>0</v>
      </c>
      <c r="JV44" s="70">
        <f t="shared" si="93"/>
        <v>30248533</v>
      </c>
      <c r="JW44" s="70">
        <f t="shared" si="94"/>
        <v>0</v>
      </c>
      <c r="JX44" s="70">
        <f t="shared" si="95"/>
        <v>122945710</v>
      </c>
      <c r="JY44" s="70">
        <f t="shared" si="96"/>
        <v>0</v>
      </c>
      <c r="JZ44" s="70">
        <f t="shared" si="97"/>
        <v>4684602</v>
      </c>
      <c r="KA44" s="70">
        <f t="shared" si="98"/>
        <v>0</v>
      </c>
      <c r="KB44" s="70">
        <f t="shared" si="99"/>
        <v>127630312</v>
      </c>
      <c r="KC44" s="70">
        <f t="shared" si="100"/>
        <v>0</v>
      </c>
      <c r="KE44" s="70" t="e">
        <f t="shared" si="101"/>
        <v>#REF!</v>
      </c>
      <c r="KG44" s="68" t="e">
        <f t="shared" si="53"/>
        <v>#REF!</v>
      </c>
    </row>
    <row r="45" spans="1:293">
      <c r="A45" s="180" t="s">
        <v>279</v>
      </c>
      <c r="B45" s="76" t="s">
        <v>362</v>
      </c>
      <c r="C45" s="90">
        <v>237525</v>
      </c>
      <c r="D45" s="90">
        <v>2014</v>
      </c>
      <c r="E45" s="90">
        <v>1</v>
      </c>
      <c r="F45" s="91">
        <v>8</v>
      </c>
      <c r="G45" s="92">
        <v>3567</v>
      </c>
      <c r="H45" s="92">
        <v>4449</v>
      </c>
      <c r="I45" s="93">
        <v>260517059</v>
      </c>
      <c r="J45" s="93">
        <v>256275124</v>
      </c>
      <c r="K45" s="93">
        <v>1426458</v>
      </c>
      <c r="L45" s="93">
        <v>658810</v>
      </c>
      <c r="M45" s="93">
        <v>9362138</v>
      </c>
      <c r="N45" s="93">
        <v>9338531</v>
      </c>
      <c r="O45" s="93">
        <v>15685148</v>
      </c>
      <c r="P45" s="93">
        <v>13361726</v>
      </c>
      <c r="Q45" s="93">
        <v>115312716</v>
      </c>
      <c r="R45" s="93">
        <v>114154332</v>
      </c>
      <c r="S45" s="93">
        <v>194518848</v>
      </c>
      <c r="T45" s="93">
        <v>193943752</v>
      </c>
      <c r="U45" s="93">
        <v>16889</v>
      </c>
      <c r="V45" s="93">
        <v>15578</v>
      </c>
      <c r="W45" s="93">
        <v>25640</v>
      </c>
      <c r="X45" s="93">
        <v>23578</v>
      </c>
      <c r="Y45" s="93">
        <v>19450</v>
      </c>
      <c r="Z45" s="93">
        <v>18282</v>
      </c>
      <c r="AA45" s="93">
        <v>27950</v>
      </c>
      <c r="AB45" s="93">
        <v>26282</v>
      </c>
      <c r="AC45" s="114">
        <v>6</v>
      </c>
      <c r="AD45" s="114">
        <v>10</v>
      </c>
      <c r="AE45" s="114">
        <v>0</v>
      </c>
      <c r="AF45" s="115">
        <v>3371824</v>
      </c>
      <c r="AG45" s="115">
        <v>2337501</v>
      </c>
      <c r="AH45" s="115">
        <v>393056</v>
      </c>
      <c r="AI45" s="115">
        <v>148955</v>
      </c>
      <c r="AJ45" s="115">
        <v>261430.24118738406</v>
      </c>
      <c r="AK45" s="116">
        <v>5.39</v>
      </c>
      <c r="AL45" s="115">
        <v>234851.5</v>
      </c>
      <c r="AM45" s="116">
        <v>6</v>
      </c>
      <c r="AN45" s="115">
        <v>96853.824756606395</v>
      </c>
      <c r="AO45" s="116">
        <v>7.19</v>
      </c>
      <c r="AP45" s="115">
        <v>87047.375</v>
      </c>
      <c r="AQ45" s="116">
        <v>8</v>
      </c>
      <c r="AR45" s="115">
        <v>110229.91706161138</v>
      </c>
      <c r="AS45" s="116">
        <v>16.88</v>
      </c>
      <c r="AT45" s="115">
        <v>93034.05</v>
      </c>
      <c r="AU45" s="116">
        <v>20</v>
      </c>
      <c r="AV45" s="115">
        <v>42876.229508196717</v>
      </c>
      <c r="AW45" s="116">
        <v>10.98</v>
      </c>
      <c r="AX45" s="115">
        <v>29423.8125</v>
      </c>
      <c r="AY45" s="116">
        <v>16</v>
      </c>
      <c r="AZ45" s="139">
        <v>2521229</v>
      </c>
      <c r="BA45" s="139">
        <v>350000</v>
      </c>
      <c r="BB45" s="139">
        <v>3775174</v>
      </c>
      <c r="BC45" s="139">
        <v>292531</v>
      </c>
      <c r="BD45" s="139">
        <v>82416</v>
      </c>
      <c r="BE45" s="139">
        <v>17195</v>
      </c>
      <c r="BF45" s="139">
        <v>14860</v>
      </c>
      <c r="BG45" s="139">
        <v>25</v>
      </c>
      <c r="BH45" s="139">
        <v>106988</v>
      </c>
      <c r="BI45" s="139">
        <v>0</v>
      </c>
      <c r="BJ45" s="139">
        <v>139068</v>
      </c>
      <c r="BK45" s="139">
        <v>619</v>
      </c>
      <c r="BL45" s="139">
        <v>2</v>
      </c>
      <c r="BM45" s="139">
        <v>0</v>
      </c>
      <c r="BN45" s="139">
        <v>0</v>
      </c>
      <c r="BO45" s="139">
        <v>275346</v>
      </c>
      <c r="BP45" s="139">
        <v>275967</v>
      </c>
      <c r="BQ45" s="139">
        <v>192767</v>
      </c>
      <c r="BR45" s="139">
        <v>3842</v>
      </c>
      <c r="BS45" s="139">
        <v>13368</v>
      </c>
      <c r="BT45" s="139">
        <v>117585</v>
      </c>
      <c r="BU45" s="139">
        <v>571554</v>
      </c>
      <c r="BV45" s="139">
        <v>899116</v>
      </c>
      <c r="BW45" s="139">
        <v>8757581</v>
      </c>
      <c r="BX45" s="139">
        <v>2082834</v>
      </c>
      <c r="BY45" s="139">
        <v>914430</v>
      </c>
      <c r="BZ45" s="139">
        <v>3409215</v>
      </c>
      <c r="CA45" s="139">
        <v>13543031</v>
      </c>
      <c r="CB45" s="139">
        <v>28707091</v>
      </c>
      <c r="CC45" s="139">
        <v>2372750</v>
      </c>
      <c r="CD45" s="139">
        <v>323258</v>
      </c>
      <c r="CE45" s="139">
        <v>408496</v>
      </c>
      <c r="CF45" s="139">
        <v>2604821</v>
      </c>
      <c r="CG45" s="139">
        <v>110146</v>
      </c>
      <c r="CH45" s="139">
        <v>5819471</v>
      </c>
      <c r="CI45" s="139">
        <v>550000</v>
      </c>
      <c r="CJ45" s="139">
        <v>337000</v>
      </c>
      <c r="CK45" s="139">
        <v>38950</v>
      </c>
      <c r="CL45" s="139">
        <v>16760</v>
      </c>
      <c r="CM45" s="139">
        <v>0</v>
      </c>
      <c r="CN45" s="139">
        <v>942710</v>
      </c>
      <c r="CO45" s="139">
        <v>2075192</v>
      </c>
      <c r="CP45" s="139">
        <v>793728</v>
      </c>
      <c r="CQ45" s="139">
        <v>375884</v>
      </c>
      <c r="CR45" s="139">
        <v>1192146</v>
      </c>
      <c r="CS45" s="139">
        <v>0</v>
      </c>
      <c r="CT45" s="139">
        <v>4436950</v>
      </c>
      <c r="CU45" s="139">
        <v>0</v>
      </c>
      <c r="CV45" s="139">
        <v>0</v>
      </c>
      <c r="CW45" s="139">
        <v>0</v>
      </c>
      <c r="CX45" s="139">
        <v>0</v>
      </c>
      <c r="CY45" s="139">
        <v>0</v>
      </c>
      <c r="CZ45" s="139">
        <v>0</v>
      </c>
      <c r="DA45" s="139">
        <v>305894</v>
      </c>
      <c r="DB45" s="139">
        <v>87562</v>
      </c>
      <c r="DC45" s="139">
        <v>53929</v>
      </c>
      <c r="DD45" s="139">
        <v>22035</v>
      </c>
      <c r="DE45" s="139">
        <v>3021836</v>
      </c>
      <c r="DF45" s="139">
        <v>3491256</v>
      </c>
      <c r="DG45" s="139">
        <v>0</v>
      </c>
      <c r="DH45" s="139">
        <v>0</v>
      </c>
      <c r="DI45" s="139">
        <v>0</v>
      </c>
      <c r="DJ45" s="139">
        <v>0</v>
      </c>
      <c r="DK45" s="139">
        <v>0</v>
      </c>
      <c r="DL45" s="139">
        <v>0</v>
      </c>
      <c r="DM45" s="139">
        <v>0</v>
      </c>
      <c r="DN45" s="139">
        <v>727382</v>
      </c>
      <c r="DO45" s="139">
        <v>0</v>
      </c>
      <c r="DP45" s="139">
        <v>0</v>
      </c>
      <c r="DQ45" s="139">
        <v>0</v>
      </c>
      <c r="DR45" s="139">
        <v>727382</v>
      </c>
      <c r="DS45" s="139">
        <v>257396</v>
      </c>
      <c r="DT45" s="139">
        <v>79985</v>
      </c>
      <c r="DU45" s="139">
        <v>53789</v>
      </c>
      <c r="DV45" s="139">
        <v>150841</v>
      </c>
      <c r="DW45" s="139">
        <v>0</v>
      </c>
      <c r="DX45" s="139">
        <v>542011</v>
      </c>
      <c r="DY45" s="139">
        <v>1530904</v>
      </c>
      <c r="DZ45" s="139">
        <v>366721</v>
      </c>
      <c r="EA45" s="139">
        <v>211479</v>
      </c>
      <c r="EB45" s="139">
        <v>1099488</v>
      </c>
      <c r="EC45" s="139">
        <v>0</v>
      </c>
      <c r="ED45" s="139">
        <v>3208592</v>
      </c>
      <c r="EE45" s="139">
        <v>246899</v>
      </c>
      <c r="EF45" s="139">
        <v>41258</v>
      </c>
      <c r="EG45" s="139">
        <v>36277</v>
      </c>
      <c r="EH45" s="139">
        <v>254781</v>
      </c>
      <c r="EI45" s="139">
        <v>48290</v>
      </c>
      <c r="EJ45" s="139">
        <v>627505</v>
      </c>
      <c r="EK45" s="139">
        <v>396374</v>
      </c>
      <c r="EL45" s="139">
        <v>192937</v>
      </c>
      <c r="EM45" s="139">
        <v>98287</v>
      </c>
      <c r="EN45" s="139">
        <v>108349</v>
      </c>
      <c r="EO45" s="139">
        <v>60765</v>
      </c>
      <c r="EP45" s="139">
        <v>856712</v>
      </c>
      <c r="EQ45" s="139">
        <v>143878</v>
      </c>
      <c r="ER45" s="139">
        <v>16554</v>
      </c>
      <c r="ES45" s="139">
        <v>16433</v>
      </c>
      <c r="ET45" s="139">
        <v>53149</v>
      </c>
      <c r="EU45" s="139">
        <v>780889</v>
      </c>
      <c r="EV45" s="139">
        <v>1010903</v>
      </c>
      <c r="EW45" s="139">
        <v>8597</v>
      </c>
      <c r="EX45" s="139">
        <v>16731</v>
      </c>
      <c r="EY45" s="139">
        <v>7821</v>
      </c>
      <c r="EZ45" s="139">
        <v>76591</v>
      </c>
      <c r="FA45" s="139">
        <v>0</v>
      </c>
      <c r="FB45" s="139">
        <v>109740</v>
      </c>
      <c r="FC45" s="139">
        <v>5721</v>
      </c>
      <c r="FD45" s="139">
        <v>2918</v>
      </c>
      <c r="FE45" s="139">
        <v>0</v>
      </c>
      <c r="FF45" s="139">
        <v>18674</v>
      </c>
      <c r="FG45" s="139">
        <v>1415196</v>
      </c>
      <c r="FH45" s="139">
        <v>1442509</v>
      </c>
      <c r="FI45" s="139">
        <v>0</v>
      </c>
      <c r="FJ45" s="139">
        <v>0</v>
      </c>
      <c r="FK45" s="139">
        <v>0</v>
      </c>
      <c r="FL45" s="139">
        <v>0</v>
      </c>
      <c r="FM45" s="139">
        <v>111267</v>
      </c>
      <c r="FN45" s="139">
        <v>111267</v>
      </c>
      <c r="FO45" s="139">
        <v>113942</v>
      </c>
      <c r="FP45" s="139">
        <v>5396</v>
      </c>
      <c r="FQ45" s="139">
        <v>0</v>
      </c>
      <c r="FR45" s="139">
        <v>0</v>
      </c>
      <c r="FS45" s="139">
        <v>2502822</v>
      </c>
      <c r="FT45" s="139">
        <v>2622160</v>
      </c>
      <c r="FU45" s="139">
        <v>0</v>
      </c>
      <c r="FV45" s="139">
        <v>0</v>
      </c>
      <c r="FW45" s="139">
        <v>0</v>
      </c>
      <c r="FX45" s="139">
        <v>0</v>
      </c>
      <c r="FY45" s="139">
        <v>868205</v>
      </c>
      <c r="FZ45" s="139">
        <v>868205</v>
      </c>
      <c r="GA45" s="139">
        <v>2210</v>
      </c>
      <c r="GB45" s="139">
        <v>815</v>
      </c>
      <c r="GC45" s="139">
        <v>480</v>
      </c>
      <c r="GD45" s="139">
        <v>15086</v>
      </c>
      <c r="GE45" s="139">
        <v>279596</v>
      </c>
      <c r="GF45" s="139">
        <v>298187</v>
      </c>
      <c r="GG45" s="139">
        <v>356024</v>
      </c>
      <c r="GH45" s="139">
        <v>78801</v>
      </c>
      <c r="GI45" s="139">
        <v>50479</v>
      </c>
      <c r="GJ45" s="139">
        <v>161780</v>
      </c>
      <c r="GK45" s="139">
        <v>1678500</v>
      </c>
      <c r="GL45" s="139">
        <v>2325584</v>
      </c>
      <c r="GM45" s="139">
        <v>8365781</v>
      </c>
      <c r="GN45" s="139">
        <v>3071046</v>
      </c>
      <c r="GO45" s="139">
        <v>1352304</v>
      </c>
      <c r="GP45" s="139">
        <v>5774501</v>
      </c>
      <c r="GQ45" s="139">
        <v>10877512</v>
      </c>
      <c r="GR45" s="139">
        <v>29441144</v>
      </c>
      <c r="GS45" s="139">
        <v>0</v>
      </c>
      <c r="GT45" s="139">
        <v>0</v>
      </c>
      <c r="GU45" s="139">
        <v>0</v>
      </c>
      <c r="GV45" s="139">
        <v>0</v>
      </c>
      <c r="GW45" s="139">
        <v>0</v>
      </c>
      <c r="GX45" s="139">
        <v>0</v>
      </c>
      <c r="GY45" s="139">
        <v>8365781</v>
      </c>
      <c r="GZ45" s="139">
        <v>3071046</v>
      </c>
      <c r="HA45" s="139">
        <v>1352304</v>
      </c>
      <c r="HB45" s="139">
        <v>5774501</v>
      </c>
      <c r="HC45" s="139">
        <v>10877512</v>
      </c>
      <c r="HD45" s="139">
        <v>29441144</v>
      </c>
      <c r="HF45" s="70">
        <f>SUM(AZ45:AZ45)</f>
        <v>2521229</v>
      </c>
      <c r="HG45" s="70" t="e">
        <f>#REF!-HF45</f>
        <v>#REF!</v>
      </c>
      <c r="HH45" s="70" t="e">
        <f>SUM(#REF!)</f>
        <v>#REF!</v>
      </c>
      <c r="HI45" s="70" t="e">
        <f>#REF!-HH45</f>
        <v>#REF!</v>
      </c>
      <c r="HJ45" s="70">
        <f>SUM(BA45:BA45)</f>
        <v>350000</v>
      </c>
      <c r="HK45" s="70" t="e">
        <f>#REF!-HJ45</f>
        <v>#REF!</v>
      </c>
      <c r="HL45" s="70" t="e">
        <f>SUM(#REF!)</f>
        <v>#REF!</v>
      </c>
      <c r="HM45" s="70" t="e">
        <f>BB45-HL45</f>
        <v>#REF!</v>
      </c>
      <c r="HN45" s="70" t="e">
        <f>SUM(#REF!)</f>
        <v>#REF!</v>
      </c>
      <c r="HO45" s="70" t="e">
        <f>#REF!-HN45</f>
        <v>#REF!</v>
      </c>
      <c r="HP45" s="70" t="e">
        <f>SUM(#REF!)</f>
        <v>#REF!</v>
      </c>
      <c r="HQ45" s="70" t="e">
        <f>#REF!-HP45</f>
        <v>#REF!</v>
      </c>
      <c r="HR45" s="70" t="e">
        <f>SUM(#REF!)</f>
        <v>#REF!</v>
      </c>
      <c r="HS45" s="70" t="e">
        <f>#REF!-HR45</f>
        <v>#REF!</v>
      </c>
      <c r="HT45" s="70" t="e">
        <f>SUM(#REF!)</f>
        <v>#REF!</v>
      </c>
      <c r="HU45" s="70" t="e">
        <f>#REF!-HT45</f>
        <v>#REF!</v>
      </c>
      <c r="HV45" s="70" t="e">
        <f>SUM(#REF!)</f>
        <v>#REF!</v>
      </c>
      <c r="HW45" s="70" t="e">
        <f>#REF!-HV45</f>
        <v>#REF!</v>
      </c>
      <c r="HX45" s="70" t="e">
        <f>SUM(#REF!)</f>
        <v>#REF!</v>
      </c>
      <c r="HY45" s="70" t="e">
        <f>#REF!-HX45</f>
        <v>#REF!</v>
      </c>
      <c r="HZ45" s="70">
        <f>SUM(BC45:BC45)</f>
        <v>292531</v>
      </c>
      <c r="IA45" s="70" t="e">
        <f>#REF!-HZ45</f>
        <v>#REF!</v>
      </c>
      <c r="IB45" s="70">
        <f>SUM(BD45:BD45)</f>
        <v>82416</v>
      </c>
      <c r="IC45" s="70" t="e">
        <f>#REF!-IB45</f>
        <v>#REF!</v>
      </c>
      <c r="ID45" s="70">
        <f t="shared" si="56"/>
        <v>139068</v>
      </c>
      <c r="IE45" s="70">
        <f t="shared" si="57"/>
        <v>0</v>
      </c>
      <c r="IF45" s="70">
        <f t="shared" si="58"/>
        <v>275967</v>
      </c>
      <c r="IG45" s="70">
        <f t="shared" si="59"/>
        <v>0</v>
      </c>
      <c r="IH45" s="70">
        <f t="shared" si="60"/>
        <v>899116</v>
      </c>
      <c r="II45" s="70">
        <f t="shared" si="61"/>
        <v>0</v>
      </c>
      <c r="IJ45" s="70">
        <f t="shared" si="62"/>
        <v>28707091</v>
      </c>
      <c r="IK45" s="70">
        <f t="shared" si="63"/>
        <v>0</v>
      </c>
      <c r="IL45" s="70">
        <f t="shared" si="102"/>
        <v>5819471</v>
      </c>
      <c r="IM45" s="70">
        <f t="shared" si="64"/>
        <v>0</v>
      </c>
      <c r="IN45" s="70">
        <f t="shared" si="65"/>
        <v>942710</v>
      </c>
      <c r="IO45" s="70">
        <f t="shared" si="66"/>
        <v>0</v>
      </c>
      <c r="IP45" s="70">
        <f t="shared" si="67"/>
        <v>4436950</v>
      </c>
      <c r="IQ45" s="70">
        <f t="shared" si="68"/>
        <v>0</v>
      </c>
      <c r="IR45" s="70">
        <f t="shared" si="54"/>
        <v>0</v>
      </c>
      <c r="IS45" s="70">
        <f t="shared" si="55"/>
        <v>0</v>
      </c>
      <c r="IT45" s="70">
        <f t="shared" si="103"/>
        <v>3491256</v>
      </c>
      <c r="IU45" s="70">
        <f t="shared" si="104"/>
        <v>0</v>
      </c>
      <c r="IV45" s="70">
        <f t="shared" si="105"/>
        <v>0</v>
      </c>
      <c r="IW45" s="70">
        <f t="shared" si="106"/>
        <v>0</v>
      </c>
      <c r="IX45" s="70">
        <f t="shared" si="69"/>
        <v>727382</v>
      </c>
      <c r="IY45" s="70">
        <f t="shared" si="70"/>
        <v>0</v>
      </c>
      <c r="IZ45" s="70">
        <f t="shared" si="71"/>
        <v>542011</v>
      </c>
      <c r="JA45" s="70">
        <f t="shared" si="72"/>
        <v>0</v>
      </c>
      <c r="JB45" s="70">
        <f t="shared" si="73"/>
        <v>3208592</v>
      </c>
      <c r="JC45" s="70">
        <f t="shared" si="74"/>
        <v>0</v>
      </c>
      <c r="JD45" s="70">
        <f t="shared" si="75"/>
        <v>627505</v>
      </c>
      <c r="JE45" s="70">
        <f t="shared" si="76"/>
        <v>0</v>
      </c>
      <c r="JF45" s="70">
        <f t="shared" si="77"/>
        <v>856712</v>
      </c>
      <c r="JG45" s="70">
        <f t="shared" si="78"/>
        <v>0</v>
      </c>
      <c r="JH45" s="70">
        <f t="shared" si="79"/>
        <v>1010903</v>
      </c>
      <c r="JI45" s="70">
        <f t="shared" si="80"/>
        <v>0</v>
      </c>
      <c r="JJ45" s="70">
        <f t="shared" si="81"/>
        <v>109740</v>
      </c>
      <c r="JK45" s="70">
        <f t="shared" si="82"/>
        <v>0</v>
      </c>
      <c r="JL45" s="70">
        <f t="shared" si="83"/>
        <v>1442509</v>
      </c>
      <c r="JM45" s="70">
        <f t="shared" si="84"/>
        <v>0</v>
      </c>
      <c r="JN45" s="70">
        <f t="shared" si="85"/>
        <v>111267</v>
      </c>
      <c r="JO45" s="70">
        <f t="shared" si="86"/>
        <v>0</v>
      </c>
      <c r="JP45" s="70">
        <f t="shared" si="87"/>
        <v>2622160</v>
      </c>
      <c r="JQ45" s="70">
        <f t="shared" si="88"/>
        <v>0</v>
      </c>
      <c r="JR45" s="70">
        <f t="shared" si="89"/>
        <v>868205</v>
      </c>
      <c r="JS45" s="70">
        <f t="shared" si="90"/>
        <v>0</v>
      </c>
      <c r="JT45" s="70">
        <f t="shared" si="91"/>
        <v>298187</v>
      </c>
      <c r="JU45" s="70">
        <f t="shared" si="92"/>
        <v>0</v>
      </c>
      <c r="JV45" s="70">
        <f t="shared" si="93"/>
        <v>2325584</v>
      </c>
      <c r="JW45" s="70">
        <f t="shared" si="94"/>
        <v>0</v>
      </c>
      <c r="JX45" s="70">
        <f t="shared" si="95"/>
        <v>29441144</v>
      </c>
      <c r="JY45" s="70">
        <f t="shared" si="96"/>
        <v>0</v>
      </c>
      <c r="JZ45" s="70">
        <f t="shared" si="97"/>
        <v>0</v>
      </c>
      <c r="KA45" s="70">
        <f t="shared" si="98"/>
        <v>0</v>
      </c>
      <c r="KB45" s="70">
        <f t="shared" si="99"/>
        <v>29441144</v>
      </c>
      <c r="KC45" s="70">
        <f t="shared" si="100"/>
        <v>0</v>
      </c>
      <c r="KE45" s="70" t="e">
        <f t="shared" si="101"/>
        <v>#REF!</v>
      </c>
      <c r="KG45" s="68" t="e">
        <f t="shared" si="53"/>
        <v>#REF!</v>
      </c>
    </row>
    <row r="46" spans="1:293">
      <c r="A46" s="180" t="s">
        <v>280</v>
      </c>
      <c r="B46" s="76" t="s">
        <v>362</v>
      </c>
      <c r="C46" s="90">
        <v>163286</v>
      </c>
      <c r="D46" s="90">
        <v>2014</v>
      </c>
      <c r="E46" s="90">
        <v>1</v>
      </c>
      <c r="F46" s="91">
        <v>3</v>
      </c>
      <c r="G46" s="92">
        <v>12891</v>
      </c>
      <c r="H46" s="92">
        <v>11509</v>
      </c>
      <c r="I46" s="93">
        <v>1665472673</v>
      </c>
      <c r="J46" s="93">
        <v>1594226259</v>
      </c>
      <c r="K46" s="93">
        <v>6809026</v>
      </c>
      <c r="L46" s="93">
        <v>7841368</v>
      </c>
      <c r="M46" s="93">
        <v>63674471</v>
      </c>
      <c r="N46" s="93">
        <v>29301765</v>
      </c>
      <c r="O46" s="93">
        <v>47063749</v>
      </c>
      <c r="P46" s="93">
        <v>74558830</v>
      </c>
      <c r="Q46" s="93">
        <v>390615532</v>
      </c>
      <c r="R46" s="93">
        <v>350750928</v>
      </c>
      <c r="S46" s="93">
        <v>952483184</v>
      </c>
      <c r="T46" s="93">
        <v>891810739</v>
      </c>
      <c r="U46" s="93">
        <v>26894</v>
      </c>
      <c r="V46" s="93">
        <v>24459</v>
      </c>
      <c r="W46" s="93">
        <v>47187</v>
      </c>
      <c r="X46" s="93">
        <v>41830</v>
      </c>
      <c r="Y46" s="93">
        <v>23733</v>
      </c>
      <c r="Z46" s="93">
        <v>23094</v>
      </c>
      <c r="AA46" s="93">
        <v>42919</v>
      </c>
      <c r="AB46" s="93">
        <v>41473</v>
      </c>
      <c r="AC46" s="114">
        <v>8</v>
      </c>
      <c r="AD46" s="114">
        <v>12</v>
      </c>
      <c r="AE46" s="114">
        <v>0</v>
      </c>
      <c r="AF46" s="115">
        <v>7273141</v>
      </c>
      <c r="AG46" s="115">
        <v>5797773</v>
      </c>
      <c r="AH46" s="115">
        <v>524013</v>
      </c>
      <c r="AI46" s="115">
        <v>275954</v>
      </c>
      <c r="AJ46" s="115">
        <v>778005.6</v>
      </c>
      <c r="AK46" s="116">
        <v>7.5</v>
      </c>
      <c r="AL46" s="115">
        <v>729380.25</v>
      </c>
      <c r="AM46" s="116">
        <v>8</v>
      </c>
      <c r="AN46" s="115">
        <v>263967.66666666669</v>
      </c>
      <c r="AO46" s="116">
        <v>9</v>
      </c>
      <c r="AP46" s="115">
        <v>237570.9</v>
      </c>
      <c r="AQ46" s="116">
        <v>10</v>
      </c>
      <c r="AR46" s="115">
        <v>173834.74747474748</v>
      </c>
      <c r="AS46" s="116">
        <v>24.75</v>
      </c>
      <c r="AT46" s="115">
        <v>159348.51851851851</v>
      </c>
      <c r="AU46" s="116">
        <v>27</v>
      </c>
      <c r="AV46" s="115">
        <v>87981.386666666673</v>
      </c>
      <c r="AW46" s="116">
        <v>18.75</v>
      </c>
      <c r="AX46" s="115">
        <v>78554.809523809527</v>
      </c>
      <c r="AY46" s="116">
        <v>21</v>
      </c>
      <c r="AZ46" s="139">
        <v>6392258</v>
      </c>
      <c r="BA46" s="139">
        <v>419923</v>
      </c>
      <c r="BB46" s="139">
        <v>11225922</v>
      </c>
      <c r="BC46" s="139">
        <v>407056</v>
      </c>
      <c r="BD46" s="139">
        <v>0</v>
      </c>
      <c r="BE46" s="139">
        <v>0</v>
      </c>
      <c r="BF46" s="139">
        <v>0</v>
      </c>
      <c r="BG46" s="139">
        <v>0</v>
      </c>
      <c r="BH46" s="139">
        <v>0</v>
      </c>
      <c r="BI46" s="139">
        <v>0</v>
      </c>
      <c r="BJ46" s="139">
        <v>0</v>
      </c>
      <c r="BK46" s="139">
        <v>1923</v>
      </c>
      <c r="BL46" s="139">
        <v>80361</v>
      </c>
      <c r="BM46" s="139">
        <v>0</v>
      </c>
      <c r="BN46" s="139">
        <v>367813</v>
      </c>
      <c r="BO46" s="139">
        <v>171158</v>
      </c>
      <c r="BP46" s="139">
        <v>621255</v>
      </c>
      <c r="BQ46" s="139">
        <v>0</v>
      </c>
      <c r="BR46" s="139">
        <v>0</v>
      </c>
      <c r="BS46" s="139">
        <v>0</v>
      </c>
      <c r="BT46" s="139">
        <v>318</v>
      </c>
      <c r="BU46" s="139">
        <v>142043</v>
      </c>
      <c r="BV46" s="139">
        <v>142361</v>
      </c>
      <c r="BW46" s="139">
        <v>22561154</v>
      </c>
      <c r="BX46" s="139">
        <v>13659447</v>
      </c>
      <c r="BY46" s="139">
        <v>1052403</v>
      </c>
      <c r="BZ46" s="139">
        <v>7080816</v>
      </c>
      <c r="CA46" s="139">
        <v>29081049</v>
      </c>
      <c r="CB46" s="139">
        <v>73434869</v>
      </c>
      <c r="CC46" s="139">
        <v>4171523</v>
      </c>
      <c r="CD46" s="139">
        <v>724931</v>
      </c>
      <c r="CE46" s="139">
        <v>845447</v>
      </c>
      <c r="CF46" s="139">
        <v>6998071</v>
      </c>
      <c r="CG46" s="139">
        <v>550335</v>
      </c>
      <c r="CH46" s="139">
        <v>13290307</v>
      </c>
      <c r="CI46" s="139">
        <v>3203940</v>
      </c>
      <c r="CJ46" s="139">
        <v>815000</v>
      </c>
      <c r="CK46" s="139">
        <v>110000</v>
      </c>
      <c r="CL46" s="139">
        <v>25212</v>
      </c>
      <c r="CM46" s="139">
        <v>0</v>
      </c>
      <c r="CN46" s="139">
        <v>4154152</v>
      </c>
      <c r="CO46" s="139">
        <v>4969229</v>
      </c>
      <c r="CP46" s="139">
        <v>2932567</v>
      </c>
      <c r="CQ46" s="139">
        <v>1719934</v>
      </c>
      <c r="CR46" s="139">
        <v>4541082</v>
      </c>
      <c r="CS46" s="139">
        <v>0</v>
      </c>
      <c r="CT46" s="139">
        <v>14162812</v>
      </c>
      <c r="CU46" s="139">
        <v>0</v>
      </c>
      <c r="CV46" s="139">
        <v>0</v>
      </c>
      <c r="CW46" s="139">
        <v>0</v>
      </c>
      <c r="CX46" s="139">
        <v>0</v>
      </c>
      <c r="CY46" s="139">
        <v>0</v>
      </c>
      <c r="CZ46" s="139">
        <v>0</v>
      </c>
      <c r="DA46" s="139">
        <v>704726</v>
      </c>
      <c r="DB46" s="139">
        <v>383749</v>
      </c>
      <c r="DC46" s="139">
        <v>304963</v>
      </c>
      <c r="DD46" s="139">
        <v>173389</v>
      </c>
      <c r="DE46" s="139">
        <v>11541588</v>
      </c>
      <c r="DF46" s="139">
        <v>13108415</v>
      </c>
      <c r="DG46" s="139">
        <v>0</v>
      </c>
      <c r="DH46" s="139">
        <v>0</v>
      </c>
      <c r="DI46" s="139">
        <v>0</v>
      </c>
      <c r="DJ46" s="139">
        <v>0</v>
      </c>
      <c r="DK46" s="139">
        <v>0</v>
      </c>
      <c r="DL46" s="139">
        <v>0</v>
      </c>
      <c r="DM46" s="139">
        <v>0</v>
      </c>
      <c r="DN46" s="139">
        <v>13696</v>
      </c>
      <c r="DO46" s="139">
        <v>21365</v>
      </c>
      <c r="DP46" s="139">
        <v>0</v>
      </c>
      <c r="DQ46" s="139">
        <v>70129</v>
      </c>
      <c r="DR46" s="139">
        <v>105190</v>
      </c>
      <c r="DS46" s="139">
        <v>267867</v>
      </c>
      <c r="DT46" s="139">
        <v>104889</v>
      </c>
      <c r="DU46" s="139">
        <v>124685</v>
      </c>
      <c r="DV46" s="139">
        <v>302001</v>
      </c>
      <c r="DW46" s="139">
        <v>533</v>
      </c>
      <c r="DX46" s="139">
        <v>799975</v>
      </c>
      <c r="DY46" s="139">
        <v>1258984</v>
      </c>
      <c r="DZ46" s="139">
        <v>1305707</v>
      </c>
      <c r="EA46" s="139">
        <v>653974</v>
      </c>
      <c r="EB46" s="139">
        <v>2176729</v>
      </c>
      <c r="EC46" s="139">
        <v>21201</v>
      </c>
      <c r="ED46" s="139">
        <v>5416595</v>
      </c>
      <c r="EE46" s="139">
        <v>495216</v>
      </c>
      <c r="EF46" s="139">
        <v>157515</v>
      </c>
      <c r="EG46" s="139">
        <v>88133</v>
      </c>
      <c r="EH46" s="139">
        <v>379883</v>
      </c>
      <c r="EI46" s="139">
        <v>186042</v>
      </c>
      <c r="EJ46" s="139">
        <v>1306789</v>
      </c>
      <c r="EK46" s="139">
        <v>135721</v>
      </c>
      <c r="EL46" s="139">
        <v>158013</v>
      </c>
      <c r="EM46" s="139">
        <v>125205</v>
      </c>
      <c r="EN46" s="139">
        <v>214402</v>
      </c>
      <c r="EO46" s="139">
        <v>1189731</v>
      </c>
      <c r="EP46" s="139">
        <v>1823072</v>
      </c>
      <c r="EQ46" s="139">
        <v>0</v>
      </c>
      <c r="ER46" s="139">
        <v>0</v>
      </c>
      <c r="ES46" s="139">
        <v>0</v>
      </c>
      <c r="ET46" s="139">
        <v>0</v>
      </c>
      <c r="EU46" s="139">
        <v>1907683</v>
      </c>
      <c r="EV46" s="139">
        <v>1907683</v>
      </c>
      <c r="EW46" s="139">
        <v>0</v>
      </c>
      <c r="EX46" s="139">
        <v>0</v>
      </c>
      <c r="EY46" s="139">
        <v>0</v>
      </c>
      <c r="EZ46" s="139">
        <v>0</v>
      </c>
      <c r="FA46" s="139">
        <v>0</v>
      </c>
      <c r="FB46" s="139">
        <v>0</v>
      </c>
      <c r="FC46" s="139">
        <v>158939</v>
      </c>
      <c r="FD46" s="139">
        <v>45466</v>
      </c>
      <c r="FE46" s="139">
        <v>7632</v>
      </c>
      <c r="FF46" s="139">
        <v>147488</v>
      </c>
      <c r="FG46" s="139">
        <v>11145791</v>
      </c>
      <c r="FH46" s="139">
        <v>11505316</v>
      </c>
      <c r="FI46" s="139">
        <v>0</v>
      </c>
      <c r="FJ46" s="139">
        <v>0</v>
      </c>
      <c r="FK46" s="139">
        <v>0</v>
      </c>
      <c r="FL46" s="139">
        <v>0</v>
      </c>
      <c r="FM46" s="139">
        <v>208705</v>
      </c>
      <c r="FN46" s="139">
        <v>208705</v>
      </c>
      <c r="FO46" s="139">
        <v>0</v>
      </c>
      <c r="FP46" s="139">
        <v>0</v>
      </c>
      <c r="FQ46" s="139">
        <v>0</v>
      </c>
      <c r="FR46" s="139">
        <v>0</v>
      </c>
      <c r="FS46" s="139">
        <v>0</v>
      </c>
      <c r="FT46" s="139">
        <v>0</v>
      </c>
      <c r="FU46" s="139">
        <v>22378</v>
      </c>
      <c r="FV46" s="139">
        <v>15509</v>
      </c>
      <c r="FW46" s="139">
        <v>903</v>
      </c>
      <c r="FX46" s="139">
        <v>2047</v>
      </c>
      <c r="FY46" s="139">
        <v>926680</v>
      </c>
      <c r="FZ46" s="139">
        <v>967517</v>
      </c>
      <c r="GA46" s="139">
        <v>365</v>
      </c>
      <c r="GB46" s="139">
        <v>1218</v>
      </c>
      <c r="GC46" s="139">
        <v>895</v>
      </c>
      <c r="GD46" s="139">
        <v>13808</v>
      </c>
      <c r="GE46" s="139">
        <v>22894</v>
      </c>
      <c r="GF46" s="139">
        <v>39180</v>
      </c>
      <c r="GG46" s="139">
        <v>880520</v>
      </c>
      <c r="GH46" s="139">
        <v>179389</v>
      </c>
      <c r="GI46" s="139">
        <v>118921</v>
      </c>
      <c r="GJ46" s="139">
        <v>169310</v>
      </c>
      <c r="GK46" s="139">
        <v>2809046</v>
      </c>
      <c r="GL46" s="139">
        <v>4157186</v>
      </c>
      <c r="GM46" s="139">
        <v>16269408</v>
      </c>
      <c r="GN46" s="139">
        <v>6837649</v>
      </c>
      <c r="GO46" s="139">
        <v>4122057</v>
      </c>
      <c r="GP46" s="139">
        <v>15143422</v>
      </c>
      <c r="GQ46" s="139">
        <v>30580358</v>
      </c>
      <c r="GR46" s="139">
        <v>72952894</v>
      </c>
      <c r="GS46" s="139">
        <v>0</v>
      </c>
      <c r="GT46" s="139">
        <v>0</v>
      </c>
      <c r="GU46" s="139">
        <v>0</v>
      </c>
      <c r="GV46" s="139">
        <v>0</v>
      </c>
      <c r="GW46" s="139">
        <v>0</v>
      </c>
      <c r="GX46" s="139">
        <v>0</v>
      </c>
      <c r="GY46" s="139">
        <v>16269408</v>
      </c>
      <c r="GZ46" s="139">
        <v>6837649</v>
      </c>
      <c r="HA46" s="139">
        <v>4122057</v>
      </c>
      <c r="HB46" s="139">
        <v>15143422</v>
      </c>
      <c r="HC46" s="139">
        <v>30580358</v>
      </c>
      <c r="HD46" s="139">
        <v>72952894</v>
      </c>
      <c r="HF46" s="70">
        <f>SUM(AZ46:AZ46)</f>
        <v>6392258</v>
      </c>
      <c r="HG46" s="70" t="e">
        <f>#REF!-HF46</f>
        <v>#REF!</v>
      </c>
      <c r="HH46" s="70" t="e">
        <f>SUM(#REF!)</f>
        <v>#REF!</v>
      </c>
      <c r="HI46" s="70" t="e">
        <f>#REF!-HH46</f>
        <v>#REF!</v>
      </c>
      <c r="HJ46" s="70">
        <f>SUM(BA46:BA46)</f>
        <v>419923</v>
      </c>
      <c r="HK46" s="70" t="e">
        <f>#REF!-HJ46</f>
        <v>#REF!</v>
      </c>
      <c r="HL46" s="70" t="e">
        <f>SUM(#REF!)</f>
        <v>#REF!</v>
      </c>
      <c r="HM46" s="70" t="e">
        <f>BB46-HL46</f>
        <v>#REF!</v>
      </c>
      <c r="HN46" s="70" t="e">
        <f>SUM(#REF!)</f>
        <v>#REF!</v>
      </c>
      <c r="HO46" s="70" t="e">
        <f>#REF!-HN46</f>
        <v>#REF!</v>
      </c>
      <c r="HP46" s="70" t="e">
        <f>SUM(#REF!)</f>
        <v>#REF!</v>
      </c>
      <c r="HQ46" s="70" t="e">
        <f>#REF!-HP46</f>
        <v>#REF!</v>
      </c>
      <c r="HR46" s="70" t="e">
        <f>SUM(#REF!)</f>
        <v>#REF!</v>
      </c>
      <c r="HS46" s="70" t="e">
        <f>#REF!-HR46</f>
        <v>#REF!</v>
      </c>
      <c r="HT46" s="70" t="e">
        <f>SUM(#REF!)</f>
        <v>#REF!</v>
      </c>
      <c r="HU46" s="70" t="e">
        <f>#REF!-HT46</f>
        <v>#REF!</v>
      </c>
      <c r="HV46" s="70" t="e">
        <f>SUM(#REF!)</f>
        <v>#REF!</v>
      </c>
      <c r="HW46" s="70" t="e">
        <f>#REF!-HV46</f>
        <v>#REF!</v>
      </c>
      <c r="HX46" s="70" t="e">
        <f>SUM(#REF!)</f>
        <v>#REF!</v>
      </c>
      <c r="HY46" s="70" t="e">
        <f>#REF!-HX46</f>
        <v>#REF!</v>
      </c>
      <c r="HZ46" s="70">
        <f>SUM(BC46:BC46)</f>
        <v>407056</v>
      </c>
      <c r="IA46" s="70" t="e">
        <f>#REF!-HZ46</f>
        <v>#REF!</v>
      </c>
      <c r="IB46" s="70">
        <f>SUM(BD46:BD46)</f>
        <v>0</v>
      </c>
      <c r="IC46" s="70" t="e">
        <f>#REF!-IB46</f>
        <v>#REF!</v>
      </c>
      <c r="ID46" s="70">
        <f t="shared" si="56"/>
        <v>0</v>
      </c>
      <c r="IE46" s="70">
        <f t="shared" si="57"/>
        <v>0</v>
      </c>
      <c r="IF46" s="70">
        <f t="shared" si="58"/>
        <v>621255</v>
      </c>
      <c r="IG46" s="70">
        <f t="shared" si="59"/>
        <v>0</v>
      </c>
      <c r="IH46" s="70">
        <f t="shared" si="60"/>
        <v>142361</v>
      </c>
      <c r="II46" s="70">
        <f t="shared" si="61"/>
        <v>0</v>
      </c>
      <c r="IJ46" s="70">
        <f t="shared" si="62"/>
        <v>73434869</v>
      </c>
      <c r="IK46" s="70">
        <f t="shared" si="63"/>
        <v>0</v>
      </c>
      <c r="IL46" s="70">
        <f t="shared" si="102"/>
        <v>13290307</v>
      </c>
      <c r="IM46" s="70">
        <f t="shared" si="64"/>
        <v>0</v>
      </c>
      <c r="IN46" s="70">
        <f t="shared" si="65"/>
        <v>4154152</v>
      </c>
      <c r="IO46" s="70">
        <f t="shared" si="66"/>
        <v>0</v>
      </c>
      <c r="IP46" s="70">
        <f t="shared" si="67"/>
        <v>14162812</v>
      </c>
      <c r="IQ46" s="70">
        <f t="shared" si="68"/>
        <v>0</v>
      </c>
      <c r="IR46" s="70">
        <f t="shared" si="54"/>
        <v>0</v>
      </c>
      <c r="IS46" s="70">
        <f t="shared" si="55"/>
        <v>0</v>
      </c>
      <c r="IT46" s="70">
        <f t="shared" si="103"/>
        <v>13108415</v>
      </c>
      <c r="IU46" s="70">
        <f t="shared" si="104"/>
        <v>0</v>
      </c>
      <c r="IV46" s="70">
        <f t="shared" si="105"/>
        <v>0</v>
      </c>
      <c r="IW46" s="70">
        <f t="shared" si="106"/>
        <v>0</v>
      </c>
      <c r="IX46" s="70">
        <f t="shared" si="69"/>
        <v>105190</v>
      </c>
      <c r="IY46" s="70">
        <f t="shared" si="70"/>
        <v>0</v>
      </c>
      <c r="IZ46" s="70">
        <f t="shared" si="71"/>
        <v>799975</v>
      </c>
      <c r="JA46" s="70">
        <f t="shared" si="72"/>
        <v>0</v>
      </c>
      <c r="JB46" s="70">
        <f t="shared" si="73"/>
        <v>5416595</v>
      </c>
      <c r="JC46" s="70">
        <f t="shared" si="74"/>
        <v>0</v>
      </c>
      <c r="JD46" s="70">
        <f t="shared" si="75"/>
        <v>1306789</v>
      </c>
      <c r="JE46" s="70">
        <f t="shared" si="76"/>
        <v>0</v>
      </c>
      <c r="JF46" s="70">
        <f t="shared" si="77"/>
        <v>1823072</v>
      </c>
      <c r="JG46" s="70">
        <f t="shared" si="78"/>
        <v>0</v>
      </c>
      <c r="JH46" s="70">
        <f t="shared" si="79"/>
        <v>1907683</v>
      </c>
      <c r="JI46" s="70">
        <f t="shared" si="80"/>
        <v>0</v>
      </c>
      <c r="JJ46" s="70">
        <f t="shared" si="81"/>
        <v>0</v>
      </c>
      <c r="JK46" s="70">
        <f t="shared" si="82"/>
        <v>0</v>
      </c>
      <c r="JL46" s="70">
        <f t="shared" si="83"/>
        <v>11505316</v>
      </c>
      <c r="JM46" s="70">
        <f t="shared" si="84"/>
        <v>0</v>
      </c>
      <c r="JN46" s="70">
        <f t="shared" si="85"/>
        <v>208705</v>
      </c>
      <c r="JO46" s="70">
        <f t="shared" si="86"/>
        <v>0</v>
      </c>
      <c r="JP46" s="70">
        <f t="shared" si="87"/>
        <v>0</v>
      </c>
      <c r="JQ46" s="70">
        <f t="shared" si="88"/>
        <v>0</v>
      </c>
      <c r="JR46" s="70">
        <f t="shared" si="89"/>
        <v>967517</v>
      </c>
      <c r="JS46" s="70">
        <f t="shared" si="90"/>
        <v>0</v>
      </c>
      <c r="JT46" s="70">
        <f t="shared" si="91"/>
        <v>39180</v>
      </c>
      <c r="JU46" s="70">
        <f t="shared" si="92"/>
        <v>0</v>
      </c>
      <c r="JV46" s="70">
        <f t="shared" si="93"/>
        <v>4157186</v>
      </c>
      <c r="JW46" s="70">
        <f t="shared" si="94"/>
        <v>0</v>
      </c>
      <c r="JX46" s="70">
        <f t="shared" si="95"/>
        <v>72952894</v>
      </c>
      <c r="JY46" s="70">
        <f t="shared" si="96"/>
        <v>0</v>
      </c>
      <c r="JZ46" s="70">
        <f t="shared" si="97"/>
        <v>0</v>
      </c>
      <c r="KA46" s="70">
        <f t="shared" si="98"/>
        <v>0</v>
      </c>
      <c r="KB46" s="70">
        <f t="shared" si="99"/>
        <v>72952894</v>
      </c>
      <c r="KC46" s="70">
        <f t="shared" si="100"/>
        <v>0</v>
      </c>
      <c r="KE46" s="70" t="e">
        <f t="shared" si="101"/>
        <v>#REF!</v>
      </c>
      <c r="KG46" s="68" t="e">
        <f t="shared" si="53"/>
        <v>#REF!</v>
      </c>
    </row>
    <row r="47" spans="1:293">
      <c r="A47" s="180" t="s">
        <v>499</v>
      </c>
      <c r="B47" s="76" t="s">
        <v>362</v>
      </c>
      <c r="C47" s="90">
        <v>166629</v>
      </c>
      <c r="D47" s="90">
        <v>2014</v>
      </c>
      <c r="E47" s="90">
        <v>1</v>
      </c>
      <c r="F47" s="91">
        <v>9</v>
      </c>
      <c r="G47" s="92">
        <v>10557</v>
      </c>
      <c r="H47" s="92">
        <v>9827</v>
      </c>
      <c r="I47" s="93">
        <v>985118000</v>
      </c>
      <c r="J47" s="93">
        <v>923948000</v>
      </c>
      <c r="K47" s="93">
        <v>2414955</v>
      </c>
      <c r="L47" s="93">
        <v>2417321</v>
      </c>
      <c r="M47" s="93">
        <v>71370011</v>
      </c>
      <c r="N47" s="93">
        <v>56963580</v>
      </c>
      <c r="O47" s="93">
        <v>41329840</v>
      </c>
      <c r="P47" s="93">
        <v>2625260</v>
      </c>
      <c r="Q47" s="93">
        <v>934233000</v>
      </c>
      <c r="R47" s="93">
        <v>826365000</v>
      </c>
      <c r="S47" s="93">
        <v>793658695</v>
      </c>
      <c r="T47" s="93">
        <v>826365000</v>
      </c>
      <c r="U47" s="93">
        <v>25373</v>
      </c>
      <c r="V47" s="93">
        <v>24946</v>
      </c>
      <c r="W47" s="93">
        <v>40088</v>
      </c>
      <c r="X47" s="93">
        <v>38361</v>
      </c>
      <c r="Y47" s="93">
        <v>26773</v>
      </c>
      <c r="Z47" s="93">
        <v>26346</v>
      </c>
      <c r="AA47" s="93">
        <v>41488</v>
      </c>
      <c r="AB47" s="93">
        <v>39761</v>
      </c>
      <c r="AC47" s="114">
        <v>10</v>
      </c>
      <c r="AD47" s="114">
        <v>11</v>
      </c>
      <c r="AE47" s="114">
        <v>0</v>
      </c>
      <c r="AF47" s="115">
        <v>5139676</v>
      </c>
      <c r="AG47" s="115">
        <v>3924589</v>
      </c>
      <c r="AH47" s="115">
        <v>605588</v>
      </c>
      <c r="AI47" s="115">
        <v>279022</v>
      </c>
      <c r="AJ47" s="115">
        <v>247405.64705882352</v>
      </c>
      <c r="AK47" s="116">
        <v>8.5</v>
      </c>
      <c r="AL47" s="115">
        <v>233660.88888888888</v>
      </c>
      <c r="AM47" s="116">
        <v>9</v>
      </c>
      <c r="AN47" s="115">
        <v>116507.11111111111</v>
      </c>
      <c r="AO47" s="116">
        <v>9</v>
      </c>
      <c r="AP47" s="115">
        <v>116507.11111111111</v>
      </c>
      <c r="AQ47" s="116">
        <v>9</v>
      </c>
      <c r="AR47" s="115">
        <v>74623.01176470588</v>
      </c>
      <c r="AS47" s="116">
        <v>21.25</v>
      </c>
      <c r="AT47" s="115">
        <v>60989.961538461539</v>
      </c>
      <c r="AU47" s="116">
        <v>26</v>
      </c>
      <c r="AV47" s="115">
        <v>49257.627118644064</v>
      </c>
      <c r="AW47" s="116">
        <v>14.75</v>
      </c>
      <c r="AX47" s="115">
        <v>40363.888888888891</v>
      </c>
      <c r="AY47" s="116">
        <v>18</v>
      </c>
      <c r="AZ47" s="139">
        <v>409652</v>
      </c>
      <c r="BA47" s="139">
        <v>1650000</v>
      </c>
      <c r="BB47" s="139">
        <v>1579380</v>
      </c>
      <c r="BC47" s="139">
        <v>0</v>
      </c>
      <c r="BD47" s="139">
        <v>0</v>
      </c>
      <c r="BE47" s="139">
        <v>0</v>
      </c>
      <c r="BF47" s="139">
        <v>0</v>
      </c>
      <c r="BG47" s="139">
        <v>0</v>
      </c>
      <c r="BH47" s="139">
        <v>0</v>
      </c>
      <c r="BI47" s="139">
        <v>18055</v>
      </c>
      <c r="BJ47" s="139">
        <v>18055</v>
      </c>
      <c r="BK47" s="139">
        <v>14332</v>
      </c>
      <c r="BL47" s="139">
        <v>16334</v>
      </c>
      <c r="BM47" s="139">
        <v>0</v>
      </c>
      <c r="BN47" s="139">
        <v>62547</v>
      </c>
      <c r="BO47" s="139">
        <v>12152</v>
      </c>
      <c r="BP47" s="139">
        <v>105365</v>
      </c>
      <c r="BQ47" s="139">
        <v>44321</v>
      </c>
      <c r="BR47" s="139">
        <v>40657</v>
      </c>
      <c r="BS47" s="139">
        <v>14089</v>
      </c>
      <c r="BT47" s="139">
        <v>327907</v>
      </c>
      <c r="BU47" s="139">
        <v>197572</v>
      </c>
      <c r="BV47" s="139">
        <v>624546</v>
      </c>
      <c r="BW47" s="139">
        <v>2450006</v>
      </c>
      <c r="BX47" s="139">
        <v>1992171</v>
      </c>
      <c r="BY47" s="139">
        <v>32615</v>
      </c>
      <c r="BZ47" s="139">
        <v>1010258</v>
      </c>
      <c r="CA47" s="139">
        <v>28390868</v>
      </c>
      <c r="CB47" s="139">
        <v>33875918</v>
      </c>
      <c r="CC47" s="139">
        <v>3118097</v>
      </c>
      <c r="CD47" s="139">
        <v>660246</v>
      </c>
      <c r="CE47" s="139">
        <v>614618</v>
      </c>
      <c r="CF47" s="139">
        <v>4671304</v>
      </c>
      <c r="CG47" s="139">
        <v>0</v>
      </c>
      <c r="CH47" s="139">
        <v>9064265</v>
      </c>
      <c r="CI47" s="139">
        <v>160000</v>
      </c>
      <c r="CJ47" s="139">
        <v>70000</v>
      </c>
      <c r="CK47" s="139">
        <v>0</v>
      </c>
      <c r="CL47" s="139">
        <v>0</v>
      </c>
      <c r="CM47" s="139">
        <v>0</v>
      </c>
      <c r="CN47" s="139">
        <v>230000</v>
      </c>
      <c r="CO47" s="139">
        <v>1292792</v>
      </c>
      <c r="CP47" s="139">
        <v>1136953</v>
      </c>
      <c r="CQ47" s="139">
        <v>515044</v>
      </c>
      <c r="CR47" s="139">
        <v>2519012</v>
      </c>
      <c r="CS47" s="139">
        <v>0</v>
      </c>
      <c r="CT47" s="139">
        <v>5463801</v>
      </c>
      <c r="CU47" s="139">
        <v>0</v>
      </c>
      <c r="CV47" s="139">
        <v>0</v>
      </c>
      <c r="CW47" s="139">
        <v>0</v>
      </c>
      <c r="CX47" s="139">
        <v>0</v>
      </c>
      <c r="CY47" s="139">
        <v>0</v>
      </c>
      <c r="CZ47" s="139">
        <v>0</v>
      </c>
      <c r="DA47" s="139">
        <v>200806</v>
      </c>
      <c r="DB47" s="139">
        <v>317993</v>
      </c>
      <c r="DC47" s="139">
        <v>97554</v>
      </c>
      <c r="DD47" s="139">
        <v>119971</v>
      </c>
      <c r="DE47" s="139">
        <v>4614641</v>
      </c>
      <c r="DF47" s="139">
        <v>5350965</v>
      </c>
      <c r="DG47" s="139">
        <v>0</v>
      </c>
      <c r="DH47" s="139">
        <v>0</v>
      </c>
      <c r="DI47" s="139">
        <v>0</v>
      </c>
      <c r="DJ47" s="139">
        <v>0</v>
      </c>
      <c r="DK47" s="139">
        <v>0</v>
      </c>
      <c r="DL47" s="139">
        <v>0</v>
      </c>
      <c r="DM47" s="139">
        <v>1041092</v>
      </c>
      <c r="DN47" s="139">
        <v>11257</v>
      </c>
      <c r="DO47" s="139">
        <v>11407</v>
      </c>
      <c r="DP47" s="139">
        <v>15357</v>
      </c>
      <c r="DQ47" s="139">
        <v>86029</v>
      </c>
      <c r="DR47" s="139">
        <v>1165142</v>
      </c>
      <c r="DS47" s="139">
        <v>247332</v>
      </c>
      <c r="DT47" s="139">
        <v>204057</v>
      </c>
      <c r="DU47" s="139">
        <v>109750</v>
      </c>
      <c r="DV47" s="139">
        <v>323471</v>
      </c>
      <c r="DW47" s="139">
        <v>0</v>
      </c>
      <c r="DX47" s="139">
        <v>884610</v>
      </c>
      <c r="DY47" s="139">
        <v>913727</v>
      </c>
      <c r="DZ47" s="139">
        <v>679815</v>
      </c>
      <c r="EA47" s="139">
        <v>220666</v>
      </c>
      <c r="EB47" s="139">
        <v>1525599</v>
      </c>
      <c r="EC47" s="139">
        <v>0</v>
      </c>
      <c r="ED47" s="139">
        <v>3339807</v>
      </c>
      <c r="EE47" s="139">
        <v>197655</v>
      </c>
      <c r="EF47" s="139">
        <v>20300</v>
      </c>
      <c r="EG47" s="139">
        <v>46891</v>
      </c>
      <c r="EH47" s="139">
        <v>388622</v>
      </c>
      <c r="EI47" s="139">
        <v>0</v>
      </c>
      <c r="EJ47" s="139">
        <v>653468</v>
      </c>
      <c r="EK47" s="139">
        <v>208034</v>
      </c>
      <c r="EL47" s="139">
        <v>635366</v>
      </c>
      <c r="EM47" s="139">
        <v>165011</v>
      </c>
      <c r="EN47" s="139">
        <v>334570</v>
      </c>
      <c r="EO47" s="139">
        <v>0</v>
      </c>
      <c r="EP47" s="139">
        <v>1342981</v>
      </c>
      <c r="EQ47" s="139">
        <v>30396</v>
      </c>
      <c r="ER47" s="139">
        <v>12871</v>
      </c>
      <c r="ES47" s="139">
        <v>10775</v>
      </c>
      <c r="ET47" s="139">
        <v>32389</v>
      </c>
      <c r="EU47" s="139">
        <v>229728</v>
      </c>
      <c r="EV47" s="139">
        <v>316159</v>
      </c>
      <c r="EW47" s="139">
        <v>0</v>
      </c>
      <c r="EX47" s="139">
        <v>0</v>
      </c>
      <c r="EY47" s="139">
        <v>0</v>
      </c>
      <c r="EZ47" s="139">
        <v>0</v>
      </c>
      <c r="FA47" s="139">
        <v>16136</v>
      </c>
      <c r="FB47" s="139">
        <v>16136</v>
      </c>
      <c r="FC47" s="139">
        <v>51503</v>
      </c>
      <c r="FD47" s="139">
        <v>30742</v>
      </c>
      <c r="FE47" s="139">
        <v>20743</v>
      </c>
      <c r="FF47" s="139">
        <v>166698</v>
      </c>
      <c r="FG47" s="139">
        <v>765282</v>
      </c>
      <c r="FH47" s="139">
        <v>1034968</v>
      </c>
      <c r="FI47" s="139">
        <v>0</v>
      </c>
      <c r="FJ47" s="139">
        <v>0</v>
      </c>
      <c r="FK47" s="139">
        <v>0</v>
      </c>
      <c r="FL47" s="139">
        <v>0</v>
      </c>
      <c r="FM47" s="139">
        <v>52927</v>
      </c>
      <c r="FN47" s="139">
        <v>52927</v>
      </c>
      <c r="FO47" s="139">
        <v>0</v>
      </c>
      <c r="FP47" s="139">
        <v>0</v>
      </c>
      <c r="FQ47" s="139">
        <v>0</v>
      </c>
      <c r="FR47" s="139">
        <v>0</v>
      </c>
      <c r="FS47" s="139">
        <v>2255975</v>
      </c>
      <c r="FT47" s="139">
        <v>2255975</v>
      </c>
      <c r="FU47" s="139">
        <v>13649</v>
      </c>
      <c r="FV47" s="139">
        <v>0</v>
      </c>
      <c r="FW47" s="139">
        <v>0</v>
      </c>
      <c r="FX47" s="139">
        <v>6328</v>
      </c>
      <c r="FY47" s="139">
        <v>370917</v>
      </c>
      <c r="FZ47" s="139">
        <v>390894</v>
      </c>
      <c r="GA47" s="139">
        <v>252500</v>
      </c>
      <c r="GB47" s="139">
        <v>202</v>
      </c>
      <c r="GC47" s="139">
        <v>640</v>
      </c>
      <c r="GD47" s="139">
        <v>9943</v>
      </c>
      <c r="GE47" s="139">
        <v>17766</v>
      </c>
      <c r="GF47" s="139">
        <v>281051</v>
      </c>
      <c r="GG47" s="139">
        <v>93286</v>
      </c>
      <c r="GH47" s="139">
        <v>133916</v>
      </c>
      <c r="GI47" s="139">
        <v>84094</v>
      </c>
      <c r="GJ47" s="139">
        <v>300367</v>
      </c>
      <c r="GK47" s="139">
        <v>1020430</v>
      </c>
      <c r="GL47" s="139">
        <v>1632093</v>
      </c>
      <c r="GM47" s="139">
        <v>7820869</v>
      </c>
      <c r="GN47" s="139">
        <v>3913718</v>
      </c>
      <c r="GO47" s="139">
        <v>1897193</v>
      </c>
      <c r="GP47" s="139">
        <v>10413631</v>
      </c>
      <c r="GQ47" s="139">
        <v>9429831</v>
      </c>
      <c r="GR47" s="139">
        <v>33475242</v>
      </c>
      <c r="GS47" s="139">
        <v>0</v>
      </c>
      <c r="GT47" s="139">
        <v>0</v>
      </c>
      <c r="GU47" s="139">
        <v>0</v>
      </c>
      <c r="GV47" s="139">
        <v>0</v>
      </c>
      <c r="GW47" s="139">
        <v>0</v>
      </c>
      <c r="GX47" s="139">
        <v>0</v>
      </c>
      <c r="GY47" s="139">
        <v>7820869</v>
      </c>
      <c r="GZ47" s="139">
        <v>3913718</v>
      </c>
      <c r="HA47" s="139">
        <v>1897193</v>
      </c>
      <c r="HB47" s="139">
        <v>10413631</v>
      </c>
      <c r="HC47" s="139">
        <v>9429831</v>
      </c>
      <c r="HD47" s="139">
        <v>33475242</v>
      </c>
      <c r="HF47" s="70">
        <f>SUM(AZ47:AZ47)</f>
        <v>409652</v>
      </c>
      <c r="HG47" s="70" t="e">
        <f>#REF!-HF47</f>
        <v>#REF!</v>
      </c>
      <c r="HH47" s="70" t="e">
        <f>SUM(#REF!)</f>
        <v>#REF!</v>
      </c>
      <c r="HI47" s="70" t="e">
        <f>#REF!-HH47</f>
        <v>#REF!</v>
      </c>
      <c r="HJ47" s="70">
        <f>SUM(BA47:BA47)</f>
        <v>1650000</v>
      </c>
      <c r="HK47" s="70" t="e">
        <f>#REF!-HJ47</f>
        <v>#REF!</v>
      </c>
      <c r="HL47" s="70" t="e">
        <f>SUM(#REF!)</f>
        <v>#REF!</v>
      </c>
      <c r="HM47" s="70" t="e">
        <f>BB47-HL47</f>
        <v>#REF!</v>
      </c>
      <c r="HN47" s="70" t="e">
        <f>SUM(#REF!)</f>
        <v>#REF!</v>
      </c>
      <c r="HO47" s="70" t="e">
        <f>#REF!-HN47</f>
        <v>#REF!</v>
      </c>
      <c r="HP47" s="70" t="e">
        <f>SUM(#REF!)</f>
        <v>#REF!</v>
      </c>
      <c r="HQ47" s="70" t="e">
        <f>#REF!-HP47</f>
        <v>#REF!</v>
      </c>
      <c r="HR47" s="70" t="e">
        <f>SUM(#REF!)</f>
        <v>#REF!</v>
      </c>
      <c r="HS47" s="70" t="e">
        <f>#REF!-HR47</f>
        <v>#REF!</v>
      </c>
      <c r="HT47" s="70" t="e">
        <f>SUM(#REF!)</f>
        <v>#REF!</v>
      </c>
      <c r="HU47" s="70" t="e">
        <f>#REF!-HT47</f>
        <v>#REF!</v>
      </c>
      <c r="HV47" s="70" t="e">
        <f>SUM(#REF!)</f>
        <v>#REF!</v>
      </c>
      <c r="HW47" s="70" t="e">
        <f>#REF!-HV47</f>
        <v>#REF!</v>
      </c>
      <c r="HX47" s="70" t="e">
        <f>SUM(#REF!)</f>
        <v>#REF!</v>
      </c>
      <c r="HY47" s="70" t="e">
        <f>#REF!-HX47</f>
        <v>#REF!</v>
      </c>
      <c r="HZ47" s="70">
        <f>SUM(BC47:BC47)</f>
        <v>0</v>
      </c>
      <c r="IA47" s="70" t="e">
        <f>#REF!-HZ47</f>
        <v>#REF!</v>
      </c>
      <c r="IB47" s="70">
        <f>SUM(BD47:BD47)</f>
        <v>0</v>
      </c>
      <c r="IC47" s="70" t="e">
        <f>#REF!-IB47</f>
        <v>#REF!</v>
      </c>
      <c r="ID47" s="70">
        <f t="shared" si="56"/>
        <v>18055</v>
      </c>
      <c r="IE47" s="70">
        <f t="shared" si="57"/>
        <v>0</v>
      </c>
      <c r="IF47" s="70">
        <f t="shared" si="58"/>
        <v>105365</v>
      </c>
      <c r="IG47" s="70">
        <f t="shared" si="59"/>
        <v>0</v>
      </c>
      <c r="IH47" s="70">
        <f t="shared" si="60"/>
        <v>624546</v>
      </c>
      <c r="II47" s="70">
        <f t="shared" si="61"/>
        <v>0</v>
      </c>
      <c r="IJ47" s="70">
        <f t="shared" si="62"/>
        <v>33875918</v>
      </c>
      <c r="IK47" s="70">
        <f t="shared" si="63"/>
        <v>0</v>
      </c>
      <c r="IL47" s="70">
        <f t="shared" si="102"/>
        <v>9064265</v>
      </c>
      <c r="IM47" s="70">
        <f t="shared" si="64"/>
        <v>0</v>
      </c>
      <c r="IN47" s="70">
        <f t="shared" si="65"/>
        <v>230000</v>
      </c>
      <c r="IO47" s="70">
        <f t="shared" si="66"/>
        <v>0</v>
      </c>
      <c r="IP47" s="70">
        <f t="shared" si="67"/>
        <v>5463801</v>
      </c>
      <c r="IQ47" s="70">
        <f t="shared" si="68"/>
        <v>0</v>
      </c>
      <c r="IR47" s="70">
        <f t="shared" ref="IR47:IR78" si="107">SUM(CU47:CY47)</f>
        <v>0</v>
      </c>
      <c r="IS47" s="70">
        <f t="shared" ref="IS47:IS78" si="108">CZ47-IR47</f>
        <v>0</v>
      </c>
      <c r="IT47" s="70">
        <f t="shared" si="103"/>
        <v>5350965</v>
      </c>
      <c r="IU47" s="70">
        <f t="shared" si="104"/>
        <v>0</v>
      </c>
      <c r="IV47" s="70">
        <f t="shared" si="105"/>
        <v>0</v>
      </c>
      <c r="IW47" s="70">
        <f t="shared" si="106"/>
        <v>0</v>
      </c>
      <c r="IX47" s="70">
        <f t="shared" si="69"/>
        <v>1165142</v>
      </c>
      <c r="IY47" s="70">
        <f t="shared" si="70"/>
        <v>0</v>
      </c>
      <c r="IZ47" s="70">
        <f t="shared" si="71"/>
        <v>884610</v>
      </c>
      <c r="JA47" s="70">
        <f t="shared" si="72"/>
        <v>0</v>
      </c>
      <c r="JB47" s="70">
        <f t="shared" si="73"/>
        <v>3339807</v>
      </c>
      <c r="JC47" s="70">
        <f t="shared" si="74"/>
        <v>0</v>
      </c>
      <c r="JD47" s="70">
        <f t="shared" si="75"/>
        <v>653468</v>
      </c>
      <c r="JE47" s="70">
        <f t="shared" si="76"/>
        <v>0</v>
      </c>
      <c r="JF47" s="70">
        <f t="shared" si="77"/>
        <v>1342981</v>
      </c>
      <c r="JG47" s="70">
        <f t="shared" si="78"/>
        <v>0</v>
      </c>
      <c r="JH47" s="70">
        <f t="shared" si="79"/>
        <v>316159</v>
      </c>
      <c r="JI47" s="70">
        <f t="shared" si="80"/>
        <v>0</v>
      </c>
      <c r="JJ47" s="70">
        <f t="shared" si="81"/>
        <v>16136</v>
      </c>
      <c r="JK47" s="70">
        <f t="shared" si="82"/>
        <v>0</v>
      </c>
      <c r="JL47" s="70">
        <f t="shared" si="83"/>
        <v>1034968</v>
      </c>
      <c r="JM47" s="70">
        <f t="shared" si="84"/>
        <v>0</v>
      </c>
      <c r="JN47" s="70">
        <f t="shared" si="85"/>
        <v>52927</v>
      </c>
      <c r="JO47" s="70">
        <f t="shared" si="86"/>
        <v>0</v>
      </c>
      <c r="JP47" s="70">
        <f t="shared" si="87"/>
        <v>2255975</v>
      </c>
      <c r="JQ47" s="70">
        <f t="shared" si="88"/>
        <v>0</v>
      </c>
      <c r="JR47" s="70">
        <f t="shared" si="89"/>
        <v>390894</v>
      </c>
      <c r="JS47" s="70">
        <f t="shared" si="90"/>
        <v>0</v>
      </c>
      <c r="JT47" s="70">
        <f t="shared" si="91"/>
        <v>281051</v>
      </c>
      <c r="JU47" s="70">
        <f t="shared" si="92"/>
        <v>0</v>
      </c>
      <c r="JV47" s="70">
        <f t="shared" si="93"/>
        <v>1632093</v>
      </c>
      <c r="JW47" s="70">
        <f t="shared" si="94"/>
        <v>0</v>
      </c>
      <c r="JX47" s="70">
        <f t="shared" si="95"/>
        <v>33475242</v>
      </c>
      <c r="JY47" s="70">
        <f t="shared" si="96"/>
        <v>0</v>
      </c>
      <c r="JZ47" s="70">
        <f t="shared" si="97"/>
        <v>0</v>
      </c>
      <c r="KA47" s="70">
        <f t="shared" si="98"/>
        <v>0</v>
      </c>
      <c r="KB47" s="70">
        <f t="shared" si="99"/>
        <v>33475242</v>
      </c>
      <c r="KC47" s="70">
        <f t="shared" si="100"/>
        <v>0</v>
      </c>
      <c r="KE47" s="70" t="e">
        <f t="shared" si="101"/>
        <v>#REF!</v>
      </c>
      <c r="KG47" s="68" t="e">
        <f t="shared" si="53"/>
        <v>#REF!</v>
      </c>
    </row>
    <row r="48" spans="1:293">
      <c r="A48" s="180" t="s">
        <v>281</v>
      </c>
      <c r="B48" s="76" t="s">
        <v>362</v>
      </c>
      <c r="C48" s="90">
        <v>220862</v>
      </c>
      <c r="D48" s="90">
        <v>2014</v>
      </c>
      <c r="E48" s="90">
        <v>1</v>
      </c>
      <c r="F48" s="91">
        <v>6</v>
      </c>
      <c r="G48" s="92">
        <v>5092</v>
      </c>
      <c r="H48" s="92">
        <v>7190</v>
      </c>
      <c r="I48" s="93">
        <v>421775268</v>
      </c>
      <c r="J48" s="93">
        <v>416611588</v>
      </c>
      <c r="K48" s="93">
        <v>0</v>
      </c>
      <c r="L48" s="93">
        <v>0</v>
      </c>
      <c r="M48" s="93">
        <v>9779091</v>
      </c>
      <c r="N48" s="93">
        <v>9693351</v>
      </c>
      <c r="O48" s="93">
        <v>0</v>
      </c>
      <c r="P48" s="93">
        <v>0</v>
      </c>
      <c r="Q48" s="93">
        <v>109405962</v>
      </c>
      <c r="R48" s="93">
        <v>101070572</v>
      </c>
      <c r="S48" s="93">
        <v>355509372</v>
      </c>
      <c r="T48" s="93">
        <v>3503523450</v>
      </c>
      <c r="U48" s="93">
        <v>17878</v>
      </c>
      <c r="V48" s="93">
        <v>17279</v>
      </c>
      <c r="W48" s="93">
        <v>32540</v>
      </c>
      <c r="X48" s="93">
        <v>31991</v>
      </c>
      <c r="Y48" s="93">
        <v>23364</v>
      </c>
      <c r="Z48" s="93">
        <v>22813</v>
      </c>
      <c r="AA48" s="93">
        <v>38076</v>
      </c>
      <c r="AB48" s="93">
        <v>37602</v>
      </c>
      <c r="AC48" s="114">
        <v>9</v>
      </c>
      <c r="AD48" s="114">
        <v>9</v>
      </c>
      <c r="AE48" s="114">
        <v>1</v>
      </c>
      <c r="AF48" s="115">
        <v>5484185</v>
      </c>
      <c r="AG48" s="115">
        <v>2804948</v>
      </c>
      <c r="AH48" s="115">
        <v>543300</v>
      </c>
      <c r="AI48" s="115">
        <v>213201</v>
      </c>
      <c r="AJ48" s="115">
        <v>534707.4117647059</v>
      </c>
      <c r="AK48" s="116">
        <v>8.5</v>
      </c>
      <c r="AL48" s="115">
        <v>505001.44444444444</v>
      </c>
      <c r="AM48" s="116">
        <v>9</v>
      </c>
      <c r="AN48" s="115">
        <v>150472</v>
      </c>
      <c r="AO48" s="116">
        <v>8.5</v>
      </c>
      <c r="AP48" s="115">
        <v>142112</v>
      </c>
      <c r="AQ48" s="116">
        <v>9</v>
      </c>
      <c r="AR48" s="115">
        <v>217166.64864864864</v>
      </c>
      <c r="AS48" s="116">
        <v>18.5</v>
      </c>
      <c r="AT48" s="115">
        <v>191313.47619047618</v>
      </c>
      <c r="AU48" s="116">
        <v>21</v>
      </c>
      <c r="AV48" s="115">
        <v>66684</v>
      </c>
      <c r="AW48" s="116">
        <v>12.5</v>
      </c>
      <c r="AX48" s="115">
        <v>55570</v>
      </c>
      <c r="AY48" s="116">
        <v>15</v>
      </c>
      <c r="AZ48" s="139">
        <v>2316184</v>
      </c>
      <c r="BA48" s="139">
        <v>150000</v>
      </c>
      <c r="BB48" s="139">
        <v>11387709</v>
      </c>
      <c r="BC48" s="139">
        <v>29091</v>
      </c>
      <c r="BD48" s="139">
        <v>0</v>
      </c>
      <c r="BE48" s="139">
        <v>0</v>
      </c>
      <c r="BF48" s="139">
        <v>0</v>
      </c>
      <c r="BG48" s="139">
        <v>0</v>
      </c>
      <c r="BH48" s="139">
        <v>0</v>
      </c>
      <c r="BI48" s="139">
        <v>0</v>
      </c>
      <c r="BJ48" s="139">
        <v>0</v>
      </c>
      <c r="BK48" s="139">
        <v>0</v>
      </c>
      <c r="BL48" s="139">
        <v>0</v>
      </c>
      <c r="BM48" s="139">
        <v>41</v>
      </c>
      <c r="BN48" s="139">
        <v>259</v>
      </c>
      <c r="BO48" s="139">
        <v>261</v>
      </c>
      <c r="BP48" s="139">
        <v>561</v>
      </c>
      <c r="BQ48" s="139">
        <v>2989</v>
      </c>
      <c r="BR48" s="139">
        <v>112591</v>
      </c>
      <c r="BS48" s="139">
        <v>1388</v>
      </c>
      <c r="BT48" s="139">
        <v>15872</v>
      </c>
      <c r="BU48" s="139">
        <v>1242997</v>
      </c>
      <c r="BV48" s="139">
        <v>1375837</v>
      </c>
      <c r="BW48" s="139">
        <v>2560394</v>
      </c>
      <c r="BX48" s="139">
        <v>7613839</v>
      </c>
      <c r="BY48" s="139">
        <v>47564</v>
      </c>
      <c r="BZ48" s="139">
        <v>151383</v>
      </c>
      <c r="CA48" s="139">
        <v>39905323</v>
      </c>
      <c r="CB48" s="139">
        <v>50278503</v>
      </c>
      <c r="CC48" s="139">
        <v>3358322</v>
      </c>
      <c r="CD48" s="139">
        <v>711735</v>
      </c>
      <c r="CE48" s="139">
        <v>464817</v>
      </c>
      <c r="CF48" s="139">
        <v>3830700</v>
      </c>
      <c r="CG48" s="139">
        <v>500461</v>
      </c>
      <c r="CH48" s="139">
        <v>8866035</v>
      </c>
      <c r="CI48" s="139">
        <v>740000</v>
      </c>
      <c r="CJ48" s="139">
        <v>570000</v>
      </c>
      <c r="CK48" s="139">
        <v>57056</v>
      </c>
      <c r="CL48" s="139">
        <v>37727</v>
      </c>
      <c r="CM48" s="139">
        <v>0</v>
      </c>
      <c r="CN48" s="139">
        <v>1404783</v>
      </c>
      <c r="CO48" s="139">
        <v>3816606</v>
      </c>
      <c r="CP48" s="139">
        <v>3883380</v>
      </c>
      <c r="CQ48" s="139">
        <v>1035565</v>
      </c>
      <c r="CR48" s="139">
        <v>1939598</v>
      </c>
      <c r="CS48" s="139">
        <v>0</v>
      </c>
      <c r="CT48" s="139">
        <v>10675149</v>
      </c>
      <c r="CU48" s="139">
        <v>0</v>
      </c>
      <c r="CV48" s="139">
        <v>0</v>
      </c>
      <c r="CW48" s="139">
        <v>0</v>
      </c>
      <c r="CX48" s="139">
        <v>0</v>
      </c>
      <c r="CY48" s="139">
        <v>0</v>
      </c>
      <c r="CZ48" s="139">
        <v>0</v>
      </c>
      <c r="DA48" s="139">
        <v>566697</v>
      </c>
      <c r="DB48" s="139">
        <v>378876</v>
      </c>
      <c r="DC48" s="139">
        <v>236691</v>
      </c>
      <c r="DD48" s="139">
        <v>118095</v>
      </c>
      <c r="DE48" s="139">
        <v>4978071</v>
      </c>
      <c r="DF48" s="139">
        <v>6278430</v>
      </c>
      <c r="DG48" s="139">
        <v>0</v>
      </c>
      <c r="DH48" s="139">
        <v>0</v>
      </c>
      <c r="DI48" s="139">
        <v>0</v>
      </c>
      <c r="DJ48" s="139">
        <v>0</v>
      </c>
      <c r="DK48" s="139">
        <v>0</v>
      </c>
      <c r="DL48" s="139">
        <v>0</v>
      </c>
      <c r="DM48" s="139">
        <v>58694</v>
      </c>
      <c r="DN48" s="139">
        <v>0</v>
      </c>
      <c r="DO48" s="139">
        <v>0</v>
      </c>
      <c r="DP48" s="139">
        <v>0</v>
      </c>
      <c r="DQ48" s="139">
        <v>827238</v>
      </c>
      <c r="DR48" s="139">
        <v>885932</v>
      </c>
      <c r="DS48" s="139">
        <v>273249</v>
      </c>
      <c r="DT48" s="139">
        <v>194474</v>
      </c>
      <c r="DU48" s="139">
        <v>114356</v>
      </c>
      <c r="DV48" s="139">
        <v>177685</v>
      </c>
      <c r="DW48" s="139">
        <v>0</v>
      </c>
      <c r="DX48" s="139">
        <v>759764</v>
      </c>
      <c r="DY48" s="139">
        <v>844660</v>
      </c>
      <c r="DZ48" s="139">
        <v>1280698</v>
      </c>
      <c r="EA48" s="139">
        <v>579288</v>
      </c>
      <c r="EB48" s="139">
        <v>1328591</v>
      </c>
      <c r="EC48" s="139">
        <v>0</v>
      </c>
      <c r="ED48" s="139">
        <v>4033237</v>
      </c>
      <c r="EE48" s="139">
        <v>677123</v>
      </c>
      <c r="EF48" s="139">
        <v>386211</v>
      </c>
      <c r="EG48" s="139">
        <v>115615</v>
      </c>
      <c r="EH48" s="139">
        <v>873150</v>
      </c>
      <c r="EI48" s="139">
        <v>93832</v>
      </c>
      <c r="EJ48" s="139">
        <v>2145931</v>
      </c>
      <c r="EK48" s="139">
        <v>760666</v>
      </c>
      <c r="EL48" s="139">
        <v>41417</v>
      </c>
      <c r="EM48" s="139">
        <v>0</v>
      </c>
      <c r="EN48" s="139">
        <v>1190866</v>
      </c>
      <c r="EO48" s="139">
        <v>0</v>
      </c>
      <c r="EP48" s="139">
        <v>1992949</v>
      </c>
      <c r="EQ48" s="139">
        <v>0</v>
      </c>
      <c r="ER48" s="139">
        <v>0</v>
      </c>
      <c r="ES48" s="139">
        <v>0</v>
      </c>
      <c r="ET48" s="139">
        <v>0</v>
      </c>
      <c r="EU48" s="139">
        <v>1579412</v>
      </c>
      <c r="EV48" s="139">
        <v>1579412</v>
      </c>
      <c r="EW48" s="139">
        <v>0</v>
      </c>
      <c r="EX48" s="139">
        <v>0</v>
      </c>
      <c r="EY48" s="139">
        <v>0</v>
      </c>
      <c r="EZ48" s="139">
        <v>0</v>
      </c>
      <c r="FA48" s="139">
        <v>0</v>
      </c>
      <c r="FB48" s="139">
        <v>0</v>
      </c>
      <c r="FC48" s="139">
        <v>642949</v>
      </c>
      <c r="FD48" s="139">
        <v>798949</v>
      </c>
      <c r="FE48" s="139">
        <v>30508</v>
      </c>
      <c r="FF48" s="139">
        <v>82847</v>
      </c>
      <c r="FG48" s="139">
        <v>155658</v>
      </c>
      <c r="FH48" s="139">
        <v>1710911</v>
      </c>
      <c r="FI48" s="139">
        <v>0</v>
      </c>
      <c r="FJ48" s="139">
        <v>0</v>
      </c>
      <c r="FK48" s="139">
        <v>0</v>
      </c>
      <c r="FL48" s="139">
        <v>0</v>
      </c>
      <c r="FM48" s="139">
        <v>220960</v>
      </c>
      <c r="FN48" s="139">
        <v>220960</v>
      </c>
      <c r="FO48" s="139">
        <v>0</v>
      </c>
      <c r="FP48" s="139">
        <v>0</v>
      </c>
      <c r="FQ48" s="139">
        <v>0</v>
      </c>
      <c r="FR48" s="139">
        <v>0</v>
      </c>
      <c r="FS48" s="139">
        <v>3483499</v>
      </c>
      <c r="FT48" s="139">
        <v>3483499</v>
      </c>
      <c r="FU48" s="139">
        <v>450</v>
      </c>
      <c r="FV48" s="139">
        <v>20958</v>
      </c>
      <c r="FW48" s="139">
        <v>0</v>
      </c>
      <c r="FX48" s="139">
        <v>0</v>
      </c>
      <c r="FY48" s="139">
        <v>743379</v>
      </c>
      <c r="FZ48" s="139">
        <v>764787</v>
      </c>
      <c r="GA48" s="139">
        <v>2670</v>
      </c>
      <c r="GB48" s="139">
        <v>1700</v>
      </c>
      <c r="GC48" s="139">
        <v>2448</v>
      </c>
      <c r="GD48" s="139">
        <v>9476</v>
      </c>
      <c r="GE48" s="139">
        <v>3003514</v>
      </c>
      <c r="GF48" s="139">
        <v>3019808</v>
      </c>
      <c r="GG48" s="139">
        <v>196130</v>
      </c>
      <c r="GH48" s="139">
        <v>152634</v>
      </c>
      <c r="GI48" s="139">
        <v>52297</v>
      </c>
      <c r="GJ48" s="139">
        <v>100739</v>
      </c>
      <c r="GK48" s="139">
        <v>1943475</v>
      </c>
      <c r="GL48" s="139">
        <v>2445275</v>
      </c>
      <c r="GM48" s="139">
        <v>11937359</v>
      </c>
      <c r="GN48" s="139">
        <v>9475690</v>
      </c>
      <c r="GO48" s="139">
        <v>2731294</v>
      </c>
      <c r="GP48" s="139">
        <v>8595370</v>
      </c>
      <c r="GQ48" s="139">
        <v>17527149</v>
      </c>
      <c r="GR48" s="139">
        <v>50266862</v>
      </c>
      <c r="GS48" s="139">
        <v>0</v>
      </c>
      <c r="GT48" s="139">
        <v>0</v>
      </c>
      <c r="GU48" s="139">
        <v>0</v>
      </c>
      <c r="GV48" s="139">
        <v>0</v>
      </c>
      <c r="GW48" s="139">
        <v>0</v>
      </c>
      <c r="GX48" s="139">
        <v>0</v>
      </c>
      <c r="GY48" s="139">
        <v>11937359</v>
      </c>
      <c r="GZ48" s="139">
        <v>9475690</v>
      </c>
      <c r="HA48" s="139">
        <v>2731294</v>
      </c>
      <c r="HB48" s="139">
        <v>8595370</v>
      </c>
      <c r="HC48" s="139">
        <v>17527149</v>
      </c>
      <c r="HD48" s="139">
        <v>50266862</v>
      </c>
      <c r="HF48" s="70">
        <f>SUM(AZ48:AZ48)</f>
        <v>2316184</v>
      </c>
      <c r="HG48" s="70" t="e">
        <f>#REF!-HF48</f>
        <v>#REF!</v>
      </c>
      <c r="HH48" s="70" t="e">
        <f>SUM(#REF!)</f>
        <v>#REF!</v>
      </c>
      <c r="HI48" s="70" t="e">
        <f>#REF!-HH48</f>
        <v>#REF!</v>
      </c>
      <c r="HJ48" s="70">
        <f>SUM(BA48:BA48)</f>
        <v>150000</v>
      </c>
      <c r="HK48" s="70" t="e">
        <f>#REF!-HJ48</f>
        <v>#REF!</v>
      </c>
      <c r="HL48" s="70" t="e">
        <f>SUM(#REF!)</f>
        <v>#REF!</v>
      </c>
      <c r="HM48" s="70" t="e">
        <f>BB48-HL48</f>
        <v>#REF!</v>
      </c>
      <c r="HN48" s="70" t="e">
        <f>SUM(#REF!)</f>
        <v>#REF!</v>
      </c>
      <c r="HO48" s="70" t="e">
        <f>#REF!-HN48</f>
        <v>#REF!</v>
      </c>
      <c r="HP48" s="70" t="e">
        <f>SUM(#REF!)</f>
        <v>#REF!</v>
      </c>
      <c r="HQ48" s="70" t="e">
        <f>#REF!-HP48</f>
        <v>#REF!</v>
      </c>
      <c r="HR48" s="70" t="e">
        <f>SUM(#REF!)</f>
        <v>#REF!</v>
      </c>
      <c r="HS48" s="70" t="e">
        <f>#REF!-HR48</f>
        <v>#REF!</v>
      </c>
      <c r="HT48" s="70" t="e">
        <f>SUM(#REF!)</f>
        <v>#REF!</v>
      </c>
      <c r="HU48" s="70" t="e">
        <f>#REF!-HT48</f>
        <v>#REF!</v>
      </c>
      <c r="HV48" s="70" t="e">
        <f>SUM(#REF!)</f>
        <v>#REF!</v>
      </c>
      <c r="HW48" s="70" t="e">
        <f>#REF!-HV48</f>
        <v>#REF!</v>
      </c>
      <c r="HX48" s="70" t="e">
        <f>SUM(#REF!)</f>
        <v>#REF!</v>
      </c>
      <c r="HY48" s="70" t="e">
        <f>#REF!-HX48</f>
        <v>#REF!</v>
      </c>
      <c r="HZ48" s="70">
        <f>SUM(BC48:BC48)</f>
        <v>29091</v>
      </c>
      <c r="IA48" s="70" t="e">
        <f>#REF!-HZ48</f>
        <v>#REF!</v>
      </c>
      <c r="IB48" s="70">
        <f>SUM(BD48:BD48)</f>
        <v>0</v>
      </c>
      <c r="IC48" s="70" t="e">
        <f>#REF!-IB48</f>
        <v>#REF!</v>
      </c>
      <c r="ID48" s="70">
        <f t="shared" si="56"/>
        <v>0</v>
      </c>
      <c r="IE48" s="70">
        <f t="shared" si="57"/>
        <v>0</v>
      </c>
      <c r="IF48" s="70">
        <f t="shared" si="58"/>
        <v>561</v>
      </c>
      <c r="IG48" s="70">
        <f t="shared" si="59"/>
        <v>0</v>
      </c>
      <c r="IH48" s="70">
        <f t="shared" si="60"/>
        <v>1375837</v>
      </c>
      <c r="II48" s="70">
        <f t="shared" si="61"/>
        <v>0</v>
      </c>
      <c r="IJ48" s="70">
        <f t="shared" si="62"/>
        <v>50278503</v>
      </c>
      <c r="IK48" s="70">
        <f t="shared" si="63"/>
        <v>0</v>
      </c>
      <c r="IL48" s="70">
        <f t="shared" si="102"/>
        <v>8866035</v>
      </c>
      <c r="IM48" s="70">
        <f t="shared" si="64"/>
        <v>0</v>
      </c>
      <c r="IN48" s="70">
        <f t="shared" si="65"/>
        <v>1404783</v>
      </c>
      <c r="IO48" s="70">
        <f t="shared" si="66"/>
        <v>0</v>
      </c>
      <c r="IP48" s="70">
        <f t="shared" si="67"/>
        <v>10675149</v>
      </c>
      <c r="IQ48" s="70">
        <f t="shared" si="68"/>
        <v>0</v>
      </c>
      <c r="IR48" s="70">
        <f t="shared" si="107"/>
        <v>0</v>
      </c>
      <c r="IS48" s="70">
        <f t="shared" si="108"/>
        <v>0</v>
      </c>
      <c r="IT48" s="70">
        <f t="shared" si="103"/>
        <v>6278430</v>
      </c>
      <c r="IU48" s="70">
        <f t="shared" si="104"/>
        <v>0</v>
      </c>
      <c r="IV48" s="70">
        <f t="shared" si="105"/>
        <v>0</v>
      </c>
      <c r="IW48" s="70">
        <f t="shared" si="106"/>
        <v>0</v>
      </c>
      <c r="IX48" s="70">
        <f t="shared" si="69"/>
        <v>885932</v>
      </c>
      <c r="IY48" s="70">
        <f t="shared" si="70"/>
        <v>0</v>
      </c>
      <c r="IZ48" s="70">
        <f t="shared" si="71"/>
        <v>759764</v>
      </c>
      <c r="JA48" s="70">
        <f t="shared" si="72"/>
        <v>0</v>
      </c>
      <c r="JB48" s="70">
        <f t="shared" si="73"/>
        <v>4033237</v>
      </c>
      <c r="JC48" s="70">
        <f t="shared" si="74"/>
        <v>0</v>
      </c>
      <c r="JD48" s="70">
        <f t="shared" si="75"/>
        <v>2145931</v>
      </c>
      <c r="JE48" s="70">
        <f t="shared" si="76"/>
        <v>0</v>
      </c>
      <c r="JF48" s="70">
        <f t="shared" si="77"/>
        <v>1992949</v>
      </c>
      <c r="JG48" s="70">
        <f t="shared" si="78"/>
        <v>0</v>
      </c>
      <c r="JH48" s="70">
        <f t="shared" si="79"/>
        <v>1579412</v>
      </c>
      <c r="JI48" s="70">
        <f t="shared" si="80"/>
        <v>0</v>
      </c>
      <c r="JJ48" s="70">
        <f t="shared" si="81"/>
        <v>0</v>
      </c>
      <c r="JK48" s="70">
        <f t="shared" si="82"/>
        <v>0</v>
      </c>
      <c r="JL48" s="70">
        <f t="shared" si="83"/>
        <v>1710911</v>
      </c>
      <c r="JM48" s="70">
        <f t="shared" si="84"/>
        <v>0</v>
      </c>
      <c r="JN48" s="70">
        <f t="shared" si="85"/>
        <v>220960</v>
      </c>
      <c r="JO48" s="70">
        <f t="shared" si="86"/>
        <v>0</v>
      </c>
      <c r="JP48" s="70">
        <f t="shared" si="87"/>
        <v>3483499</v>
      </c>
      <c r="JQ48" s="70">
        <f t="shared" si="88"/>
        <v>0</v>
      </c>
      <c r="JR48" s="70">
        <f t="shared" si="89"/>
        <v>764787</v>
      </c>
      <c r="JS48" s="70">
        <f t="shared" si="90"/>
        <v>0</v>
      </c>
      <c r="JT48" s="70">
        <f t="shared" si="91"/>
        <v>3019808</v>
      </c>
      <c r="JU48" s="70">
        <f t="shared" si="92"/>
        <v>0</v>
      </c>
      <c r="JV48" s="70">
        <f t="shared" si="93"/>
        <v>2445275</v>
      </c>
      <c r="JW48" s="70">
        <f t="shared" si="94"/>
        <v>0</v>
      </c>
      <c r="JX48" s="70">
        <f t="shared" si="95"/>
        <v>50266862</v>
      </c>
      <c r="JY48" s="70">
        <f t="shared" si="96"/>
        <v>0</v>
      </c>
      <c r="JZ48" s="70">
        <f t="shared" si="97"/>
        <v>0</v>
      </c>
      <c r="KA48" s="70">
        <f t="shared" si="98"/>
        <v>0</v>
      </c>
      <c r="KB48" s="70">
        <f t="shared" si="99"/>
        <v>50266862</v>
      </c>
      <c r="KC48" s="70">
        <f t="shared" si="100"/>
        <v>0</v>
      </c>
      <c r="KE48" s="70" t="e">
        <f t="shared" si="101"/>
        <v>#REF!</v>
      </c>
      <c r="KG48" s="68" t="e">
        <f t="shared" si="53"/>
        <v>#REF!</v>
      </c>
    </row>
    <row r="49" spans="1:293">
      <c r="A49" s="180" t="s">
        <v>282</v>
      </c>
      <c r="B49" s="76" t="s">
        <v>362</v>
      </c>
      <c r="C49" s="90">
        <v>204024</v>
      </c>
      <c r="D49" s="90">
        <v>2014</v>
      </c>
      <c r="E49" s="90">
        <v>1</v>
      </c>
      <c r="F49" s="91">
        <v>9</v>
      </c>
      <c r="G49" s="92">
        <v>7192</v>
      </c>
      <c r="H49" s="92">
        <v>7760</v>
      </c>
      <c r="I49" s="93">
        <v>532063374</v>
      </c>
      <c r="J49" s="93">
        <v>520014002</v>
      </c>
      <c r="K49" s="93">
        <v>2385447</v>
      </c>
      <c r="L49" s="93">
        <v>2393115</v>
      </c>
      <c r="M49" s="93">
        <v>49773533</v>
      </c>
      <c r="N49" s="93">
        <v>43589361</v>
      </c>
      <c r="O49" s="93">
        <v>20773968</v>
      </c>
      <c r="P49" s="93">
        <v>22234998</v>
      </c>
      <c r="Q49" s="93">
        <v>682268029</v>
      </c>
      <c r="R49" s="93">
        <v>548814575</v>
      </c>
      <c r="S49" s="93">
        <v>358278519</v>
      </c>
      <c r="T49" s="93">
        <v>353503496</v>
      </c>
      <c r="U49" s="93">
        <v>25949</v>
      </c>
      <c r="V49" s="93">
        <v>25629</v>
      </c>
      <c r="W49" s="93">
        <v>41739</v>
      </c>
      <c r="X49" s="93">
        <v>41193</v>
      </c>
      <c r="Y49" s="93">
        <v>31960</v>
      </c>
      <c r="Z49" s="93">
        <v>33279</v>
      </c>
      <c r="AA49" s="93">
        <v>47750</v>
      </c>
      <c r="AB49" s="93">
        <v>48843</v>
      </c>
      <c r="AC49" s="114">
        <v>8</v>
      </c>
      <c r="AD49" s="114">
        <v>11</v>
      </c>
      <c r="AE49" s="114">
        <v>0</v>
      </c>
      <c r="AF49" s="115">
        <v>5671198</v>
      </c>
      <c r="AG49" s="115">
        <v>3763321</v>
      </c>
      <c r="AH49" s="115">
        <v>250949</v>
      </c>
      <c r="AI49" s="115">
        <v>104861</v>
      </c>
      <c r="AJ49" s="115">
        <v>256772</v>
      </c>
      <c r="AK49" s="116">
        <v>7.5</v>
      </c>
      <c r="AL49" s="115">
        <v>240723.75</v>
      </c>
      <c r="AM49" s="116">
        <v>8</v>
      </c>
      <c r="AN49" s="115">
        <v>121772.21052631579</v>
      </c>
      <c r="AO49" s="116">
        <v>9.5</v>
      </c>
      <c r="AP49" s="115">
        <v>115683.6</v>
      </c>
      <c r="AQ49" s="116">
        <v>10</v>
      </c>
      <c r="AR49" s="115">
        <v>104210.21621621621</v>
      </c>
      <c r="AS49" s="116">
        <v>18.5</v>
      </c>
      <c r="AT49" s="115">
        <v>101467.84210526316</v>
      </c>
      <c r="AU49" s="116">
        <v>19</v>
      </c>
      <c r="AV49" s="115">
        <v>46993.393393393395</v>
      </c>
      <c r="AW49" s="116">
        <v>16.649999999999999</v>
      </c>
      <c r="AX49" s="115">
        <v>43468.888888888891</v>
      </c>
      <c r="AY49" s="116">
        <v>18</v>
      </c>
      <c r="AZ49" s="139">
        <v>459511</v>
      </c>
      <c r="BA49" s="139">
        <v>1575000</v>
      </c>
      <c r="BB49" s="139">
        <v>1615928</v>
      </c>
      <c r="BC49" s="139">
        <v>71092</v>
      </c>
      <c r="BD49" s="139">
        <v>0</v>
      </c>
      <c r="BE49" s="139">
        <v>0</v>
      </c>
      <c r="BF49" s="139">
        <v>0</v>
      </c>
      <c r="BG49" s="139">
        <v>0</v>
      </c>
      <c r="BH49" s="139">
        <v>0</v>
      </c>
      <c r="BI49" s="139">
        <v>910264</v>
      </c>
      <c r="BJ49" s="139">
        <v>910264</v>
      </c>
      <c r="BK49" s="139">
        <v>13053</v>
      </c>
      <c r="BL49" s="139">
        <v>2028</v>
      </c>
      <c r="BM49" s="139">
        <v>259</v>
      </c>
      <c r="BN49" s="139">
        <v>4592</v>
      </c>
      <c r="BO49" s="139">
        <v>206450</v>
      </c>
      <c r="BP49" s="139">
        <v>226382</v>
      </c>
      <c r="BQ49" s="139">
        <v>3798</v>
      </c>
      <c r="BR49" s="139">
        <v>0</v>
      </c>
      <c r="BS49" s="139">
        <v>2208</v>
      </c>
      <c r="BT49" s="139">
        <v>74111</v>
      </c>
      <c r="BU49" s="139">
        <v>359013</v>
      </c>
      <c r="BV49" s="139">
        <v>439130</v>
      </c>
      <c r="BW49" s="139">
        <v>7248081</v>
      </c>
      <c r="BX49" s="139">
        <v>1756863</v>
      </c>
      <c r="BY49" s="139">
        <v>1495204</v>
      </c>
      <c r="BZ49" s="139">
        <v>11077581</v>
      </c>
      <c r="CA49" s="139">
        <v>7815399</v>
      </c>
      <c r="CB49" s="139">
        <v>29393128</v>
      </c>
      <c r="CC49" s="139">
        <v>3273986</v>
      </c>
      <c r="CD49" s="139">
        <v>357633</v>
      </c>
      <c r="CE49" s="139">
        <v>447311</v>
      </c>
      <c r="CF49" s="139">
        <v>5355589</v>
      </c>
      <c r="CG49" s="139">
        <v>0</v>
      </c>
      <c r="CH49" s="139">
        <v>9434519</v>
      </c>
      <c r="CI49" s="139">
        <v>40000</v>
      </c>
      <c r="CJ49" s="139">
        <v>6000</v>
      </c>
      <c r="CK49" s="139">
        <v>3500</v>
      </c>
      <c r="CL49" s="139">
        <v>22759</v>
      </c>
      <c r="CM49" s="139">
        <v>0</v>
      </c>
      <c r="CN49" s="139">
        <v>72259</v>
      </c>
      <c r="CO49" s="139">
        <v>1857350</v>
      </c>
      <c r="CP49" s="139">
        <v>658828</v>
      </c>
      <c r="CQ49" s="139">
        <v>523644</v>
      </c>
      <c r="CR49" s="139">
        <v>2753133</v>
      </c>
      <c r="CS49" s="139">
        <v>0</v>
      </c>
      <c r="CT49" s="139">
        <v>5792955</v>
      </c>
      <c r="CU49" s="139">
        <v>0</v>
      </c>
      <c r="CV49" s="139">
        <v>0</v>
      </c>
      <c r="CW49" s="139">
        <v>0</v>
      </c>
      <c r="CX49" s="139">
        <v>0</v>
      </c>
      <c r="CY49" s="139">
        <v>0</v>
      </c>
      <c r="CZ49" s="139">
        <v>0</v>
      </c>
      <c r="DA49" s="139">
        <v>185224</v>
      </c>
      <c r="DB49" s="139">
        <v>94456</v>
      </c>
      <c r="DC49" s="139">
        <v>45508</v>
      </c>
      <c r="DD49" s="139">
        <v>142135</v>
      </c>
      <c r="DE49" s="139">
        <v>4386531</v>
      </c>
      <c r="DF49" s="139">
        <v>4853854</v>
      </c>
      <c r="DG49" s="139">
        <v>0</v>
      </c>
      <c r="DH49" s="139">
        <v>0</v>
      </c>
      <c r="DI49" s="139">
        <v>0</v>
      </c>
      <c r="DJ49" s="139">
        <v>0</v>
      </c>
      <c r="DK49" s="139">
        <v>0</v>
      </c>
      <c r="DL49" s="139">
        <v>0</v>
      </c>
      <c r="DM49" s="139">
        <v>81250</v>
      </c>
      <c r="DN49" s="139">
        <v>0</v>
      </c>
      <c r="DO49" s="139">
        <v>130812</v>
      </c>
      <c r="DP49" s="139">
        <v>0</v>
      </c>
      <c r="DQ49" s="139">
        <v>0</v>
      </c>
      <c r="DR49" s="139">
        <v>212062</v>
      </c>
      <c r="DS49" s="139">
        <v>105561</v>
      </c>
      <c r="DT49" s="139">
        <v>95013</v>
      </c>
      <c r="DU49" s="139">
        <v>25551</v>
      </c>
      <c r="DV49" s="139">
        <v>129685</v>
      </c>
      <c r="DW49" s="139">
        <v>58259</v>
      </c>
      <c r="DX49" s="139">
        <v>414069</v>
      </c>
      <c r="DY49" s="139">
        <v>422061</v>
      </c>
      <c r="DZ49" s="139">
        <v>215671</v>
      </c>
      <c r="EA49" s="139">
        <v>92756</v>
      </c>
      <c r="EB49" s="139">
        <v>1188759</v>
      </c>
      <c r="EC49" s="139">
        <v>10938</v>
      </c>
      <c r="ED49" s="139">
        <v>1930185</v>
      </c>
      <c r="EE49" s="139">
        <v>403843</v>
      </c>
      <c r="EF49" s="139">
        <v>63531</v>
      </c>
      <c r="EG49" s="139">
        <v>27575</v>
      </c>
      <c r="EH49" s="139">
        <v>463575</v>
      </c>
      <c r="EI49" s="139">
        <v>248524</v>
      </c>
      <c r="EJ49" s="139">
        <v>1207048</v>
      </c>
      <c r="EK49" s="139">
        <v>228789</v>
      </c>
      <c r="EL49" s="139">
        <v>148139</v>
      </c>
      <c r="EM49" s="139">
        <v>94279</v>
      </c>
      <c r="EN49" s="139">
        <v>384972</v>
      </c>
      <c r="EO49" s="139">
        <v>105152</v>
      </c>
      <c r="EP49" s="139">
        <v>961331</v>
      </c>
      <c r="EQ49" s="139">
        <v>52955</v>
      </c>
      <c r="ER49" s="139">
        <v>2973</v>
      </c>
      <c r="ES49" s="139">
        <v>2653</v>
      </c>
      <c r="ET49" s="139">
        <v>13586</v>
      </c>
      <c r="EU49" s="139">
        <v>128677</v>
      </c>
      <c r="EV49" s="139">
        <v>200844</v>
      </c>
      <c r="EW49" s="139">
        <v>0</v>
      </c>
      <c r="EX49" s="139">
        <v>0</v>
      </c>
      <c r="EY49" s="139">
        <v>0</v>
      </c>
      <c r="EZ49" s="139">
        <v>0</v>
      </c>
      <c r="FA49" s="139">
        <v>906819</v>
      </c>
      <c r="FB49" s="139">
        <v>906819</v>
      </c>
      <c r="FC49" s="139">
        <v>46813</v>
      </c>
      <c r="FD49" s="139">
        <v>12769</v>
      </c>
      <c r="FE49" s="139">
        <v>9610</v>
      </c>
      <c r="FF49" s="139">
        <v>68295</v>
      </c>
      <c r="FG49" s="139">
        <v>67822</v>
      </c>
      <c r="FH49" s="139">
        <v>205309</v>
      </c>
      <c r="FI49" s="139">
        <v>0</v>
      </c>
      <c r="FJ49" s="139">
        <v>0</v>
      </c>
      <c r="FK49" s="139">
        <v>0</v>
      </c>
      <c r="FL49" s="139">
        <v>0</v>
      </c>
      <c r="FM49" s="139">
        <v>52745</v>
      </c>
      <c r="FN49" s="139">
        <v>52745</v>
      </c>
      <c r="FO49" s="139">
        <v>0</v>
      </c>
      <c r="FP49" s="139">
        <v>0</v>
      </c>
      <c r="FQ49" s="139">
        <v>0</v>
      </c>
      <c r="FR49" s="139">
        <v>0</v>
      </c>
      <c r="FS49" s="139">
        <v>27384</v>
      </c>
      <c r="FT49" s="139">
        <v>27384</v>
      </c>
      <c r="FU49" s="139">
        <v>57087</v>
      </c>
      <c r="FV49" s="139">
        <v>9205</v>
      </c>
      <c r="FW49" s="139">
        <v>13607</v>
      </c>
      <c r="FX49" s="139">
        <v>104864</v>
      </c>
      <c r="FY49" s="139">
        <v>198431</v>
      </c>
      <c r="FZ49" s="139">
        <v>383194</v>
      </c>
      <c r="GA49" s="139">
        <v>1900</v>
      </c>
      <c r="GB49" s="139">
        <v>4824</v>
      </c>
      <c r="GC49" s="139">
        <v>4643</v>
      </c>
      <c r="GD49" s="139">
        <v>9121</v>
      </c>
      <c r="GE49" s="139">
        <v>298577</v>
      </c>
      <c r="GF49" s="139">
        <v>319065</v>
      </c>
      <c r="GG49" s="139">
        <v>491262</v>
      </c>
      <c r="GH49" s="139">
        <v>87821</v>
      </c>
      <c r="GI49" s="139">
        <v>73755</v>
      </c>
      <c r="GJ49" s="139">
        <v>480164</v>
      </c>
      <c r="GK49" s="139">
        <v>605822</v>
      </c>
      <c r="GL49" s="139">
        <v>1738824</v>
      </c>
      <c r="GM49" s="139">
        <v>7248081</v>
      </c>
      <c r="GN49" s="139">
        <v>1756863</v>
      </c>
      <c r="GO49" s="139">
        <v>1495204</v>
      </c>
      <c r="GP49" s="139">
        <v>11116637</v>
      </c>
      <c r="GQ49" s="139">
        <v>7095681</v>
      </c>
      <c r="GR49" s="139">
        <v>28712466</v>
      </c>
      <c r="GS49" s="139">
        <v>0</v>
      </c>
      <c r="GT49" s="139">
        <v>0</v>
      </c>
      <c r="GU49" s="139">
        <v>0</v>
      </c>
      <c r="GV49" s="139">
        <v>0</v>
      </c>
      <c r="GW49" s="139">
        <v>0</v>
      </c>
      <c r="GX49" s="139">
        <v>0</v>
      </c>
      <c r="GY49" s="139">
        <v>7248081</v>
      </c>
      <c r="GZ49" s="139">
        <v>1756863</v>
      </c>
      <c r="HA49" s="139">
        <v>1495204</v>
      </c>
      <c r="HB49" s="139">
        <v>11116637</v>
      </c>
      <c r="HC49" s="139">
        <v>7095681</v>
      </c>
      <c r="HD49" s="139">
        <v>28712466</v>
      </c>
      <c r="HF49" s="70">
        <f>SUM(AZ49:AZ49)</f>
        <v>459511</v>
      </c>
      <c r="HG49" s="70" t="e">
        <f>#REF!-HF49</f>
        <v>#REF!</v>
      </c>
      <c r="HH49" s="70" t="e">
        <f>SUM(#REF!)</f>
        <v>#REF!</v>
      </c>
      <c r="HI49" s="70" t="e">
        <f>#REF!-HH49</f>
        <v>#REF!</v>
      </c>
      <c r="HJ49" s="70">
        <f>SUM(BA49:BA49)</f>
        <v>1575000</v>
      </c>
      <c r="HK49" s="70" t="e">
        <f>#REF!-HJ49</f>
        <v>#REF!</v>
      </c>
      <c r="HL49" s="70" t="e">
        <f>SUM(#REF!)</f>
        <v>#REF!</v>
      </c>
      <c r="HM49" s="70" t="e">
        <f>BB49-HL49</f>
        <v>#REF!</v>
      </c>
      <c r="HN49" s="70" t="e">
        <f>SUM(#REF!)</f>
        <v>#REF!</v>
      </c>
      <c r="HO49" s="70" t="e">
        <f>#REF!-HN49</f>
        <v>#REF!</v>
      </c>
      <c r="HP49" s="70" t="e">
        <f>SUM(#REF!)</f>
        <v>#REF!</v>
      </c>
      <c r="HQ49" s="70" t="e">
        <f>#REF!-HP49</f>
        <v>#REF!</v>
      </c>
      <c r="HR49" s="70" t="e">
        <f>SUM(#REF!)</f>
        <v>#REF!</v>
      </c>
      <c r="HS49" s="70" t="e">
        <f>#REF!-HR49</f>
        <v>#REF!</v>
      </c>
      <c r="HT49" s="70" t="e">
        <f>SUM(#REF!)</f>
        <v>#REF!</v>
      </c>
      <c r="HU49" s="70" t="e">
        <f>#REF!-HT49</f>
        <v>#REF!</v>
      </c>
      <c r="HV49" s="70" t="e">
        <f>SUM(#REF!)</f>
        <v>#REF!</v>
      </c>
      <c r="HW49" s="70" t="e">
        <f>#REF!-HV49</f>
        <v>#REF!</v>
      </c>
      <c r="HX49" s="70" t="e">
        <f>SUM(#REF!)</f>
        <v>#REF!</v>
      </c>
      <c r="HY49" s="70" t="e">
        <f>#REF!-HX49</f>
        <v>#REF!</v>
      </c>
      <c r="HZ49" s="70">
        <f>SUM(BC49:BC49)</f>
        <v>71092</v>
      </c>
      <c r="IA49" s="70" t="e">
        <f>#REF!-HZ49</f>
        <v>#REF!</v>
      </c>
      <c r="IB49" s="70">
        <f>SUM(BD49:BD49)</f>
        <v>0</v>
      </c>
      <c r="IC49" s="70" t="e">
        <f>#REF!-IB49</f>
        <v>#REF!</v>
      </c>
      <c r="ID49" s="70">
        <f t="shared" si="56"/>
        <v>910264</v>
      </c>
      <c r="IE49" s="70">
        <f t="shared" si="57"/>
        <v>0</v>
      </c>
      <c r="IF49" s="70">
        <f t="shared" si="58"/>
        <v>226382</v>
      </c>
      <c r="IG49" s="70">
        <f t="shared" si="59"/>
        <v>0</v>
      </c>
      <c r="IH49" s="70">
        <f t="shared" si="60"/>
        <v>439130</v>
      </c>
      <c r="II49" s="70">
        <f t="shared" si="61"/>
        <v>0</v>
      </c>
      <c r="IJ49" s="70">
        <f t="shared" si="62"/>
        <v>29393128</v>
      </c>
      <c r="IK49" s="70">
        <f t="shared" si="63"/>
        <v>0</v>
      </c>
      <c r="IL49" s="70">
        <f t="shared" si="102"/>
        <v>9434519</v>
      </c>
      <c r="IM49" s="70">
        <f t="shared" si="64"/>
        <v>0</v>
      </c>
      <c r="IN49" s="70">
        <f t="shared" si="65"/>
        <v>72259</v>
      </c>
      <c r="IO49" s="70">
        <f t="shared" si="66"/>
        <v>0</v>
      </c>
      <c r="IP49" s="70">
        <f t="shared" si="67"/>
        <v>5792955</v>
      </c>
      <c r="IQ49" s="70">
        <f t="shared" si="68"/>
        <v>0</v>
      </c>
      <c r="IR49" s="70">
        <f t="shared" si="107"/>
        <v>0</v>
      </c>
      <c r="IS49" s="70">
        <f t="shared" si="108"/>
        <v>0</v>
      </c>
      <c r="IT49" s="70">
        <f t="shared" si="103"/>
        <v>4853854</v>
      </c>
      <c r="IU49" s="70">
        <f t="shared" si="104"/>
        <v>0</v>
      </c>
      <c r="IV49" s="70">
        <f t="shared" si="105"/>
        <v>0</v>
      </c>
      <c r="IW49" s="70">
        <f t="shared" si="106"/>
        <v>0</v>
      </c>
      <c r="IX49" s="70">
        <f t="shared" si="69"/>
        <v>212062</v>
      </c>
      <c r="IY49" s="70">
        <f t="shared" si="70"/>
        <v>0</v>
      </c>
      <c r="IZ49" s="70">
        <f t="shared" si="71"/>
        <v>414069</v>
      </c>
      <c r="JA49" s="70">
        <f t="shared" si="72"/>
        <v>0</v>
      </c>
      <c r="JB49" s="70">
        <f t="shared" si="73"/>
        <v>1930185</v>
      </c>
      <c r="JC49" s="70">
        <f t="shared" si="74"/>
        <v>0</v>
      </c>
      <c r="JD49" s="70">
        <f t="shared" si="75"/>
        <v>1207048</v>
      </c>
      <c r="JE49" s="70">
        <f t="shared" si="76"/>
        <v>0</v>
      </c>
      <c r="JF49" s="70">
        <f t="shared" si="77"/>
        <v>961331</v>
      </c>
      <c r="JG49" s="70">
        <f t="shared" si="78"/>
        <v>0</v>
      </c>
      <c r="JH49" s="70">
        <f t="shared" si="79"/>
        <v>200844</v>
      </c>
      <c r="JI49" s="70">
        <f t="shared" si="80"/>
        <v>0</v>
      </c>
      <c r="JJ49" s="70">
        <f t="shared" si="81"/>
        <v>906819</v>
      </c>
      <c r="JK49" s="70">
        <f t="shared" si="82"/>
        <v>0</v>
      </c>
      <c r="JL49" s="70">
        <f t="shared" si="83"/>
        <v>205309</v>
      </c>
      <c r="JM49" s="70">
        <f t="shared" si="84"/>
        <v>0</v>
      </c>
      <c r="JN49" s="70">
        <f t="shared" si="85"/>
        <v>52745</v>
      </c>
      <c r="JO49" s="70">
        <f t="shared" si="86"/>
        <v>0</v>
      </c>
      <c r="JP49" s="70">
        <f t="shared" si="87"/>
        <v>27384</v>
      </c>
      <c r="JQ49" s="70">
        <f t="shared" si="88"/>
        <v>0</v>
      </c>
      <c r="JR49" s="70">
        <f t="shared" si="89"/>
        <v>383194</v>
      </c>
      <c r="JS49" s="70">
        <f t="shared" si="90"/>
        <v>0</v>
      </c>
      <c r="JT49" s="70">
        <f t="shared" si="91"/>
        <v>319065</v>
      </c>
      <c r="JU49" s="70">
        <f t="shared" si="92"/>
        <v>0</v>
      </c>
      <c r="JV49" s="70">
        <f t="shared" si="93"/>
        <v>1738824</v>
      </c>
      <c r="JW49" s="70">
        <f t="shared" si="94"/>
        <v>0</v>
      </c>
      <c r="JX49" s="70">
        <f t="shared" si="95"/>
        <v>28712466</v>
      </c>
      <c r="JY49" s="70">
        <f t="shared" si="96"/>
        <v>0</v>
      </c>
      <c r="JZ49" s="70">
        <f t="shared" si="97"/>
        <v>0</v>
      </c>
      <c r="KA49" s="70">
        <f t="shared" si="98"/>
        <v>0</v>
      </c>
      <c r="KB49" s="70">
        <f t="shared" si="99"/>
        <v>28712466</v>
      </c>
      <c r="KC49" s="70">
        <f t="shared" si="100"/>
        <v>0</v>
      </c>
      <c r="KE49" s="70" t="e">
        <f t="shared" si="101"/>
        <v>#REF!</v>
      </c>
      <c r="KG49" s="68" t="e">
        <f t="shared" si="53"/>
        <v>#REF!</v>
      </c>
    </row>
    <row r="50" spans="1:293">
      <c r="A50" s="181" t="s">
        <v>283</v>
      </c>
      <c r="B50" s="76" t="s">
        <v>362</v>
      </c>
      <c r="C50" s="90">
        <v>170976</v>
      </c>
      <c r="D50" s="90">
        <v>2014</v>
      </c>
      <c r="E50" s="90">
        <v>1</v>
      </c>
      <c r="F50" s="91">
        <v>3</v>
      </c>
      <c r="G50" s="92"/>
      <c r="H50" s="92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114">
        <v>12</v>
      </c>
      <c r="AD50" s="114">
        <v>13</v>
      </c>
      <c r="AE50" s="114">
        <v>0</v>
      </c>
      <c r="AF50" s="115">
        <v>10756235</v>
      </c>
      <c r="AG50" s="115">
        <v>8575519</v>
      </c>
      <c r="AH50" s="115">
        <v>1348482</v>
      </c>
      <c r="AI50" s="115">
        <v>708563</v>
      </c>
      <c r="AJ50" s="115">
        <v>710555.84615384613</v>
      </c>
      <c r="AK50" s="116">
        <v>13</v>
      </c>
      <c r="AL50" s="115">
        <v>659801.85714285716</v>
      </c>
      <c r="AM50" s="116">
        <v>14</v>
      </c>
      <c r="AN50" s="115">
        <v>225320.71428571429</v>
      </c>
      <c r="AO50" s="116">
        <v>14</v>
      </c>
      <c r="AP50" s="115">
        <v>210299.33333333334</v>
      </c>
      <c r="AQ50" s="116">
        <v>15</v>
      </c>
      <c r="AR50" s="115">
        <v>226269.06451612903</v>
      </c>
      <c r="AS50" s="116">
        <v>31</v>
      </c>
      <c r="AT50" s="115">
        <v>200409.74285714285</v>
      </c>
      <c r="AU50" s="116">
        <v>35</v>
      </c>
      <c r="AV50" s="115">
        <v>96929.191489361707</v>
      </c>
      <c r="AW50" s="116">
        <v>23.5</v>
      </c>
      <c r="AX50" s="115">
        <v>87609.076923076922</v>
      </c>
      <c r="AY50" s="116">
        <v>26</v>
      </c>
      <c r="AZ50" s="139">
        <v>46108503</v>
      </c>
      <c r="BA50" s="139">
        <v>400000</v>
      </c>
      <c r="BB50" s="139">
        <v>35267267</v>
      </c>
      <c r="BC50" s="139">
        <v>2576089</v>
      </c>
      <c r="BD50" s="139">
        <v>0</v>
      </c>
      <c r="BE50" s="139">
        <v>0</v>
      </c>
      <c r="BF50" s="139">
        <v>0</v>
      </c>
      <c r="BG50" s="139">
        <v>0</v>
      </c>
      <c r="BH50" s="139">
        <v>0</v>
      </c>
      <c r="BI50" s="139">
        <v>348053</v>
      </c>
      <c r="BJ50" s="139">
        <v>348053</v>
      </c>
      <c r="BK50" s="139">
        <v>943123</v>
      </c>
      <c r="BL50" s="139">
        <v>48147</v>
      </c>
      <c r="BM50" s="139">
        <v>64586</v>
      </c>
      <c r="BN50" s="139">
        <v>1055614</v>
      </c>
      <c r="BO50" s="139">
        <v>866249</v>
      </c>
      <c r="BP50" s="139">
        <v>2977719</v>
      </c>
      <c r="BQ50" s="139">
        <v>0</v>
      </c>
      <c r="BR50" s="139">
        <v>0</v>
      </c>
      <c r="BS50" s="139">
        <v>0</v>
      </c>
      <c r="BT50" s="139">
        <v>66691</v>
      </c>
      <c r="BU50" s="139">
        <v>9286498</v>
      </c>
      <c r="BV50" s="139">
        <v>9353189</v>
      </c>
      <c r="BW50" s="139">
        <v>91383749</v>
      </c>
      <c r="BX50" s="139">
        <v>13636966</v>
      </c>
      <c r="BY50" s="139">
        <v>195948</v>
      </c>
      <c r="BZ50" s="139">
        <v>5354986</v>
      </c>
      <c r="CA50" s="139">
        <v>47328171</v>
      </c>
      <c r="CB50" s="139">
        <v>157899820</v>
      </c>
      <c r="CC50" s="139">
        <v>5047904</v>
      </c>
      <c r="CD50" s="139">
        <v>662459</v>
      </c>
      <c r="CE50" s="139">
        <v>569353</v>
      </c>
      <c r="CF50" s="139">
        <v>13052038</v>
      </c>
      <c r="CG50" s="139">
        <v>233017</v>
      </c>
      <c r="CH50" s="139">
        <v>19564771</v>
      </c>
      <c r="CI50" s="139">
        <v>2050000</v>
      </c>
      <c r="CJ50" s="139">
        <v>474570</v>
      </c>
      <c r="CK50" s="139">
        <v>50000</v>
      </c>
      <c r="CL50" s="139">
        <v>162400</v>
      </c>
      <c r="CM50" s="139">
        <v>0</v>
      </c>
      <c r="CN50" s="139">
        <v>2736970</v>
      </c>
      <c r="CO50" s="139">
        <v>8521787</v>
      </c>
      <c r="CP50" s="139">
        <v>3683899</v>
      </c>
      <c r="CQ50" s="139">
        <v>1025903</v>
      </c>
      <c r="CR50" s="139">
        <v>8452304</v>
      </c>
      <c r="CS50" s="139">
        <v>0</v>
      </c>
      <c r="CT50" s="139">
        <v>21683893</v>
      </c>
      <c r="CU50" s="139">
        <v>0</v>
      </c>
      <c r="CV50" s="139">
        <v>0</v>
      </c>
      <c r="CW50" s="139">
        <v>0</v>
      </c>
      <c r="CX50" s="139">
        <v>0</v>
      </c>
      <c r="CY50" s="139">
        <v>0</v>
      </c>
      <c r="CZ50" s="139">
        <v>0</v>
      </c>
      <c r="DA50" s="139">
        <v>1537887</v>
      </c>
      <c r="DB50" s="139">
        <v>533043</v>
      </c>
      <c r="DC50" s="139">
        <v>267017</v>
      </c>
      <c r="DD50" s="139">
        <v>774577</v>
      </c>
      <c r="DE50" s="139">
        <v>24624756</v>
      </c>
      <c r="DF50" s="139">
        <v>27737280</v>
      </c>
      <c r="DG50" s="139">
        <v>0</v>
      </c>
      <c r="DH50" s="139">
        <v>0</v>
      </c>
      <c r="DI50" s="139">
        <v>0</v>
      </c>
      <c r="DJ50" s="139">
        <v>0</v>
      </c>
      <c r="DK50" s="139">
        <v>0</v>
      </c>
      <c r="DL50" s="139">
        <v>0</v>
      </c>
      <c r="DM50" s="139">
        <v>293185</v>
      </c>
      <c r="DN50" s="139">
        <v>0</v>
      </c>
      <c r="DO50" s="139">
        <v>0</v>
      </c>
      <c r="DP50" s="139">
        <v>149521</v>
      </c>
      <c r="DQ50" s="139">
        <v>46951</v>
      </c>
      <c r="DR50" s="139">
        <v>489657</v>
      </c>
      <c r="DS50" s="139">
        <v>584721</v>
      </c>
      <c r="DT50" s="139">
        <v>234090</v>
      </c>
      <c r="DU50" s="139">
        <v>198381</v>
      </c>
      <c r="DV50" s="139">
        <v>1039853</v>
      </c>
      <c r="DW50" s="139">
        <v>0</v>
      </c>
      <c r="DX50" s="139">
        <v>2057045</v>
      </c>
      <c r="DY50" s="139">
        <v>2455554</v>
      </c>
      <c r="DZ50" s="139">
        <v>937174</v>
      </c>
      <c r="EA50" s="139">
        <v>705169</v>
      </c>
      <c r="EB50" s="139">
        <v>6001050</v>
      </c>
      <c r="EC50" s="139">
        <v>113956</v>
      </c>
      <c r="ED50" s="139">
        <v>10212903</v>
      </c>
      <c r="EE50" s="139">
        <v>1328573</v>
      </c>
      <c r="EF50" s="139">
        <v>162496</v>
      </c>
      <c r="EG50" s="139">
        <v>124036</v>
      </c>
      <c r="EH50" s="139">
        <v>1786921</v>
      </c>
      <c r="EI50" s="139">
        <v>1955615</v>
      </c>
      <c r="EJ50" s="139">
        <v>5357641</v>
      </c>
      <c r="EK50" s="139">
        <v>2769103</v>
      </c>
      <c r="EL50" s="139">
        <v>466986</v>
      </c>
      <c r="EM50" s="139">
        <v>182587</v>
      </c>
      <c r="EN50" s="139">
        <v>673008</v>
      </c>
      <c r="EO50" s="139">
        <v>235518</v>
      </c>
      <c r="EP50" s="139">
        <v>4327202</v>
      </c>
      <c r="EQ50" s="139">
        <v>495</v>
      </c>
      <c r="ER50" s="139">
        <v>316</v>
      </c>
      <c r="ES50" s="139">
        <v>292</v>
      </c>
      <c r="ET50" s="139">
        <v>1654</v>
      </c>
      <c r="EU50" s="139">
        <v>3998666</v>
      </c>
      <c r="EV50" s="139">
        <v>4001423</v>
      </c>
      <c r="EW50" s="139">
        <v>0</v>
      </c>
      <c r="EX50" s="139">
        <v>0</v>
      </c>
      <c r="EY50" s="139">
        <v>0</v>
      </c>
      <c r="EZ50" s="139">
        <v>0</v>
      </c>
      <c r="FA50" s="139">
        <v>0</v>
      </c>
      <c r="FB50" s="139">
        <v>0</v>
      </c>
      <c r="FC50" s="139">
        <v>0</v>
      </c>
      <c r="FD50" s="139">
        <v>0</v>
      </c>
      <c r="FE50" s="139">
        <v>0</v>
      </c>
      <c r="FF50" s="139">
        <v>0</v>
      </c>
      <c r="FG50" s="139">
        <v>29776106</v>
      </c>
      <c r="FH50" s="139">
        <v>29776106</v>
      </c>
      <c r="FI50" s="139">
        <v>0</v>
      </c>
      <c r="FJ50" s="139">
        <v>0</v>
      </c>
      <c r="FK50" s="139">
        <v>0</v>
      </c>
      <c r="FL50" s="139">
        <v>0</v>
      </c>
      <c r="FM50" s="139">
        <v>1196139</v>
      </c>
      <c r="FN50" s="139">
        <v>1196139</v>
      </c>
      <c r="FO50" s="139">
        <v>0</v>
      </c>
      <c r="FP50" s="139">
        <v>0</v>
      </c>
      <c r="FQ50" s="139">
        <v>0</v>
      </c>
      <c r="FR50" s="139">
        <v>0</v>
      </c>
      <c r="FS50" s="139">
        <v>249485</v>
      </c>
      <c r="FT50" s="139">
        <v>249485</v>
      </c>
      <c r="FU50" s="139">
        <v>0</v>
      </c>
      <c r="FV50" s="139">
        <v>0</v>
      </c>
      <c r="FW50" s="139">
        <v>0</v>
      </c>
      <c r="FX50" s="139">
        <v>0</v>
      </c>
      <c r="FY50" s="139">
        <v>618222</v>
      </c>
      <c r="FZ50" s="139">
        <v>618222</v>
      </c>
      <c r="GA50" s="139">
        <v>2470</v>
      </c>
      <c r="GB50" s="139">
        <v>300</v>
      </c>
      <c r="GC50" s="139">
        <v>1316</v>
      </c>
      <c r="GD50" s="139">
        <v>12463</v>
      </c>
      <c r="GE50" s="139">
        <v>210986</v>
      </c>
      <c r="GF50" s="139">
        <v>227535</v>
      </c>
      <c r="GG50" s="139">
        <v>2164053</v>
      </c>
      <c r="GH50" s="139">
        <v>302222</v>
      </c>
      <c r="GI50" s="139">
        <v>170565</v>
      </c>
      <c r="GJ50" s="139">
        <v>1322119</v>
      </c>
      <c r="GK50" s="139">
        <v>8356763</v>
      </c>
      <c r="GL50" s="139">
        <v>12315722</v>
      </c>
      <c r="GM50" s="139">
        <v>26755732</v>
      </c>
      <c r="GN50" s="139">
        <v>7457555</v>
      </c>
      <c r="GO50" s="139">
        <v>3294619</v>
      </c>
      <c r="GP50" s="139">
        <v>33427908</v>
      </c>
      <c r="GQ50" s="139">
        <v>71616180</v>
      </c>
      <c r="GR50" s="139">
        <v>142551994</v>
      </c>
      <c r="GS50" s="139">
        <v>0</v>
      </c>
      <c r="GT50" s="139">
        <v>0</v>
      </c>
      <c r="GU50" s="139">
        <v>0</v>
      </c>
      <c r="GV50" s="139">
        <v>0</v>
      </c>
      <c r="GW50" s="139">
        <v>2309198</v>
      </c>
      <c r="GX50" s="139">
        <v>2309198</v>
      </c>
      <c r="GY50" s="139">
        <v>26755732</v>
      </c>
      <c r="GZ50" s="139">
        <v>7457555</v>
      </c>
      <c r="HA50" s="139">
        <v>3294619</v>
      </c>
      <c r="HB50" s="139">
        <v>33427908</v>
      </c>
      <c r="HC50" s="139">
        <v>73925378</v>
      </c>
      <c r="HD50" s="139">
        <v>144861192</v>
      </c>
      <c r="HF50" s="70">
        <f>SUM(AZ50:AZ50)</f>
        <v>46108503</v>
      </c>
      <c r="HG50" s="70" t="e">
        <f>#REF!-HF50</f>
        <v>#REF!</v>
      </c>
      <c r="HH50" s="70" t="e">
        <f>SUM(#REF!)</f>
        <v>#REF!</v>
      </c>
      <c r="HI50" s="70" t="e">
        <f>#REF!-HH50</f>
        <v>#REF!</v>
      </c>
      <c r="HJ50" s="70">
        <f>SUM(BA50:BA50)</f>
        <v>400000</v>
      </c>
      <c r="HK50" s="70" t="e">
        <f>#REF!-HJ50</f>
        <v>#REF!</v>
      </c>
      <c r="HL50" s="70" t="e">
        <f>SUM(#REF!)</f>
        <v>#REF!</v>
      </c>
      <c r="HM50" s="70" t="e">
        <f>BB50-HL50</f>
        <v>#REF!</v>
      </c>
      <c r="HN50" s="70" t="e">
        <f>SUM(#REF!)</f>
        <v>#REF!</v>
      </c>
      <c r="HO50" s="70" t="e">
        <f>#REF!-HN50</f>
        <v>#REF!</v>
      </c>
      <c r="HP50" s="70" t="e">
        <f>SUM(#REF!)</f>
        <v>#REF!</v>
      </c>
      <c r="HQ50" s="70" t="e">
        <f>#REF!-HP50</f>
        <v>#REF!</v>
      </c>
      <c r="HR50" s="70" t="e">
        <f>SUM(#REF!)</f>
        <v>#REF!</v>
      </c>
      <c r="HS50" s="70" t="e">
        <f>#REF!-HR50</f>
        <v>#REF!</v>
      </c>
      <c r="HT50" s="70" t="e">
        <f>SUM(#REF!)</f>
        <v>#REF!</v>
      </c>
      <c r="HU50" s="70" t="e">
        <f>#REF!-HT50</f>
        <v>#REF!</v>
      </c>
      <c r="HV50" s="70" t="e">
        <f>SUM(#REF!)</f>
        <v>#REF!</v>
      </c>
      <c r="HW50" s="70" t="e">
        <f>#REF!-HV50</f>
        <v>#REF!</v>
      </c>
      <c r="HX50" s="70" t="e">
        <f>SUM(#REF!)</f>
        <v>#REF!</v>
      </c>
      <c r="HY50" s="70" t="e">
        <f>#REF!-HX50</f>
        <v>#REF!</v>
      </c>
      <c r="HZ50" s="70">
        <f>SUM(BC50:BC50)</f>
        <v>2576089</v>
      </c>
      <c r="IA50" s="70" t="e">
        <f>#REF!-HZ50</f>
        <v>#REF!</v>
      </c>
      <c r="IB50" s="70">
        <f>SUM(BD50:BD50)</f>
        <v>0</v>
      </c>
      <c r="IC50" s="70" t="e">
        <f>#REF!-IB50</f>
        <v>#REF!</v>
      </c>
      <c r="ID50" s="70">
        <f t="shared" si="56"/>
        <v>348053</v>
      </c>
      <c r="IE50" s="70">
        <f t="shared" si="57"/>
        <v>0</v>
      </c>
      <c r="IF50" s="70">
        <f t="shared" si="58"/>
        <v>2977719</v>
      </c>
      <c r="IG50" s="70">
        <f t="shared" si="59"/>
        <v>0</v>
      </c>
      <c r="IH50" s="70">
        <f t="shared" si="60"/>
        <v>9353189</v>
      </c>
      <c r="II50" s="70">
        <f t="shared" si="61"/>
        <v>0</v>
      </c>
      <c r="IJ50" s="70">
        <f t="shared" si="62"/>
        <v>157899820</v>
      </c>
      <c r="IK50" s="70">
        <f t="shared" si="63"/>
        <v>0</v>
      </c>
      <c r="IL50" s="70">
        <f t="shared" si="102"/>
        <v>19564771</v>
      </c>
      <c r="IM50" s="70">
        <f t="shared" si="64"/>
        <v>0</v>
      </c>
      <c r="IN50" s="70">
        <f t="shared" si="65"/>
        <v>2736970</v>
      </c>
      <c r="IO50" s="70">
        <f t="shared" si="66"/>
        <v>0</v>
      </c>
      <c r="IP50" s="70">
        <f t="shared" si="67"/>
        <v>21683893</v>
      </c>
      <c r="IQ50" s="70">
        <f t="shared" si="68"/>
        <v>0</v>
      </c>
      <c r="IR50" s="70">
        <f t="shared" si="107"/>
        <v>0</v>
      </c>
      <c r="IS50" s="70">
        <f t="shared" si="108"/>
        <v>0</v>
      </c>
      <c r="IT50" s="70">
        <f t="shared" si="103"/>
        <v>27737280</v>
      </c>
      <c r="IU50" s="70">
        <f t="shared" si="104"/>
        <v>0</v>
      </c>
      <c r="IV50" s="70">
        <f t="shared" si="105"/>
        <v>0</v>
      </c>
      <c r="IW50" s="70">
        <f t="shared" si="106"/>
        <v>0</v>
      </c>
      <c r="IX50" s="70">
        <f t="shared" si="69"/>
        <v>489657</v>
      </c>
      <c r="IY50" s="70">
        <f t="shared" si="70"/>
        <v>0</v>
      </c>
      <c r="IZ50" s="70">
        <f t="shared" si="71"/>
        <v>2057045</v>
      </c>
      <c r="JA50" s="70">
        <f t="shared" si="72"/>
        <v>0</v>
      </c>
      <c r="JB50" s="70">
        <f t="shared" si="73"/>
        <v>10212903</v>
      </c>
      <c r="JC50" s="70">
        <f t="shared" si="74"/>
        <v>0</v>
      </c>
      <c r="JD50" s="70">
        <f t="shared" si="75"/>
        <v>5357641</v>
      </c>
      <c r="JE50" s="70">
        <f t="shared" si="76"/>
        <v>0</v>
      </c>
      <c r="JF50" s="70">
        <f t="shared" si="77"/>
        <v>4327202</v>
      </c>
      <c r="JG50" s="70">
        <f t="shared" si="78"/>
        <v>0</v>
      </c>
      <c r="JH50" s="70">
        <f t="shared" si="79"/>
        <v>4001423</v>
      </c>
      <c r="JI50" s="70">
        <f t="shared" si="80"/>
        <v>0</v>
      </c>
      <c r="JJ50" s="70">
        <f t="shared" si="81"/>
        <v>0</v>
      </c>
      <c r="JK50" s="70">
        <f t="shared" si="82"/>
        <v>0</v>
      </c>
      <c r="JL50" s="70">
        <f t="shared" si="83"/>
        <v>29776106</v>
      </c>
      <c r="JM50" s="70">
        <f t="shared" si="84"/>
        <v>0</v>
      </c>
      <c r="JN50" s="70">
        <f t="shared" si="85"/>
        <v>1196139</v>
      </c>
      <c r="JO50" s="70">
        <f t="shared" si="86"/>
        <v>0</v>
      </c>
      <c r="JP50" s="70">
        <f t="shared" si="87"/>
        <v>249485</v>
      </c>
      <c r="JQ50" s="70">
        <f t="shared" si="88"/>
        <v>0</v>
      </c>
      <c r="JR50" s="70">
        <f t="shared" si="89"/>
        <v>618222</v>
      </c>
      <c r="JS50" s="70">
        <f t="shared" si="90"/>
        <v>0</v>
      </c>
      <c r="JT50" s="70">
        <f t="shared" si="91"/>
        <v>227535</v>
      </c>
      <c r="JU50" s="70">
        <f t="shared" si="92"/>
        <v>0</v>
      </c>
      <c r="JV50" s="70">
        <f t="shared" si="93"/>
        <v>12315722</v>
      </c>
      <c r="JW50" s="70">
        <f t="shared" si="94"/>
        <v>0</v>
      </c>
      <c r="JX50" s="70">
        <f t="shared" si="95"/>
        <v>142551994</v>
      </c>
      <c r="JY50" s="70">
        <f t="shared" si="96"/>
        <v>0</v>
      </c>
      <c r="JZ50" s="70">
        <f t="shared" si="97"/>
        <v>2309198</v>
      </c>
      <c r="KA50" s="70">
        <f t="shared" si="98"/>
        <v>0</v>
      </c>
      <c r="KB50" s="70">
        <f t="shared" si="99"/>
        <v>144861192</v>
      </c>
      <c r="KC50" s="70">
        <f t="shared" si="100"/>
        <v>0</v>
      </c>
      <c r="KE50" s="70" t="e">
        <f t="shared" si="101"/>
        <v>#REF!</v>
      </c>
      <c r="KG50" s="68" t="e">
        <f t="shared" si="53"/>
        <v>#REF!</v>
      </c>
    </row>
    <row r="51" spans="1:293">
      <c r="A51" s="180" t="s">
        <v>284</v>
      </c>
      <c r="B51" s="76" t="s">
        <v>362</v>
      </c>
      <c r="C51" s="90">
        <v>171100</v>
      </c>
      <c r="D51" s="90">
        <v>2014</v>
      </c>
      <c r="E51" s="90">
        <v>1</v>
      </c>
      <c r="F51" s="91">
        <v>3</v>
      </c>
      <c r="G51" s="92">
        <v>17238</v>
      </c>
      <c r="H51" s="92">
        <v>17602</v>
      </c>
      <c r="I51" s="93">
        <v>2109938000</v>
      </c>
      <c r="J51" s="93">
        <v>2060045000</v>
      </c>
      <c r="K51" s="93">
        <v>6000000</v>
      </c>
      <c r="L51" s="93">
        <v>7766847</v>
      </c>
      <c r="M51" s="93">
        <v>85000000</v>
      </c>
      <c r="N51" s="93">
        <v>199237000</v>
      </c>
      <c r="O51" s="93">
        <v>85600000</v>
      </c>
      <c r="P51" s="93">
        <v>82200000</v>
      </c>
      <c r="Q51" s="93">
        <v>992000000</v>
      </c>
      <c r="R51" s="93">
        <v>1028820000</v>
      </c>
      <c r="S51" s="93">
        <v>1623422000</v>
      </c>
      <c r="T51" s="93">
        <v>1593119000</v>
      </c>
      <c r="U51" s="93">
        <v>23526</v>
      </c>
      <c r="V51" s="93">
        <v>22814</v>
      </c>
      <c r="W51" s="93">
        <v>44230</v>
      </c>
      <c r="X51" s="93">
        <v>42698</v>
      </c>
      <c r="Y51" s="93">
        <v>25514</v>
      </c>
      <c r="Z51" s="93">
        <v>24668</v>
      </c>
      <c r="AA51" s="93">
        <v>46872</v>
      </c>
      <c r="AB51" s="93">
        <v>44552</v>
      </c>
      <c r="AC51" s="114">
        <v>12</v>
      </c>
      <c r="AD51" s="114">
        <v>13</v>
      </c>
      <c r="AE51" s="114">
        <v>0</v>
      </c>
      <c r="AF51" s="115">
        <v>6749234</v>
      </c>
      <c r="AG51" s="115">
        <v>5683891</v>
      </c>
      <c r="AH51" s="115">
        <v>1080217</v>
      </c>
      <c r="AI51" s="115">
        <v>363572</v>
      </c>
      <c r="AJ51" s="115">
        <v>1151815.888888889</v>
      </c>
      <c r="AK51" s="116">
        <v>9</v>
      </c>
      <c r="AL51" s="115">
        <v>1036634.3</v>
      </c>
      <c r="AM51" s="116">
        <v>10</v>
      </c>
      <c r="AN51" s="115">
        <v>202504.3</v>
      </c>
      <c r="AO51" s="116">
        <v>10</v>
      </c>
      <c r="AP51" s="115">
        <v>184094.81818181818</v>
      </c>
      <c r="AQ51" s="116">
        <v>11</v>
      </c>
      <c r="AR51" s="115">
        <v>227487.94007490636</v>
      </c>
      <c r="AS51" s="116">
        <v>26.7</v>
      </c>
      <c r="AT51" s="115">
        <v>173540.8</v>
      </c>
      <c r="AU51" s="116">
        <v>35</v>
      </c>
      <c r="AV51" s="115">
        <v>89715.392156862756</v>
      </c>
      <c r="AW51" s="116">
        <v>20.399999999999999</v>
      </c>
      <c r="AX51" s="115">
        <v>70392.076923076922</v>
      </c>
      <c r="AY51" s="116">
        <v>26</v>
      </c>
      <c r="AZ51" s="139">
        <v>17671810</v>
      </c>
      <c r="BA51" s="139">
        <v>0</v>
      </c>
      <c r="BB51" s="139">
        <v>29724939</v>
      </c>
      <c r="BC51" s="139">
        <v>867903</v>
      </c>
      <c r="BD51" s="139">
        <v>345000</v>
      </c>
      <c r="BE51" s="139">
        <v>234558</v>
      </c>
      <c r="BF51" s="139">
        <v>371105</v>
      </c>
      <c r="BG51" s="139">
        <v>137365</v>
      </c>
      <c r="BH51" s="139">
        <v>1688855</v>
      </c>
      <c r="BI51" s="139">
        <v>51711</v>
      </c>
      <c r="BJ51" s="139">
        <v>2483594</v>
      </c>
      <c r="BK51" s="139">
        <v>90436</v>
      </c>
      <c r="BL51" s="139">
        <v>47586</v>
      </c>
      <c r="BM51" s="139">
        <v>6160</v>
      </c>
      <c r="BN51" s="139">
        <v>390537</v>
      </c>
      <c r="BO51" s="139">
        <v>1554187</v>
      </c>
      <c r="BP51" s="139">
        <v>2088906</v>
      </c>
      <c r="BQ51" s="139">
        <v>435298</v>
      </c>
      <c r="BR51" s="139">
        <v>183019</v>
      </c>
      <c r="BS51" s="139">
        <v>71287</v>
      </c>
      <c r="BT51" s="139">
        <v>405850</v>
      </c>
      <c r="BU51" s="139">
        <v>981378</v>
      </c>
      <c r="BV51" s="139">
        <v>2076832</v>
      </c>
      <c r="BW51" s="139">
        <v>60619088</v>
      </c>
      <c r="BX51" s="139">
        <v>20012184</v>
      </c>
      <c r="BY51" s="139">
        <v>961173</v>
      </c>
      <c r="BZ51" s="139">
        <v>6839020</v>
      </c>
      <c r="CA51" s="139">
        <v>16245991</v>
      </c>
      <c r="CB51" s="139">
        <v>104677456</v>
      </c>
      <c r="CC51" s="139">
        <v>3502406</v>
      </c>
      <c r="CD51" s="139">
        <v>525784</v>
      </c>
      <c r="CE51" s="139">
        <v>453514</v>
      </c>
      <c r="CF51" s="139">
        <v>7842178</v>
      </c>
      <c r="CG51" s="139">
        <v>153867</v>
      </c>
      <c r="CH51" s="139">
        <v>12477749</v>
      </c>
      <c r="CI51" s="139">
        <v>2144133</v>
      </c>
      <c r="CJ51" s="139">
        <v>697034</v>
      </c>
      <c r="CK51" s="139">
        <v>150000</v>
      </c>
      <c r="CL51" s="139">
        <v>74863</v>
      </c>
      <c r="CM51" s="139">
        <v>0</v>
      </c>
      <c r="CN51" s="139">
        <v>3066030</v>
      </c>
      <c r="CO51" s="139">
        <v>9517026</v>
      </c>
      <c r="CP51" s="139">
        <v>4336255</v>
      </c>
      <c r="CQ51" s="139">
        <v>1204291</v>
      </c>
      <c r="CR51" s="139">
        <v>5237936</v>
      </c>
      <c r="CS51" s="139">
        <v>0</v>
      </c>
      <c r="CT51" s="139">
        <v>20295508</v>
      </c>
      <c r="CU51" s="139">
        <v>120500</v>
      </c>
      <c r="CV51" s="139">
        <v>464500</v>
      </c>
      <c r="CW51" s="139">
        <v>1250</v>
      </c>
      <c r="CX51" s="139">
        <v>2500</v>
      </c>
      <c r="CY51" s="139">
        <v>0</v>
      </c>
      <c r="CZ51" s="139">
        <v>588750</v>
      </c>
      <c r="DA51" s="139">
        <v>1438560</v>
      </c>
      <c r="DB51" s="139">
        <v>433196</v>
      </c>
      <c r="DC51" s="139">
        <v>238135</v>
      </c>
      <c r="DD51" s="139">
        <v>343644</v>
      </c>
      <c r="DE51" s="139">
        <v>12212905</v>
      </c>
      <c r="DF51" s="139">
        <v>14666440</v>
      </c>
      <c r="DG51" s="139">
        <v>0</v>
      </c>
      <c r="DH51" s="139">
        <v>0</v>
      </c>
      <c r="DI51" s="139">
        <v>0</v>
      </c>
      <c r="DJ51" s="139">
        <v>0</v>
      </c>
      <c r="DK51" s="139">
        <v>0</v>
      </c>
      <c r="DL51" s="139">
        <v>0</v>
      </c>
      <c r="DM51" s="139">
        <v>0</v>
      </c>
      <c r="DN51" s="139">
        <v>0</v>
      </c>
      <c r="DO51" s="139">
        <v>0</v>
      </c>
      <c r="DP51" s="139">
        <v>0</v>
      </c>
      <c r="DQ51" s="139">
        <v>156137</v>
      </c>
      <c r="DR51" s="139">
        <v>156137</v>
      </c>
      <c r="DS51" s="139">
        <v>647875</v>
      </c>
      <c r="DT51" s="139">
        <v>256167</v>
      </c>
      <c r="DU51" s="139">
        <v>153375</v>
      </c>
      <c r="DV51" s="139">
        <v>386372</v>
      </c>
      <c r="DW51" s="139">
        <v>0</v>
      </c>
      <c r="DX51" s="139">
        <v>1443789</v>
      </c>
      <c r="DY51" s="139">
        <v>2619739</v>
      </c>
      <c r="DZ51" s="139">
        <v>1386932</v>
      </c>
      <c r="EA51" s="139">
        <v>523737</v>
      </c>
      <c r="EB51" s="139">
        <v>2984608</v>
      </c>
      <c r="EC51" s="139">
        <v>0</v>
      </c>
      <c r="ED51" s="139">
        <v>7515016</v>
      </c>
      <c r="EE51" s="139">
        <v>675128</v>
      </c>
      <c r="EF51" s="139">
        <v>251974</v>
      </c>
      <c r="EG51" s="139">
        <v>124841</v>
      </c>
      <c r="EH51" s="139">
        <v>1574963</v>
      </c>
      <c r="EI51" s="139">
        <v>34789</v>
      </c>
      <c r="EJ51" s="139">
        <v>2661695</v>
      </c>
      <c r="EK51" s="139">
        <v>2259450</v>
      </c>
      <c r="EL51" s="139">
        <v>988944</v>
      </c>
      <c r="EM51" s="139">
        <v>434259</v>
      </c>
      <c r="EN51" s="139">
        <v>521035</v>
      </c>
      <c r="EO51" s="139">
        <v>0</v>
      </c>
      <c r="EP51" s="139">
        <v>4203688</v>
      </c>
      <c r="EQ51" s="139">
        <v>157281</v>
      </c>
      <c r="ER51" s="139">
        <v>86459</v>
      </c>
      <c r="ES51" s="139">
        <v>24929</v>
      </c>
      <c r="ET51" s="139">
        <v>86438</v>
      </c>
      <c r="EU51" s="139">
        <v>1699970</v>
      </c>
      <c r="EV51" s="139">
        <v>2055077</v>
      </c>
      <c r="EW51" s="139">
        <v>130478</v>
      </c>
      <c r="EX51" s="139">
        <v>263642</v>
      </c>
      <c r="EY51" s="139">
        <v>81830</v>
      </c>
      <c r="EZ51" s="139">
        <v>852978</v>
      </c>
      <c r="FA51" s="139">
        <v>190209</v>
      </c>
      <c r="FB51" s="139">
        <v>1519137</v>
      </c>
      <c r="FC51" s="139">
        <v>7633428</v>
      </c>
      <c r="FD51" s="139">
        <v>1223456</v>
      </c>
      <c r="FE51" s="139">
        <v>43723</v>
      </c>
      <c r="FF51" s="139">
        <v>155416</v>
      </c>
      <c r="FG51" s="139">
        <v>13943360</v>
      </c>
      <c r="FH51" s="139">
        <v>22999383</v>
      </c>
      <c r="FI51" s="139">
        <v>823788</v>
      </c>
      <c r="FJ51" s="139">
        <v>0</v>
      </c>
      <c r="FK51" s="139">
        <v>0</v>
      </c>
      <c r="FL51" s="139">
        <v>0</v>
      </c>
      <c r="FM51" s="139">
        <v>242539</v>
      </c>
      <c r="FN51" s="139">
        <v>1066327</v>
      </c>
      <c r="FO51" s="139">
        <v>0</v>
      </c>
      <c r="FP51" s="139">
        <v>0</v>
      </c>
      <c r="FQ51" s="139">
        <v>0</v>
      </c>
      <c r="FR51" s="139">
        <v>0</v>
      </c>
      <c r="FS51" s="139">
        <v>706135</v>
      </c>
      <c r="FT51" s="139">
        <v>706135</v>
      </c>
      <c r="FU51" s="139">
        <v>40550</v>
      </c>
      <c r="FV51" s="139">
        <v>39835</v>
      </c>
      <c r="FW51" s="139">
        <v>5326</v>
      </c>
      <c r="FX51" s="139">
        <v>62291</v>
      </c>
      <c r="FY51" s="139">
        <v>1282581</v>
      </c>
      <c r="FZ51" s="139">
        <v>1430583</v>
      </c>
      <c r="GA51" s="139">
        <v>3405</v>
      </c>
      <c r="GB51" s="139">
        <v>451</v>
      </c>
      <c r="GC51" s="139">
        <v>963</v>
      </c>
      <c r="GD51" s="139">
        <v>6869</v>
      </c>
      <c r="GE51" s="139">
        <v>115019</v>
      </c>
      <c r="GF51" s="139">
        <v>126707</v>
      </c>
      <c r="GG51" s="139">
        <v>2790341</v>
      </c>
      <c r="GH51" s="139">
        <v>583253</v>
      </c>
      <c r="GI51" s="139">
        <v>240133</v>
      </c>
      <c r="GJ51" s="139">
        <v>1361112</v>
      </c>
      <c r="GK51" s="139">
        <v>5469842</v>
      </c>
      <c r="GL51" s="139">
        <v>10444681</v>
      </c>
      <c r="GM51" s="139">
        <v>34504088</v>
      </c>
      <c r="GN51" s="139">
        <v>11537882</v>
      </c>
      <c r="GO51" s="139">
        <v>3680306</v>
      </c>
      <c r="GP51" s="139">
        <v>21493203</v>
      </c>
      <c r="GQ51" s="139">
        <v>36207353</v>
      </c>
      <c r="GR51" s="139">
        <v>107422832</v>
      </c>
      <c r="GS51" s="139">
        <v>0</v>
      </c>
      <c r="GT51" s="139">
        <v>0</v>
      </c>
      <c r="GU51" s="139">
        <v>0</v>
      </c>
      <c r="GV51" s="139">
        <v>0</v>
      </c>
      <c r="GW51" s="139">
        <v>475000</v>
      </c>
      <c r="GX51" s="139">
        <v>475000</v>
      </c>
      <c r="GY51" s="139">
        <v>34504088</v>
      </c>
      <c r="GZ51" s="139">
        <v>11537882</v>
      </c>
      <c r="HA51" s="139">
        <v>3680306</v>
      </c>
      <c r="HB51" s="139">
        <v>21493203</v>
      </c>
      <c r="HC51" s="139">
        <v>36682353</v>
      </c>
      <c r="HD51" s="139">
        <v>107897832</v>
      </c>
      <c r="HF51" s="70">
        <f>SUM(AZ51:AZ51)</f>
        <v>17671810</v>
      </c>
      <c r="HG51" s="70" t="e">
        <f>#REF!-HF51</f>
        <v>#REF!</v>
      </c>
      <c r="HH51" s="70" t="e">
        <f>SUM(#REF!)</f>
        <v>#REF!</v>
      </c>
      <c r="HI51" s="70" t="e">
        <f>#REF!-HH51</f>
        <v>#REF!</v>
      </c>
      <c r="HJ51" s="70">
        <f>SUM(BA51:BA51)</f>
        <v>0</v>
      </c>
      <c r="HK51" s="70" t="e">
        <f>#REF!-HJ51</f>
        <v>#REF!</v>
      </c>
      <c r="HL51" s="70" t="e">
        <f>SUM(#REF!)</f>
        <v>#REF!</v>
      </c>
      <c r="HM51" s="70" t="e">
        <f>BB51-HL51</f>
        <v>#REF!</v>
      </c>
      <c r="HN51" s="70" t="e">
        <f>SUM(#REF!)</f>
        <v>#REF!</v>
      </c>
      <c r="HO51" s="70" t="e">
        <f>#REF!-HN51</f>
        <v>#REF!</v>
      </c>
      <c r="HP51" s="70" t="e">
        <f>SUM(#REF!)</f>
        <v>#REF!</v>
      </c>
      <c r="HQ51" s="70" t="e">
        <f>#REF!-HP51</f>
        <v>#REF!</v>
      </c>
      <c r="HR51" s="70" t="e">
        <f>SUM(#REF!)</f>
        <v>#REF!</v>
      </c>
      <c r="HS51" s="70" t="e">
        <f>#REF!-HR51</f>
        <v>#REF!</v>
      </c>
      <c r="HT51" s="70" t="e">
        <f>SUM(#REF!)</f>
        <v>#REF!</v>
      </c>
      <c r="HU51" s="70" t="e">
        <f>#REF!-HT51</f>
        <v>#REF!</v>
      </c>
      <c r="HV51" s="70" t="e">
        <f>SUM(#REF!)</f>
        <v>#REF!</v>
      </c>
      <c r="HW51" s="70" t="e">
        <f>#REF!-HV51</f>
        <v>#REF!</v>
      </c>
      <c r="HX51" s="70" t="e">
        <f>SUM(#REF!)</f>
        <v>#REF!</v>
      </c>
      <c r="HY51" s="70" t="e">
        <f>#REF!-HX51</f>
        <v>#REF!</v>
      </c>
      <c r="HZ51" s="70">
        <f>SUM(BC51:BC51)</f>
        <v>867903</v>
      </c>
      <c r="IA51" s="70" t="e">
        <f>#REF!-HZ51</f>
        <v>#REF!</v>
      </c>
      <c r="IB51" s="70">
        <f>SUM(BD51:BD51)</f>
        <v>345000</v>
      </c>
      <c r="IC51" s="70" t="e">
        <f>#REF!-IB51</f>
        <v>#REF!</v>
      </c>
      <c r="ID51" s="70">
        <f t="shared" si="56"/>
        <v>2483594</v>
      </c>
      <c r="IE51" s="70">
        <f t="shared" si="57"/>
        <v>0</v>
      </c>
      <c r="IF51" s="70">
        <f t="shared" si="58"/>
        <v>2088906</v>
      </c>
      <c r="IG51" s="70">
        <f t="shared" si="59"/>
        <v>0</v>
      </c>
      <c r="IH51" s="70">
        <f t="shared" si="60"/>
        <v>2076832</v>
      </c>
      <c r="II51" s="70">
        <f t="shared" si="61"/>
        <v>0</v>
      </c>
      <c r="IJ51" s="70">
        <f t="shared" si="62"/>
        <v>104677456</v>
      </c>
      <c r="IK51" s="70">
        <f t="shared" si="63"/>
        <v>0</v>
      </c>
      <c r="IL51" s="70">
        <f t="shared" si="102"/>
        <v>12477749</v>
      </c>
      <c r="IM51" s="70">
        <f t="shared" si="64"/>
        <v>0</v>
      </c>
      <c r="IN51" s="70">
        <f t="shared" si="65"/>
        <v>3066030</v>
      </c>
      <c r="IO51" s="70">
        <f t="shared" si="66"/>
        <v>0</v>
      </c>
      <c r="IP51" s="70">
        <f t="shared" si="67"/>
        <v>20295508</v>
      </c>
      <c r="IQ51" s="70">
        <f t="shared" si="68"/>
        <v>0</v>
      </c>
      <c r="IR51" s="70">
        <f t="shared" si="107"/>
        <v>588750</v>
      </c>
      <c r="IS51" s="70">
        <f t="shared" si="108"/>
        <v>0</v>
      </c>
      <c r="IT51" s="70">
        <f t="shared" si="103"/>
        <v>14666440</v>
      </c>
      <c r="IU51" s="70">
        <f t="shared" si="104"/>
        <v>0</v>
      </c>
      <c r="IV51" s="70">
        <f t="shared" si="105"/>
        <v>0</v>
      </c>
      <c r="IW51" s="70">
        <f t="shared" si="106"/>
        <v>0</v>
      </c>
      <c r="IX51" s="70">
        <f t="shared" si="69"/>
        <v>156137</v>
      </c>
      <c r="IY51" s="70">
        <f t="shared" si="70"/>
        <v>0</v>
      </c>
      <c r="IZ51" s="70">
        <f t="shared" si="71"/>
        <v>1443789</v>
      </c>
      <c r="JA51" s="70">
        <f t="shared" si="72"/>
        <v>0</v>
      </c>
      <c r="JB51" s="70">
        <f t="shared" si="73"/>
        <v>7515016</v>
      </c>
      <c r="JC51" s="70">
        <f t="shared" si="74"/>
        <v>0</v>
      </c>
      <c r="JD51" s="70">
        <f t="shared" si="75"/>
        <v>2661695</v>
      </c>
      <c r="JE51" s="70">
        <f t="shared" si="76"/>
        <v>0</v>
      </c>
      <c r="JF51" s="70">
        <f t="shared" si="77"/>
        <v>4203688</v>
      </c>
      <c r="JG51" s="70">
        <f t="shared" si="78"/>
        <v>0</v>
      </c>
      <c r="JH51" s="70">
        <f t="shared" si="79"/>
        <v>2055077</v>
      </c>
      <c r="JI51" s="70">
        <f t="shared" si="80"/>
        <v>0</v>
      </c>
      <c r="JJ51" s="70">
        <f t="shared" si="81"/>
        <v>1519137</v>
      </c>
      <c r="JK51" s="70">
        <f t="shared" si="82"/>
        <v>0</v>
      </c>
      <c r="JL51" s="70">
        <f t="shared" si="83"/>
        <v>22999383</v>
      </c>
      <c r="JM51" s="70">
        <f t="shared" si="84"/>
        <v>0</v>
      </c>
      <c r="JN51" s="70">
        <f t="shared" si="85"/>
        <v>1066327</v>
      </c>
      <c r="JO51" s="70">
        <f t="shared" si="86"/>
        <v>0</v>
      </c>
      <c r="JP51" s="70">
        <f t="shared" si="87"/>
        <v>706135</v>
      </c>
      <c r="JQ51" s="70">
        <f t="shared" si="88"/>
        <v>0</v>
      </c>
      <c r="JR51" s="70">
        <f t="shared" si="89"/>
        <v>1430583</v>
      </c>
      <c r="JS51" s="70">
        <f t="shared" si="90"/>
        <v>0</v>
      </c>
      <c r="JT51" s="70">
        <f t="shared" si="91"/>
        <v>126707</v>
      </c>
      <c r="JU51" s="70">
        <f t="shared" si="92"/>
        <v>0</v>
      </c>
      <c r="JV51" s="70">
        <f t="shared" si="93"/>
        <v>10444681</v>
      </c>
      <c r="JW51" s="70">
        <f t="shared" si="94"/>
        <v>0</v>
      </c>
      <c r="JX51" s="70">
        <f t="shared" si="95"/>
        <v>107422832</v>
      </c>
      <c r="JY51" s="70">
        <f t="shared" si="96"/>
        <v>0</v>
      </c>
      <c r="JZ51" s="70">
        <f t="shared" si="97"/>
        <v>475000</v>
      </c>
      <c r="KA51" s="70">
        <f t="shared" si="98"/>
        <v>0</v>
      </c>
      <c r="KB51" s="70">
        <f t="shared" si="99"/>
        <v>107897832</v>
      </c>
      <c r="KC51" s="70">
        <f t="shared" si="100"/>
        <v>0</v>
      </c>
      <c r="KE51" s="70" t="e">
        <f t="shared" si="101"/>
        <v>#REF!</v>
      </c>
      <c r="KG51" s="68" t="e">
        <f t="shared" si="53"/>
        <v>#REF!</v>
      </c>
    </row>
    <row r="52" spans="1:293">
      <c r="A52" s="180" t="s">
        <v>554</v>
      </c>
      <c r="B52" s="76" t="s">
        <v>363</v>
      </c>
      <c r="C52" s="90">
        <v>220978</v>
      </c>
      <c r="D52" s="90">
        <v>2014</v>
      </c>
      <c r="E52" s="90">
        <v>1</v>
      </c>
      <c r="F52" s="91">
        <v>8</v>
      </c>
      <c r="G52" s="92">
        <v>8091</v>
      </c>
      <c r="H52" s="92">
        <v>9263</v>
      </c>
      <c r="I52" s="93">
        <v>360268379</v>
      </c>
      <c r="J52" s="93">
        <v>348358664</v>
      </c>
      <c r="K52" s="93">
        <v>1467714</v>
      </c>
      <c r="L52" s="93">
        <v>1636834</v>
      </c>
      <c r="M52" s="93">
        <v>20240196</v>
      </c>
      <c r="N52" s="93">
        <v>17927287</v>
      </c>
      <c r="O52" s="93">
        <v>20665225</v>
      </c>
      <c r="P52" s="93">
        <v>22151581</v>
      </c>
      <c r="Q52" s="93">
        <v>251749865</v>
      </c>
      <c r="R52" s="93">
        <v>245824737</v>
      </c>
      <c r="S52" s="93">
        <v>361568357</v>
      </c>
      <c r="T52" s="93">
        <v>380237292</v>
      </c>
      <c r="U52" s="93">
        <v>18348</v>
      </c>
      <c r="V52" s="93">
        <v>17302</v>
      </c>
      <c r="W52" s="93">
        <v>35140</v>
      </c>
      <c r="X52" s="93">
        <v>32550</v>
      </c>
      <c r="Y52" s="93">
        <v>21664</v>
      </c>
      <c r="Z52" s="93">
        <v>19124</v>
      </c>
      <c r="AA52" s="93">
        <v>38592</v>
      </c>
      <c r="AB52" s="93">
        <v>33212</v>
      </c>
      <c r="AC52" s="114">
        <v>8</v>
      </c>
      <c r="AD52" s="114">
        <v>9</v>
      </c>
      <c r="AE52" s="114">
        <v>0</v>
      </c>
      <c r="AF52" s="115">
        <v>4410049</v>
      </c>
      <c r="AG52" s="115">
        <v>2528624</v>
      </c>
      <c r="AH52" s="115">
        <v>338556</v>
      </c>
      <c r="AI52" s="115">
        <v>116251</v>
      </c>
      <c r="AJ52" s="115">
        <v>311812</v>
      </c>
      <c r="AK52" s="116">
        <v>5.19</v>
      </c>
      <c r="AL52" s="115">
        <v>269717</v>
      </c>
      <c r="AM52" s="116">
        <v>6</v>
      </c>
      <c r="AN52" s="115">
        <v>127689</v>
      </c>
      <c r="AO52" s="116">
        <v>5.86</v>
      </c>
      <c r="AP52" s="115">
        <v>106894</v>
      </c>
      <c r="AQ52" s="116">
        <v>7</v>
      </c>
      <c r="AR52" s="115">
        <v>125176</v>
      </c>
      <c r="AS52" s="116">
        <v>17</v>
      </c>
      <c r="AT52" s="115">
        <v>85120</v>
      </c>
      <c r="AU52" s="116">
        <v>25</v>
      </c>
      <c r="AV52" s="115">
        <v>60722</v>
      </c>
      <c r="AW52" s="116">
        <v>10.7</v>
      </c>
      <c r="AX52" s="115">
        <v>40608</v>
      </c>
      <c r="AY52" s="116">
        <v>16</v>
      </c>
      <c r="AZ52" s="139">
        <v>918786</v>
      </c>
      <c r="BA52" s="139">
        <v>950000</v>
      </c>
      <c r="BB52" s="139">
        <v>2670172</v>
      </c>
      <c r="BC52" s="139">
        <v>74987</v>
      </c>
      <c r="BD52" s="139">
        <v>0</v>
      </c>
      <c r="BE52" s="139">
        <v>0</v>
      </c>
      <c r="BF52" s="139">
        <v>0</v>
      </c>
      <c r="BG52" s="139">
        <v>0</v>
      </c>
      <c r="BH52" s="139">
        <v>0</v>
      </c>
      <c r="BI52" s="139">
        <v>0</v>
      </c>
      <c r="BJ52" s="139">
        <v>0</v>
      </c>
      <c r="BK52" s="139">
        <v>16685</v>
      </c>
      <c r="BL52" s="139">
        <v>0</v>
      </c>
      <c r="BM52" s="139">
        <v>121833</v>
      </c>
      <c r="BN52" s="139">
        <v>203896</v>
      </c>
      <c r="BO52" s="139">
        <v>180371</v>
      </c>
      <c r="BP52" s="139">
        <v>522785</v>
      </c>
      <c r="BQ52" s="139">
        <v>0</v>
      </c>
      <c r="BR52" s="139">
        <v>0</v>
      </c>
      <c r="BS52" s="139">
        <v>0</v>
      </c>
      <c r="BT52" s="139">
        <v>23330</v>
      </c>
      <c r="BU52" s="139">
        <v>5994</v>
      </c>
      <c r="BV52" s="139">
        <v>29324</v>
      </c>
      <c r="BW52" s="139">
        <v>9259796</v>
      </c>
      <c r="BX52" s="139">
        <v>2476137</v>
      </c>
      <c r="BY52" s="139">
        <v>2121651</v>
      </c>
      <c r="BZ52" s="139">
        <v>8205602</v>
      </c>
      <c r="CA52" s="139">
        <v>8347344</v>
      </c>
      <c r="CB52" s="139">
        <v>30410530</v>
      </c>
      <c r="CC52" s="139">
        <v>2986053</v>
      </c>
      <c r="CD52" s="139">
        <v>421361</v>
      </c>
      <c r="CE52" s="139">
        <v>414461</v>
      </c>
      <c r="CF52" s="139">
        <v>3116798</v>
      </c>
      <c r="CG52" s="139">
        <v>865398</v>
      </c>
      <c r="CH52" s="139">
        <v>7804071</v>
      </c>
      <c r="CI52" s="139">
        <v>400000</v>
      </c>
      <c r="CJ52" s="139">
        <v>156500</v>
      </c>
      <c r="CK52" s="139">
        <v>14728</v>
      </c>
      <c r="CL52" s="139">
        <v>12500</v>
      </c>
      <c r="CM52" s="139">
        <v>0</v>
      </c>
      <c r="CN52" s="139">
        <v>583728</v>
      </c>
      <c r="CO52" s="139">
        <v>2308339</v>
      </c>
      <c r="CP52" s="139">
        <v>866032</v>
      </c>
      <c r="CQ52" s="139">
        <v>622033</v>
      </c>
      <c r="CR52" s="139">
        <v>1347875</v>
      </c>
      <c r="CS52" s="139">
        <v>0</v>
      </c>
      <c r="CT52" s="139">
        <v>5144279</v>
      </c>
      <c r="CU52" s="139">
        <v>0</v>
      </c>
      <c r="CV52" s="139">
        <v>0</v>
      </c>
      <c r="CW52" s="139">
        <v>0</v>
      </c>
      <c r="CX52" s="139">
        <v>0</v>
      </c>
      <c r="CY52" s="139">
        <v>0</v>
      </c>
      <c r="CZ52" s="139">
        <v>0</v>
      </c>
      <c r="DA52" s="139">
        <v>464568</v>
      </c>
      <c r="DB52" s="139">
        <v>60482</v>
      </c>
      <c r="DC52" s="139">
        <v>51393</v>
      </c>
      <c r="DD52" s="139">
        <v>34869</v>
      </c>
      <c r="DE52" s="139">
        <v>2991437</v>
      </c>
      <c r="DF52" s="139">
        <v>3602749</v>
      </c>
      <c r="DG52" s="139">
        <v>0</v>
      </c>
      <c r="DH52" s="139">
        <v>0</v>
      </c>
      <c r="DI52" s="139">
        <v>0</v>
      </c>
      <c r="DJ52" s="139">
        <v>0</v>
      </c>
      <c r="DK52" s="139">
        <v>0</v>
      </c>
      <c r="DL52" s="139">
        <v>0</v>
      </c>
      <c r="DM52" s="139">
        <v>0</v>
      </c>
      <c r="DN52" s="139">
        <v>0</v>
      </c>
      <c r="DO52" s="139">
        <v>0</v>
      </c>
      <c r="DP52" s="139">
        <v>0</v>
      </c>
      <c r="DQ52" s="139">
        <v>0</v>
      </c>
      <c r="DR52" s="139">
        <v>0</v>
      </c>
      <c r="DS52" s="139">
        <v>206955</v>
      </c>
      <c r="DT52" s="139">
        <v>75479</v>
      </c>
      <c r="DU52" s="139">
        <v>31933</v>
      </c>
      <c r="DV52" s="139">
        <v>140440</v>
      </c>
      <c r="DW52" s="139">
        <v>0</v>
      </c>
      <c r="DX52" s="139">
        <v>454807</v>
      </c>
      <c r="DY52" s="139">
        <v>1306352</v>
      </c>
      <c r="DZ52" s="139">
        <v>301109</v>
      </c>
      <c r="EA52" s="139">
        <v>429289</v>
      </c>
      <c r="EB52" s="139">
        <v>1016917</v>
      </c>
      <c r="EC52" s="139">
        <v>0</v>
      </c>
      <c r="ED52" s="139">
        <v>3053667</v>
      </c>
      <c r="EE52" s="139">
        <v>552498</v>
      </c>
      <c r="EF52" s="139">
        <v>62199</v>
      </c>
      <c r="EG52" s="139">
        <v>28063</v>
      </c>
      <c r="EH52" s="139">
        <v>288013</v>
      </c>
      <c r="EI52" s="139">
        <v>0</v>
      </c>
      <c r="EJ52" s="139">
        <v>930773</v>
      </c>
      <c r="EK52" s="139">
        <v>293183</v>
      </c>
      <c r="EL52" s="139">
        <v>161867</v>
      </c>
      <c r="EM52" s="139">
        <v>90382</v>
      </c>
      <c r="EN52" s="139">
        <v>135248</v>
      </c>
      <c r="EO52" s="139">
        <v>0</v>
      </c>
      <c r="EP52" s="139">
        <v>680680</v>
      </c>
      <c r="EQ52" s="139">
        <v>39494</v>
      </c>
      <c r="ER52" s="139">
        <v>16872</v>
      </c>
      <c r="ES52" s="139">
        <v>10312</v>
      </c>
      <c r="ET52" s="139">
        <v>10552</v>
      </c>
      <c r="EU52" s="139">
        <v>490562</v>
      </c>
      <c r="EV52" s="139">
        <v>567792</v>
      </c>
      <c r="EW52" s="139">
        <v>0</v>
      </c>
      <c r="EX52" s="139">
        <v>0</v>
      </c>
      <c r="EY52" s="139">
        <v>0</v>
      </c>
      <c r="EZ52" s="139">
        <v>0</v>
      </c>
      <c r="FA52" s="139">
        <v>0</v>
      </c>
      <c r="FB52" s="139">
        <v>0</v>
      </c>
      <c r="FC52" s="139">
        <v>32208</v>
      </c>
      <c r="FD52" s="139">
        <v>5312</v>
      </c>
      <c r="FE52" s="139">
        <v>16943</v>
      </c>
      <c r="FF52" s="139">
        <v>68353</v>
      </c>
      <c r="FG52" s="139">
        <v>115969</v>
      </c>
      <c r="FH52" s="139">
        <v>238785</v>
      </c>
      <c r="FI52" s="139">
        <v>30495</v>
      </c>
      <c r="FJ52" s="139">
        <v>0</v>
      </c>
      <c r="FK52" s="139">
        <v>23796</v>
      </c>
      <c r="FL52" s="139">
        <v>0</v>
      </c>
      <c r="FM52" s="139">
        <v>0</v>
      </c>
      <c r="FN52" s="139">
        <v>54291</v>
      </c>
      <c r="FO52" s="139">
        <v>1053239</v>
      </c>
      <c r="FP52" s="139">
        <v>287008</v>
      </c>
      <c r="FQ52" s="139">
        <v>274661</v>
      </c>
      <c r="FR52" s="139">
        <v>977029</v>
      </c>
      <c r="FS52" s="139">
        <v>973389</v>
      </c>
      <c r="FT52" s="139">
        <v>3565326</v>
      </c>
      <c r="FU52" s="139">
        <v>0</v>
      </c>
      <c r="FV52" s="139">
        <v>0</v>
      </c>
      <c r="FW52" s="139">
        <v>0</v>
      </c>
      <c r="FX52" s="139">
        <v>248</v>
      </c>
      <c r="FY52" s="139">
        <v>321781</v>
      </c>
      <c r="FZ52" s="139">
        <v>322029</v>
      </c>
      <c r="GA52" s="139">
        <v>2165</v>
      </c>
      <c r="GB52" s="139">
        <v>1205</v>
      </c>
      <c r="GC52" s="139">
        <v>1169</v>
      </c>
      <c r="GD52" s="139">
        <v>3899</v>
      </c>
      <c r="GE52" s="139">
        <v>18270</v>
      </c>
      <c r="GF52" s="139">
        <v>26708</v>
      </c>
      <c r="GG52" s="139">
        <v>418059</v>
      </c>
      <c r="GH52" s="139">
        <v>101592</v>
      </c>
      <c r="GI52" s="139">
        <v>74010</v>
      </c>
      <c r="GJ52" s="139">
        <v>168960</v>
      </c>
      <c r="GK52" s="139">
        <v>1244354</v>
      </c>
      <c r="GL52" s="139">
        <v>2006975</v>
      </c>
      <c r="GM52" s="139">
        <v>10093608</v>
      </c>
      <c r="GN52" s="139">
        <v>2517018</v>
      </c>
      <c r="GO52" s="139">
        <v>2083173</v>
      </c>
      <c r="GP52" s="139">
        <v>7321701</v>
      </c>
      <c r="GQ52" s="139">
        <v>7021160</v>
      </c>
      <c r="GR52" s="139">
        <v>29036660</v>
      </c>
      <c r="GS52" s="139">
        <v>0</v>
      </c>
      <c r="GT52" s="139">
        <v>0</v>
      </c>
      <c r="GU52" s="139">
        <v>0</v>
      </c>
      <c r="GV52" s="139">
        <v>0</v>
      </c>
      <c r="GW52" s="139">
        <v>0</v>
      </c>
      <c r="GX52" s="139">
        <v>0</v>
      </c>
      <c r="GY52" s="139">
        <v>10093608</v>
      </c>
      <c r="GZ52" s="139">
        <v>2517018</v>
      </c>
      <c r="HA52" s="139">
        <v>2083173</v>
      </c>
      <c r="HB52" s="139">
        <v>7321701</v>
      </c>
      <c r="HC52" s="139">
        <v>7021160</v>
      </c>
      <c r="HD52" s="139">
        <v>29036660</v>
      </c>
      <c r="HF52" s="70">
        <f>SUM(AZ52:AZ52)</f>
        <v>918786</v>
      </c>
      <c r="HG52" s="70" t="e">
        <f>#REF!-HF52</f>
        <v>#REF!</v>
      </c>
      <c r="HH52" s="70" t="e">
        <f>SUM(#REF!)</f>
        <v>#REF!</v>
      </c>
      <c r="HI52" s="70" t="e">
        <f>#REF!-HH52</f>
        <v>#REF!</v>
      </c>
      <c r="HJ52" s="70">
        <f>SUM(BA52:BA52)</f>
        <v>950000</v>
      </c>
      <c r="HK52" s="70" t="e">
        <f>#REF!-HJ52</f>
        <v>#REF!</v>
      </c>
      <c r="HL52" s="70" t="e">
        <f>SUM(#REF!)</f>
        <v>#REF!</v>
      </c>
      <c r="HM52" s="70" t="e">
        <f>BB52-HL52</f>
        <v>#REF!</v>
      </c>
      <c r="HN52" s="70" t="e">
        <f>SUM(#REF!)</f>
        <v>#REF!</v>
      </c>
      <c r="HO52" s="70" t="e">
        <f>#REF!-HN52</f>
        <v>#REF!</v>
      </c>
      <c r="HP52" s="70" t="e">
        <f>SUM(#REF!)</f>
        <v>#REF!</v>
      </c>
      <c r="HQ52" s="70" t="e">
        <f>#REF!-HP52</f>
        <v>#REF!</v>
      </c>
      <c r="HR52" s="70" t="e">
        <f>SUM(#REF!)</f>
        <v>#REF!</v>
      </c>
      <c r="HS52" s="70" t="e">
        <f>#REF!-HR52</f>
        <v>#REF!</v>
      </c>
      <c r="HT52" s="70" t="e">
        <f>SUM(#REF!)</f>
        <v>#REF!</v>
      </c>
      <c r="HU52" s="70" t="e">
        <f>#REF!-HT52</f>
        <v>#REF!</v>
      </c>
      <c r="HV52" s="70" t="e">
        <f>SUM(#REF!)</f>
        <v>#REF!</v>
      </c>
      <c r="HW52" s="70" t="e">
        <f>#REF!-HV52</f>
        <v>#REF!</v>
      </c>
      <c r="HX52" s="70" t="e">
        <f>SUM(#REF!)</f>
        <v>#REF!</v>
      </c>
      <c r="HY52" s="70" t="e">
        <f>#REF!-HX52</f>
        <v>#REF!</v>
      </c>
      <c r="HZ52" s="70">
        <f>SUM(BC52:BC52)</f>
        <v>74987</v>
      </c>
      <c r="IA52" s="70" t="e">
        <f>#REF!-HZ52</f>
        <v>#REF!</v>
      </c>
      <c r="IB52" s="70">
        <f>SUM(BD52:BD52)</f>
        <v>0</v>
      </c>
      <c r="IC52" s="70" t="e">
        <f>#REF!-IB52</f>
        <v>#REF!</v>
      </c>
      <c r="ID52" s="70">
        <f t="shared" si="56"/>
        <v>0</v>
      </c>
      <c r="IE52" s="70">
        <f t="shared" si="57"/>
        <v>0</v>
      </c>
      <c r="IF52" s="70">
        <f t="shared" si="58"/>
        <v>522785</v>
      </c>
      <c r="IG52" s="70">
        <f t="shared" si="59"/>
        <v>0</v>
      </c>
      <c r="IH52" s="70">
        <f t="shared" si="60"/>
        <v>29324</v>
      </c>
      <c r="II52" s="70">
        <f t="shared" si="61"/>
        <v>0</v>
      </c>
      <c r="IJ52" s="70">
        <f t="shared" si="62"/>
        <v>30410530</v>
      </c>
      <c r="IK52" s="70">
        <f t="shared" si="63"/>
        <v>0</v>
      </c>
      <c r="IL52" s="70">
        <f t="shared" si="102"/>
        <v>7804071</v>
      </c>
      <c r="IM52" s="70">
        <f t="shared" si="64"/>
        <v>0</v>
      </c>
      <c r="IN52" s="70">
        <f t="shared" si="65"/>
        <v>583728</v>
      </c>
      <c r="IO52" s="70">
        <f t="shared" si="66"/>
        <v>0</v>
      </c>
      <c r="IP52" s="70">
        <f t="shared" si="67"/>
        <v>5144279</v>
      </c>
      <c r="IQ52" s="70">
        <f t="shared" si="68"/>
        <v>0</v>
      </c>
      <c r="IR52" s="70">
        <f t="shared" si="107"/>
        <v>0</v>
      </c>
      <c r="IS52" s="70">
        <f t="shared" si="108"/>
        <v>0</v>
      </c>
      <c r="IT52" s="70">
        <f t="shared" si="103"/>
        <v>3602749</v>
      </c>
      <c r="IU52" s="70">
        <f t="shared" si="104"/>
        <v>0</v>
      </c>
      <c r="IV52" s="70">
        <f t="shared" si="105"/>
        <v>0</v>
      </c>
      <c r="IW52" s="70">
        <f t="shared" si="106"/>
        <v>0</v>
      </c>
      <c r="IX52" s="70">
        <f t="shared" si="69"/>
        <v>0</v>
      </c>
      <c r="IY52" s="70">
        <f t="shared" si="70"/>
        <v>0</v>
      </c>
      <c r="IZ52" s="70">
        <f t="shared" si="71"/>
        <v>454807</v>
      </c>
      <c r="JA52" s="70">
        <f t="shared" si="72"/>
        <v>0</v>
      </c>
      <c r="JB52" s="70">
        <f t="shared" si="73"/>
        <v>3053667</v>
      </c>
      <c r="JC52" s="70">
        <f t="shared" si="74"/>
        <v>0</v>
      </c>
      <c r="JD52" s="70">
        <f t="shared" si="75"/>
        <v>930773</v>
      </c>
      <c r="JE52" s="70">
        <f t="shared" si="76"/>
        <v>0</v>
      </c>
      <c r="JF52" s="70">
        <f t="shared" si="77"/>
        <v>680680</v>
      </c>
      <c r="JG52" s="70">
        <f t="shared" si="78"/>
        <v>0</v>
      </c>
      <c r="JH52" s="70">
        <f t="shared" si="79"/>
        <v>567792</v>
      </c>
      <c r="JI52" s="70">
        <f t="shared" si="80"/>
        <v>0</v>
      </c>
      <c r="JJ52" s="70">
        <f t="shared" si="81"/>
        <v>0</v>
      </c>
      <c r="JK52" s="70">
        <f t="shared" si="82"/>
        <v>0</v>
      </c>
      <c r="JL52" s="70">
        <f t="shared" si="83"/>
        <v>238785</v>
      </c>
      <c r="JM52" s="70">
        <f t="shared" si="84"/>
        <v>0</v>
      </c>
      <c r="JN52" s="70">
        <f t="shared" si="85"/>
        <v>54291</v>
      </c>
      <c r="JO52" s="70">
        <f t="shared" si="86"/>
        <v>0</v>
      </c>
      <c r="JP52" s="70">
        <f t="shared" si="87"/>
        <v>3565326</v>
      </c>
      <c r="JQ52" s="70">
        <f t="shared" si="88"/>
        <v>0</v>
      </c>
      <c r="JR52" s="70">
        <f t="shared" si="89"/>
        <v>322029</v>
      </c>
      <c r="JS52" s="70">
        <f t="shared" si="90"/>
        <v>0</v>
      </c>
      <c r="JT52" s="70">
        <f t="shared" si="91"/>
        <v>26708</v>
      </c>
      <c r="JU52" s="70">
        <f t="shared" si="92"/>
        <v>0</v>
      </c>
      <c r="JV52" s="70">
        <f t="shared" si="93"/>
        <v>2006975</v>
      </c>
      <c r="JW52" s="70">
        <f t="shared" si="94"/>
        <v>0</v>
      </c>
      <c r="JX52" s="70">
        <f t="shared" si="95"/>
        <v>29036660</v>
      </c>
      <c r="JY52" s="70">
        <f t="shared" si="96"/>
        <v>0</v>
      </c>
      <c r="JZ52" s="70">
        <f t="shared" si="97"/>
        <v>0</v>
      </c>
      <c r="KA52" s="70">
        <f t="shared" si="98"/>
        <v>0</v>
      </c>
      <c r="KB52" s="70">
        <f t="shared" si="99"/>
        <v>29036660</v>
      </c>
      <c r="KC52" s="70">
        <f t="shared" si="100"/>
        <v>0</v>
      </c>
      <c r="KE52" s="70" t="e">
        <f t="shared" si="101"/>
        <v>#REF!</v>
      </c>
      <c r="KG52" s="68" t="e">
        <f t="shared" si="53"/>
        <v>#REF!</v>
      </c>
    </row>
    <row r="53" spans="1:293">
      <c r="A53" s="180" t="s">
        <v>265</v>
      </c>
      <c r="B53" s="76" t="s">
        <v>363</v>
      </c>
      <c r="C53" s="90">
        <v>174066</v>
      </c>
      <c r="D53" s="90">
        <v>2014</v>
      </c>
      <c r="E53" s="90">
        <v>1</v>
      </c>
      <c r="F53" s="91">
        <v>3</v>
      </c>
      <c r="G53" s="92">
        <v>13616</v>
      </c>
      <c r="H53" s="92">
        <v>14250</v>
      </c>
      <c r="I53" s="93">
        <v>3260294669</v>
      </c>
      <c r="J53" s="93">
        <v>3064215901</v>
      </c>
      <c r="K53" s="93">
        <v>17663000</v>
      </c>
      <c r="L53" s="93">
        <v>16160000</v>
      </c>
      <c r="M53" s="93">
        <v>112758000</v>
      </c>
      <c r="N53" s="93">
        <v>111482644</v>
      </c>
      <c r="O53" s="93">
        <v>201395000</v>
      </c>
      <c r="P53" s="93">
        <v>213240000</v>
      </c>
      <c r="Q53" s="93">
        <v>1282507000</v>
      </c>
      <c r="R53" s="93">
        <v>1300729844</v>
      </c>
      <c r="S53" s="93">
        <v>3003643507</v>
      </c>
      <c r="T53" s="93">
        <v>2828786471</v>
      </c>
      <c r="U53" s="93">
        <v>23568</v>
      </c>
      <c r="V53" s="93">
        <v>23132</v>
      </c>
      <c r="W53" s="93">
        <v>29818</v>
      </c>
      <c r="X53" s="93">
        <v>28382</v>
      </c>
      <c r="Y53" s="93">
        <v>25294</v>
      </c>
      <c r="Z53" s="93">
        <v>24872</v>
      </c>
      <c r="AA53" s="93">
        <v>31544</v>
      </c>
      <c r="AB53" s="93">
        <v>30122</v>
      </c>
      <c r="AC53" s="114">
        <v>12</v>
      </c>
      <c r="AD53" s="114">
        <v>13</v>
      </c>
      <c r="AE53" s="114">
        <v>0</v>
      </c>
      <c r="AF53" s="115">
        <v>4809510</v>
      </c>
      <c r="AG53" s="115">
        <v>3930837</v>
      </c>
      <c r="AH53" s="115">
        <v>1159504</v>
      </c>
      <c r="AI53" s="115">
        <v>466144</v>
      </c>
      <c r="AJ53" s="115">
        <v>442953</v>
      </c>
      <c r="AK53" s="116">
        <v>10</v>
      </c>
      <c r="AL53" s="115">
        <v>402684</v>
      </c>
      <c r="AM53" s="116">
        <v>11</v>
      </c>
      <c r="AN53" s="115">
        <v>154909</v>
      </c>
      <c r="AO53" s="116">
        <v>12</v>
      </c>
      <c r="AP53" s="115">
        <v>142993</v>
      </c>
      <c r="AQ53" s="116">
        <v>13</v>
      </c>
      <c r="AR53" s="115">
        <v>174946</v>
      </c>
      <c r="AS53" s="116">
        <v>26</v>
      </c>
      <c r="AT53" s="115">
        <v>174946</v>
      </c>
      <c r="AU53" s="116">
        <v>26</v>
      </c>
      <c r="AV53" s="115">
        <v>65007</v>
      </c>
      <c r="AW53" s="116">
        <v>20</v>
      </c>
      <c r="AX53" s="115">
        <v>65007</v>
      </c>
      <c r="AY53" s="116">
        <v>20</v>
      </c>
      <c r="AZ53" s="162">
        <v>14024130</v>
      </c>
      <c r="BA53" s="162">
        <v>250000</v>
      </c>
      <c r="BB53" s="162">
        <v>10332287</v>
      </c>
      <c r="BC53" s="162">
        <v>0</v>
      </c>
      <c r="BD53" s="162">
        <v>0</v>
      </c>
      <c r="BE53" s="162">
        <v>0</v>
      </c>
      <c r="BF53" s="162">
        <v>0</v>
      </c>
      <c r="BG53" s="162">
        <v>0</v>
      </c>
      <c r="BH53" s="162">
        <v>0</v>
      </c>
      <c r="BI53" s="162">
        <v>0</v>
      </c>
      <c r="BJ53" s="162">
        <v>0</v>
      </c>
      <c r="BK53" s="162">
        <v>2397701</v>
      </c>
      <c r="BL53" s="162">
        <v>375292</v>
      </c>
      <c r="BM53" s="162">
        <v>317356</v>
      </c>
      <c r="BN53" s="162">
        <v>5687298</v>
      </c>
      <c r="BO53" s="151">
        <v>33611</v>
      </c>
      <c r="BP53" s="162">
        <v>8811258</v>
      </c>
      <c r="BQ53" s="162">
        <v>319981</v>
      </c>
      <c r="BR53" s="162">
        <v>0</v>
      </c>
      <c r="BS53" s="162">
        <v>0</v>
      </c>
      <c r="BT53" s="162">
        <v>26424</v>
      </c>
      <c r="BU53" s="162">
        <v>9707025</v>
      </c>
      <c r="BV53" s="162">
        <v>10053430</v>
      </c>
      <c r="BW53" s="162">
        <v>39820826</v>
      </c>
      <c r="BX53" s="162">
        <v>13144910</v>
      </c>
      <c r="BY53" s="162">
        <v>647438</v>
      </c>
      <c r="BZ53" s="162">
        <v>15212658</v>
      </c>
      <c r="CA53" s="162">
        <v>37350324</v>
      </c>
      <c r="CB53" s="162">
        <v>106176156</v>
      </c>
      <c r="CC53" s="162">
        <v>2397701</v>
      </c>
      <c r="CD53" s="162">
        <v>375292</v>
      </c>
      <c r="CE53" s="162">
        <v>280056</v>
      </c>
      <c r="CF53" s="162">
        <v>5687298</v>
      </c>
      <c r="CG53" s="162">
        <v>1897760</v>
      </c>
      <c r="CH53" s="162">
        <v>10638107</v>
      </c>
      <c r="CI53" s="162">
        <v>4279293</v>
      </c>
      <c r="CJ53" s="162">
        <v>1314000</v>
      </c>
      <c r="CK53" s="162">
        <v>80000</v>
      </c>
      <c r="CL53" s="162">
        <v>1245586</v>
      </c>
      <c r="CM53" s="162">
        <v>459563</v>
      </c>
      <c r="CN53" s="162">
        <v>7378442</v>
      </c>
      <c r="CO53" s="162">
        <v>4414537</v>
      </c>
      <c r="CP53" s="162">
        <v>2225259</v>
      </c>
      <c r="CQ53" s="162">
        <v>841742</v>
      </c>
      <c r="CR53" s="162">
        <v>4655638</v>
      </c>
      <c r="CS53" s="162">
        <v>0</v>
      </c>
      <c r="CT53" s="162">
        <v>12137176</v>
      </c>
      <c r="CU53" s="162">
        <v>0</v>
      </c>
      <c r="CV53" s="162">
        <v>0</v>
      </c>
      <c r="CW53" s="162">
        <v>0</v>
      </c>
      <c r="CX53" s="162">
        <v>0</v>
      </c>
      <c r="CY53" s="162">
        <v>0</v>
      </c>
      <c r="CZ53" s="162">
        <v>0</v>
      </c>
      <c r="DA53" s="162">
        <v>1462153</v>
      </c>
      <c r="DB53" s="162">
        <v>200650</v>
      </c>
      <c r="DC53" s="162">
        <v>119660</v>
      </c>
      <c r="DD53" s="162">
        <v>630710</v>
      </c>
      <c r="DE53" s="162">
        <v>9599637</v>
      </c>
      <c r="DF53" s="162">
        <v>12012810</v>
      </c>
      <c r="DG53" s="162">
        <v>0</v>
      </c>
      <c r="DH53" s="162">
        <v>0</v>
      </c>
      <c r="DI53" s="162">
        <v>0</v>
      </c>
      <c r="DJ53" s="162">
        <v>0</v>
      </c>
      <c r="DK53" s="162">
        <v>0</v>
      </c>
      <c r="DL53" s="162">
        <v>0</v>
      </c>
      <c r="DM53" s="162">
        <v>0</v>
      </c>
      <c r="DN53" s="162">
        <v>2677470</v>
      </c>
      <c r="DO53" s="162">
        <v>524722</v>
      </c>
      <c r="DP53" s="162">
        <v>59111</v>
      </c>
      <c r="DQ53" s="162">
        <v>45180</v>
      </c>
      <c r="DR53" s="162">
        <v>3306483</v>
      </c>
      <c r="DS53" s="162">
        <v>555755</v>
      </c>
      <c r="DT53" s="162">
        <v>359056</v>
      </c>
      <c r="DU53" s="162">
        <v>118325</v>
      </c>
      <c r="DV53" s="162">
        <v>592512</v>
      </c>
      <c r="DW53" s="162">
        <v>0</v>
      </c>
      <c r="DX53" s="162">
        <v>1625648</v>
      </c>
      <c r="DY53" s="162">
        <v>3414850</v>
      </c>
      <c r="DZ53" s="162">
        <v>1102522</v>
      </c>
      <c r="EA53" s="162">
        <v>548611</v>
      </c>
      <c r="EB53" s="162">
        <v>3828135</v>
      </c>
      <c r="EC53" s="162">
        <v>1051836</v>
      </c>
      <c r="ED53" s="162">
        <v>9945954</v>
      </c>
      <c r="EE53" s="162">
        <v>1077068</v>
      </c>
      <c r="EF53" s="162">
        <v>227168</v>
      </c>
      <c r="EG53" s="162">
        <v>177928</v>
      </c>
      <c r="EH53" s="162">
        <v>1446821</v>
      </c>
      <c r="EI53" s="162">
        <v>0</v>
      </c>
      <c r="EJ53" s="162">
        <v>2928985</v>
      </c>
      <c r="EK53" s="162">
        <v>1914056</v>
      </c>
      <c r="EL53" s="162">
        <v>463412</v>
      </c>
      <c r="EM53" s="162">
        <v>246052</v>
      </c>
      <c r="EN53" s="162">
        <v>1503573</v>
      </c>
      <c r="EO53" s="162">
        <v>451653</v>
      </c>
      <c r="EP53" s="162">
        <v>4578746</v>
      </c>
      <c r="EQ53" s="162">
        <v>0</v>
      </c>
      <c r="ER53" s="162">
        <v>0</v>
      </c>
      <c r="ES53" s="162">
        <v>0</v>
      </c>
      <c r="ET53" s="162">
        <v>0</v>
      </c>
      <c r="EU53" s="162">
        <v>1768677</v>
      </c>
      <c r="EV53" s="162">
        <v>1768677</v>
      </c>
      <c r="EW53" s="162">
        <v>0</v>
      </c>
      <c r="EX53" s="162">
        <v>0</v>
      </c>
      <c r="EY53" s="162">
        <v>0</v>
      </c>
      <c r="EZ53" s="162">
        <v>0</v>
      </c>
      <c r="FA53" s="162">
        <v>0</v>
      </c>
      <c r="FB53" s="162">
        <v>0</v>
      </c>
      <c r="FC53" s="162">
        <v>5637886</v>
      </c>
      <c r="FD53" s="162">
        <v>764204</v>
      </c>
      <c r="FE53" s="162">
        <v>496546</v>
      </c>
      <c r="FF53" s="162">
        <v>4172798</v>
      </c>
      <c r="FG53" s="162">
        <v>5174355</v>
      </c>
      <c r="FH53" s="162">
        <v>16245789</v>
      </c>
      <c r="FI53" s="162">
        <v>0</v>
      </c>
      <c r="FJ53" s="162">
        <v>0</v>
      </c>
      <c r="FK53" s="162">
        <v>0</v>
      </c>
      <c r="FL53" s="162">
        <v>0</v>
      </c>
      <c r="FM53" s="162">
        <v>619737</v>
      </c>
      <c r="FN53" s="162">
        <v>619737</v>
      </c>
      <c r="FO53" s="162">
        <v>0</v>
      </c>
      <c r="FP53" s="162">
        <v>0</v>
      </c>
      <c r="FQ53" s="162">
        <v>0</v>
      </c>
      <c r="FR53" s="162">
        <v>0</v>
      </c>
      <c r="FS53" s="162">
        <v>5468519</v>
      </c>
      <c r="FT53" s="162">
        <v>5468519</v>
      </c>
      <c r="FU53" s="162">
        <v>0</v>
      </c>
      <c r="FV53" s="162">
        <v>0</v>
      </c>
      <c r="FW53" s="162">
        <v>0</v>
      </c>
      <c r="FX53" s="162">
        <v>0</v>
      </c>
      <c r="FY53" s="162">
        <v>905093</v>
      </c>
      <c r="FZ53" s="162">
        <v>905093</v>
      </c>
      <c r="GA53" s="162">
        <v>0</v>
      </c>
      <c r="GB53" s="162">
        <v>0</v>
      </c>
      <c r="GC53" s="162">
        <v>0</v>
      </c>
      <c r="GD53" s="162">
        <v>0</v>
      </c>
      <c r="GE53" s="162">
        <v>146184</v>
      </c>
      <c r="GF53" s="162">
        <v>146184</v>
      </c>
      <c r="GG53" s="162">
        <v>2603354</v>
      </c>
      <c r="GH53" s="162">
        <v>1308344</v>
      </c>
      <c r="GI53" s="162">
        <v>531458</v>
      </c>
      <c r="GJ53" s="162">
        <v>2665238</v>
      </c>
      <c r="GK53" s="162">
        <v>9361412</v>
      </c>
      <c r="GL53" s="162">
        <v>16469806</v>
      </c>
      <c r="GM53" s="162">
        <v>27756653</v>
      </c>
      <c r="GN53" s="162">
        <v>11017377</v>
      </c>
      <c r="GO53" s="162">
        <v>3965100</v>
      </c>
      <c r="GP53" s="162">
        <v>26487420</v>
      </c>
      <c r="GQ53" s="162">
        <v>36949606</v>
      </c>
      <c r="GR53" s="162">
        <v>106176156</v>
      </c>
      <c r="GS53" s="162">
        <v>0</v>
      </c>
      <c r="GT53" s="151">
        <v>0</v>
      </c>
      <c r="GU53" s="162">
        <v>0</v>
      </c>
      <c r="GV53" s="162">
        <v>0</v>
      </c>
      <c r="GW53" s="162">
        <v>0</v>
      </c>
      <c r="GX53" s="162">
        <v>0</v>
      </c>
      <c r="GY53" s="162">
        <v>27756653</v>
      </c>
      <c r="GZ53" s="162">
        <v>11017377</v>
      </c>
      <c r="HA53" s="162">
        <v>3965100</v>
      </c>
      <c r="HB53" s="162">
        <v>26487420</v>
      </c>
      <c r="HC53" s="162">
        <v>36949606</v>
      </c>
      <c r="HD53" s="162">
        <v>106176156</v>
      </c>
      <c r="HF53" s="70">
        <f>SUM(AZ53:AZ53)</f>
        <v>14024130</v>
      </c>
      <c r="HG53" s="70" t="e">
        <f>#REF!-HF53</f>
        <v>#REF!</v>
      </c>
      <c r="HH53" s="70" t="e">
        <f>SUM(#REF!)</f>
        <v>#REF!</v>
      </c>
      <c r="HI53" s="70" t="e">
        <f>#REF!-HH53</f>
        <v>#REF!</v>
      </c>
      <c r="HJ53" s="70">
        <f>SUM(BA53:BA53)</f>
        <v>250000</v>
      </c>
      <c r="HK53" s="70" t="e">
        <f>#REF!-HJ53</f>
        <v>#REF!</v>
      </c>
      <c r="HL53" s="70" t="e">
        <f>SUM(#REF!)</f>
        <v>#REF!</v>
      </c>
      <c r="HM53" s="70" t="e">
        <f>BB53-HL53</f>
        <v>#REF!</v>
      </c>
      <c r="HN53" s="70" t="e">
        <f>SUM(#REF!)</f>
        <v>#REF!</v>
      </c>
      <c r="HO53" s="70" t="e">
        <f>#REF!-HN53</f>
        <v>#REF!</v>
      </c>
      <c r="HP53" s="70" t="e">
        <f>SUM(#REF!)</f>
        <v>#REF!</v>
      </c>
      <c r="HQ53" s="70" t="e">
        <f>#REF!-HP53</f>
        <v>#REF!</v>
      </c>
      <c r="HR53" s="70" t="e">
        <f>SUM(#REF!)</f>
        <v>#REF!</v>
      </c>
      <c r="HS53" s="70" t="e">
        <f>#REF!-HR53</f>
        <v>#REF!</v>
      </c>
      <c r="HT53" s="70" t="e">
        <f>SUM(#REF!)</f>
        <v>#REF!</v>
      </c>
      <c r="HU53" s="70" t="e">
        <f>#REF!-HT53</f>
        <v>#REF!</v>
      </c>
      <c r="HV53" s="70" t="e">
        <f>SUM(#REF!)</f>
        <v>#REF!</v>
      </c>
      <c r="HW53" s="70" t="e">
        <f>#REF!-HV53</f>
        <v>#REF!</v>
      </c>
      <c r="HX53" s="70" t="e">
        <f>SUM(#REF!)</f>
        <v>#REF!</v>
      </c>
      <c r="HY53" s="70" t="e">
        <f>#REF!-HX53</f>
        <v>#REF!</v>
      </c>
      <c r="HZ53" s="70">
        <f>SUM(BC53:BC53)</f>
        <v>0</v>
      </c>
      <c r="IA53" s="70" t="e">
        <f>#REF!-HZ53</f>
        <v>#REF!</v>
      </c>
      <c r="IB53" s="70">
        <f>SUM(BD53:BD53)</f>
        <v>0</v>
      </c>
      <c r="IC53" s="70" t="e">
        <f>#REF!-IB53</f>
        <v>#REF!</v>
      </c>
      <c r="ID53" s="70">
        <f t="shared" si="56"/>
        <v>0</v>
      </c>
      <c r="IE53" s="70">
        <f t="shared" si="57"/>
        <v>0</v>
      </c>
      <c r="IF53" s="70">
        <f t="shared" si="58"/>
        <v>8811258</v>
      </c>
      <c r="IG53" s="70">
        <f t="shared" si="59"/>
        <v>0</v>
      </c>
      <c r="IH53" s="70">
        <f t="shared" si="60"/>
        <v>10053430</v>
      </c>
      <c r="II53" s="70">
        <f t="shared" si="61"/>
        <v>0</v>
      </c>
      <c r="IJ53" s="70">
        <f t="shared" si="62"/>
        <v>106176156</v>
      </c>
      <c r="IK53" s="70">
        <f t="shared" si="63"/>
        <v>0</v>
      </c>
      <c r="IL53" s="70">
        <f t="shared" si="102"/>
        <v>10638107</v>
      </c>
      <c r="IM53" s="70">
        <f t="shared" si="64"/>
        <v>0</v>
      </c>
      <c r="IN53" s="70">
        <f t="shared" si="65"/>
        <v>7378442</v>
      </c>
      <c r="IO53" s="70">
        <f t="shared" si="66"/>
        <v>0</v>
      </c>
      <c r="IP53" s="70">
        <f t="shared" si="67"/>
        <v>12137176</v>
      </c>
      <c r="IQ53" s="70">
        <f t="shared" si="68"/>
        <v>0</v>
      </c>
      <c r="IR53" s="70">
        <f t="shared" si="107"/>
        <v>0</v>
      </c>
      <c r="IS53" s="70">
        <f t="shared" si="108"/>
        <v>0</v>
      </c>
      <c r="IT53" s="70">
        <f t="shared" si="103"/>
        <v>12012810</v>
      </c>
      <c r="IU53" s="70">
        <f t="shared" si="104"/>
        <v>0</v>
      </c>
      <c r="IV53" s="70">
        <f t="shared" si="105"/>
        <v>0</v>
      </c>
      <c r="IW53" s="70">
        <f t="shared" si="106"/>
        <v>0</v>
      </c>
      <c r="IX53" s="70">
        <f t="shared" si="69"/>
        <v>3306483</v>
      </c>
      <c r="IY53" s="70">
        <f t="shared" si="70"/>
        <v>0</v>
      </c>
      <c r="IZ53" s="70">
        <f t="shared" si="71"/>
        <v>1625648</v>
      </c>
      <c r="JA53" s="70">
        <f t="shared" si="72"/>
        <v>0</v>
      </c>
      <c r="JB53" s="70">
        <f t="shared" si="73"/>
        <v>9945954</v>
      </c>
      <c r="JC53" s="70">
        <f t="shared" si="74"/>
        <v>0</v>
      </c>
      <c r="JD53" s="70">
        <f t="shared" si="75"/>
        <v>2928985</v>
      </c>
      <c r="JE53" s="70">
        <f t="shared" si="76"/>
        <v>0</v>
      </c>
      <c r="JF53" s="70">
        <f t="shared" si="77"/>
        <v>4578746</v>
      </c>
      <c r="JG53" s="70">
        <f t="shared" si="78"/>
        <v>0</v>
      </c>
      <c r="JH53" s="70">
        <f t="shared" si="79"/>
        <v>1768677</v>
      </c>
      <c r="JI53" s="70">
        <f t="shared" si="80"/>
        <v>0</v>
      </c>
      <c r="JJ53" s="70">
        <f t="shared" si="81"/>
        <v>0</v>
      </c>
      <c r="JK53" s="70">
        <f t="shared" si="82"/>
        <v>0</v>
      </c>
      <c r="JL53" s="70">
        <f t="shared" si="83"/>
        <v>16245789</v>
      </c>
      <c r="JM53" s="70">
        <f t="shared" si="84"/>
        <v>0</v>
      </c>
      <c r="JN53" s="70">
        <f t="shared" si="85"/>
        <v>619737</v>
      </c>
      <c r="JO53" s="70">
        <f t="shared" si="86"/>
        <v>0</v>
      </c>
      <c r="JP53" s="70">
        <f t="shared" si="87"/>
        <v>5468519</v>
      </c>
      <c r="JQ53" s="70">
        <f t="shared" si="88"/>
        <v>0</v>
      </c>
      <c r="JR53" s="70">
        <f t="shared" si="89"/>
        <v>905093</v>
      </c>
      <c r="JS53" s="70">
        <f t="shared" si="90"/>
        <v>0</v>
      </c>
      <c r="JT53" s="70">
        <f t="shared" si="91"/>
        <v>146184</v>
      </c>
      <c r="JU53" s="70">
        <f t="shared" si="92"/>
        <v>0</v>
      </c>
      <c r="JV53" s="70">
        <f t="shared" si="93"/>
        <v>16469806</v>
      </c>
      <c r="JW53" s="70">
        <f t="shared" si="94"/>
        <v>0</v>
      </c>
      <c r="JX53" s="70">
        <f t="shared" si="95"/>
        <v>106176156</v>
      </c>
      <c r="JY53" s="70">
        <f t="shared" si="96"/>
        <v>0</v>
      </c>
      <c r="JZ53" s="70">
        <f t="shared" si="97"/>
        <v>0</v>
      </c>
      <c r="KA53" s="70">
        <f t="shared" si="98"/>
        <v>0</v>
      </c>
      <c r="KB53" s="70">
        <f t="shared" si="99"/>
        <v>106176156</v>
      </c>
      <c r="KC53" s="70">
        <f t="shared" si="100"/>
        <v>0</v>
      </c>
      <c r="KE53" s="70" t="e">
        <f t="shared" si="101"/>
        <v>#REF!</v>
      </c>
      <c r="KG53" s="68" t="e">
        <f t="shared" si="53"/>
        <v>#REF!</v>
      </c>
    </row>
    <row r="54" spans="1:293">
      <c r="A54" s="180" t="s">
        <v>266</v>
      </c>
      <c r="B54" s="76" t="s">
        <v>363</v>
      </c>
      <c r="C54" s="90">
        <v>176017</v>
      </c>
      <c r="D54" s="90">
        <v>2014</v>
      </c>
      <c r="E54" s="90">
        <v>1</v>
      </c>
      <c r="F54" s="91">
        <v>5</v>
      </c>
      <c r="G54" s="92">
        <v>7513</v>
      </c>
      <c r="H54" s="97">
        <v>9164</v>
      </c>
      <c r="I54" s="93">
        <v>550898147</v>
      </c>
      <c r="J54" s="93">
        <v>502279651</v>
      </c>
      <c r="K54" s="93">
        <v>7237559</v>
      </c>
      <c r="L54" s="93">
        <v>5096076</v>
      </c>
      <c r="M54" s="93">
        <v>12765151</v>
      </c>
      <c r="N54" s="93">
        <v>14881556</v>
      </c>
      <c r="O54" s="93">
        <v>62911862</v>
      </c>
      <c r="P54" s="93">
        <v>64293179</v>
      </c>
      <c r="Q54" s="93">
        <v>145100568</v>
      </c>
      <c r="R54" s="93">
        <v>137986487</v>
      </c>
      <c r="S54" s="93">
        <v>417576162</v>
      </c>
      <c r="T54" s="93">
        <v>394848833</v>
      </c>
      <c r="U54" s="93">
        <v>17426</v>
      </c>
      <c r="V54" s="93">
        <v>16682</v>
      </c>
      <c r="W54" s="93">
        <v>28094</v>
      </c>
      <c r="X54" s="93">
        <v>26666</v>
      </c>
      <c r="Y54" s="93">
        <v>22444</v>
      </c>
      <c r="Z54" s="93">
        <v>21802</v>
      </c>
      <c r="AA54" s="93">
        <v>33412</v>
      </c>
      <c r="AB54" s="93">
        <v>31786</v>
      </c>
      <c r="AC54" s="114">
        <v>8</v>
      </c>
      <c r="AD54" s="114">
        <v>10</v>
      </c>
      <c r="AE54" s="114">
        <v>0</v>
      </c>
      <c r="AF54" s="115">
        <v>4188323</v>
      </c>
      <c r="AG54" s="115">
        <v>3034866</v>
      </c>
      <c r="AH54" s="115">
        <v>874951</v>
      </c>
      <c r="AI54" s="115">
        <v>427549</v>
      </c>
      <c r="AJ54" s="115">
        <v>1117474</v>
      </c>
      <c r="AK54" s="116">
        <v>5.5</v>
      </c>
      <c r="AL54" s="115">
        <v>1024351</v>
      </c>
      <c r="AM54" s="116">
        <v>6</v>
      </c>
      <c r="AN54" s="123">
        <v>208317</v>
      </c>
      <c r="AO54" s="124">
        <v>7.5</v>
      </c>
      <c r="AP54" s="123">
        <v>195298</v>
      </c>
      <c r="AQ54" s="124">
        <v>8</v>
      </c>
      <c r="AR54" s="123">
        <v>251274</v>
      </c>
      <c r="AS54" s="124">
        <v>18</v>
      </c>
      <c r="AT54" s="123">
        <v>226146</v>
      </c>
      <c r="AU54" s="124">
        <v>20</v>
      </c>
      <c r="AV54" s="123">
        <v>99749</v>
      </c>
      <c r="AW54" s="124">
        <v>14</v>
      </c>
      <c r="AX54" s="123">
        <v>87280</v>
      </c>
      <c r="AY54" s="124">
        <v>16</v>
      </c>
      <c r="AZ54" s="139">
        <v>15281541</v>
      </c>
      <c r="BA54" s="163">
        <v>400000</v>
      </c>
      <c r="BB54" s="163">
        <v>15898757</v>
      </c>
      <c r="BC54" s="163">
        <v>1093480</v>
      </c>
      <c r="BD54" s="163">
        <v>0</v>
      </c>
      <c r="BE54" s="163">
        <v>337334</v>
      </c>
      <c r="BF54" s="163">
        <v>83815</v>
      </c>
      <c r="BG54" s="163">
        <v>30319</v>
      </c>
      <c r="BH54" s="163">
        <v>643567</v>
      </c>
      <c r="BI54" s="163">
        <v>104063</v>
      </c>
      <c r="BJ54" s="163">
        <v>1199098</v>
      </c>
      <c r="BK54" s="163">
        <v>155800</v>
      </c>
      <c r="BL54" s="163">
        <v>0</v>
      </c>
      <c r="BM54" s="163">
        <v>27647</v>
      </c>
      <c r="BN54" s="163">
        <v>162577</v>
      </c>
      <c r="BO54" s="163">
        <v>438027</v>
      </c>
      <c r="BP54" s="163">
        <v>784051</v>
      </c>
      <c r="BQ54" s="163">
        <v>374138</v>
      </c>
      <c r="BR54" s="163">
        <v>43705</v>
      </c>
      <c r="BS54" s="163">
        <v>1208</v>
      </c>
      <c r="BT54" s="163">
        <v>44946</v>
      </c>
      <c r="BU54" s="163">
        <v>4205603</v>
      </c>
      <c r="BV54" s="163">
        <v>4669600</v>
      </c>
      <c r="BW54" s="163">
        <v>44287377</v>
      </c>
      <c r="BX54" s="163">
        <v>7415967</v>
      </c>
      <c r="BY54" s="163">
        <v>130545</v>
      </c>
      <c r="BZ54" s="163">
        <v>4235568</v>
      </c>
      <c r="CA54" s="163">
        <v>19779543</v>
      </c>
      <c r="CB54" s="163">
        <v>75849000</v>
      </c>
      <c r="CC54" s="163">
        <v>2575669</v>
      </c>
      <c r="CD54" s="163">
        <v>491209</v>
      </c>
      <c r="CE54" s="163">
        <v>459803</v>
      </c>
      <c r="CF54" s="163">
        <v>3696508</v>
      </c>
      <c r="CG54" s="163">
        <v>503309</v>
      </c>
      <c r="CH54" s="163">
        <v>7726498</v>
      </c>
      <c r="CI54" s="163">
        <v>2100000</v>
      </c>
      <c r="CJ54" s="163">
        <v>391000</v>
      </c>
      <c r="CK54" s="163">
        <v>122400</v>
      </c>
      <c r="CL54" s="163">
        <v>66336</v>
      </c>
      <c r="CM54" s="163">
        <v>0</v>
      </c>
      <c r="CN54" s="163">
        <v>2679736</v>
      </c>
      <c r="CO54" s="163">
        <v>6075696</v>
      </c>
      <c r="CP54" s="163">
        <v>2582629</v>
      </c>
      <c r="CQ54" s="163">
        <v>977869</v>
      </c>
      <c r="CR54" s="163">
        <v>3991698</v>
      </c>
      <c r="CS54" s="163">
        <v>0</v>
      </c>
      <c r="CT54" s="163">
        <v>13627892</v>
      </c>
      <c r="CU54" s="163">
        <v>27500</v>
      </c>
      <c r="CV54" s="163">
        <v>12500</v>
      </c>
      <c r="CW54" s="163">
        <v>12500</v>
      </c>
      <c r="CX54" s="163">
        <v>49500</v>
      </c>
      <c r="CY54" s="163">
        <v>0</v>
      </c>
      <c r="CZ54" s="163">
        <v>102000</v>
      </c>
      <c r="DA54" s="163">
        <v>2170676</v>
      </c>
      <c r="DB54" s="163">
        <v>355500</v>
      </c>
      <c r="DC54" s="163">
        <v>340763</v>
      </c>
      <c r="DD54" s="163">
        <v>908659</v>
      </c>
      <c r="DE54" s="163">
        <v>8983162</v>
      </c>
      <c r="DF54" s="163">
        <v>12758760</v>
      </c>
      <c r="DG54" s="163">
        <v>23750</v>
      </c>
      <c r="DH54" s="163">
        <v>5000</v>
      </c>
      <c r="DI54" s="163">
        <v>5000</v>
      </c>
      <c r="DJ54" s="163">
        <v>9250</v>
      </c>
      <c r="DK54" s="163">
        <v>59000</v>
      </c>
      <c r="DL54" s="163">
        <v>102000</v>
      </c>
      <c r="DM54" s="163">
        <v>474804</v>
      </c>
      <c r="DN54" s="163">
        <v>0</v>
      </c>
      <c r="DO54" s="163">
        <v>196079</v>
      </c>
      <c r="DP54" s="163">
        <v>18898</v>
      </c>
      <c r="DQ54" s="163">
        <v>170993</v>
      </c>
      <c r="DR54" s="163">
        <v>860774</v>
      </c>
      <c r="DS54" s="163">
        <v>550763</v>
      </c>
      <c r="DT54" s="163">
        <v>162689</v>
      </c>
      <c r="DU54" s="163">
        <v>164603</v>
      </c>
      <c r="DV54" s="163">
        <v>424445</v>
      </c>
      <c r="DW54" s="163">
        <v>0</v>
      </c>
      <c r="DX54" s="163">
        <v>1302500</v>
      </c>
      <c r="DY54" s="163">
        <v>1881018</v>
      </c>
      <c r="DZ54" s="163">
        <v>769630</v>
      </c>
      <c r="EA54" s="163">
        <v>444160</v>
      </c>
      <c r="EB54" s="163">
        <v>2285203</v>
      </c>
      <c r="EC54" s="163">
        <v>0</v>
      </c>
      <c r="ED54" s="163">
        <v>5380011</v>
      </c>
      <c r="EE54" s="163">
        <v>1351480</v>
      </c>
      <c r="EF54" s="163">
        <v>185725</v>
      </c>
      <c r="EG54" s="163">
        <v>138039</v>
      </c>
      <c r="EH54" s="163">
        <v>1454317</v>
      </c>
      <c r="EI54" s="163">
        <v>0</v>
      </c>
      <c r="EJ54" s="163">
        <v>3129561</v>
      </c>
      <c r="EK54" s="163">
        <v>2360310</v>
      </c>
      <c r="EL54" s="163">
        <v>299427</v>
      </c>
      <c r="EM54" s="163">
        <v>210407</v>
      </c>
      <c r="EN54" s="163">
        <v>977154</v>
      </c>
      <c r="EO54" s="163">
        <v>95575</v>
      </c>
      <c r="EP54" s="163">
        <v>3942873</v>
      </c>
      <c r="EQ54" s="163">
        <v>210632</v>
      </c>
      <c r="ER54" s="163">
        <v>108872</v>
      </c>
      <c r="ES54" s="163">
        <v>81450</v>
      </c>
      <c r="ET54" s="163">
        <v>174458</v>
      </c>
      <c r="EU54" s="163">
        <v>2063976</v>
      </c>
      <c r="EV54" s="163">
        <v>2639388</v>
      </c>
      <c r="EW54" s="163">
        <v>146520</v>
      </c>
      <c r="EX54" s="163">
        <v>64107</v>
      </c>
      <c r="EY54" s="163">
        <v>17969</v>
      </c>
      <c r="EZ54" s="163">
        <v>337920</v>
      </c>
      <c r="FA54" s="163">
        <v>75660</v>
      </c>
      <c r="FB54" s="163">
        <v>642176</v>
      </c>
      <c r="FC54" s="163">
        <v>4560691</v>
      </c>
      <c r="FD54" s="163">
        <v>233868</v>
      </c>
      <c r="FE54" s="163">
        <v>158530</v>
      </c>
      <c r="FF54" s="163">
        <v>1135604</v>
      </c>
      <c r="FG54" s="163">
        <v>3532696</v>
      </c>
      <c r="FH54" s="163">
        <v>9621389</v>
      </c>
      <c r="FI54" s="163">
        <v>127603</v>
      </c>
      <c r="FJ54" s="163">
        <v>19349</v>
      </c>
      <c r="FK54" s="163">
        <v>5270</v>
      </c>
      <c r="FL54" s="163">
        <v>2668</v>
      </c>
      <c r="FM54" s="163">
        <v>219989</v>
      </c>
      <c r="FN54" s="163">
        <v>374879</v>
      </c>
      <c r="FO54" s="163">
        <v>0</v>
      </c>
      <c r="FP54" s="163">
        <v>0</v>
      </c>
      <c r="FQ54" s="163">
        <v>0</v>
      </c>
      <c r="FR54" s="163">
        <v>0</v>
      </c>
      <c r="FS54" s="163">
        <v>0</v>
      </c>
      <c r="FT54" s="163">
        <v>0</v>
      </c>
      <c r="FU54" s="163">
        <v>229863</v>
      </c>
      <c r="FV54" s="162">
        <v>30099</v>
      </c>
      <c r="FW54" s="163">
        <v>27314</v>
      </c>
      <c r="FX54" s="163">
        <v>626941</v>
      </c>
      <c r="FY54" s="163">
        <v>16260</v>
      </c>
      <c r="FZ54" s="163">
        <v>930477</v>
      </c>
      <c r="GA54" s="163">
        <v>0</v>
      </c>
      <c r="GB54" s="163">
        <v>0</v>
      </c>
      <c r="GC54" s="163">
        <v>885</v>
      </c>
      <c r="GD54" s="163">
        <v>5119</v>
      </c>
      <c r="GE54" s="163">
        <v>43225</v>
      </c>
      <c r="GF54" s="163">
        <v>49229</v>
      </c>
      <c r="GG54" s="163">
        <v>2489475</v>
      </c>
      <c r="GH54" s="163">
        <v>244869</v>
      </c>
      <c r="GI54" s="163">
        <v>118169</v>
      </c>
      <c r="GJ54" s="163">
        <v>804991</v>
      </c>
      <c r="GK54" s="163">
        <v>3765849</v>
      </c>
      <c r="GL54" s="163">
        <v>7423353</v>
      </c>
      <c r="GM54" s="163">
        <v>27356450</v>
      </c>
      <c r="GN54" s="163">
        <v>5956473</v>
      </c>
      <c r="GO54" s="163">
        <v>3481210</v>
      </c>
      <c r="GP54" s="163">
        <v>16969669</v>
      </c>
      <c r="GQ54" s="163">
        <v>19529694</v>
      </c>
      <c r="GR54" s="163">
        <v>73293496</v>
      </c>
      <c r="GS54" s="163">
        <v>0</v>
      </c>
      <c r="GT54" s="163">
        <v>0</v>
      </c>
      <c r="GU54" s="163">
        <v>0</v>
      </c>
      <c r="GV54" s="163">
        <v>0</v>
      </c>
      <c r="GW54" s="163">
        <v>1900735</v>
      </c>
      <c r="GX54" s="163">
        <v>1900735</v>
      </c>
      <c r="GY54" s="163">
        <v>27356450</v>
      </c>
      <c r="GZ54" s="163">
        <v>5956473</v>
      </c>
      <c r="HA54" s="163">
        <v>3481210</v>
      </c>
      <c r="HB54" s="163">
        <v>16969669</v>
      </c>
      <c r="HC54" s="163">
        <v>21430429</v>
      </c>
      <c r="HD54" s="163">
        <v>75194231</v>
      </c>
      <c r="HF54" s="70">
        <f>SUM(AZ54:AZ54)</f>
        <v>15281541</v>
      </c>
      <c r="HG54" s="70" t="e">
        <f>#REF!-HF54</f>
        <v>#REF!</v>
      </c>
      <c r="HH54" s="70" t="e">
        <f>SUM(#REF!)</f>
        <v>#REF!</v>
      </c>
      <c r="HI54" s="70" t="e">
        <f>#REF!-HH54</f>
        <v>#REF!</v>
      </c>
      <c r="HJ54" s="70">
        <f>SUM(BA54:BA54)</f>
        <v>400000</v>
      </c>
      <c r="HK54" s="70" t="e">
        <f>#REF!-HJ54</f>
        <v>#REF!</v>
      </c>
      <c r="HL54" s="70" t="e">
        <f>SUM(#REF!)</f>
        <v>#REF!</v>
      </c>
      <c r="HM54" s="70" t="e">
        <f>BB54-HL54</f>
        <v>#REF!</v>
      </c>
      <c r="HN54" s="70" t="e">
        <f>SUM(#REF!)</f>
        <v>#REF!</v>
      </c>
      <c r="HO54" s="70" t="e">
        <f>#REF!-HN54</f>
        <v>#REF!</v>
      </c>
      <c r="HP54" s="70" t="e">
        <f>SUM(#REF!)</f>
        <v>#REF!</v>
      </c>
      <c r="HQ54" s="70" t="e">
        <f>#REF!-HP54</f>
        <v>#REF!</v>
      </c>
      <c r="HR54" s="70" t="e">
        <f>SUM(#REF!)</f>
        <v>#REF!</v>
      </c>
      <c r="HS54" s="70" t="e">
        <f>#REF!-HR54</f>
        <v>#REF!</v>
      </c>
      <c r="HT54" s="70" t="e">
        <f>SUM(#REF!)</f>
        <v>#REF!</v>
      </c>
      <c r="HU54" s="70" t="e">
        <f>#REF!-HT54</f>
        <v>#REF!</v>
      </c>
      <c r="HV54" s="70" t="e">
        <f>SUM(#REF!)</f>
        <v>#REF!</v>
      </c>
      <c r="HW54" s="70" t="e">
        <f>#REF!-HV54</f>
        <v>#REF!</v>
      </c>
      <c r="HX54" s="70" t="e">
        <f>SUM(#REF!)</f>
        <v>#REF!</v>
      </c>
      <c r="HY54" s="70" t="e">
        <f>#REF!-HX54</f>
        <v>#REF!</v>
      </c>
      <c r="HZ54" s="70">
        <f>SUM(BC54:BC54)</f>
        <v>1093480</v>
      </c>
      <c r="IA54" s="70" t="e">
        <f>#REF!-HZ54</f>
        <v>#REF!</v>
      </c>
      <c r="IB54" s="70">
        <f>SUM(BD54:BD54)</f>
        <v>0</v>
      </c>
      <c r="IC54" s="70" t="e">
        <f>#REF!-IB54</f>
        <v>#REF!</v>
      </c>
      <c r="ID54" s="70">
        <f t="shared" si="56"/>
        <v>1199098</v>
      </c>
      <c r="IE54" s="70">
        <f t="shared" si="57"/>
        <v>0</v>
      </c>
      <c r="IF54" s="70">
        <f t="shared" si="58"/>
        <v>784051</v>
      </c>
      <c r="IG54" s="70">
        <f t="shared" si="59"/>
        <v>0</v>
      </c>
      <c r="IH54" s="70">
        <f t="shared" si="60"/>
        <v>4669600</v>
      </c>
      <c r="II54" s="70">
        <f t="shared" si="61"/>
        <v>0</v>
      </c>
      <c r="IJ54" s="70">
        <f t="shared" si="62"/>
        <v>75849000</v>
      </c>
      <c r="IK54" s="70">
        <f t="shared" si="63"/>
        <v>0</v>
      </c>
      <c r="IL54" s="70">
        <f t="shared" si="102"/>
        <v>7726498</v>
      </c>
      <c r="IM54" s="70">
        <f t="shared" si="64"/>
        <v>0</v>
      </c>
      <c r="IN54" s="70">
        <f t="shared" si="65"/>
        <v>2679736</v>
      </c>
      <c r="IO54" s="70">
        <f t="shared" si="66"/>
        <v>0</v>
      </c>
      <c r="IP54" s="70">
        <f t="shared" si="67"/>
        <v>13627892</v>
      </c>
      <c r="IQ54" s="70">
        <f t="shared" si="68"/>
        <v>0</v>
      </c>
      <c r="IR54" s="70">
        <f t="shared" si="107"/>
        <v>102000</v>
      </c>
      <c r="IS54" s="70">
        <f t="shared" si="108"/>
        <v>0</v>
      </c>
      <c r="IT54" s="70">
        <f t="shared" si="103"/>
        <v>12758760</v>
      </c>
      <c r="IU54" s="70">
        <f t="shared" si="104"/>
        <v>0</v>
      </c>
      <c r="IV54" s="70">
        <f t="shared" si="105"/>
        <v>102000</v>
      </c>
      <c r="IW54" s="70">
        <f t="shared" si="106"/>
        <v>0</v>
      </c>
      <c r="IX54" s="70">
        <f t="shared" si="69"/>
        <v>860774</v>
      </c>
      <c r="IY54" s="70">
        <f t="shared" si="70"/>
        <v>0</v>
      </c>
      <c r="IZ54" s="70">
        <f t="shared" si="71"/>
        <v>1302500</v>
      </c>
      <c r="JA54" s="70">
        <f t="shared" si="72"/>
        <v>0</v>
      </c>
      <c r="JB54" s="70">
        <f t="shared" si="73"/>
        <v>5380011</v>
      </c>
      <c r="JC54" s="70">
        <f t="shared" si="74"/>
        <v>0</v>
      </c>
      <c r="JD54" s="70">
        <f t="shared" si="75"/>
        <v>3129561</v>
      </c>
      <c r="JE54" s="70">
        <f t="shared" si="76"/>
        <v>0</v>
      </c>
      <c r="JF54" s="70">
        <f t="shared" si="77"/>
        <v>3942873</v>
      </c>
      <c r="JG54" s="70">
        <f t="shared" si="78"/>
        <v>0</v>
      </c>
      <c r="JH54" s="70">
        <f t="shared" si="79"/>
        <v>2639388</v>
      </c>
      <c r="JI54" s="70">
        <f t="shared" si="80"/>
        <v>0</v>
      </c>
      <c r="JJ54" s="70">
        <f t="shared" si="81"/>
        <v>642176</v>
      </c>
      <c r="JK54" s="70">
        <f t="shared" si="82"/>
        <v>0</v>
      </c>
      <c r="JL54" s="70">
        <f t="shared" si="83"/>
        <v>9621389</v>
      </c>
      <c r="JM54" s="70">
        <f t="shared" si="84"/>
        <v>0</v>
      </c>
      <c r="JN54" s="70">
        <f t="shared" si="85"/>
        <v>374879</v>
      </c>
      <c r="JO54" s="70">
        <f t="shared" si="86"/>
        <v>0</v>
      </c>
      <c r="JP54" s="70">
        <f t="shared" si="87"/>
        <v>0</v>
      </c>
      <c r="JQ54" s="70">
        <f t="shared" si="88"/>
        <v>0</v>
      </c>
      <c r="JR54" s="70">
        <f t="shared" si="89"/>
        <v>930477</v>
      </c>
      <c r="JS54" s="70">
        <f t="shared" si="90"/>
        <v>0</v>
      </c>
      <c r="JT54" s="70">
        <f t="shared" si="91"/>
        <v>49229</v>
      </c>
      <c r="JU54" s="70">
        <f t="shared" si="92"/>
        <v>0</v>
      </c>
      <c r="JV54" s="70">
        <f t="shared" si="93"/>
        <v>7423353</v>
      </c>
      <c r="JW54" s="70">
        <f t="shared" si="94"/>
        <v>0</v>
      </c>
      <c r="JX54" s="70">
        <f t="shared" si="95"/>
        <v>73293496</v>
      </c>
      <c r="JY54" s="70">
        <f t="shared" si="96"/>
        <v>0</v>
      </c>
      <c r="JZ54" s="70">
        <f t="shared" si="97"/>
        <v>1900735</v>
      </c>
      <c r="KA54" s="70">
        <f t="shared" si="98"/>
        <v>0</v>
      </c>
      <c r="KB54" s="70">
        <f t="shared" si="99"/>
        <v>75194231</v>
      </c>
      <c r="KC54" s="70">
        <f t="shared" si="100"/>
        <v>0</v>
      </c>
      <c r="KE54" s="70" t="e">
        <f t="shared" si="101"/>
        <v>#REF!</v>
      </c>
      <c r="KG54" s="68" t="e">
        <f t="shared" si="53"/>
        <v>#REF!</v>
      </c>
    </row>
    <row r="55" spans="1:293">
      <c r="A55" s="180" t="s">
        <v>267</v>
      </c>
      <c r="B55" s="76" t="s">
        <v>363</v>
      </c>
      <c r="C55" s="90">
        <v>176080</v>
      </c>
      <c r="D55" s="90">
        <v>2014</v>
      </c>
      <c r="E55" s="90">
        <v>1</v>
      </c>
      <c r="F55" s="91">
        <v>5</v>
      </c>
      <c r="G55" s="97">
        <v>10406</v>
      </c>
      <c r="H55" s="97">
        <v>9755</v>
      </c>
      <c r="I55" s="93">
        <v>598644903</v>
      </c>
      <c r="J55" s="98">
        <v>574985115</v>
      </c>
      <c r="K55" s="93">
        <v>2505338</v>
      </c>
      <c r="L55" s="93">
        <v>2535017</v>
      </c>
      <c r="M55" s="98">
        <v>16616991</v>
      </c>
      <c r="N55" s="99">
        <v>16660514</v>
      </c>
      <c r="O55" s="98">
        <v>80773541</v>
      </c>
      <c r="P55" s="93">
        <v>21728735</v>
      </c>
      <c r="Q55" s="98">
        <v>281905000</v>
      </c>
      <c r="R55" s="93">
        <v>187560000</v>
      </c>
      <c r="S55" s="98">
        <v>377016465</v>
      </c>
      <c r="T55" s="93">
        <v>348040202</v>
      </c>
      <c r="U55" s="98">
        <v>16894</v>
      </c>
      <c r="V55" s="93">
        <v>15550</v>
      </c>
      <c r="W55" s="98">
        <v>28232</v>
      </c>
      <c r="X55" s="93">
        <v>25114</v>
      </c>
      <c r="Y55" s="98">
        <v>22421</v>
      </c>
      <c r="Z55" s="93">
        <v>20902</v>
      </c>
      <c r="AA55" s="98">
        <v>33759</v>
      </c>
      <c r="AB55" s="93">
        <v>30466</v>
      </c>
      <c r="AC55" s="125">
        <v>8</v>
      </c>
      <c r="AD55" s="114">
        <v>10</v>
      </c>
      <c r="AE55" s="125">
        <v>0</v>
      </c>
      <c r="AF55" s="123">
        <v>3840284</v>
      </c>
      <c r="AG55" s="123">
        <v>3135065</v>
      </c>
      <c r="AH55" s="123">
        <v>683488</v>
      </c>
      <c r="AI55" s="123">
        <v>359353</v>
      </c>
      <c r="AJ55" s="123">
        <v>892407</v>
      </c>
      <c r="AK55" s="124">
        <v>5.5</v>
      </c>
      <c r="AL55" s="126">
        <v>818040</v>
      </c>
      <c r="AM55" s="116">
        <v>6</v>
      </c>
      <c r="AN55" s="123">
        <v>183132</v>
      </c>
      <c r="AO55" s="124">
        <v>6.5</v>
      </c>
      <c r="AP55" s="126">
        <v>170051</v>
      </c>
      <c r="AQ55" s="124">
        <v>7</v>
      </c>
      <c r="AR55" s="123">
        <v>239664</v>
      </c>
      <c r="AS55" s="124">
        <v>19</v>
      </c>
      <c r="AT55" s="123">
        <v>239664</v>
      </c>
      <c r="AU55" s="124">
        <v>19</v>
      </c>
      <c r="AV55" s="123">
        <v>86893</v>
      </c>
      <c r="AW55" s="124">
        <v>13</v>
      </c>
      <c r="AX55" s="123">
        <v>86893</v>
      </c>
      <c r="AY55" s="124">
        <v>13</v>
      </c>
      <c r="AZ55" s="162">
        <v>9955405</v>
      </c>
      <c r="BA55" s="162">
        <v>1499318</v>
      </c>
      <c r="BB55" s="162">
        <v>13942877</v>
      </c>
      <c r="BC55" s="162">
        <v>830210</v>
      </c>
      <c r="BD55" s="162">
        <v>139901</v>
      </c>
      <c r="BE55" s="162">
        <v>141779</v>
      </c>
      <c r="BF55" s="162">
        <v>89181</v>
      </c>
      <c r="BG55" s="162">
        <v>23303</v>
      </c>
      <c r="BH55" s="162">
        <v>800284</v>
      </c>
      <c r="BI55" s="162">
        <v>13889</v>
      </c>
      <c r="BJ55" s="162">
        <v>1068436</v>
      </c>
      <c r="BK55" s="162">
        <v>0</v>
      </c>
      <c r="BL55" s="162">
        <v>0</v>
      </c>
      <c r="BM55" s="162">
        <v>0</v>
      </c>
      <c r="BN55" s="162">
        <v>0</v>
      </c>
      <c r="BO55" s="162">
        <v>1883686</v>
      </c>
      <c r="BP55" s="162">
        <v>1883686</v>
      </c>
      <c r="BQ55" s="162">
        <v>33939</v>
      </c>
      <c r="BR55" s="162">
        <v>15000</v>
      </c>
      <c r="BS55" s="162">
        <v>0</v>
      </c>
      <c r="BT55" s="162">
        <v>111651</v>
      </c>
      <c r="BU55" s="162">
        <v>196102</v>
      </c>
      <c r="BV55" s="162">
        <v>356692</v>
      </c>
      <c r="BW55" s="162">
        <v>27143521</v>
      </c>
      <c r="BX55" s="162">
        <v>6574487</v>
      </c>
      <c r="BY55" s="162">
        <v>79070</v>
      </c>
      <c r="BZ55" s="162">
        <v>2381964</v>
      </c>
      <c r="CA55" s="162">
        <v>26096069</v>
      </c>
      <c r="CB55" s="162">
        <v>62275111</v>
      </c>
      <c r="CC55" s="162">
        <v>2337503</v>
      </c>
      <c r="CD55" s="162">
        <v>432340</v>
      </c>
      <c r="CE55" s="162">
        <v>523069</v>
      </c>
      <c r="CF55" s="162">
        <v>3682437</v>
      </c>
      <c r="CG55" s="162">
        <v>232659</v>
      </c>
      <c r="CH55" s="162">
        <v>7208008</v>
      </c>
      <c r="CI55" s="162">
        <v>1344330</v>
      </c>
      <c r="CJ55" s="162">
        <v>631945</v>
      </c>
      <c r="CK55" s="162">
        <v>155108</v>
      </c>
      <c r="CL55" s="162">
        <v>88469</v>
      </c>
      <c r="CM55" s="162">
        <v>0</v>
      </c>
      <c r="CN55" s="162">
        <v>2219852</v>
      </c>
      <c r="CO55" s="162">
        <v>5655778</v>
      </c>
      <c r="CP55" s="162">
        <v>1669320</v>
      </c>
      <c r="CQ55" s="162">
        <v>920145</v>
      </c>
      <c r="CR55" s="162">
        <v>3536583</v>
      </c>
      <c r="CS55" s="162">
        <v>0</v>
      </c>
      <c r="CT55" s="162">
        <v>11781826</v>
      </c>
      <c r="CU55" s="162">
        <v>2713</v>
      </c>
      <c r="CV55" s="162">
        <v>3214</v>
      </c>
      <c r="CW55" s="162">
        <v>4808</v>
      </c>
      <c r="CX55" s="162">
        <v>32891</v>
      </c>
      <c r="CY55" s="162">
        <v>0</v>
      </c>
      <c r="CZ55" s="162">
        <v>43626</v>
      </c>
      <c r="DA55" s="162">
        <v>1097679</v>
      </c>
      <c r="DB55" s="162">
        <v>203523</v>
      </c>
      <c r="DC55" s="162">
        <v>140050</v>
      </c>
      <c r="DD55" s="162">
        <v>212848</v>
      </c>
      <c r="DE55" s="162">
        <v>6641142</v>
      </c>
      <c r="DF55" s="162">
        <v>8295242</v>
      </c>
      <c r="DG55" s="139">
        <v>2713</v>
      </c>
      <c r="DH55" s="139">
        <v>0</v>
      </c>
      <c r="DI55" s="139">
        <v>0</v>
      </c>
      <c r="DJ55" s="139">
        <v>0</v>
      </c>
      <c r="DK55" s="139">
        <v>5427</v>
      </c>
      <c r="DL55" s="139">
        <v>8140</v>
      </c>
      <c r="DM55" s="139">
        <v>0</v>
      </c>
      <c r="DN55" s="139">
        <v>0</v>
      </c>
      <c r="DO55" s="139">
        <v>0</v>
      </c>
      <c r="DP55" s="139">
        <v>0</v>
      </c>
      <c r="DQ55" s="139">
        <v>0</v>
      </c>
      <c r="DR55" s="139">
        <v>0</v>
      </c>
      <c r="DS55" s="139">
        <v>377177</v>
      </c>
      <c r="DT55" s="139">
        <v>153355</v>
      </c>
      <c r="DU55" s="139">
        <v>116187</v>
      </c>
      <c r="DV55" s="139">
        <v>396122</v>
      </c>
      <c r="DW55" s="139">
        <v>0</v>
      </c>
      <c r="DX55" s="139">
        <v>1042841</v>
      </c>
      <c r="DY55" s="139">
        <v>1555315</v>
      </c>
      <c r="DZ55" s="139">
        <v>635879</v>
      </c>
      <c r="EA55" s="139">
        <v>483958</v>
      </c>
      <c r="EB55" s="139">
        <v>1759286</v>
      </c>
      <c r="EC55" s="139">
        <v>0</v>
      </c>
      <c r="ED55" s="139">
        <v>4434438</v>
      </c>
      <c r="EE55" s="139">
        <v>395352</v>
      </c>
      <c r="EF55" s="139">
        <v>8176</v>
      </c>
      <c r="EG55" s="139">
        <v>25543</v>
      </c>
      <c r="EH55" s="139">
        <v>256655</v>
      </c>
      <c r="EI55" s="139">
        <v>44899</v>
      </c>
      <c r="EJ55" s="139">
        <v>730625</v>
      </c>
      <c r="EK55" s="139">
        <v>1531937</v>
      </c>
      <c r="EL55" s="139">
        <v>368574</v>
      </c>
      <c r="EM55" s="139">
        <v>151450</v>
      </c>
      <c r="EN55" s="139">
        <v>330614</v>
      </c>
      <c r="EO55" s="139">
        <v>222323</v>
      </c>
      <c r="EP55" s="139">
        <v>2604898</v>
      </c>
      <c r="EQ55" s="139">
        <v>65370</v>
      </c>
      <c r="ER55" s="139">
        <v>11646</v>
      </c>
      <c r="ES55" s="139">
        <v>0</v>
      </c>
      <c r="ET55" s="139">
        <v>8657</v>
      </c>
      <c r="EU55" s="139">
        <v>1210689</v>
      </c>
      <c r="EV55" s="139">
        <v>1296362</v>
      </c>
      <c r="EW55" s="139">
        <v>143000</v>
      </c>
      <c r="EX55" s="139">
        <v>57900</v>
      </c>
      <c r="EY55" s="139">
        <v>30899</v>
      </c>
      <c r="EZ55" s="139">
        <v>480743</v>
      </c>
      <c r="FA55" s="139">
        <v>8888</v>
      </c>
      <c r="FB55" s="139">
        <v>721430</v>
      </c>
      <c r="FC55" s="139">
        <v>280771</v>
      </c>
      <c r="FD55" s="139">
        <v>26139</v>
      </c>
      <c r="FE55" s="139">
        <v>27084</v>
      </c>
      <c r="FF55" s="139">
        <v>124259</v>
      </c>
      <c r="FG55" s="139">
        <v>9043716</v>
      </c>
      <c r="FH55" s="139">
        <v>9501969</v>
      </c>
      <c r="FI55" s="139">
        <v>113638</v>
      </c>
      <c r="FJ55" s="139">
        <v>0</v>
      </c>
      <c r="FK55" s="139">
        <v>0</v>
      </c>
      <c r="FL55" s="139">
        <v>0</v>
      </c>
      <c r="FM55" s="139">
        <v>6795</v>
      </c>
      <c r="FN55" s="139">
        <v>120433</v>
      </c>
      <c r="FO55" s="139">
        <v>0</v>
      </c>
      <c r="FP55" s="139">
        <v>0</v>
      </c>
      <c r="FQ55" s="139">
        <v>0</v>
      </c>
      <c r="FR55" s="139">
        <v>0</v>
      </c>
      <c r="FS55" s="139">
        <v>0</v>
      </c>
      <c r="FT55" s="139">
        <v>0</v>
      </c>
      <c r="FU55" s="139">
        <v>261069</v>
      </c>
      <c r="FV55" s="139">
        <v>34725</v>
      </c>
      <c r="FW55" s="139">
        <v>35863</v>
      </c>
      <c r="FX55" s="139">
        <v>264535</v>
      </c>
      <c r="FY55" s="139">
        <v>289222</v>
      </c>
      <c r="FZ55" s="139">
        <v>885414</v>
      </c>
      <c r="GA55" s="139">
        <v>5290</v>
      </c>
      <c r="GB55" s="139">
        <v>1600</v>
      </c>
      <c r="GC55" s="139">
        <v>8911</v>
      </c>
      <c r="GD55" s="139">
        <v>22897</v>
      </c>
      <c r="GE55" s="139">
        <v>29739</v>
      </c>
      <c r="GF55" s="139">
        <v>68437</v>
      </c>
      <c r="GG55" s="139">
        <v>138366</v>
      </c>
      <c r="GH55" s="139">
        <v>142635</v>
      </c>
      <c r="GI55" s="139">
        <v>160021</v>
      </c>
      <c r="GJ55" s="139">
        <v>467272</v>
      </c>
      <c r="GK55" s="139">
        <v>2516967</v>
      </c>
      <c r="GL55" s="139">
        <v>3425261</v>
      </c>
      <c r="GM55" s="139">
        <v>15308001</v>
      </c>
      <c r="GN55" s="139">
        <v>4380971</v>
      </c>
      <c r="GO55" s="139">
        <v>2783096</v>
      </c>
      <c r="GP55" s="139">
        <v>11664268</v>
      </c>
      <c r="GQ55" s="139">
        <v>20252466</v>
      </c>
      <c r="GR55" s="139">
        <v>54388802</v>
      </c>
      <c r="GS55" s="139">
        <v>0</v>
      </c>
      <c r="GT55" s="139">
        <v>0</v>
      </c>
      <c r="GU55" s="139">
        <v>0</v>
      </c>
      <c r="GV55" s="139">
        <v>0</v>
      </c>
      <c r="GW55" s="139">
        <v>750000</v>
      </c>
      <c r="GX55" s="139">
        <v>750000</v>
      </c>
      <c r="GY55" s="139">
        <v>15308001</v>
      </c>
      <c r="GZ55" s="139">
        <v>4380971</v>
      </c>
      <c r="HA55" s="139">
        <v>2783096</v>
      </c>
      <c r="HB55" s="139">
        <v>11664268</v>
      </c>
      <c r="HC55" s="139">
        <v>21002466</v>
      </c>
      <c r="HD55" s="139">
        <v>55138802</v>
      </c>
      <c r="HF55" s="70">
        <f>SUM(AZ55:AZ55)</f>
        <v>9955405</v>
      </c>
      <c r="HG55" s="70" t="e">
        <f>#REF!-HF55</f>
        <v>#REF!</v>
      </c>
      <c r="HH55" s="70" t="e">
        <f>SUM(#REF!)</f>
        <v>#REF!</v>
      </c>
      <c r="HI55" s="70" t="e">
        <f>#REF!-HH55</f>
        <v>#REF!</v>
      </c>
      <c r="HJ55" s="70">
        <f>SUM(BA55:BA55)</f>
        <v>1499318</v>
      </c>
      <c r="HK55" s="70" t="e">
        <f>#REF!-HJ55</f>
        <v>#REF!</v>
      </c>
      <c r="HL55" s="70" t="e">
        <f>SUM(#REF!)</f>
        <v>#REF!</v>
      </c>
      <c r="HM55" s="70" t="e">
        <f>BB55-HL55</f>
        <v>#REF!</v>
      </c>
      <c r="HN55" s="70" t="e">
        <f>SUM(#REF!)</f>
        <v>#REF!</v>
      </c>
      <c r="HO55" s="70" t="e">
        <f>#REF!-HN55</f>
        <v>#REF!</v>
      </c>
      <c r="HP55" s="70" t="e">
        <f>SUM(#REF!)</f>
        <v>#REF!</v>
      </c>
      <c r="HQ55" s="70" t="e">
        <f>#REF!-HP55</f>
        <v>#REF!</v>
      </c>
      <c r="HR55" s="70" t="e">
        <f>SUM(#REF!)</f>
        <v>#REF!</v>
      </c>
      <c r="HS55" s="70" t="e">
        <f>#REF!-HR55</f>
        <v>#REF!</v>
      </c>
      <c r="HT55" s="70" t="e">
        <f>SUM(#REF!)</f>
        <v>#REF!</v>
      </c>
      <c r="HU55" s="70" t="e">
        <f>#REF!-HT55</f>
        <v>#REF!</v>
      </c>
      <c r="HV55" s="70" t="e">
        <f>SUM(#REF!)</f>
        <v>#REF!</v>
      </c>
      <c r="HW55" s="70" t="e">
        <f>#REF!-HV55</f>
        <v>#REF!</v>
      </c>
      <c r="HX55" s="70" t="e">
        <f>SUM(#REF!)</f>
        <v>#REF!</v>
      </c>
      <c r="HY55" s="70" t="e">
        <f>#REF!-HX55</f>
        <v>#REF!</v>
      </c>
      <c r="HZ55" s="70">
        <f>SUM(BC55:BC55)</f>
        <v>830210</v>
      </c>
      <c r="IA55" s="70" t="e">
        <f>#REF!-HZ55</f>
        <v>#REF!</v>
      </c>
      <c r="IB55" s="70">
        <f>SUM(BD55:BD55)</f>
        <v>139901</v>
      </c>
      <c r="IC55" s="70" t="e">
        <f>#REF!-IB55</f>
        <v>#REF!</v>
      </c>
      <c r="ID55" s="70">
        <f t="shared" si="56"/>
        <v>1068436</v>
      </c>
      <c r="IE55" s="70">
        <f t="shared" si="57"/>
        <v>0</v>
      </c>
      <c r="IF55" s="70">
        <f t="shared" si="58"/>
        <v>1883686</v>
      </c>
      <c r="IG55" s="70">
        <f t="shared" si="59"/>
        <v>0</v>
      </c>
      <c r="IH55" s="70">
        <f t="shared" si="60"/>
        <v>356692</v>
      </c>
      <c r="II55" s="70">
        <f t="shared" si="61"/>
        <v>0</v>
      </c>
      <c r="IJ55" s="70">
        <f t="shared" si="62"/>
        <v>62275111</v>
      </c>
      <c r="IK55" s="70">
        <f t="shared" si="63"/>
        <v>0</v>
      </c>
      <c r="IL55" s="70">
        <f t="shared" si="102"/>
        <v>7208008</v>
      </c>
      <c r="IM55" s="70">
        <f t="shared" si="64"/>
        <v>0</v>
      </c>
      <c r="IN55" s="70">
        <f t="shared" si="65"/>
        <v>2219852</v>
      </c>
      <c r="IO55" s="70">
        <f t="shared" si="66"/>
        <v>0</v>
      </c>
      <c r="IP55" s="70">
        <f t="shared" si="67"/>
        <v>11781826</v>
      </c>
      <c r="IQ55" s="70">
        <f t="shared" si="68"/>
        <v>0</v>
      </c>
      <c r="IR55" s="70">
        <f t="shared" si="107"/>
        <v>43626</v>
      </c>
      <c r="IS55" s="70">
        <f t="shared" si="108"/>
        <v>0</v>
      </c>
      <c r="IT55" s="70">
        <f t="shared" si="103"/>
        <v>8295242</v>
      </c>
      <c r="IU55" s="70">
        <f t="shared" si="104"/>
        <v>0</v>
      </c>
      <c r="IV55" s="70">
        <f t="shared" si="105"/>
        <v>8140</v>
      </c>
      <c r="IW55" s="70">
        <f t="shared" si="106"/>
        <v>0</v>
      </c>
      <c r="IX55" s="70">
        <f t="shared" si="69"/>
        <v>0</v>
      </c>
      <c r="IY55" s="70">
        <f t="shared" si="70"/>
        <v>0</v>
      </c>
      <c r="IZ55" s="70">
        <f t="shared" si="71"/>
        <v>1042841</v>
      </c>
      <c r="JA55" s="70">
        <f t="shared" si="72"/>
        <v>0</v>
      </c>
      <c r="JB55" s="70">
        <f t="shared" si="73"/>
        <v>4434438</v>
      </c>
      <c r="JC55" s="70">
        <f t="shared" si="74"/>
        <v>0</v>
      </c>
      <c r="JD55" s="70">
        <f t="shared" si="75"/>
        <v>730625</v>
      </c>
      <c r="JE55" s="70">
        <f t="shared" si="76"/>
        <v>0</v>
      </c>
      <c r="JF55" s="70">
        <f t="shared" si="77"/>
        <v>2604898</v>
      </c>
      <c r="JG55" s="70">
        <f t="shared" si="78"/>
        <v>0</v>
      </c>
      <c r="JH55" s="70">
        <f t="shared" si="79"/>
        <v>1296362</v>
      </c>
      <c r="JI55" s="70">
        <f t="shared" si="80"/>
        <v>0</v>
      </c>
      <c r="JJ55" s="70">
        <f t="shared" si="81"/>
        <v>721430</v>
      </c>
      <c r="JK55" s="70">
        <f t="shared" si="82"/>
        <v>0</v>
      </c>
      <c r="JL55" s="70">
        <f t="shared" si="83"/>
        <v>9501969</v>
      </c>
      <c r="JM55" s="70">
        <f t="shared" si="84"/>
        <v>0</v>
      </c>
      <c r="JN55" s="70">
        <f t="shared" si="85"/>
        <v>120433</v>
      </c>
      <c r="JO55" s="70">
        <f t="shared" si="86"/>
        <v>0</v>
      </c>
      <c r="JP55" s="70">
        <f t="shared" si="87"/>
        <v>0</v>
      </c>
      <c r="JQ55" s="70">
        <f t="shared" si="88"/>
        <v>0</v>
      </c>
      <c r="JR55" s="70">
        <f t="shared" si="89"/>
        <v>885414</v>
      </c>
      <c r="JS55" s="70">
        <f t="shared" si="90"/>
        <v>0</v>
      </c>
      <c r="JT55" s="70">
        <f t="shared" si="91"/>
        <v>68437</v>
      </c>
      <c r="JU55" s="70">
        <f t="shared" si="92"/>
        <v>0</v>
      </c>
      <c r="JV55" s="70">
        <f t="shared" si="93"/>
        <v>3425261</v>
      </c>
      <c r="JW55" s="70">
        <f t="shared" si="94"/>
        <v>0</v>
      </c>
      <c r="JX55" s="70">
        <f t="shared" si="95"/>
        <v>54388802</v>
      </c>
      <c r="JY55" s="70">
        <f t="shared" si="96"/>
        <v>0</v>
      </c>
      <c r="JZ55" s="70">
        <f t="shared" si="97"/>
        <v>750000</v>
      </c>
      <c r="KA55" s="70">
        <f t="shared" si="98"/>
        <v>0</v>
      </c>
      <c r="KB55" s="70">
        <f t="shared" si="99"/>
        <v>55138802</v>
      </c>
      <c r="KC55" s="70">
        <f t="shared" si="100"/>
        <v>0</v>
      </c>
      <c r="KE55" s="70" t="e">
        <f t="shared" si="101"/>
        <v>#REF!</v>
      </c>
      <c r="KG55" s="68" t="e">
        <f t="shared" si="53"/>
        <v>#REF!</v>
      </c>
    </row>
    <row r="56" spans="1:293">
      <c r="A56" s="76" t="s">
        <v>268</v>
      </c>
      <c r="B56" s="76" t="s">
        <v>363</v>
      </c>
      <c r="C56" s="90">
        <v>178396</v>
      </c>
      <c r="D56" s="90">
        <v>2014</v>
      </c>
      <c r="E56" s="90">
        <v>1</v>
      </c>
      <c r="F56" s="91">
        <v>5</v>
      </c>
      <c r="G56" s="92">
        <v>12052</v>
      </c>
      <c r="H56" s="92">
        <v>13116</v>
      </c>
      <c r="I56" s="93">
        <v>1245863191</v>
      </c>
      <c r="J56" s="99">
        <v>1208151742</v>
      </c>
      <c r="K56" s="99">
        <v>4107734</v>
      </c>
      <c r="L56" s="99">
        <v>3090899</v>
      </c>
      <c r="M56" s="99">
        <v>45775000</v>
      </c>
      <c r="N56" s="99">
        <v>40711000</v>
      </c>
      <c r="O56" s="99">
        <v>81268862</v>
      </c>
      <c r="P56" s="99">
        <v>22839576</v>
      </c>
      <c r="Q56" s="99">
        <v>674701388</v>
      </c>
      <c r="R56" s="99">
        <v>605833082</v>
      </c>
      <c r="S56" s="100">
        <v>744750985</v>
      </c>
      <c r="T56" s="99">
        <v>721933852</v>
      </c>
      <c r="U56" s="99">
        <v>21625</v>
      </c>
      <c r="V56" s="99">
        <v>19787</v>
      </c>
      <c r="W56" s="99">
        <v>35650</v>
      </c>
      <c r="X56" s="93">
        <v>33179</v>
      </c>
      <c r="Y56" s="99">
        <v>24704</v>
      </c>
      <c r="Z56" s="99">
        <v>22964</v>
      </c>
      <c r="AA56" s="99">
        <v>38730</v>
      </c>
      <c r="AB56" s="99">
        <v>36356</v>
      </c>
      <c r="AC56" s="114">
        <v>9</v>
      </c>
      <c r="AD56" s="114">
        <v>11</v>
      </c>
      <c r="AE56" s="114">
        <v>0</v>
      </c>
      <c r="AF56" s="123">
        <v>5196487</v>
      </c>
      <c r="AG56" s="123">
        <v>3548672</v>
      </c>
      <c r="AH56" s="123">
        <v>875102</v>
      </c>
      <c r="AI56" s="123">
        <v>352409</v>
      </c>
      <c r="AJ56" s="126">
        <v>1082070</v>
      </c>
      <c r="AK56" s="116">
        <v>6</v>
      </c>
      <c r="AL56" s="126">
        <v>927488</v>
      </c>
      <c r="AM56" s="116">
        <v>7</v>
      </c>
      <c r="AN56" s="123">
        <v>250224</v>
      </c>
      <c r="AO56" s="116">
        <v>8</v>
      </c>
      <c r="AP56" s="123">
        <v>222422</v>
      </c>
      <c r="AQ56" s="124">
        <v>9</v>
      </c>
      <c r="AR56" s="123">
        <v>238828</v>
      </c>
      <c r="AS56" s="124">
        <v>25</v>
      </c>
      <c r="AT56" s="123">
        <v>238828</v>
      </c>
      <c r="AU56" s="124">
        <v>25</v>
      </c>
      <c r="AV56" s="123">
        <v>79373</v>
      </c>
      <c r="AW56" s="124">
        <v>22</v>
      </c>
      <c r="AX56" s="123">
        <v>79373</v>
      </c>
      <c r="AY56" s="124">
        <v>22</v>
      </c>
      <c r="AZ56" s="162">
        <v>17554536</v>
      </c>
      <c r="BA56" s="162">
        <v>200000</v>
      </c>
      <c r="BB56" s="162">
        <v>20113654</v>
      </c>
      <c r="BC56" s="162">
        <v>1688746</v>
      </c>
      <c r="BD56" s="162">
        <v>0</v>
      </c>
      <c r="BE56" s="162">
        <v>293888</v>
      </c>
      <c r="BF56" s="162">
        <v>225333</v>
      </c>
      <c r="BG56" s="162">
        <v>68451</v>
      </c>
      <c r="BH56" s="162">
        <v>1307444</v>
      </c>
      <c r="BI56" s="162">
        <v>8967</v>
      </c>
      <c r="BJ56" s="162">
        <v>1904083</v>
      </c>
      <c r="BK56" s="162">
        <v>0</v>
      </c>
      <c r="BL56" s="162">
        <v>0</v>
      </c>
      <c r="BM56" s="162">
        <v>0</v>
      </c>
      <c r="BN56" s="162">
        <v>0</v>
      </c>
      <c r="BO56" s="162">
        <v>1685262</v>
      </c>
      <c r="BP56" s="162">
        <v>1685262</v>
      </c>
      <c r="BQ56" s="162">
        <v>350</v>
      </c>
      <c r="BR56" s="162">
        <v>798626</v>
      </c>
      <c r="BS56" s="162">
        <v>700</v>
      </c>
      <c r="BT56" s="162">
        <v>183805</v>
      </c>
      <c r="BU56" s="162">
        <v>1539354</v>
      </c>
      <c r="BV56" s="162">
        <v>2522835</v>
      </c>
      <c r="BW56" s="162">
        <v>35645132</v>
      </c>
      <c r="BX56" s="162">
        <v>12593569</v>
      </c>
      <c r="BY56" s="162">
        <v>203764</v>
      </c>
      <c r="BZ56" s="162">
        <v>2009488</v>
      </c>
      <c r="CA56" s="162">
        <v>33266634</v>
      </c>
      <c r="CB56" s="162">
        <v>83718587</v>
      </c>
      <c r="CC56" s="162">
        <v>3167095</v>
      </c>
      <c r="CD56" s="162">
        <v>454816</v>
      </c>
      <c r="CE56" s="162">
        <v>398096</v>
      </c>
      <c r="CF56" s="162">
        <v>4725152</v>
      </c>
      <c r="CG56" s="162">
        <v>392810</v>
      </c>
      <c r="CH56" s="162">
        <v>9137969</v>
      </c>
      <c r="CI56" s="162">
        <v>900000</v>
      </c>
      <c r="CJ56" s="162">
        <v>547000</v>
      </c>
      <c r="CK56" s="162">
        <v>130000</v>
      </c>
      <c r="CL56" s="162">
        <v>67738</v>
      </c>
      <c r="CM56" s="162">
        <v>408440</v>
      </c>
      <c r="CN56" s="162">
        <v>2053178</v>
      </c>
      <c r="CO56" s="162">
        <v>7895436</v>
      </c>
      <c r="CP56" s="162">
        <v>2658923</v>
      </c>
      <c r="CQ56" s="162">
        <v>1054858</v>
      </c>
      <c r="CR56" s="162">
        <v>4601917</v>
      </c>
      <c r="CS56" s="162">
        <v>0</v>
      </c>
      <c r="CT56" s="162">
        <v>16211134</v>
      </c>
      <c r="CU56" s="162">
        <v>0</v>
      </c>
      <c r="CV56" s="162">
        <v>0</v>
      </c>
      <c r="CW56" s="162">
        <v>0</v>
      </c>
      <c r="CX56" s="162">
        <v>0</v>
      </c>
      <c r="CY56" s="162">
        <v>0</v>
      </c>
      <c r="CZ56" s="162">
        <v>0</v>
      </c>
      <c r="DA56" s="162">
        <v>945358</v>
      </c>
      <c r="DB56" s="162">
        <v>466714</v>
      </c>
      <c r="DC56" s="162">
        <v>249838</v>
      </c>
      <c r="DD56" s="162">
        <v>552551</v>
      </c>
      <c r="DE56" s="162">
        <v>12841535</v>
      </c>
      <c r="DF56" s="162">
        <v>15055996</v>
      </c>
      <c r="DG56" s="162">
        <v>0</v>
      </c>
      <c r="DH56" s="162">
        <v>0</v>
      </c>
      <c r="DI56" s="162">
        <v>0</v>
      </c>
      <c r="DJ56" s="162">
        <v>0</v>
      </c>
      <c r="DK56" s="162">
        <v>0</v>
      </c>
      <c r="DL56" s="162">
        <v>0</v>
      </c>
      <c r="DM56" s="162">
        <v>0</v>
      </c>
      <c r="DN56" s="162">
        <v>0</v>
      </c>
      <c r="DO56" s="162">
        <v>0</v>
      </c>
      <c r="DP56" s="162">
        <v>0</v>
      </c>
      <c r="DQ56" s="162">
        <v>0</v>
      </c>
      <c r="DR56" s="162">
        <v>0</v>
      </c>
      <c r="DS56" s="162">
        <v>555402</v>
      </c>
      <c r="DT56" s="162">
        <v>168243</v>
      </c>
      <c r="DU56" s="162">
        <v>66814</v>
      </c>
      <c r="DV56" s="162">
        <v>437052</v>
      </c>
      <c r="DW56" s="162">
        <v>0</v>
      </c>
      <c r="DX56" s="162">
        <v>1227511</v>
      </c>
      <c r="DY56" s="162">
        <v>2452587</v>
      </c>
      <c r="DZ56" s="162">
        <v>746379</v>
      </c>
      <c r="EA56" s="162">
        <v>541422</v>
      </c>
      <c r="EB56" s="162">
        <v>2723920</v>
      </c>
      <c r="EC56" s="162">
        <v>183676</v>
      </c>
      <c r="ED56" s="162">
        <v>6647984</v>
      </c>
      <c r="EE56" s="162">
        <v>2185012</v>
      </c>
      <c r="EF56" s="162">
        <v>116538</v>
      </c>
      <c r="EG56" s="162">
        <v>37662</v>
      </c>
      <c r="EH56" s="162">
        <v>609782</v>
      </c>
      <c r="EI56" s="162">
        <v>1440419</v>
      </c>
      <c r="EJ56" s="162">
        <v>4389413</v>
      </c>
      <c r="EK56" s="162">
        <v>1455205</v>
      </c>
      <c r="EL56" s="162">
        <v>457165</v>
      </c>
      <c r="EM56" s="162">
        <v>149525</v>
      </c>
      <c r="EN56" s="162">
        <v>373821</v>
      </c>
      <c r="EO56" s="162">
        <v>631151</v>
      </c>
      <c r="EP56" s="162">
        <v>3066867</v>
      </c>
      <c r="EQ56" s="162">
        <v>12445</v>
      </c>
      <c r="ER56" s="162">
        <v>0</v>
      </c>
      <c r="ES56" s="162">
        <v>0</v>
      </c>
      <c r="ET56" s="162">
        <v>12799</v>
      </c>
      <c r="EU56" s="162">
        <v>1027771</v>
      </c>
      <c r="EV56" s="162">
        <v>1053015</v>
      </c>
      <c r="EW56" s="162">
        <v>124324</v>
      </c>
      <c r="EX56" s="162">
        <v>182396</v>
      </c>
      <c r="EY56" s="162">
        <v>69796</v>
      </c>
      <c r="EZ56" s="162">
        <v>553299</v>
      </c>
      <c r="FA56" s="162">
        <v>3659</v>
      </c>
      <c r="FB56" s="162">
        <v>933474</v>
      </c>
      <c r="FC56" s="162">
        <v>75799</v>
      </c>
      <c r="FD56" s="162">
        <v>15755</v>
      </c>
      <c r="FE56" s="162">
        <v>47503</v>
      </c>
      <c r="FF56" s="162">
        <v>51121</v>
      </c>
      <c r="FG56" s="162">
        <v>11216381</v>
      </c>
      <c r="FH56" s="162">
        <v>11406559</v>
      </c>
      <c r="FI56" s="162">
        <v>0</v>
      </c>
      <c r="FJ56" s="162">
        <v>0</v>
      </c>
      <c r="FK56" s="162">
        <v>0</v>
      </c>
      <c r="FL56" s="162">
        <v>0</v>
      </c>
      <c r="FM56" s="162">
        <v>287337</v>
      </c>
      <c r="FN56" s="162">
        <v>287337</v>
      </c>
      <c r="FO56" s="162">
        <v>0</v>
      </c>
      <c r="FP56" s="162">
        <v>0</v>
      </c>
      <c r="FQ56" s="162">
        <v>0</v>
      </c>
      <c r="FR56" s="162">
        <v>0</v>
      </c>
      <c r="FS56" s="162">
        <v>0</v>
      </c>
      <c r="FT56" s="162">
        <v>0</v>
      </c>
      <c r="FU56" s="162">
        <v>0</v>
      </c>
      <c r="FV56" s="162">
        <v>0</v>
      </c>
      <c r="FW56" s="162">
        <v>0</v>
      </c>
      <c r="FX56" s="162">
        <v>0</v>
      </c>
      <c r="FY56" s="162">
        <v>920137</v>
      </c>
      <c r="FZ56" s="162">
        <v>920137</v>
      </c>
      <c r="GA56" s="162">
        <v>2470</v>
      </c>
      <c r="GB56" s="162">
        <v>520</v>
      </c>
      <c r="GC56" s="162">
        <v>0</v>
      </c>
      <c r="GD56" s="162">
        <v>10221</v>
      </c>
      <c r="GE56" s="162">
        <v>44362</v>
      </c>
      <c r="GF56" s="162">
        <v>57573</v>
      </c>
      <c r="GG56" s="162">
        <v>1644871</v>
      </c>
      <c r="GH56" s="162">
        <v>469766</v>
      </c>
      <c r="GI56" s="162">
        <v>68728</v>
      </c>
      <c r="GJ56" s="162">
        <v>450642</v>
      </c>
      <c r="GK56" s="162">
        <v>5148025</v>
      </c>
      <c r="GL56" s="162">
        <v>7782032</v>
      </c>
      <c r="GM56" s="162">
        <v>21416004</v>
      </c>
      <c r="GN56" s="162">
        <v>6284215</v>
      </c>
      <c r="GO56" s="162">
        <v>2814242</v>
      </c>
      <c r="GP56" s="162">
        <v>15170015</v>
      </c>
      <c r="GQ56" s="162">
        <v>34545703</v>
      </c>
      <c r="GR56" s="162">
        <v>80230179</v>
      </c>
      <c r="GS56" s="162">
        <v>0</v>
      </c>
      <c r="GT56" s="162">
        <v>0</v>
      </c>
      <c r="GU56" s="162">
        <v>0</v>
      </c>
      <c r="GV56" s="162">
        <v>0</v>
      </c>
      <c r="GW56" s="162">
        <v>2179583</v>
      </c>
      <c r="GX56" s="162">
        <v>2179583</v>
      </c>
      <c r="GY56" s="162">
        <v>21416004</v>
      </c>
      <c r="GZ56" s="162">
        <v>6284215</v>
      </c>
      <c r="HA56" s="162">
        <v>2814242</v>
      </c>
      <c r="HB56" s="162">
        <v>15170015</v>
      </c>
      <c r="HC56" s="162">
        <v>36725286</v>
      </c>
      <c r="HD56" s="162">
        <v>82409762</v>
      </c>
      <c r="HF56" s="70">
        <f>SUM(AZ56:AZ56)</f>
        <v>17554536</v>
      </c>
      <c r="HG56" s="70" t="e">
        <f>#REF!-HF56</f>
        <v>#REF!</v>
      </c>
      <c r="HH56" s="70" t="e">
        <f>SUM(#REF!)</f>
        <v>#REF!</v>
      </c>
      <c r="HI56" s="70" t="e">
        <f>#REF!-HH56</f>
        <v>#REF!</v>
      </c>
      <c r="HJ56" s="70">
        <f>SUM(BA56:BA56)</f>
        <v>200000</v>
      </c>
      <c r="HK56" s="70" t="e">
        <f>#REF!-HJ56</f>
        <v>#REF!</v>
      </c>
      <c r="HL56" s="70" t="e">
        <f>SUM(#REF!)</f>
        <v>#REF!</v>
      </c>
      <c r="HM56" s="70" t="e">
        <f>BB56-HL56</f>
        <v>#REF!</v>
      </c>
      <c r="HN56" s="70" t="e">
        <f>SUM(#REF!)</f>
        <v>#REF!</v>
      </c>
      <c r="HO56" s="70" t="e">
        <f>#REF!-HN56</f>
        <v>#REF!</v>
      </c>
      <c r="HP56" s="70" t="e">
        <f>SUM(#REF!)</f>
        <v>#REF!</v>
      </c>
      <c r="HQ56" s="70" t="e">
        <f>#REF!-HP56</f>
        <v>#REF!</v>
      </c>
      <c r="HR56" s="70" t="e">
        <f>SUM(#REF!)</f>
        <v>#REF!</v>
      </c>
      <c r="HS56" s="70" t="e">
        <f>#REF!-HR56</f>
        <v>#REF!</v>
      </c>
      <c r="HT56" s="70" t="e">
        <f>SUM(#REF!)</f>
        <v>#REF!</v>
      </c>
      <c r="HU56" s="70" t="e">
        <f>#REF!-HT56</f>
        <v>#REF!</v>
      </c>
      <c r="HV56" s="70" t="e">
        <f>SUM(#REF!)</f>
        <v>#REF!</v>
      </c>
      <c r="HW56" s="70" t="e">
        <f>#REF!-HV56</f>
        <v>#REF!</v>
      </c>
      <c r="HX56" s="70" t="e">
        <f>SUM(#REF!)</f>
        <v>#REF!</v>
      </c>
      <c r="HY56" s="70" t="e">
        <f>#REF!-HX56</f>
        <v>#REF!</v>
      </c>
      <c r="HZ56" s="70">
        <f>SUM(BC56:BC56)</f>
        <v>1688746</v>
      </c>
      <c r="IA56" s="70" t="e">
        <f>#REF!-HZ56</f>
        <v>#REF!</v>
      </c>
      <c r="IB56" s="70">
        <f>SUM(BD56:BD56)</f>
        <v>0</v>
      </c>
      <c r="IC56" s="70" t="e">
        <f>#REF!-IB56</f>
        <v>#REF!</v>
      </c>
      <c r="ID56" s="70">
        <f t="shared" si="56"/>
        <v>1904083</v>
      </c>
      <c r="IE56" s="70">
        <f t="shared" si="57"/>
        <v>0</v>
      </c>
      <c r="IF56" s="70">
        <f t="shared" si="58"/>
        <v>1685262</v>
      </c>
      <c r="IG56" s="70">
        <f t="shared" si="59"/>
        <v>0</v>
      </c>
      <c r="IH56" s="70">
        <f t="shared" si="60"/>
        <v>2522835</v>
      </c>
      <c r="II56" s="70">
        <f t="shared" si="61"/>
        <v>0</v>
      </c>
      <c r="IJ56" s="70">
        <f t="shared" si="62"/>
        <v>83718587</v>
      </c>
      <c r="IK56" s="70">
        <f t="shared" si="63"/>
        <v>0</v>
      </c>
      <c r="IL56" s="70">
        <f t="shared" si="102"/>
        <v>9137969</v>
      </c>
      <c r="IM56" s="70">
        <f t="shared" si="64"/>
        <v>0</v>
      </c>
      <c r="IN56" s="70">
        <f t="shared" si="65"/>
        <v>2053178</v>
      </c>
      <c r="IO56" s="70">
        <f t="shared" si="66"/>
        <v>0</v>
      </c>
      <c r="IP56" s="70">
        <f t="shared" si="67"/>
        <v>16211134</v>
      </c>
      <c r="IQ56" s="70">
        <f t="shared" si="68"/>
        <v>0</v>
      </c>
      <c r="IR56" s="70">
        <f t="shared" si="107"/>
        <v>0</v>
      </c>
      <c r="IS56" s="70">
        <f t="shared" si="108"/>
        <v>0</v>
      </c>
      <c r="IT56" s="70">
        <f t="shared" si="103"/>
        <v>15055996</v>
      </c>
      <c r="IU56" s="70">
        <f t="shared" si="104"/>
        <v>0</v>
      </c>
      <c r="IV56" s="70">
        <f t="shared" si="105"/>
        <v>0</v>
      </c>
      <c r="IW56" s="70">
        <f t="shared" si="106"/>
        <v>0</v>
      </c>
      <c r="IX56" s="70">
        <f t="shared" si="69"/>
        <v>0</v>
      </c>
      <c r="IY56" s="70">
        <f t="shared" si="70"/>
        <v>0</v>
      </c>
      <c r="IZ56" s="70">
        <f t="shared" si="71"/>
        <v>1227511</v>
      </c>
      <c r="JA56" s="70">
        <f t="shared" si="72"/>
        <v>0</v>
      </c>
      <c r="JB56" s="70">
        <f t="shared" si="73"/>
        <v>6647984</v>
      </c>
      <c r="JC56" s="70">
        <f t="shared" si="74"/>
        <v>0</v>
      </c>
      <c r="JD56" s="70">
        <f t="shared" si="75"/>
        <v>4389413</v>
      </c>
      <c r="JE56" s="70">
        <f t="shared" si="76"/>
        <v>0</v>
      </c>
      <c r="JF56" s="70">
        <f t="shared" si="77"/>
        <v>3066867</v>
      </c>
      <c r="JG56" s="70">
        <f t="shared" si="78"/>
        <v>0</v>
      </c>
      <c r="JH56" s="70">
        <f t="shared" si="79"/>
        <v>1053015</v>
      </c>
      <c r="JI56" s="70">
        <f t="shared" si="80"/>
        <v>0</v>
      </c>
      <c r="JJ56" s="70">
        <f t="shared" si="81"/>
        <v>933474</v>
      </c>
      <c r="JK56" s="70">
        <f t="shared" si="82"/>
        <v>0</v>
      </c>
      <c r="JL56" s="70">
        <f t="shared" si="83"/>
        <v>11406559</v>
      </c>
      <c r="JM56" s="70">
        <f t="shared" si="84"/>
        <v>0</v>
      </c>
      <c r="JN56" s="70">
        <f t="shared" si="85"/>
        <v>287337</v>
      </c>
      <c r="JO56" s="70">
        <f t="shared" si="86"/>
        <v>0</v>
      </c>
      <c r="JP56" s="70">
        <f t="shared" si="87"/>
        <v>0</v>
      </c>
      <c r="JQ56" s="70">
        <f t="shared" si="88"/>
        <v>0</v>
      </c>
      <c r="JR56" s="70">
        <f t="shared" si="89"/>
        <v>920137</v>
      </c>
      <c r="JS56" s="70">
        <f t="shared" si="90"/>
        <v>0</v>
      </c>
      <c r="JT56" s="70">
        <f t="shared" si="91"/>
        <v>57573</v>
      </c>
      <c r="JU56" s="70">
        <f t="shared" si="92"/>
        <v>0</v>
      </c>
      <c r="JV56" s="70">
        <f t="shared" si="93"/>
        <v>7782032</v>
      </c>
      <c r="JW56" s="70">
        <f t="shared" si="94"/>
        <v>0</v>
      </c>
      <c r="JX56" s="70">
        <f t="shared" si="95"/>
        <v>80230179</v>
      </c>
      <c r="JY56" s="70">
        <f t="shared" si="96"/>
        <v>0</v>
      </c>
      <c r="JZ56" s="70">
        <f t="shared" si="97"/>
        <v>2179583</v>
      </c>
      <c r="KA56" s="70">
        <f t="shared" si="98"/>
        <v>0</v>
      </c>
      <c r="KB56" s="70">
        <f t="shared" si="99"/>
        <v>82409762</v>
      </c>
      <c r="KC56" s="70">
        <f t="shared" si="100"/>
        <v>0</v>
      </c>
      <c r="KE56" s="70" t="e">
        <f t="shared" si="101"/>
        <v>#REF!</v>
      </c>
      <c r="KG56" s="68" t="e">
        <f t="shared" si="53"/>
        <v>#REF!</v>
      </c>
    </row>
    <row r="57" spans="1:293">
      <c r="A57" s="76" t="s">
        <v>269</v>
      </c>
      <c r="B57" s="76" t="s">
        <v>363</v>
      </c>
      <c r="C57" s="90">
        <v>181464</v>
      </c>
      <c r="D57" s="90">
        <v>2014</v>
      </c>
      <c r="E57" s="90">
        <v>1</v>
      </c>
      <c r="F57" s="91">
        <v>3</v>
      </c>
      <c r="G57" s="92">
        <v>6697</v>
      </c>
      <c r="H57" s="92">
        <v>8405</v>
      </c>
      <c r="I57" s="98">
        <v>942495988</v>
      </c>
      <c r="J57" s="93">
        <v>895236635</v>
      </c>
      <c r="K57" s="98">
        <v>3393488</v>
      </c>
      <c r="L57" s="93">
        <v>3364180</v>
      </c>
      <c r="M57" s="98">
        <v>27330032</v>
      </c>
      <c r="N57" s="93">
        <v>19714147</v>
      </c>
      <c r="O57" s="98">
        <v>26340000</v>
      </c>
      <c r="P57" s="93">
        <v>28335000</v>
      </c>
      <c r="Q57" s="98">
        <v>360970309</v>
      </c>
      <c r="R57" s="93">
        <v>339953870</v>
      </c>
      <c r="S57" s="93">
        <v>627614187</v>
      </c>
      <c r="T57" s="93">
        <v>673936812</v>
      </c>
      <c r="U57" s="93">
        <v>18422</v>
      </c>
      <c r="V57" s="93">
        <v>17800</v>
      </c>
      <c r="W57" s="93">
        <v>31749</v>
      </c>
      <c r="X57" s="93">
        <v>30550</v>
      </c>
      <c r="Y57" s="93">
        <v>21896</v>
      </c>
      <c r="Z57" s="93">
        <v>20738</v>
      </c>
      <c r="AA57" s="93">
        <v>35224</v>
      </c>
      <c r="AB57" s="93">
        <v>33022</v>
      </c>
      <c r="AC57" s="114">
        <v>10</v>
      </c>
      <c r="AD57" s="114">
        <v>14</v>
      </c>
      <c r="AE57" s="114">
        <v>0</v>
      </c>
      <c r="AF57" s="115">
        <v>5417579</v>
      </c>
      <c r="AG57" s="126">
        <v>4107650</v>
      </c>
      <c r="AH57" s="126">
        <v>1566742</v>
      </c>
      <c r="AI57" s="126">
        <v>493373</v>
      </c>
      <c r="AJ57" s="126">
        <v>800335</v>
      </c>
      <c r="AK57" s="127">
        <v>7.5</v>
      </c>
      <c r="AL57" s="126">
        <v>750315</v>
      </c>
      <c r="AM57" s="127">
        <v>8</v>
      </c>
      <c r="AN57" s="123">
        <v>243627</v>
      </c>
      <c r="AO57" s="127">
        <v>10.5</v>
      </c>
      <c r="AP57" s="123">
        <v>213174</v>
      </c>
      <c r="AQ57" s="124">
        <v>12</v>
      </c>
      <c r="AR57" s="126">
        <v>227207</v>
      </c>
      <c r="AS57" s="127">
        <v>22.5</v>
      </c>
      <c r="AT57" s="126">
        <v>204486</v>
      </c>
      <c r="AU57" s="127">
        <v>25</v>
      </c>
      <c r="AV57" s="115">
        <v>106498</v>
      </c>
      <c r="AW57" s="116">
        <v>18</v>
      </c>
      <c r="AX57" s="115">
        <v>87134</v>
      </c>
      <c r="AY57" s="116">
        <v>22</v>
      </c>
      <c r="AZ57" s="162">
        <v>34121726</v>
      </c>
      <c r="BA57" s="162">
        <v>0</v>
      </c>
      <c r="BB57" s="162">
        <v>11833760</v>
      </c>
      <c r="BC57" s="162">
        <v>4974461</v>
      </c>
      <c r="BD57" s="162">
        <v>6681279</v>
      </c>
      <c r="BE57" s="162">
        <v>0</v>
      </c>
      <c r="BF57" s="162">
        <v>0</v>
      </c>
      <c r="BG57" s="162">
        <v>0</v>
      </c>
      <c r="BH57" s="162">
        <v>0</v>
      </c>
      <c r="BI57" s="162">
        <v>0</v>
      </c>
      <c r="BJ57" s="162">
        <v>0</v>
      </c>
      <c r="BK57" s="162">
        <v>0</v>
      </c>
      <c r="BL57" s="162">
        <v>0</v>
      </c>
      <c r="BM57" s="162">
        <v>0</v>
      </c>
      <c r="BN57" s="162">
        <v>0</v>
      </c>
      <c r="BO57" s="162">
        <v>34477</v>
      </c>
      <c r="BP57" s="162">
        <v>34477</v>
      </c>
      <c r="BQ57" s="162">
        <v>378135</v>
      </c>
      <c r="BR57" s="162">
        <v>170186</v>
      </c>
      <c r="BS57" s="162">
        <v>238678</v>
      </c>
      <c r="BT57" s="162">
        <v>205258</v>
      </c>
      <c r="BU57" s="162">
        <v>1517412</v>
      </c>
      <c r="BV57" s="162">
        <v>2509669</v>
      </c>
      <c r="BW57" s="162">
        <v>60164128</v>
      </c>
      <c r="BX57" s="162">
        <v>8454574</v>
      </c>
      <c r="BY57" s="162">
        <v>1503162</v>
      </c>
      <c r="BZ57" s="162">
        <v>6062970</v>
      </c>
      <c r="CA57" s="162">
        <v>18612858</v>
      </c>
      <c r="CB57" s="162">
        <v>94797692</v>
      </c>
      <c r="CC57" s="162">
        <v>2909759</v>
      </c>
      <c r="CD57" s="162">
        <v>456376</v>
      </c>
      <c r="CE57" s="162">
        <v>441168</v>
      </c>
      <c r="CF57" s="162">
        <v>5717926</v>
      </c>
      <c r="CG57" s="162">
        <v>6000</v>
      </c>
      <c r="CH57" s="162">
        <v>9531229</v>
      </c>
      <c r="CI57" s="162">
        <v>3570000</v>
      </c>
      <c r="CJ57" s="162">
        <v>605130</v>
      </c>
      <c r="CK57" s="162">
        <v>158912</v>
      </c>
      <c r="CL57" s="162">
        <v>173027</v>
      </c>
      <c r="CM57" s="162">
        <v>0</v>
      </c>
      <c r="CN57" s="162">
        <v>4507069</v>
      </c>
      <c r="CO57" s="162">
        <v>6548010</v>
      </c>
      <c r="CP57" s="162">
        <v>2721284</v>
      </c>
      <c r="CQ57" s="162">
        <v>1410127</v>
      </c>
      <c r="CR57" s="162">
        <v>4910291</v>
      </c>
      <c r="CS57" s="162">
        <v>0</v>
      </c>
      <c r="CT57" s="162">
        <v>15589712</v>
      </c>
      <c r="CU57" s="162">
        <v>0</v>
      </c>
      <c r="CV57" s="151">
        <v>0</v>
      </c>
      <c r="CW57" s="151">
        <v>0</v>
      </c>
      <c r="CX57" s="151">
        <v>0</v>
      </c>
      <c r="CY57" s="162">
        <v>0</v>
      </c>
      <c r="CZ57" s="162">
        <v>0</v>
      </c>
      <c r="DA57" s="162">
        <v>1675561</v>
      </c>
      <c r="DB57" s="162">
        <v>335881</v>
      </c>
      <c r="DC57" s="162">
        <v>298841</v>
      </c>
      <c r="DD57" s="162">
        <v>1435259</v>
      </c>
      <c r="DE57" s="162">
        <v>14436712</v>
      </c>
      <c r="DF57" s="162">
        <v>18182254</v>
      </c>
      <c r="DG57" s="162">
        <v>0</v>
      </c>
      <c r="DH57" s="162">
        <v>0</v>
      </c>
      <c r="DI57" s="162">
        <v>0</v>
      </c>
      <c r="DJ57" s="162">
        <v>0</v>
      </c>
      <c r="DK57" s="162">
        <v>0</v>
      </c>
      <c r="DL57" s="162">
        <v>0</v>
      </c>
      <c r="DM57" s="162">
        <v>0</v>
      </c>
      <c r="DN57" s="162">
        <v>0</v>
      </c>
      <c r="DO57" s="162">
        <v>0</v>
      </c>
      <c r="DP57" s="162">
        <v>0</v>
      </c>
      <c r="DQ57" s="162">
        <v>0</v>
      </c>
      <c r="DR57" s="162">
        <v>0</v>
      </c>
      <c r="DS57" s="162">
        <v>904269</v>
      </c>
      <c r="DT57" s="162">
        <v>416096</v>
      </c>
      <c r="DU57" s="162">
        <v>163298</v>
      </c>
      <c r="DV57" s="162">
        <v>576452</v>
      </c>
      <c r="DW57" s="162">
        <v>0</v>
      </c>
      <c r="DX57" s="162">
        <v>2060115</v>
      </c>
      <c r="DY57" s="162">
        <v>736043</v>
      </c>
      <c r="DZ57" s="162">
        <v>703306</v>
      </c>
      <c r="EA57" s="162">
        <v>627319</v>
      </c>
      <c r="EB57" s="162">
        <v>3032094</v>
      </c>
      <c r="EC57" s="162">
        <v>227491</v>
      </c>
      <c r="ED57" s="162">
        <v>5326253</v>
      </c>
      <c r="EE57" s="162">
        <v>953753</v>
      </c>
      <c r="EF57" s="162">
        <v>80394</v>
      </c>
      <c r="EG57" s="162">
        <v>70508</v>
      </c>
      <c r="EH57" s="162">
        <v>999762</v>
      </c>
      <c r="EI57" s="162">
        <v>594370</v>
      </c>
      <c r="EJ57" s="162">
        <v>2698787</v>
      </c>
      <c r="EK57" s="162">
        <v>1826595</v>
      </c>
      <c r="EL57" s="162">
        <v>587558</v>
      </c>
      <c r="EM57" s="162">
        <v>466197</v>
      </c>
      <c r="EN57" s="162">
        <v>668369</v>
      </c>
      <c r="EO57" s="162">
        <v>611626</v>
      </c>
      <c r="EP57" s="162">
        <v>4160345</v>
      </c>
      <c r="EQ57" s="162">
        <v>5896</v>
      </c>
      <c r="ER57" s="162">
        <v>59</v>
      </c>
      <c r="ES57" s="162">
        <v>298</v>
      </c>
      <c r="ET57" s="162">
        <v>92</v>
      </c>
      <c r="EU57" s="162">
        <v>761736</v>
      </c>
      <c r="EV57" s="162">
        <v>768081</v>
      </c>
      <c r="EW57" s="162">
        <v>0</v>
      </c>
      <c r="EX57" s="162">
        <v>0</v>
      </c>
      <c r="EY57" s="162">
        <v>0</v>
      </c>
      <c r="EZ57" s="162">
        <v>0</v>
      </c>
      <c r="FA57" s="162">
        <v>0</v>
      </c>
      <c r="FB57" s="162">
        <v>0</v>
      </c>
      <c r="FC57" s="162">
        <v>998351</v>
      </c>
      <c r="FD57" s="162">
        <v>225004</v>
      </c>
      <c r="FE57" s="162">
        <v>255004</v>
      </c>
      <c r="FF57" s="162">
        <v>237214</v>
      </c>
      <c r="FG57" s="162">
        <v>11515680</v>
      </c>
      <c r="FH57" s="162">
        <v>13231253</v>
      </c>
      <c r="FI57" s="162">
        <v>0</v>
      </c>
      <c r="FJ57" s="162">
        <v>0</v>
      </c>
      <c r="FK57" s="162">
        <v>0</v>
      </c>
      <c r="FL57" s="162">
        <v>0</v>
      </c>
      <c r="FM57" s="162">
        <v>102474</v>
      </c>
      <c r="FN57" s="162">
        <v>102474</v>
      </c>
      <c r="FO57" s="162">
        <v>0</v>
      </c>
      <c r="FP57" s="162">
        <v>0</v>
      </c>
      <c r="FQ57" s="162">
        <v>0</v>
      </c>
      <c r="FR57" s="162">
        <v>0</v>
      </c>
      <c r="FS57" s="162">
        <v>0</v>
      </c>
      <c r="FT57" s="162">
        <v>0</v>
      </c>
      <c r="FU57" s="162">
        <v>0</v>
      </c>
      <c r="FV57" s="162">
        <v>0</v>
      </c>
      <c r="FW57" s="162">
        <v>0</v>
      </c>
      <c r="FX57" s="162">
        <v>0</v>
      </c>
      <c r="FY57" s="162">
        <v>746214</v>
      </c>
      <c r="FZ57" s="162">
        <v>746214</v>
      </c>
      <c r="GA57" s="162">
        <v>3357</v>
      </c>
      <c r="GB57" s="162">
        <v>882</v>
      </c>
      <c r="GC57" s="162">
        <v>1019</v>
      </c>
      <c r="GD57" s="162">
        <v>13438</v>
      </c>
      <c r="GE57" s="162">
        <v>114703</v>
      </c>
      <c r="GF57" s="162">
        <v>133399</v>
      </c>
      <c r="GG57" s="162">
        <v>3712871</v>
      </c>
      <c r="GH57" s="162">
        <v>206192</v>
      </c>
      <c r="GI57" s="162">
        <v>120078</v>
      </c>
      <c r="GJ57" s="162">
        <v>1570583</v>
      </c>
      <c r="GK57" s="162">
        <v>8292364</v>
      </c>
      <c r="GL57" s="162">
        <v>13902088</v>
      </c>
      <c r="GM57" s="162">
        <v>23844465</v>
      </c>
      <c r="GN57" s="162">
        <v>6338162</v>
      </c>
      <c r="GO57" s="162">
        <v>4012769</v>
      </c>
      <c r="GP57" s="162">
        <v>19334507</v>
      </c>
      <c r="GQ57" s="162">
        <v>37409370</v>
      </c>
      <c r="GR57" s="162">
        <v>90939273</v>
      </c>
      <c r="GS57" s="162">
        <v>0</v>
      </c>
      <c r="GT57" s="162">
        <v>0</v>
      </c>
      <c r="GU57" s="162">
        <v>0</v>
      </c>
      <c r="GV57" s="162">
        <v>0</v>
      </c>
      <c r="GW57" s="162">
        <v>3674316</v>
      </c>
      <c r="GX57" s="162">
        <v>3674316</v>
      </c>
      <c r="GY57" s="162">
        <v>23844465</v>
      </c>
      <c r="GZ57" s="162">
        <v>6338162</v>
      </c>
      <c r="HA57" s="162">
        <v>4012769</v>
      </c>
      <c r="HB57" s="162">
        <v>19334507</v>
      </c>
      <c r="HC57" s="162">
        <v>41083686</v>
      </c>
      <c r="HD57" s="162">
        <v>94613589</v>
      </c>
      <c r="HF57" s="70">
        <f>SUM(AZ57:AZ57)</f>
        <v>34121726</v>
      </c>
      <c r="HG57" s="70" t="e">
        <f>#REF!-HF57</f>
        <v>#REF!</v>
      </c>
      <c r="HH57" s="70" t="e">
        <f>SUM(#REF!)</f>
        <v>#REF!</v>
      </c>
      <c r="HI57" s="70" t="e">
        <f>#REF!-HH57</f>
        <v>#REF!</v>
      </c>
      <c r="HJ57" s="70">
        <f>SUM(BA57:BA57)</f>
        <v>0</v>
      </c>
      <c r="HK57" s="70" t="e">
        <f>#REF!-HJ57</f>
        <v>#REF!</v>
      </c>
      <c r="HL57" s="70" t="e">
        <f>SUM(#REF!)</f>
        <v>#REF!</v>
      </c>
      <c r="HM57" s="70" t="e">
        <f>BB57-HL57</f>
        <v>#REF!</v>
      </c>
      <c r="HN57" s="70" t="e">
        <f>SUM(#REF!)</f>
        <v>#REF!</v>
      </c>
      <c r="HO57" s="70" t="e">
        <f>#REF!-HN57</f>
        <v>#REF!</v>
      </c>
      <c r="HP57" s="70" t="e">
        <f>SUM(#REF!)</f>
        <v>#REF!</v>
      </c>
      <c r="HQ57" s="70" t="e">
        <f>#REF!-HP57</f>
        <v>#REF!</v>
      </c>
      <c r="HR57" s="70" t="e">
        <f>SUM(#REF!)</f>
        <v>#REF!</v>
      </c>
      <c r="HS57" s="70" t="e">
        <f>#REF!-HR57</f>
        <v>#REF!</v>
      </c>
      <c r="HT57" s="70" t="e">
        <f>SUM(#REF!)</f>
        <v>#REF!</v>
      </c>
      <c r="HU57" s="70" t="e">
        <f>#REF!-HT57</f>
        <v>#REF!</v>
      </c>
      <c r="HV57" s="70" t="e">
        <f>SUM(#REF!)</f>
        <v>#REF!</v>
      </c>
      <c r="HW57" s="70" t="e">
        <f>#REF!-HV57</f>
        <v>#REF!</v>
      </c>
      <c r="HX57" s="70" t="e">
        <f>SUM(#REF!)</f>
        <v>#REF!</v>
      </c>
      <c r="HY57" s="70" t="e">
        <f>#REF!-HX57</f>
        <v>#REF!</v>
      </c>
      <c r="HZ57" s="70">
        <f>SUM(BC57:BC57)</f>
        <v>4974461</v>
      </c>
      <c r="IA57" s="70" t="e">
        <f>#REF!-HZ57</f>
        <v>#REF!</v>
      </c>
      <c r="IB57" s="70">
        <f>SUM(BD57:BD57)</f>
        <v>6681279</v>
      </c>
      <c r="IC57" s="70" t="e">
        <f>#REF!-IB57</f>
        <v>#REF!</v>
      </c>
      <c r="ID57" s="70">
        <f t="shared" si="56"/>
        <v>0</v>
      </c>
      <c r="IE57" s="70">
        <f t="shared" si="57"/>
        <v>0</v>
      </c>
      <c r="IF57" s="70">
        <f t="shared" si="58"/>
        <v>34477</v>
      </c>
      <c r="IG57" s="70">
        <f t="shared" si="59"/>
        <v>0</v>
      </c>
      <c r="IH57" s="70">
        <f t="shared" si="60"/>
        <v>2509669</v>
      </c>
      <c r="II57" s="70">
        <f t="shared" si="61"/>
        <v>0</v>
      </c>
      <c r="IJ57" s="70">
        <f t="shared" si="62"/>
        <v>94797692</v>
      </c>
      <c r="IK57" s="70">
        <f t="shared" si="63"/>
        <v>0</v>
      </c>
      <c r="IL57" s="70">
        <f t="shared" si="102"/>
        <v>9531229</v>
      </c>
      <c r="IM57" s="70">
        <f t="shared" si="64"/>
        <v>0</v>
      </c>
      <c r="IN57" s="70">
        <f t="shared" si="65"/>
        <v>4507069</v>
      </c>
      <c r="IO57" s="70">
        <f t="shared" si="66"/>
        <v>0</v>
      </c>
      <c r="IP57" s="70">
        <f t="shared" si="67"/>
        <v>15589712</v>
      </c>
      <c r="IQ57" s="70">
        <f t="shared" si="68"/>
        <v>0</v>
      </c>
      <c r="IR57" s="70">
        <f t="shared" si="107"/>
        <v>0</v>
      </c>
      <c r="IS57" s="70">
        <f t="shared" si="108"/>
        <v>0</v>
      </c>
      <c r="IT57" s="70">
        <f t="shared" si="103"/>
        <v>18182254</v>
      </c>
      <c r="IU57" s="70">
        <f t="shared" si="104"/>
        <v>0</v>
      </c>
      <c r="IV57" s="70">
        <f t="shared" si="105"/>
        <v>0</v>
      </c>
      <c r="IW57" s="70">
        <f t="shared" si="106"/>
        <v>0</v>
      </c>
      <c r="IX57" s="70">
        <f t="shared" si="69"/>
        <v>0</v>
      </c>
      <c r="IY57" s="70">
        <f t="shared" si="70"/>
        <v>0</v>
      </c>
      <c r="IZ57" s="70">
        <f t="shared" si="71"/>
        <v>2060115</v>
      </c>
      <c r="JA57" s="70">
        <f t="shared" si="72"/>
        <v>0</v>
      </c>
      <c r="JB57" s="70">
        <f t="shared" si="73"/>
        <v>5326253</v>
      </c>
      <c r="JC57" s="70">
        <f t="shared" si="74"/>
        <v>0</v>
      </c>
      <c r="JD57" s="70">
        <f t="shared" si="75"/>
        <v>2698787</v>
      </c>
      <c r="JE57" s="70">
        <f t="shared" si="76"/>
        <v>0</v>
      </c>
      <c r="JF57" s="70">
        <f t="shared" si="77"/>
        <v>4160345</v>
      </c>
      <c r="JG57" s="70">
        <f t="shared" si="78"/>
        <v>0</v>
      </c>
      <c r="JH57" s="70">
        <f t="shared" si="79"/>
        <v>768081</v>
      </c>
      <c r="JI57" s="70">
        <f t="shared" si="80"/>
        <v>0</v>
      </c>
      <c r="JJ57" s="70">
        <f t="shared" si="81"/>
        <v>0</v>
      </c>
      <c r="JK57" s="70">
        <f t="shared" si="82"/>
        <v>0</v>
      </c>
      <c r="JL57" s="70">
        <f t="shared" si="83"/>
        <v>13231253</v>
      </c>
      <c r="JM57" s="70">
        <f t="shared" si="84"/>
        <v>0</v>
      </c>
      <c r="JN57" s="70">
        <f t="shared" si="85"/>
        <v>102474</v>
      </c>
      <c r="JO57" s="70">
        <f t="shared" si="86"/>
        <v>0</v>
      </c>
      <c r="JP57" s="70">
        <f t="shared" si="87"/>
        <v>0</v>
      </c>
      <c r="JQ57" s="70">
        <f t="shared" si="88"/>
        <v>0</v>
      </c>
      <c r="JR57" s="70">
        <f t="shared" si="89"/>
        <v>746214</v>
      </c>
      <c r="JS57" s="70">
        <f t="shared" si="90"/>
        <v>0</v>
      </c>
      <c r="JT57" s="70">
        <f t="shared" si="91"/>
        <v>133399</v>
      </c>
      <c r="JU57" s="70">
        <f t="shared" si="92"/>
        <v>0</v>
      </c>
      <c r="JV57" s="70">
        <f t="shared" si="93"/>
        <v>13902088</v>
      </c>
      <c r="JW57" s="70">
        <f t="shared" si="94"/>
        <v>0</v>
      </c>
      <c r="JX57" s="70">
        <f t="shared" si="95"/>
        <v>90939273</v>
      </c>
      <c r="JY57" s="70">
        <f t="shared" si="96"/>
        <v>0</v>
      </c>
      <c r="JZ57" s="70">
        <f t="shared" si="97"/>
        <v>3674316</v>
      </c>
      <c r="KA57" s="70">
        <f t="shared" si="98"/>
        <v>0</v>
      </c>
      <c r="KB57" s="70">
        <f t="shared" si="99"/>
        <v>94613589</v>
      </c>
      <c r="KC57" s="70">
        <f t="shared" si="100"/>
        <v>0</v>
      </c>
      <c r="KE57" s="70" t="e">
        <f t="shared" si="101"/>
        <v>#REF!</v>
      </c>
      <c r="KG57" s="68" t="e">
        <f t="shared" si="53"/>
        <v>#REF!</v>
      </c>
    </row>
    <row r="58" spans="1:293">
      <c r="A58" s="180" t="s">
        <v>270</v>
      </c>
      <c r="B58" s="76" t="s">
        <v>363</v>
      </c>
      <c r="C58" s="90">
        <v>182290</v>
      </c>
      <c r="D58" s="90">
        <v>2014</v>
      </c>
      <c r="E58" s="90">
        <v>1</v>
      </c>
      <c r="F58" s="91">
        <v>10</v>
      </c>
      <c r="G58" s="97">
        <v>6097</v>
      </c>
      <c r="H58" s="97">
        <v>6822</v>
      </c>
      <c r="I58" s="99">
        <v>555097000</v>
      </c>
      <c r="J58" s="93">
        <v>527172897</v>
      </c>
      <c r="K58" s="98">
        <v>505630</v>
      </c>
      <c r="L58" s="93">
        <v>238558</v>
      </c>
      <c r="M58" s="98">
        <v>19433000</v>
      </c>
      <c r="N58" s="93">
        <v>105611403</v>
      </c>
      <c r="O58" s="93"/>
      <c r="P58" s="93"/>
      <c r="Q58" s="98"/>
      <c r="R58" s="93"/>
      <c r="S58" s="98"/>
      <c r="T58" s="93"/>
      <c r="U58" s="99"/>
      <c r="V58" s="99"/>
      <c r="W58" s="99"/>
      <c r="X58" s="99"/>
      <c r="Y58" s="99"/>
      <c r="Z58" s="99"/>
      <c r="AA58" s="99"/>
      <c r="AB58" s="93"/>
      <c r="AC58" s="128">
        <v>5</v>
      </c>
      <c r="AD58" s="128">
        <v>10</v>
      </c>
      <c r="AE58" s="128">
        <v>1</v>
      </c>
      <c r="AF58" s="115">
        <v>3219131</v>
      </c>
      <c r="AG58" s="115">
        <v>2707781</v>
      </c>
      <c r="AH58" s="115">
        <v>418828</v>
      </c>
      <c r="AI58" s="115">
        <v>124005</v>
      </c>
      <c r="AJ58" s="126">
        <v>287838</v>
      </c>
      <c r="AK58" s="116">
        <v>5.0599999999999996</v>
      </c>
      <c r="AL58" s="115">
        <v>242743</v>
      </c>
      <c r="AM58" s="116">
        <v>6</v>
      </c>
      <c r="AN58" s="115">
        <v>104496</v>
      </c>
      <c r="AO58" s="116">
        <v>8.06</v>
      </c>
      <c r="AP58" s="126">
        <v>93582</v>
      </c>
      <c r="AQ58" s="116">
        <v>9</v>
      </c>
      <c r="AR58" s="129">
        <v>166624</v>
      </c>
      <c r="AS58" s="127">
        <v>14.43</v>
      </c>
      <c r="AT58" s="126">
        <v>160292</v>
      </c>
      <c r="AU58" s="127">
        <v>15</v>
      </c>
      <c r="AV58" s="126">
        <v>73212</v>
      </c>
      <c r="AW58" s="127">
        <v>13</v>
      </c>
      <c r="AX58" s="126">
        <v>73212</v>
      </c>
      <c r="AY58" s="127">
        <v>13</v>
      </c>
      <c r="AZ58" s="162">
        <v>2760103</v>
      </c>
      <c r="BA58" s="162">
        <v>1100000</v>
      </c>
      <c r="BB58" s="162">
        <v>4948145</v>
      </c>
      <c r="BC58" s="139">
        <v>229395</v>
      </c>
      <c r="BD58" s="139">
        <v>0</v>
      </c>
      <c r="BE58" s="139">
        <v>0</v>
      </c>
      <c r="BF58" s="139">
        <v>0</v>
      </c>
      <c r="BG58" s="139">
        <v>0</v>
      </c>
      <c r="BH58" s="139">
        <v>0</v>
      </c>
      <c r="BI58" s="139">
        <v>0</v>
      </c>
      <c r="BJ58" s="139">
        <v>0</v>
      </c>
      <c r="BK58" s="164">
        <v>0</v>
      </c>
      <c r="BL58" s="162">
        <v>0</v>
      </c>
      <c r="BM58" s="162">
        <v>0</v>
      </c>
      <c r="BN58" s="162">
        <v>0</v>
      </c>
      <c r="BO58" s="162">
        <v>333423</v>
      </c>
      <c r="BP58" s="164">
        <v>333423</v>
      </c>
      <c r="BQ58" s="162">
        <v>113911</v>
      </c>
      <c r="BR58" s="162">
        <v>61045</v>
      </c>
      <c r="BS58" s="162">
        <v>16185</v>
      </c>
      <c r="BT58" s="162">
        <v>203127</v>
      </c>
      <c r="BU58" s="162">
        <v>989188</v>
      </c>
      <c r="BV58" s="162">
        <v>1383456</v>
      </c>
      <c r="BW58" s="162">
        <v>6645828</v>
      </c>
      <c r="BX58" s="162">
        <v>3810252</v>
      </c>
      <c r="BY58" s="162">
        <v>256571</v>
      </c>
      <c r="BZ58" s="162">
        <v>1493702</v>
      </c>
      <c r="CA58" s="162">
        <v>15117985</v>
      </c>
      <c r="CB58" s="162">
        <v>27324338</v>
      </c>
      <c r="CC58" s="162">
        <v>2176563</v>
      </c>
      <c r="CD58" s="162">
        <v>465319</v>
      </c>
      <c r="CE58" s="162">
        <v>339647</v>
      </c>
      <c r="CF58" s="162">
        <v>3052620</v>
      </c>
      <c r="CG58" s="162">
        <v>0</v>
      </c>
      <c r="CH58" s="162">
        <v>6034149</v>
      </c>
      <c r="CI58" s="164">
        <v>500006</v>
      </c>
      <c r="CJ58" s="162">
        <v>138500</v>
      </c>
      <c r="CK58" s="162">
        <v>21000</v>
      </c>
      <c r="CL58" s="162">
        <v>13484</v>
      </c>
      <c r="CM58" s="162">
        <v>0</v>
      </c>
      <c r="CN58" s="162">
        <v>672990</v>
      </c>
      <c r="CO58" s="162">
        <v>2393327</v>
      </c>
      <c r="CP58" s="162">
        <v>997925</v>
      </c>
      <c r="CQ58" s="165">
        <v>573890</v>
      </c>
      <c r="CR58" s="164">
        <v>1689700</v>
      </c>
      <c r="CS58" s="162">
        <v>0</v>
      </c>
      <c r="CT58" s="164">
        <v>5654842</v>
      </c>
      <c r="CU58" s="164">
        <v>0</v>
      </c>
      <c r="CV58" s="164">
        <v>0</v>
      </c>
      <c r="CW58" s="164">
        <v>0</v>
      </c>
      <c r="CX58" s="164">
        <v>0</v>
      </c>
      <c r="CY58" s="164">
        <v>0</v>
      </c>
      <c r="CZ58" s="164">
        <v>0</v>
      </c>
      <c r="DA58" s="139">
        <v>0</v>
      </c>
      <c r="DB58" s="139">
        <v>0</v>
      </c>
      <c r="DC58" s="139">
        <v>0</v>
      </c>
      <c r="DD58" s="139">
        <v>0</v>
      </c>
      <c r="DE58" s="139">
        <v>3630922</v>
      </c>
      <c r="DF58" s="139">
        <v>3630922</v>
      </c>
      <c r="DG58" s="139">
        <v>0</v>
      </c>
      <c r="DH58" s="139">
        <v>0</v>
      </c>
      <c r="DI58" s="139">
        <v>0</v>
      </c>
      <c r="DJ58" s="139">
        <v>0</v>
      </c>
      <c r="DK58" s="139">
        <v>0</v>
      </c>
      <c r="DL58" s="139">
        <v>0</v>
      </c>
      <c r="DM58" s="139">
        <v>0</v>
      </c>
      <c r="DN58" s="139">
        <v>0</v>
      </c>
      <c r="DO58" s="139">
        <v>0</v>
      </c>
      <c r="DP58" s="139">
        <v>0</v>
      </c>
      <c r="DQ58" s="139">
        <v>0</v>
      </c>
      <c r="DR58" s="139">
        <v>0</v>
      </c>
      <c r="DS58" s="139">
        <v>261828</v>
      </c>
      <c r="DT58" s="139">
        <v>105457</v>
      </c>
      <c r="DU58" s="139">
        <v>48396</v>
      </c>
      <c r="DV58" s="139">
        <v>127152</v>
      </c>
      <c r="DW58" s="139">
        <v>384</v>
      </c>
      <c r="DX58" s="139">
        <v>543217</v>
      </c>
      <c r="DY58" s="139">
        <v>719475</v>
      </c>
      <c r="DZ58" s="139">
        <v>450269</v>
      </c>
      <c r="EA58" s="139">
        <v>206560</v>
      </c>
      <c r="EB58" s="139">
        <v>1097939</v>
      </c>
      <c r="EC58" s="139">
        <v>19085</v>
      </c>
      <c r="ED58" s="139">
        <v>2493328</v>
      </c>
      <c r="EE58" s="139">
        <v>263258</v>
      </c>
      <c r="EF58" s="139">
        <v>23591</v>
      </c>
      <c r="EG58" s="139">
        <v>34546</v>
      </c>
      <c r="EH58" s="139">
        <v>301653</v>
      </c>
      <c r="EI58" s="139">
        <v>63834</v>
      </c>
      <c r="EJ58" s="139">
        <v>686882</v>
      </c>
      <c r="EK58" s="139">
        <v>599435</v>
      </c>
      <c r="EL58" s="139">
        <v>157104</v>
      </c>
      <c r="EM58" s="139">
        <v>122670</v>
      </c>
      <c r="EN58" s="139">
        <v>159866</v>
      </c>
      <c r="EO58" s="139">
        <v>0</v>
      </c>
      <c r="EP58" s="139">
        <v>1039075</v>
      </c>
      <c r="EQ58" s="139">
        <v>0</v>
      </c>
      <c r="ER58" s="139">
        <v>0</v>
      </c>
      <c r="ES58" s="139">
        <v>0</v>
      </c>
      <c r="ET58" s="139">
        <v>0</v>
      </c>
      <c r="EU58" s="139">
        <v>326941</v>
      </c>
      <c r="EV58" s="139">
        <v>326941</v>
      </c>
      <c r="EW58" s="139">
        <v>0</v>
      </c>
      <c r="EX58" s="139">
        <v>0</v>
      </c>
      <c r="EY58" s="139">
        <v>0</v>
      </c>
      <c r="EZ58" s="139">
        <v>0</v>
      </c>
      <c r="FA58" s="139">
        <v>0</v>
      </c>
      <c r="FB58" s="139">
        <v>0</v>
      </c>
      <c r="FC58" s="139">
        <v>0</v>
      </c>
      <c r="FD58" s="139">
        <v>0</v>
      </c>
      <c r="FE58" s="139">
        <v>0</v>
      </c>
      <c r="FF58" s="139">
        <v>0</v>
      </c>
      <c r="FG58" s="139">
        <v>1281928</v>
      </c>
      <c r="FH58" s="139">
        <v>1281928</v>
      </c>
      <c r="FI58" s="139">
        <v>0</v>
      </c>
      <c r="FJ58" s="139">
        <v>0</v>
      </c>
      <c r="FK58" s="139">
        <v>0</v>
      </c>
      <c r="FL58" s="139">
        <v>0</v>
      </c>
      <c r="FM58" s="139">
        <v>97256</v>
      </c>
      <c r="FN58" s="139">
        <v>97256</v>
      </c>
      <c r="FO58" s="139">
        <v>0</v>
      </c>
      <c r="FP58" s="139">
        <v>0</v>
      </c>
      <c r="FQ58" s="139">
        <v>0</v>
      </c>
      <c r="FR58" s="139">
        <v>0</v>
      </c>
      <c r="FS58" s="139">
        <v>1767831</v>
      </c>
      <c r="FT58" s="139">
        <v>1767831</v>
      </c>
      <c r="FU58" s="139">
        <v>0</v>
      </c>
      <c r="FV58" s="139">
        <v>0</v>
      </c>
      <c r="FW58" s="139">
        <v>0</v>
      </c>
      <c r="FX58" s="139">
        <v>0</v>
      </c>
      <c r="FY58" s="139">
        <v>296121</v>
      </c>
      <c r="FZ58" s="139">
        <v>296121</v>
      </c>
      <c r="GA58" s="139">
        <v>0</v>
      </c>
      <c r="GB58" s="139">
        <v>505</v>
      </c>
      <c r="GC58" s="139">
        <v>85</v>
      </c>
      <c r="GD58" s="139">
        <v>4558</v>
      </c>
      <c r="GE58" s="139">
        <v>570732</v>
      </c>
      <c r="GF58" s="139">
        <v>575880</v>
      </c>
      <c r="GG58" s="139">
        <v>215011</v>
      </c>
      <c r="GH58" s="139">
        <v>52298</v>
      </c>
      <c r="GI58" s="139">
        <v>21849</v>
      </c>
      <c r="GJ58" s="139">
        <v>264636</v>
      </c>
      <c r="GK58" s="139">
        <v>2079621</v>
      </c>
      <c r="GL58" s="139">
        <v>2633415</v>
      </c>
      <c r="GM58" s="139">
        <v>7128903</v>
      </c>
      <c r="GN58" s="139">
        <v>2390968</v>
      </c>
      <c r="GO58" s="139">
        <v>1368643</v>
      </c>
      <c r="GP58" s="139">
        <v>6711608</v>
      </c>
      <c r="GQ58" s="139">
        <v>10134655</v>
      </c>
      <c r="GR58" s="139">
        <v>27734777</v>
      </c>
      <c r="GS58" s="139">
        <v>0</v>
      </c>
      <c r="GT58" s="139">
        <v>0</v>
      </c>
      <c r="GU58" s="139">
        <v>0</v>
      </c>
      <c r="GV58" s="139">
        <v>0</v>
      </c>
      <c r="GW58" s="139">
        <v>0</v>
      </c>
      <c r="GX58" s="139">
        <v>0</v>
      </c>
      <c r="GY58" s="139">
        <v>7128903</v>
      </c>
      <c r="GZ58" s="139">
        <v>2390968</v>
      </c>
      <c r="HA58" s="139">
        <v>1368643</v>
      </c>
      <c r="HB58" s="139">
        <v>6711608</v>
      </c>
      <c r="HC58" s="139">
        <v>10134655</v>
      </c>
      <c r="HD58" s="139">
        <v>27734777</v>
      </c>
      <c r="HF58" s="70">
        <f>SUM(AZ58:AZ58)</f>
        <v>2760103</v>
      </c>
      <c r="HG58" s="70" t="e">
        <f>#REF!-HF58</f>
        <v>#REF!</v>
      </c>
      <c r="HH58" s="70" t="e">
        <f>SUM(#REF!)</f>
        <v>#REF!</v>
      </c>
      <c r="HI58" s="70" t="e">
        <f>#REF!-HH58</f>
        <v>#REF!</v>
      </c>
      <c r="HJ58" s="70">
        <f>SUM(BA58:BA58)</f>
        <v>1100000</v>
      </c>
      <c r="HK58" s="70" t="e">
        <f>#REF!-HJ58</f>
        <v>#REF!</v>
      </c>
      <c r="HL58" s="70" t="e">
        <f>SUM(#REF!)</f>
        <v>#REF!</v>
      </c>
      <c r="HM58" s="70" t="e">
        <f>BB58-HL58</f>
        <v>#REF!</v>
      </c>
      <c r="HN58" s="70" t="e">
        <f>SUM(#REF!)</f>
        <v>#REF!</v>
      </c>
      <c r="HO58" s="70" t="e">
        <f>#REF!-HN58</f>
        <v>#REF!</v>
      </c>
      <c r="HP58" s="70" t="e">
        <f>SUM(#REF!)</f>
        <v>#REF!</v>
      </c>
      <c r="HQ58" s="70" t="e">
        <f>#REF!-HP58</f>
        <v>#REF!</v>
      </c>
      <c r="HR58" s="70" t="e">
        <f>SUM(#REF!)</f>
        <v>#REF!</v>
      </c>
      <c r="HS58" s="70" t="e">
        <f>#REF!-HR58</f>
        <v>#REF!</v>
      </c>
      <c r="HT58" s="70" t="e">
        <f>SUM(#REF!)</f>
        <v>#REF!</v>
      </c>
      <c r="HU58" s="70" t="e">
        <f>#REF!-HT58</f>
        <v>#REF!</v>
      </c>
      <c r="HV58" s="70" t="e">
        <f>SUM(#REF!)</f>
        <v>#REF!</v>
      </c>
      <c r="HW58" s="70" t="e">
        <f>#REF!-HV58</f>
        <v>#REF!</v>
      </c>
      <c r="HX58" s="70" t="e">
        <f>SUM(#REF!)</f>
        <v>#REF!</v>
      </c>
      <c r="HY58" s="70" t="e">
        <f>#REF!-HX58</f>
        <v>#REF!</v>
      </c>
      <c r="HZ58" s="70">
        <f>SUM(BC58:BC58)</f>
        <v>229395</v>
      </c>
      <c r="IA58" s="70" t="e">
        <f>#REF!-HZ58</f>
        <v>#REF!</v>
      </c>
      <c r="IB58" s="70">
        <f>SUM(BD58:BD58)</f>
        <v>0</v>
      </c>
      <c r="IC58" s="70" t="e">
        <f>#REF!-IB58</f>
        <v>#REF!</v>
      </c>
      <c r="ID58" s="70">
        <f t="shared" si="56"/>
        <v>0</v>
      </c>
      <c r="IE58" s="70">
        <f t="shared" si="57"/>
        <v>0</v>
      </c>
      <c r="IF58" s="70">
        <f t="shared" si="58"/>
        <v>333423</v>
      </c>
      <c r="IG58" s="70">
        <f t="shared" si="59"/>
        <v>0</v>
      </c>
      <c r="IH58" s="70">
        <f t="shared" si="60"/>
        <v>1383456</v>
      </c>
      <c r="II58" s="70">
        <f t="shared" si="61"/>
        <v>0</v>
      </c>
      <c r="IJ58" s="70">
        <f t="shared" si="62"/>
        <v>27324338</v>
      </c>
      <c r="IK58" s="70">
        <f t="shared" si="63"/>
        <v>0</v>
      </c>
      <c r="IL58" s="70">
        <f t="shared" si="102"/>
        <v>6034149</v>
      </c>
      <c r="IM58" s="70">
        <f t="shared" si="64"/>
        <v>0</v>
      </c>
      <c r="IN58" s="70">
        <f t="shared" si="65"/>
        <v>672990</v>
      </c>
      <c r="IO58" s="70">
        <f t="shared" si="66"/>
        <v>0</v>
      </c>
      <c r="IP58" s="70">
        <f t="shared" si="67"/>
        <v>5654842</v>
      </c>
      <c r="IQ58" s="70">
        <f t="shared" si="68"/>
        <v>0</v>
      </c>
      <c r="IR58" s="70">
        <f t="shared" si="107"/>
        <v>0</v>
      </c>
      <c r="IS58" s="70">
        <f t="shared" si="108"/>
        <v>0</v>
      </c>
      <c r="IT58" s="70">
        <f t="shared" si="103"/>
        <v>3630922</v>
      </c>
      <c r="IU58" s="70">
        <f t="shared" si="104"/>
        <v>0</v>
      </c>
      <c r="IV58" s="70">
        <f t="shared" si="105"/>
        <v>0</v>
      </c>
      <c r="IW58" s="70">
        <f t="shared" si="106"/>
        <v>0</v>
      </c>
      <c r="IX58" s="70">
        <f t="shared" si="69"/>
        <v>0</v>
      </c>
      <c r="IY58" s="70">
        <f t="shared" si="70"/>
        <v>0</v>
      </c>
      <c r="IZ58" s="70">
        <f t="shared" si="71"/>
        <v>543217</v>
      </c>
      <c r="JA58" s="70">
        <f t="shared" si="72"/>
        <v>0</v>
      </c>
      <c r="JB58" s="70">
        <f t="shared" si="73"/>
        <v>2493328</v>
      </c>
      <c r="JC58" s="70">
        <f t="shared" si="74"/>
        <v>0</v>
      </c>
      <c r="JD58" s="70">
        <f t="shared" si="75"/>
        <v>686882</v>
      </c>
      <c r="JE58" s="70">
        <f t="shared" si="76"/>
        <v>0</v>
      </c>
      <c r="JF58" s="70">
        <f t="shared" si="77"/>
        <v>1039075</v>
      </c>
      <c r="JG58" s="70">
        <f t="shared" si="78"/>
        <v>0</v>
      </c>
      <c r="JH58" s="70">
        <f t="shared" si="79"/>
        <v>326941</v>
      </c>
      <c r="JI58" s="70">
        <f t="shared" si="80"/>
        <v>0</v>
      </c>
      <c r="JJ58" s="70">
        <f t="shared" si="81"/>
        <v>0</v>
      </c>
      <c r="JK58" s="70">
        <f t="shared" si="82"/>
        <v>0</v>
      </c>
      <c r="JL58" s="70">
        <f t="shared" si="83"/>
        <v>1281928</v>
      </c>
      <c r="JM58" s="70">
        <f t="shared" si="84"/>
        <v>0</v>
      </c>
      <c r="JN58" s="70">
        <f t="shared" si="85"/>
        <v>97256</v>
      </c>
      <c r="JO58" s="70">
        <f t="shared" si="86"/>
        <v>0</v>
      </c>
      <c r="JP58" s="70">
        <f t="shared" si="87"/>
        <v>1767831</v>
      </c>
      <c r="JQ58" s="70">
        <f t="shared" si="88"/>
        <v>0</v>
      </c>
      <c r="JR58" s="70">
        <f t="shared" si="89"/>
        <v>296121</v>
      </c>
      <c r="JS58" s="70">
        <f t="shared" si="90"/>
        <v>0</v>
      </c>
      <c r="JT58" s="70">
        <f t="shared" si="91"/>
        <v>575880</v>
      </c>
      <c r="JU58" s="70">
        <f t="shared" si="92"/>
        <v>0</v>
      </c>
      <c r="JV58" s="70">
        <f t="shared" si="93"/>
        <v>2633415</v>
      </c>
      <c r="JW58" s="70">
        <f t="shared" si="94"/>
        <v>0</v>
      </c>
      <c r="JX58" s="70">
        <f t="shared" si="95"/>
        <v>27734777</v>
      </c>
      <c r="JY58" s="70">
        <f t="shared" si="96"/>
        <v>0</v>
      </c>
      <c r="JZ58" s="70">
        <f t="shared" si="97"/>
        <v>0</v>
      </c>
      <c r="KA58" s="70">
        <f t="shared" si="98"/>
        <v>0</v>
      </c>
      <c r="KB58" s="70">
        <f t="shared" si="99"/>
        <v>27734777</v>
      </c>
      <c r="KC58" s="70">
        <f t="shared" si="100"/>
        <v>0</v>
      </c>
      <c r="KE58" s="70" t="e">
        <f t="shared" si="101"/>
        <v>#REF!</v>
      </c>
      <c r="KG58" s="68" t="e">
        <f t="shared" si="53"/>
        <v>#REF!</v>
      </c>
    </row>
    <row r="59" spans="1:293">
      <c r="A59" s="180" t="s">
        <v>271</v>
      </c>
      <c r="B59" s="76" t="s">
        <v>363</v>
      </c>
      <c r="C59" s="90">
        <v>187985</v>
      </c>
      <c r="D59" s="90">
        <v>2014</v>
      </c>
      <c r="E59" s="90">
        <v>1</v>
      </c>
      <c r="F59" s="91">
        <v>10</v>
      </c>
      <c r="G59" s="92">
        <v>9276</v>
      </c>
      <c r="H59" s="92">
        <v>11576</v>
      </c>
      <c r="I59" s="99">
        <v>1889106380</v>
      </c>
      <c r="J59" s="93">
        <v>1844715867</v>
      </c>
      <c r="K59" s="99">
        <v>2931634</v>
      </c>
      <c r="L59" s="93">
        <v>2833524</v>
      </c>
      <c r="M59" s="99">
        <v>33599477</v>
      </c>
      <c r="N59" s="93">
        <v>32047441</v>
      </c>
      <c r="O59" s="93">
        <v>90960243</v>
      </c>
      <c r="P59" s="93">
        <v>81792749</v>
      </c>
      <c r="Q59" s="99">
        <v>273803440</v>
      </c>
      <c r="R59" s="93">
        <v>248824698</v>
      </c>
      <c r="S59" s="99">
        <v>941043315</v>
      </c>
      <c r="T59" s="93">
        <v>903480109</v>
      </c>
      <c r="U59" s="93">
        <v>16354</v>
      </c>
      <c r="V59" s="99">
        <v>15755</v>
      </c>
      <c r="W59" s="99">
        <v>30595</v>
      </c>
      <c r="X59" s="99">
        <v>30312</v>
      </c>
      <c r="Y59" s="93">
        <v>19695</v>
      </c>
      <c r="Z59" s="99">
        <v>19074</v>
      </c>
      <c r="AA59" s="93">
        <v>33936</v>
      </c>
      <c r="AB59" s="93">
        <v>33713</v>
      </c>
      <c r="AC59" s="114">
        <v>10</v>
      </c>
      <c r="AD59" s="114">
        <v>11</v>
      </c>
      <c r="AE59" s="114">
        <v>0</v>
      </c>
      <c r="AF59" s="126">
        <v>4538829</v>
      </c>
      <c r="AG59" s="126">
        <v>3077262</v>
      </c>
      <c r="AH59" s="115">
        <v>509501</v>
      </c>
      <c r="AI59" s="115">
        <v>173081</v>
      </c>
      <c r="AJ59" s="123">
        <f>2664611/AK59</f>
        <v>380658.71428571426</v>
      </c>
      <c r="AK59" s="124">
        <v>7</v>
      </c>
      <c r="AL59" s="126">
        <f>2664611/AM59</f>
        <v>333076.375</v>
      </c>
      <c r="AM59" s="124">
        <v>8</v>
      </c>
      <c r="AN59" s="123">
        <f>1203700/AO59</f>
        <v>171957.14285714287</v>
      </c>
      <c r="AO59" s="124">
        <v>7</v>
      </c>
      <c r="AP59" s="126">
        <f>1203700/AQ59</f>
        <v>150462.5</v>
      </c>
      <c r="AQ59" s="124">
        <v>8</v>
      </c>
      <c r="AR59" s="123">
        <f>2980362/AS59</f>
        <v>145383.51219512196</v>
      </c>
      <c r="AS59" s="124">
        <v>20.5</v>
      </c>
      <c r="AT59" s="123">
        <f>2980362/AU59</f>
        <v>129580.95652173914</v>
      </c>
      <c r="AU59" s="124">
        <v>23</v>
      </c>
      <c r="AV59" s="123">
        <f>1127657/AW59</f>
        <v>72752.06451612903</v>
      </c>
      <c r="AW59" s="124">
        <v>15.5</v>
      </c>
      <c r="AX59" s="123">
        <f>1127657/AY59</f>
        <v>62647.611111111109</v>
      </c>
      <c r="AY59" s="124">
        <v>18</v>
      </c>
      <c r="AZ59" s="162">
        <v>1521488</v>
      </c>
      <c r="BA59" s="162">
        <v>800000</v>
      </c>
      <c r="BB59" s="164">
        <v>9850337</v>
      </c>
      <c r="BC59" s="162">
        <v>0</v>
      </c>
      <c r="BD59" s="162">
        <v>0</v>
      </c>
      <c r="BE59" s="162">
        <v>0</v>
      </c>
      <c r="BF59" s="162">
        <v>0</v>
      </c>
      <c r="BG59" s="162">
        <v>0</v>
      </c>
      <c r="BH59" s="162">
        <v>0</v>
      </c>
      <c r="BI59" s="162">
        <v>0</v>
      </c>
      <c r="BJ59" s="165">
        <v>0</v>
      </c>
      <c r="BK59" s="162">
        <v>202422</v>
      </c>
      <c r="BL59" s="162">
        <v>752</v>
      </c>
      <c r="BM59" s="162">
        <v>1493</v>
      </c>
      <c r="BN59" s="162">
        <v>44341</v>
      </c>
      <c r="BO59" s="162">
        <v>82927</v>
      </c>
      <c r="BP59" s="164">
        <v>331935</v>
      </c>
      <c r="BQ59" s="162">
        <v>0</v>
      </c>
      <c r="BR59" s="162">
        <v>73056</v>
      </c>
      <c r="BS59" s="162">
        <v>0</v>
      </c>
      <c r="BT59" s="162">
        <v>0</v>
      </c>
      <c r="BU59" s="162">
        <v>668958</v>
      </c>
      <c r="BV59" s="162">
        <v>742014</v>
      </c>
      <c r="BW59" s="162">
        <v>3782222</v>
      </c>
      <c r="BX59" s="162">
        <v>5394468</v>
      </c>
      <c r="BY59" s="162">
        <v>650178</v>
      </c>
      <c r="BZ59" s="162">
        <v>2455259</v>
      </c>
      <c r="CA59" s="162">
        <v>34917642</v>
      </c>
      <c r="CB59" s="162">
        <v>47199769</v>
      </c>
      <c r="CC59" s="162">
        <v>2591316</v>
      </c>
      <c r="CD59" s="162">
        <v>410268</v>
      </c>
      <c r="CE59" s="162">
        <v>460058</v>
      </c>
      <c r="CF59" s="162">
        <v>3723821</v>
      </c>
      <c r="CG59" s="162">
        <v>468628</v>
      </c>
      <c r="CH59" s="162">
        <v>7654091</v>
      </c>
      <c r="CI59" s="162">
        <v>100000</v>
      </c>
      <c r="CJ59" s="162">
        <v>260000</v>
      </c>
      <c r="CK59" s="162">
        <v>58500</v>
      </c>
      <c r="CL59" s="162">
        <v>101180</v>
      </c>
      <c r="CM59" s="162">
        <v>0</v>
      </c>
      <c r="CN59" s="162">
        <v>519680</v>
      </c>
      <c r="CO59" s="162">
        <v>2553195</v>
      </c>
      <c r="CP59" s="162">
        <v>1576650</v>
      </c>
      <c r="CQ59" s="162">
        <v>765169</v>
      </c>
      <c r="CR59" s="162">
        <v>3081316</v>
      </c>
      <c r="CS59" s="162">
        <v>0</v>
      </c>
      <c r="CT59" s="162">
        <v>7976330</v>
      </c>
      <c r="CU59" s="139">
        <v>0</v>
      </c>
      <c r="CV59" s="139">
        <v>0</v>
      </c>
      <c r="CW59" s="139">
        <v>0</v>
      </c>
      <c r="CX59" s="139">
        <v>0</v>
      </c>
      <c r="CY59" s="139">
        <v>0</v>
      </c>
      <c r="CZ59" s="139">
        <v>0</v>
      </c>
      <c r="DA59" s="139">
        <v>121060</v>
      </c>
      <c r="DB59" s="139">
        <v>5553</v>
      </c>
      <c r="DC59" s="139">
        <v>10489</v>
      </c>
      <c r="DD59" s="139">
        <v>28798</v>
      </c>
      <c r="DE59" s="139">
        <v>5145071</v>
      </c>
      <c r="DF59" s="139">
        <v>5310971</v>
      </c>
      <c r="DG59" s="162">
        <v>0</v>
      </c>
      <c r="DH59" s="162">
        <v>0</v>
      </c>
      <c r="DI59" s="162">
        <v>0</v>
      </c>
      <c r="DJ59" s="162">
        <v>0</v>
      </c>
      <c r="DK59" s="162">
        <v>0</v>
      </c>
      <c r="DL59" s="162">
        <v>0</v>
      </c>
      <c r="DM59" s="162">
        <v>0</v>
      </c>
      <c r="DN59" s="162">
        <v>0</v>
      </c>
      <c r="DO59" s="162">
        <v>0</v>
      </c>
      <c r="DP59" s="162">
        <v>0</v>
      </c>
      <c r="DQ59" s="162">
        <v>0</v>
      </c>
      <c r="DR59" s="162">
        <v>0</v>
      </c>
      <c r="DS59" s="162">
        <v>300671</v>
      </c>
      <c r="DT59" s="162">
        <v>112512</v>
      </c>
      <c r="DU59" s="162">
        <v>71862</v>
      </c>
      <c r="DV59" s="162">
        <v>197537</v>
      </c>
      <c r="DW59" s="162">
        <v>0</v>
      </c>
      <c r="DX59" s="162">
        <v>682582</v>
      </c>
      <c r="DY59" s="162">
        <v>1001479</v>
      </c>
      <c r="DZ59" s="162">
        <v>653513</v>
      </c>
      <c r="EA59" s="162">
        <v>263918</v>
      </c>
      <c r="EB59" s="162">
        <v>1567020</v>
      </c>
      <c r="EC59" s="162">
        <v>133579</v>
      </c>
      <c r="ED59" s="162">
        <v>3619509</v>
      </c>
      <c r="EE59" s="162">
        <v>146641</v>
      </c>
      <c r="EF59" s="162">
        <v>73687</v>
      </c>
      <c r="EG59" s="162">
        <v>5431</v>
      </c>
      <c r="EH59" s="162">
        <v>210544</v>
      </c>
      <c r="EI59" s="162">
        <v>0</v>
      </c>
      <c r="EJ59" s="162">
        <v>436303</v>
      </c>
      <c r="EK59" s="162">
        <v>688156</v>
      </c>
      <c r="EL59" s="162">
        <v>417592</v>
      </c>
      <c r="EM59" s="162">
        <v>281961</v>
      </c>
      <c r="EN59" s="162">
        <v>335374</v>
      </c>
      <c r="EO59" s="162">
        <v>142387</v>
      </c>
      <c r="EP59" s="162">
        <v>1865470</v>
      </c>
      <c r="EQ59" s="162">
        <v>0</v>
      </c>
      <c r="ER59" s="162">
        <v>0</v>
      </c>
      <c r="ES59" s="162">
        <v>0</v>
      </c>
      <c r="ET59" s="162">
        <v>0</v>
      </c>
      <c r="EU59" s="162">
        <v>105447</v>
      </c>
      <c r="EV59" s="162">
        <v>105447</v>
      </c>
      <c r="EW59" s="162">
        <v>0</v>
      </c>
      <c r="EX59" s="162">
        <v>0</v>
      </c>
      <c r="EY59" s="162">
        <v>0</v>
      </c>
      <c r="EZ59" s="162">
        <v>0</v>
      </c>
      <c r="FA59" s="162">
        <v>0</v>
      </c>
      <c r="FB59" s="162">
        <v>0</v>
      </c>
      <c r="FC59" s="162">
        <v>0</v>
      </c>
      <c r="FD59" s="162">
        <v>0</v>
      </c>
      <c r="FE59" s="162">
        <v>0</v>
      </c>
      <c r="FF59" s="162">
        <v>0</v>
      </c>
      <c r="FG59" s="162">
        <v>3701749</v>
      </c>
      <c r="FH59" s="162">
        <v>3701749</v>
      </c>
      <c r="FI59" s="162">
        <v>0</v>
      </c>
      <c r="FJ59" s="162">
        <v>0</v>
      </c>
      <c r="FK59" s="162">
        <v>0</v>
      </c>
      <c r="FL59" s="162">
        <v>0</v>
      </c>
      <c r="FM59" s="162">
        <v>229662</v>
      </c>
      <c r="FN59" s="162">
        <v>229662</v>
      </c>
      <c r="FO59" s="162">
        <v>0</v>
      </c>
      <c r="FP59" s="162">
        <v>0</v>
      </c>
      <c r="FQ59" s="162">
        <v>0</v>
      </c>
      <c r="FR59" s="162">
        <v>0</v>
      </c>
      <c r="FS59" s="162">
        <v>7793675</v>
      </c>
      <c r="FT59" s="162">
        <v>7793675</v>
      </c>
      <c r="FU59" s="162">
        <v>0</v>
      </c>
      <c r="FV59" s="162">
        <v>0</v>
      </c>
      <c r="FW59" s="162">
        <v>0</v>
      </c>
      <c r="FX59" s="162">
        <v>0</v>
      </c>
      <c r="FY59" s="162">
        <v>395170</v>
      </c>
      <c r="FZ59" s="162">
        <v>395170</v>
      </c>
      <c r="GA59" s="162">
        <v>1710</v>
      </c>
      <c r="GB59" s="162">
        <v>1215</v>
      </c>
      <c r="GC59" s="162">
        <v>1215</v>
      </c>
      <c r="GD59" s="162">
        <v>17104</v>
      </c>
      <c r="GE59" s="162">
        <v>375000</v>
      </c>
      <c r="GF59" s="162">
        <v>396244</v>
      </c>
      <c r="GG59" s="162">
        <v>277678</v>
      </c>
      <c r="GH59" s="162">
        <v>157180</v>
      </c>
      <c r="GI59" s="162">
        <v>68204</v>
      </c>
      <c r="GJ59" s="162">
        <v>308368</v>
      </c>
      <c r="GK59" s="162">
        <v>5583854</v>
      </c>
      <c r="GL59" s="162">
        <v>6395284</v>
      </c>
      <c r="GM59" s="162">
        <v>7781906</v>
      </c>
      <c r="GN59" s="162">
        <v>3668170</v>
      </c>
      <c r="GO59" s="164">
        <v>1986807</v>
      </c>
      <c r="GP59" s="162">
        <v>9571062</v>
      </c>
      <c r="GQ59" s="162">
        <v>24074222</v>
      </c>
      <c r="GR59" s="162">
        <v>47082167</v>
      </c>
      <c r="GS59" s="162">
        <v>0</v>
      </c>
      <c r="GT59" s="162">
        <v>0</v>
      </c>
      <c r="GU59" s="162">
        <v>0</v>
      </c>
      <c r="GV59" s="162">
        <v>0</v>
      </c>
      <c r="GW59" s="162">
        <v>141152</v>
      </c>
      <c r="GX59" s="162">
        <v>141152</v>
      </c>
      <c r="GY59" s="162">
        <v>7781906</v>
      </c>
      <c r="GZ59" s="162">
        <v>3668170</v>
      </c>
      <c r="HA59" s="164">
        <v>1986807</v>
      </c>
      <c r="HB59" s="162">
        <v>9571062</v>
      </c>
      <c r="HC59" s="162">
        <v>24215374</v>
      </c>
      <c r="HD59" s="162">
        <v>47223319</v>
      </c>
      <c r="HF59" s="70">
        <f>SUM(AZ59:AZ59)</f>
        <v>1521488</v>
      </c>
      <c r="HG59" s="70" t="e">
        <f>#REF!-HF59</f>
        <v>#REF!</v>
      </c>
      <c r="HH59" s="70" t="e">
        <f>SUM(#REF!)</f>
        <v>#REF!</v>
      </c>
      <c r="HI59" s="70" t="e">
        <f>#REF!-HH59</f>
        <v>#REF!</v>
      </c>
      <c r="HJ59" s="70">
        <f>SUM(BA59:BA59)</f>
        <v>800000</v>
      </c>
      <c r="HK59" s="70" t="e">
        <f>#REF!-HJ59</f>
        <v>#REF!</v>
      </c>
      <c r="HL59" s="70" t="e">
        <f>SUM(#REF!)</f>
        <v>#REF!</v>
      </c>
      <c r="HM59" s="70" t="e">
        <f>BB59-HL59</f>
        <v>#REF!</v>
      </c>
      <c r="HN59" s="70" t="e">
        <f>SUM(#REF!)</f>
        <v>#REF!</v>
      </c>
      <c r="HO59" s="70" t="e">
        <f>#REF!-HN59</f>
        <v>#REF!</v>
      </c>
      <c r="HP59" s="70" t="e">
        <f>SUM(#REF!)</f>
        <v>#REF!</v>
      </c>
      <c r="HQ59" s="70" t="e">
        <f>#REF!-HP59</f>
        <v>#REF!</v>
      </c>
      <c r="HR59" s="70" t="e">
        <f>SUM(#REF!)</f>
        <v>#REF!</v>
      </c>
      <c r="HS59" s="70" t="e">
        <f>#REF!-HR59</f>
        <v>#REF!</v>
      </c>
      <c r="HT59" s="70" t="e">
        <f>SUM(#REF!)</f>
        <v>#REF!</v>
      </c>
      <c r="HU59" s="70" t="e">
        <f>#REF!-HT59</f>
        <v>#REF!</v>
      </c>
      <c r="HV59" s="70" t="e">
        <f>SUM(#REF!)</f>
        <v>#REF!</v>
      </c>
      <c r="HW59" s="70" t="e">
        <f>#REF!-HV59</f>
        <v>#REF!</v>
      </c>
      <c r="HX59" s="70" t="e">
        <f>SUM(#REF!)</f>
        <v>#REF!</v>
      </c>
      <c r="HY59" s="70" t="e">
        <f>#REF!-HX59</f>
        <v>#REF!</v>
      </c>
      <c r="HZ59" s="70">
        <f>SUM(BC59:BC59)</f>
        <v>0</v>
      </c>
      <c r="IA59" s="70" t="e">
        <f>#REF!-HZ59</f>
        <v>#REF!</v>
      </c>
      <c r="IB59" s="70">
        <f>SUM(BD59:BD59)</f>
        <v>0</v>
      </c>
      <c r="IC59" s="70" t="e">
        <f>#REF!-IB59</f>
        <v>#REF!</v>
      </c>
      <c r="ID59" s="70">
        <f t="shared" si="56"/>
        <v>0</v>
      </c>
      <c r="IE59" s="70">
        <f t="shared" si="57"/>
        <v>0</v>
      </c>
      <c r="IF59" s="70">
        <f t="shared" si="58"/>
        <v>331935</v>
      </c>
      <c r="IG59" s="70">
        <f t="shared" si="59"/>
        <v>0</v>
      </c>
      <c r="IH59" s="70">
        <f t="shared" si="60"/>
        <v>742014</v>
      </c>
      <c r="II59" s="70">
        <f t="shared" si="61"/>
        <v>0</v>
      </c>
      <c r="IJ59" s="70">
        <f t="shared" si="62"/>
        <v>47199769</v>
      </c>
      <c r="IK59" s="70">
        <f t="shared" si="63"/>
        <v>0</v>
      </c>
      <c r="IL59" s="70">
        <f t="shared" si="102"/>
        <v>7654091</v>
      </c>
      <c r="IM59" s="70">
        <f t="shared" si="64"/>
        <v>0</v>
      </c>
      <c r="IN59" s="70">
        <f t="shared" si="65"/>
        <v>519680</v>
      </c>
      <c r="IO59" s="70">
        <f t="shared" si="66"/>
        <v>0</v>
      </c>
      <c r="IP59" s="70">
        <f t="shared" si="67"/>
        <v>7976330</v>
      </c>
      <c r="IQ59" s="70">
        <f t="shared" si="68"/>
        <v>0</v>
      </c>
      <c r="IR59" s="70">
        <f t="shared" si="107"/>
        <v>0</v>
      </c>
      <c r="IS59" s="70">
        <f t="shared" si="108"/>
        <v>0</v>
      </c>
      <c r="IT59" s="70">
        <f t="shared" si="103"/>
        <v>5310971</v>
      </c>
      <c r="IU59" s="70">
        <f t="shared" si="104"/>
        <v>0</v>
      </c>
      <c r="IV59" s="70">
        <f t="shared" si="105"/>
        <v>0</v>
      </c>
      <c r="IW59" s="70">
        <f t="shared" si="106"/>
        <v>0</v>
      </c>
      <c r="IX59" s="70">
        <f t="shared" si="69"/>
        <v>0</v>
      </c>
      <c r="IY59" s="70">
        <f t="shared" si="70"/>
        <v>0</v>
      </c>
      <c r="IZ59" s="70">
        <f t="shared" si="71"/>
        <v>682582</v>
      </c>
      <c r="JA59" s="70">
        <f t="shared" si="72"/>
        <v>0</v>
      </c>
      <c r="JB59" s="70">
        <f t="shared" si="73"/>
        <v>3619509</v>
      </c>
      <c r="JC59" s="70">
        <f t="shared" si="74"/>
        <v>0</v>
      </c>
      <c r="JD59" s="70">
        <f t="shared" si="75"/>
        <v>436303</v>
      </c>
      <c r="JE59" s="70">
        <f t="shared" si="76"/>
        <v>0</v>
      </c>
      <c r="JF59" s="70">
        <f t="shared" si="77"/>
        <v>1865470</v>
      </c>
      <c r="JG59" s="70">
        <f t="shared" si="78"/>
        <v>0</v>
      </c>
      <c r="JH59" s="70">
        <f t="shared" si="79"/>
        <v>105447</v>
      </c>
      <c r="JI59" s="70">
        <f t="shared" si="80"/>
        <v>0</v>
      </c>
      <c r="JJ59" s="70">
        <f t="shared" si="81"/>
        <v>0</v>
      </c>
      <c r="JK59" s="70">
        <f t="shared" si="82"/>
        <v>0</v>
      </c>
      <c r="JL59" s="70">
        <f t="shared" si="83"/>
        <v>3701749</v>
      </c>
      <c r="JM59" s="70">
        <f t="shared" si="84"/>
        <v>0</v>
      </c>
      <c r="JN59" s="70">
        <f t="shared" si="85"/>
        <v>229662</v>
      </c>
      <c r="JO59" s="70">
        <f t="shared" si="86"/>
        <v>0</v>
      </c>
      <c r="JP59" s="70">
        <f t="shared" si="87"/>
        <v>7793675</v>
      </c>
      <c r="JQ59" s="70">
        <f t="shared" si="88"/>
        <v>0</v>
      </c>
      <c r="JR59" s="70">
        <f t="shared" si="89"/>
        <v>395170</v>
      </c>
      <c r="JS59" s="70">
        <f t="shared" si="90"/>
        <v>0</v>
      </c>
      <c r="JT59" s="70">
        <f t="shared" si="91"/>
        <v>396244</v>
      </c>
      <c r="JU59" s="70">
        <f t="shared" si="92"/>
        <v>0</v>
      </c>
      <c r="JV59" s="70">
        <f t="shared" si="93"/>
        <v>6395284</v>
      </c>
      <c r="JW59" s="70">
        <f t="shared" si="94"/>
        <v>0</v>
      </c>
      <c r="JX59" s="70">
        <f t="shared" si="95"/>
        <v>47082167</v>
      </c>
      <c r="JY59" s="70">
        <f t="shared" si="96"/>
        <v>0</v>
      </c>
      <c r="JZ59" s="70">
        <f t="shared" si="97"/>
        <v>141152</v>
      </c>
      <c r="KA59" s="70">
        <f t="shared" si="98"/>
        <v>0</v>
      </c>
      <c r="KB59" s="70">
        <f t="shared" si="99"/>
        <v>47223319</v>
      </c>
      <c r="KC59" s="70">
        <f t="shared" si="100"/>
        <v>0</v>
      </c>
      <c r="KE59" s="70" t="e">
        <f t="shared" si="101"/>
        <v>#REF!</v>
      </c>
      <c r="KG59" s="68" t="e">
        <f t="shared" si="53"/>
        <v>#REF!</v>
      </c>
    </row>
    <row r="60" spans="1:293">
      <c r="A60" s="180" t="s">
        <v>272</v>
      </c>
      <c r="B60" s="76" t="s">
        <v>363</v>
      </c>
      <c r="C60" s="90">
        <v>188030</v>
      </c>
      <c r="D60" s="90">
        <v>2014</v>
      </c>
      <c r="E60" s="90">
        <v>1</v>
      </c>
      <c r="F60" s="91">
        <v>11</v>
      </c>
      <c r="G60" s="101">
        <v>5331</v>
      </c>
      <c r="H60" s="101">
        <v>5884</v>
      </c>
      <c r="I60" s="102">
        <v>548207024</v>
      </c>
      <c r="J60" s="102">
        <v>543428019</v>
      </c>
      <c r="K60" s="103">
        <v>1430000</v>
      </c>
      <c r="L60" s="102">
        <v>1322000</v>
      </c>
      <c r="M60" s="104">
        <v>15207000</v>
      </c>
      <c r="N60" s="105">
        <v>15511000</v>
      </c>
      <c r="O60" s="106">
        <v>7725000</v>
      </c>
      <c r="P60" s="105">
        <v>8877000</v>
      </c>
      <c r="Q60" s="106">
        <v>149244000</v>
      </c>
      <c r="R60" s="104">
        <v>143191000</v>
      </c>
      <c r="S60" s="107">
        <v>413925091</v>
      </c>
      <c r="T60" s="105">
        <v>439757671</v>
      </c>
      <c r="U60" s="108">
        <v>14829</v>
      </c>
      <c r="V60" s="105">
        <v>14395</v>
      </c>
      <c r="W60" s="106">
        <v>28252</v>
      </c>
      <c r="X60" s="104">
        <v>27422</v>
      </c>
      <c r="Y60" s="105">
        <v>18590</v>
      </c>
      <c r="Z60" s="104">
        <v>19042</v>
      </c>
      <c r="AA60" s="109">
        <v>32013</v>
      </c>
      <c r="AB60" s="105">
        <v>32068</v>
      </c>
      <c r="AC60" s="114">
        <v>6</v>
      </c>
      <c r="AD60" s="114">
        <v>11</v>
      </c>
      <c r="AE60" s="114">
        <v>0</v>
      </c>
      <c r="AF60" s="130">
        <v>3562776</v>
      </c>
      <c r="AG60" s="131">
        <v>2973154</v>
      </c>
      <c r="AH60" s="132">
        <v>277041</v>
      </c>
      <c r="AI60" s="133">
        <v>153404</v>
      </c>
      <c r="AJ60" s="134">
        <v>268923</v>
      </c>
      <c r="AK60" s="116">
        <v>5</v>
      </c>
      <c r="AL60" s="115">
        <v>224102</v>
      </c>
      <c r="AM60" s="116">
        <v>6</v>
      </c>
      <c r="AN60" s="123">
        <v>108227</v>
      </c>
      <c r="AO60" s="124">
        <v>8</v>
      </c>
      <c r="AP60" s="126">
        <v>96202</v>
      </c>
      <c r="AQ60" s="124">
        <v>9</v>
      </c>
      <c r="AR60" s="135">
        <v>63729</v>
      </c>
      <c r="AS60" s="136">
        <v>22.5</v>
      </c>
      <c r="AT60" s="130">
        <v>55150</v>
      </c>
      <c r="AU60" s="137">
        <v>26</v>
      </c>
      <c r="AV60" s="115">
        <v>42516</v>
      </c>
      <c r="AW60" s="116">
        <v>20</v>
      </c>
      <c r="AX60" s="115">
        <v>35430</v>
      </c>
      <c r="AY60" s="116">
        <v>24</v>
      </c>
      <c r="AZ60" s="166">
        <v>808420</v>
      </c>
      <c r="BA60" s="166">
        <v>1850000</v>
      </c>
      <c r="BB60" s="139">
        <v>1035973</v>
      </c>
      <c r="BC60" s="166">
        <v>300</v>
      </c>
      <c r="BD60" s="166">
        <v>0</v>
      </c>
      <c r="BE60" s="166">
        <v>0</v>
      </c>
      <c r="BF60" s="166">
        <v>0</v>
      </c>
      <c r="BG60" s="166">
        <v>0</v>
      </c>
      <c r="BH60" s="166">
        <v>0</v>
      </c>
      <c r="BI60" s="166">
        <v>0</v>
      </c>
      <c r="BJ60" s="166">
        <v>0</v>
      </c>
      <c r="BK60" s="166">
        <v>2284</v>
      </c>
      <c r="BL60" s="166">
        <v>13710</v>
      </c>
      <c r="BM60" s="166">
        <v>523</v>
      </c>
      <c r="BN60" s="166">
        <v>9384</v>
      </c>
      <c r="BO60" s="166">
        <v>20242</v>
      </c>
      <c r="BP60" s="166">
        <v>46143</v>
      </c>
      <c r="BQ60" s="166">
        <v>57322</v>
      </c>
      <c r="BR60" s="166">
        <v>82319</v>
      </c>
      <c r="BS60" s="166">
        <v>5030</v>
      </c>
      <c r="BT60" s="166">
        <v>34377</v>
      </c>
      <c r="BU60" s="166">
        <v>130849</v>
      </c>
      <c r="BV60" s="166">
        <v>309897</v>
      </c>
      <c r="BW60" s="166">
        <v>4347183</v>
      </c>
      <c r="BX60" s="166">
        <v>1569792</v>
      </c>
      <c r="BY60" s="166">
        <v>330877</v>
      </c>
      <c r="BZ60" s="166">
        <v>2634317</v>
      </c>
      <c r="CA60" s="166">
        <v>20405748</v>
      </c>
      <c r="CB60" s="166">
        <v>29287917</v>
      </c>
      <c r="CC60" s="167">
        <v>2346008</v>
      </c>
      <c r="CD60" s="167">
        <v>449319</v>
      </c>
      <c r="CE60" s="167">
        <v>420487</v>
      </c>
      <c r="CF60" s="167">
        <v>3320116</v>
      </c>
      <c r="CG60" s="167">
        <v>63076</v>
      </c>
      <c r="CH60" s="167">
        <v>6599006</v>
      </c>
      <c r="CI60" s="167">
        <v>950000</v>
      </c>
      <c r="CJ60" s="167">
        <v>242511</v>
      </c>
      <c r="CK60" s="167">
        <v>43232</v>
      </c>
      <c r="CL60" s="167">
        <v>82141</v>
      </c>
      <c r="CM60" s="167">
        <v>0</v>
      </c>
      <c r="CN60" s="167">
        <v>1317884</v>
      </c>
      <c r="CO60" s="167">
        <v>1526166</v>
      </c>
      <c r="CP60" s="167">
        <v>873660</v>
      </c>
      <c r="CQ60" s="167">
        <v>417482</v>
      </c>
      <c r="CR60" s="167">
        <v>1677345</v>
      </c>
      <c r="CS60" s="167">
        <v>0</v>
      </c>
      <c r="CT60" s="167">
        <v>4494653</v>
      </c>
      <c r="CU60" s="167">
        <v>0</v>
      </c>
      <c r="CV60" s="167">
        <v>0</v>
      </c>
      <c r="CW60" s="167">
        <v>0</v>
      </c>
      <c r="CX60" s="167">
        <v>0</v>
      </c>
      <c r="CY60" s="167">
        <v>0</v>
      </c>
      <c r="CZ60" s="167">
        <v>0</v>
      </c>
      <c r="DA60" s="167">
        <v>131221</v>
      </c>
      <c r="DB60" s="167">
        <v>25458</v>
      </c>
      <c r="DC60" s="167">
        <v>81882</v>
      </c>
      <c r="DD60" s="167">
        <v>140249</v>
      </c>
      <c r="DE60" s="168">
        <v>2912264</v>
      </c>
      <c r="DF60" s="167">
        <v>3291074</v>
      </c>
      <c r="DG60" s="167">
        <v>0</v>
      </c>
      <c r="DH60" s="167">
        <v>0</v>
      </c>
      <c r="DI60" s="167">
        <v>0</v>
      </c>
      <c r="DJ60" s="167">
        <v>0</v>
      </c>
      <c r="DK60" s="167">
        <v>0</v>
      </c>
      <c r="DL60" s="167">
        <v>0</v>
      </c>
      <c r="DM60" s="167">
        <v>0</v>
      </c>
      <c r="DN60" s="167">
        <v>0</v>
      </c>
      <c r="DO60" s="167">
        <v>0</v>
      </c>
      <c r="DP60" s="167">
        <v>0</v>
      </c>
      <c r="DQ60" s="167">
        <v>0</v>
      </c>
      <c r="DR60" s="167">
        <v>0</v>
      </c>
      <c r="DS60" s="167">
        <v>177978</v>
      </c>
      <c r="DT60" s="167">
        <v>78213</v>
      </c>
      <c r="DU60" s="167">
        <v>69623</v>
      </c>
      <c r="DV60" s="167">
        <v>104631</v>
      </c>
      <c r="DW60" s="167">
        <v>1949</v>
      </c>
      <c r="DX60" s="167">
        <v>432394</v>
      </c>
      <c r="DY60" s="167">
        <v>660274</v>
      </c>
      <c r="DZ60" s="167">
        <v>334081</v>
      </c>
      <c r="EA60" s="167">
        <v>175449</v>
      </c>
      <c r="EB60" s="167">
        <v>1159490</v>
      </c>
      <c r="EC60" s="167">
        <v>350</v>
      </c>
      <c r="ED60" s="167">
        <v>2329644</v>
      </c>
      <c r="EE60" s="167">
        <v>241107</v>
      </c>
      <c r="EF60" s="167">
        <v>23943</v>
      </c>
      <c r="EG60" s="167">
        <v>30705</v>
      </c>
      <c r="EH60" s="167">
        <v>256942</v>
      </c>
      <c r="EI60" s="167">
        <v>34252</v>
      </c>
      <c r="EJ60" s="167">
        <v>586949</v>
      </c>
      <c r="EK60" s="167">
        <v>443151</v>
      </c>
      <c r="EL60" s="167">
        <v>215720</v>
      </c>
      <c r="EM60" s="167">
        <v>89889</v>
      </c>
      <c r="EN60" s="167">
        <v>224387</v>
      </c>
      <c r="EO60" s="167">
        <v>0</v>
      </c>
      <c r="EP60" s="167">
        <v>973147</v>
      </c>
      <c r="EQ60" s="167">
        <v>13041</v>
      </c>
      <c r="ER60" s="167">
        <v>39698</v>
      </c>
      <c r="ES60" s="167">
        <v>8404</v>
      </c>
      <c r="ET60" s="167">
        <v>31589</v>
      </c>
      <c r="EU60" s="167">
        <v>2633326</v>
      </c>
      <c r="EV60" s="167">
        <v>2726058</v>
      </c>
      <c r="EW60" s="167">
        <v>0</v>
      </c>
      <c r="EX60" s="167">
        <v>0</v>
      </c>
      <c r="EY60" s="167">
        <v>0</v>
      </c>
      <c r="EZ60" s="167">
        <v>0</v>
      </c>
      <c r="FA60" s="167">
        <v>0</v>
      </c>
      <c r="FB60" s="167">
        <v>0</v>
      </c>
      <c r="FC60" s="167">
        <v>263890</v>
      </c>
      <c r="FD60" s="167">
        <v>189547</v>
      </c>
      <c r="FE60" s="167">
        <v>165186</v>
      </c>
      <c r="FF60" s="167">
        <v>291773</v>
      </c>
      <c r="FG60" s="167">
        <v>153160</v>
      </c>
      <c r="FH60" s="167">
        <v>1063556</v>
      </c>
      <c r="FI60" s="167">
        <v>0</v>
      </c>
      <c r="FJ60" s="167">
        <v>0</v>
      </c>
      <c r="FK60" s="167">
        <v>0</v>
      </c>
      <c r="FL60" s="167">
        <v>0</v>
      </c>
      <c r="FM60" s="167">
        <v>167175</v>
      </c>
      <c r="FN60" s="167">
        <v>167175</v>
      </c>
      <c r="FO60" s="167">
        <v>0</v>
      </c>
      <c r="FP60" s="167">
        <v>0</v>
      </c>
      <c r="FQ60" s="167">
        <v>0</v>
      </c>
      <c r="FR60" s="167">
        <v>0</v>
      </c>
      <c r="FS60" s="168">
        <v>3680029</v>
      </c>
      <c r="FT60" s="167">
        <v>3680029</v>
      </c>
      <c r="FU60" s="167">
        <v>12192</v>
      </c>
      <c r="FV60" s="167">
        <v>25615</v>
      </c>
      <c r="FW60" s="167">
        <v>0</v>
      </c>
      <c r="FX60" s="167">
        <v>56697</v>
      </c>
      <c r="FY60" s="167">
        <v>441336</v>
      </c>
      <c r="FZ60" s="167">
        <v>535840</v>
      </c>
      <c r="GA60" s="167">
        <v>1560</v>
      </c>
      <c r="GB60" s="167">
        <v>4098</v>
      </c>
      <c r="GC60" s="167">
        <v>1365</v>
      </c>
      <c r="GD60" s="167">
        <v>7717</v>
      </c>
      <c r="GE60" s="167">
        <v>131700</v>
      </c>
      <c r="GF60" s="167">
        <v>146440</v>
      </c>
      <c r="GG60" s="167">
        <v>279536</v>
      </c>
      <c r="GH60" s="167">
        <v>185386</v>
      </c>
      <c r="GI60" s="167">
        <v>43063</v>
      </c>
      <c r="GJ60" s="167">
        <v>228650</v>
      </c>
      <c r="GK60" s="167">
        <v>432967</v>
      </c>
      <c r="GL60" s="167">
        <v>1169602</v>
      </c>
      <c r="GM60" s="167">
        <v>7046124</v>
      </c>
      <c r="GN60" s="167">
        <v>2687249</v>
      </c>
      <c r="GO60" s="167">
        <v>1546767</v>
      </c>
      <c r="GP60" s="167">
        <v>7581727</v>
      </c>
      <c r="GQ60" s="168">
        <v>10651584</v>
      </c>
      <c r="GR60" s="167">
        <v>29513451</v>
      </c>
      <c r="GS60" s="139">
        <v>0</v>
      </c>
      <c r="GT60" s="139">
        <v>0</v>
      </c>
      <c r="GU60" s="139">
        <v>0</v>
      </c>
      <c r="GV60" s="139">
        <v>0</v>
      </c>
      <c r="GW60" s="139">
        <v>0</v>
      </c>
      <c r="GX60" s="139">
        <v>0</v>
      </c>
      <c r="GY60" s="139">
        <v>7046124</v>
      </c>
      <c r="GZ60" s="139">
        <v>2687249</v>
      </c>
      <c r="HA60" s="139">
        <v>1546767</v>
      </c>
      <c r="HB60" s="139">
        <v>7581727</v>
      </c>
      <c r="HC60" s="139">
        <v>10651584</v>
      </c>
      <c r="HD60" s="139">
        <v>29513451</v>
      </c>
      <c r="HF60" s="70">
        <f>SUM(AZ60:AZ60)</f>
        <v>808420</v>
      </c>
      <c r="HG60" s="70" t="e">
        <f>#REF!-HF60</f>
        <v>#REF!</v>
      </c>
      <c r="HH60" s="70" t="e">
        <f>SUM(#REF!)</f>
        <v>#REF!</v>
      </c>
      <c r="HI60" s="70" t="e">
        <f>#REF!-HH60</f>
        <v>#REF!</v>
      </c>
      <c r="HJ60" s="70">
        <f>SUM(BA60:BA60)</f>
        <v>1850000</v>
      </c>
      <c r="HK60" s="70" t="e">
        <f>#REF!-HJ60</f>
        <v>#REF!</v>
      </c>
      <c r="HL60" s="70" t="e">
        <f>SUM(#REF!)</f>
        <v>#REF!</v>
      </c>
      <c r="HM60" s="70" t="e">
        <f>BB60-HL60</f>
        <v>#REF!</v>
      </c>
      <c r="HN60" s="70" t="e">
        <f>SUM(#REF!)</f>
        <v>#REF!</v>
      </c>
      <c r="HO60" s="70" t="e">
        <f>#REF!-HN60</f>
        <v>#REF!</v>
      </c>
      <c r="HP60" s="70" t="e">
        <f>SUM(#REF!)</f>
        <v>#REF!</v>
      </c>
      <c r="HQ60" s="70" t="e">
        <f>#REF!-HP60</f>
        <v>#REF!</v>
      </c>
      <c r="HR60" s="70" t="e">
        <f>SUM(#REF!)</f>
        <v>#REF!</v>
      </c>
      <c r="HS60" s="70" t="e">
        <f>#REF!-HR60</f>
        <v>#REF!</v>
      </c>
      <c r="HT60" s="70" t="e">
        <f>SUM(#REF!)</f>
        <v>#REF!</v>
      </c>
      <c r="HU60" s="70" t="e">
        <f>#REF!-HT60</f>
        <v>#REF!</v>
      </c>
      <c r="HV60" s="70" t="e">
        <f>SUM(#REF!)</f>
        <v>#REF!</v>
      </c>
      <c r="HW60" s="70" t="e">
        <f>#REF!-HV60</f>
        <v>#REF!</v>
      </c>
      <c r="HX60" s="70" t="e">
        <f>SUM(#REF!)</f>
        <v>#REF!</v>
      </c>
      <c r="HY60" s="70" t="e">
        <f>#REF!-HX60</f>
        <v>#REF!</v>
      </c>
      <c r="HZ60" s="70">
        <f>SUM(BC60:BC60)</f>
        <v>300</v>
      </c>
      <c r="IA60" s="70" t="e">
        <f>#REF!-HZ60</f>
        <v>#REF!</v>
      </c>
      <c r="IB60" s="70">
        <f>SUM(BD60:BD60)</f>
        <v>0</v>
      </c>
      <c r="IC60" s="70" t="e">
        <f>#REF!-IB60</f>
        <v>#REF!</v>
      </c>
      <c r="ID60" s="70">
        <f t="shared" si="56"/>
        <v>0</v>
      </c>
      <c r="IE60" s="70">
        <f t="shared" si="57"/>
        <v>0</v>
      </c>
      <c r="IF60" s="70">
        <f t="shared" si="58"/>
        <v>46143</v>
      </c>
      <c r="IG60" s="70">
        <f t="shared" si="59"/>
        <v>0</v>
      </c>
      <c r="IH60" s="70">
        <f t="shared" si="60"/>
        <v>309897</v>
      </c>
      <c r="II60" s="70">
        <f t="shared" si="61"/>
        <v>0</v>
      </c>
      <c r="IJ60" s="70">
        <f t="shared" si="62"/>
        <v>29287917</v>
      </c>
      <c r="IK60" s="70">
        <f t="shared" si="63"/>
        <v>0</v>
      </c>
      <c r="IL60" s="70">
        <f t="shared" si="102"/>
        <v>6599006</v>
      </c>
      <c r="IM60" s="70">
        <f t="shared" si="64"/>
        <v>0</v>
      </c>
      <c r="IN60" s="70">
        <f t="shared" si="65"/>
        <v>1317884</v>
      </c>
      <c r="IO60" s="70">
        <f t="shared" si="66"/>
        <v>0</v>
      </c>
      <c r="IP60" s="70">
        <f t="shared" si="67"/>
        <v>4494653</v>
      </c>
      <c r="IQ60" s="70">
        <f t="shared" si="68"/>
        <v>0</v>
      </c>
      <c r="IR60" s="70">
        <f t="shared" si="107"/>
        <v>0</v>
      </c>
      <c r="IS60" s="70">
        <f t="shared" si="108"/>
        <v>0</v>
      </c>
      <c r="IT60" s="70">
        <f t="shared" si="103"/>
        <v>3291074</v>
      </c>
      <c r="IU60" s="70">
        <f t="shared" si="104"/>
        <v>0</v>
      </c>
      <c r="IV60" s="70">
        <f t="shared" si="105"/>
        <v>0</v>
      </c>
      <c r="IW60" s="70">
        <f t="shared" si="106"/>
        <v>0</v>
      </c>
      <c r="IX60" s="70">
        <f t="shared" si="69"/>
        <v>0</v>
      </c>
      <c r="IY60" s="70">
        <f t="shared" si="70"/>
        <v>0</v>
      </c>
      <c r="IZ60" s="70">
        <f t="shared" si="71"/>
        <v>432394</v>
      </c>
      <c r="JA60" s="70">
        <f t="shared" si="72"/>
        <v>0</v>
      </c>
      <c r="JB60" s="70">
        <f t="shared" si="73"/>
        <v>2329644</v>
      </c>
      <c r="JC60" s="70">
        <f t="shared" si="74"/>
        <v>0</v>
      </c>
      <c r="JD60" s="70">
        <f t="shared" si="75"/>
        <v>586949</v>
      </c>
      <c r="JE60" s="70">
        <f t="shared" si="76"/>
        <v>0</v>
      </c>
      <c r="JF60" s="70">
        <f t="shared" si="77"/>
        <v>973147</v>
      </c>
      <c r="JG60" s="70">
        <f t="shared" si="78"/>
        <v>0</v>
      </c>
      <c r="JH60" s="70">
        <f t="shared" si="79"/>
        <v>2726058</v>
      </c>
      <c r="JI60" s="70">
        <f t="shared" si="80"/>
        <v>0</v>
      </c>
      <c r="JJ60" s="70">
        <f t="shared" si="81"/>
        <v>0</v>
      </c>
      <c r="JK60" s="70">
        <f t="shared" si="82"/>
        <v>0</v>
      </c>
      <c r="JL60" s="70">
        <f t="shared" si="83"/>
        <v>1063556</v>
      </c>
      <c r="JM60" s="70">
        <f t="shared" si="84"/>
        <v>0</v>
      </c>
      <c r="JN60" s="70">
        <f t="shared" si="85"/>
        <v>167175</v>
      </c>
      <c r="JO60" s="70">
        <f t="shared" si="86"/>
        <v>0</v>
      </c>
      <c r="JP60" s="70">
        <f t="shared" si="87"/>
        <v>3680029</v>
      </c>
      <c r="JQ60" s="70">
        <f t="shared" si="88"/>
        <v>0</v>
      </c>
      <c r="JR60" s="70">
        <f t="shared" si="89"/>
        <v>535840</v>
      </c>
      <c r="JS60" s="70">
        <f t="shared" si="90"/>
        <v>0</v>
      </c>
      <c r="JT60" s="70">
        <f t="shared" si="91"/>
        <v>146440</v>
      </c>
      <c r="JU60" s="70">
        <f t="shared" si="92"/>
        <v>0</v>
      </c>
      <c r="JV60" s="70">
        <f t="shared" si="93"/>
        <v>1169602</v>
      </c>
      <c r="JW60" s="70">
        <f t="shared" si="94"/>
        <v>0</v>
      </c>
      <c r="JX60" s="70">
        <f t="shared" si="95"/>
        <v>29513451</v>
      </c>
      <c r="JY60" s="70">
        <f t="shared" si="96"/>
        <v>0</v>
      </c>
      <c r="JZ60" s="70">
        <f t="shared" si="97"/>
        <v>0</v>
      </c>
      <c r="KA60" s="70">
        <f t="shared" si="98"/>
        <v>0</v>
      </c>
      <c r="KB60" s="70">
        <f t="shared" si="99"/>
        <v>29513451</v>
      </c>
      <c r="KC60" s="70">
        <f t="shared" si="100"/>
        <v>0</v>
      </c>
      <c r="KE60" s="70" t="e">
        <f t="shared" si="101"/>
        <v>#REF!</v>
      </c>
      <c r="KG60" s="68" t="e">
        <f t="shared" si="53"/>
        <v>#REF!</v>
      </c>
    </row>
    <row r="61" spans="1:293">
      <c r="A61" s="180" t="s">
        <v>273</v>
      </c>
      <c r="B61" s="76" t="s">
        <v>363</v>
      </c>
      <c r="C61" s="90">
        <v>199120</v>
      </c>
      <c r="D61" s="90">
        <v>2014</v>
      </c>
      <c r="E61" s="90">
        <v>1</v>
      </c>
      <c r="F61" s="91">
        <v>1</v>
      </c>
      <c r="G61" s="92">
        <v>7696</v>
      </c>
      <c r="H61" s="92">
        <v>10674</v>
      </c>
      <c r="I61" s="93">
        <v>2671540716</v>
      </c>
      <c r="J61" s="93">
        <v>2552476058</v>
      </c>
      <c r="K61" s="93">
        <v>4529037</v>
      </c>
      <c r="L61" s="93">
        <v>4987274</v>
      </c>
      <c r="M61" s="93">
        <v>96348474</v>
      </c>
      <c r="N61" s="93">
        <v>130683098</v>
      </c>
      <c r="O61" s="93">
        <v>60045924</v>
      </c>
      <c r="P61" s="93">
        <v>60881913</v>
      </c>
      <c r="Q61" s="93">
        <v>1454198140</v>
      </c>
      <c r="R61" s="93">
        <v>1479636379</v>
      </c>
      <c r="S61" s="93">
        <v>1721666597</v>
      </c>
      <c r="T61" s="93">
        <v>1697197599</v>
      </c>
      <c r="U61" s="93">
        <v>19148</v>
      </c>
      <c r="V61" s="93">
        <v>18224</v>
      </c>
      <c r="W61" s="93">
        <v>30930</v>
      </c>
      <c r="X61" s="93">
        <v>38976</v>
      </c>
      <c r="Y61" s="93">
        <v>23416</v>
      </c>
      <c r="Z61" s="93">
        <v>22340</v>
      </c>
      <c r="AA61" s="93">
        <v>45806</v>
      </c>
      <c r="AB61" s="93">
        <v>43848</v>
      </c>
      <c r="AC61" s="114">
        <v>13</v>
      </c>
      <c r="AD61" s="114">
        <v>15</v>
      </c>
      <c r="AE61" s="114">
        <v>0</v>
      </c>
      <c r="AF61" s="115">
        <v>5846780</v>
      </c>
      <c r="AG61" s="115">
        <v>5441509</v>
      </c>
      <c r="AH61" s="115">
        <v>911068</v>
      </c>
      <c r="AI61" s="115">
        <v>408047</v>
      </c>
      <c r="AJ61" s="115">
        <v>524489</v>
      </c>
      <c r="AK61" s="116">
        <v>9.5</v>
      </c>
      <c r="AL61" s="115">
        <v>452968</v>
      </c>
      <c r="AM61" s="116">
        <v>11</v>
      </c>
      <c r="AN61" s="115">
        <v>171980</v>
      </c>
      <c r="AO61" s="116">
        <v>11.5</v>
      </c>
      <c r="AP61" s="115">
        <v>152136</v>
      </c>
      <c r="AQ61" s="116">
        <v>13</v>
      </c>
      <c r="AR61" s="115">
        <v>180094</v>
      </c>
      <c r="AS61" s="116">
        <v>27.38</v>
      </c>
      <c r="AT61" s="115">
        <v>149423</v>
      </c>
      <c r="AU61" s="116">
        <v>33</v>
      </c>
      <c r="AV61" s="115">
        <v>74906</v>
      </c>
      <c r="AW61" s="116">
        <v>23.38</v>
      </c>
      <c r="AX61" s="115">
        <v>60389</v>
      </c>
      <c r="AY61" s="116">
        <v>29</v>
      </c>
      <c r="AZ61" s="163">
        <v>10379939</v>
      </c>
      <c r="BA61" s="163">
        <v>300000</v>
      </c>
      <c r="BB61" s="163">
        <v>18234593</v>
      </c>
      <c r="BC61" s="163">
        <v>799150</v>
      </c>
      <c r="BD61" s="163">
        <v>0</v>
      </c>
      <c r="BE61" s="163">
        <v>0</v>
      </c>
      <c r="BF61" s="163">
        <v>0</v>
      </c>
      <c r="BG61" s="163">
        <v>0</v>
      </c>
      <c r="BH61" s="163">
        <v>0</v>
      </c>
      <c r="BI61" s="163">
        <v>0</v>
      </c>
      <c r="BJ61" s="163">
        <v>0</v>
      </c>
      <c r="BK61" s="163">
        <v>0</v>
      </c>
      <c r="BL61" s="163">
        <v>0</v>
      </c>
      <c r="BM61" s="163">
        <v>0</v>
      </c>
      <c r="BN61" s="163">
        <v>0</v>
      </c>
      <c r="BO61" s="163">
        <v>18196</v>
      </c>
      <c r="BP61" s="163">
        <v>18196</v>
      </c>
      <c r="BQ61" s="163">
        <v>17424</v>
      </c>
      <c r="BR61" s="163">
        <v>3449</v>
      </c>
      <c r="BS61" s="163">
        <v>1256</v>
      </c>
      <c r="BT61" s="163">
        <v>51362</v>
      </c>
      <c r="BU61" s="163">
        <v>2273635</v>
      </c>
      <c r="BV61" s="163">
        <v>2347126</v>
      </c>
      <c r="BW61" s="163">
        <v>33320969</v>
      </c>
      <c r="BX61" s="163">
        <v>21595026</v>
      </c>
      <c r="BY61" s="163">
        <v>950783</v>
      </c>
      <c r="BZ61" s="163">
        <v>9908104</v>
      </c>
      <c r="CA61" s="163">
        <v>17997031</v>
      </c>
      <c r="CB61" s="163">
        <v>83771913</v>
      </c>
      <c r="CC61" s="163">
        <v>2536263</v>
      </c>
      <c r="CD61" s="163">
        <v>426289</v>
      </c>
      <c r="CE61" s="163">
        <v>631144</v>
      </c>
      <c r="CF61" s="163">
        <v>7694593</v>
      </c>
      <c r="CG61" s="163">
        <v>1103762</v>
      </c>
      <c r="CH61" s="163">
        <v>12392051</v>
      </c>
      <c r="CI61" s="163">
        <v>1550000</v>
      </c>
      <c r="CJ61" s="163">
        <v>630000</v>
      </c>
      <c r="CK61" s="163">
        <v>148135</v>
      </c>
      <c r="CL61" s="163">
        <v>52844</v>
      </c>
      <c r="CM61" s="163">
        <v>0</v>
      </c>
      <c r="CN61" s="163">
        <v>2380979</v>
      </c>
      <c r="CO61" s="163">
        <v>4589351</v>
      </c>
      <c r="CP61" s="163">
        <v>2969684</v>
      </c>
      <c r="CQ61" s="163">
        <v>1252360</v>
      </c>
      <c r="CR61" s="163">
        <v>4831281</v>
      </c>
      <c r="CS61" s="163">
        <v>0</v>
      </c>
      <c r="CT61" s="163">
        <v>13642676</v>
      </c>
      <c r="CU61" s="163">
        <v>0</v>
      </c>
      <c r="CV61" s="163">
        <v>0</v>
      </c>
      <c r="CW61" s="163">
        <v>0</v>
      </c>
      <c r="CX61" s="163">
        <v>0</v>
      </c>
      <c r="CY61" s="163">
        <v>0</v>
      </c>
      <c r="CZ61" s="163">
        <v>0</v>
      </c>
      <c r="DA61" s="163">
        <v>2011790</v>
      </c>
      <c r="DB61" s="163">
        <v>870881</v>
      </c>
      <c r="DC61" s="163">
        <v>335373</v>
      </c>
      <c r="DD61" s="163">
        <v>317258</v>
      </c>
      <c r="DE61" s="163">
        <v>12686240</v>
      </c>
      <c r="DF61" s="163">
        <v>16221542</v>
      </c>
      <c r="DG61" s="163">
        <v>0</v>
      </c>
      <c r="DH61" s="163">
        <v>0</v>
      </c>
      <c r="DI61" s="163">
        <v>0</v>
      </c>
      <c r="DJ61" s="163">
        <v>0</v>
      </c>
      <c r="DK61" s="163">
        <v>0</v>
      </c>
      <c r="DL61" s="163">
        <v>0</v>
      </c>
      <c r="DM61" s="163">
        <v>609319</v>
      </c>
      <c r="DN61" s="163">
        <v>0</v>
      </c>
      <c r="DO61" s="163">
        <v>0</v>
      </c>
      <c r="DP61" s="163">
        <v>0</v>
      </c>
      <c r="DQ61" s="163">
        <v>0</v>
      </c>
      <c r="DR61" s="163">
        <v>609319</v>
      </c>
      <c r="DS61" s="163">
        <v>525674</v>
      </c>
      <c r="DT61" s="163">
        <v>127345</v>
      </c>
      <c r="DU61" s="163">
        <v>143776</v>
      </c>
      <c r="DV61" s="163">
        <v>522320</v>
      </c>
      <c r="DW61" s="163">
        <v>0</v>
      </c>
      <c r="DX61" s="163">
        <v>1319115</v>
      </c>
      <c r="DY61" s="163">
        <v>1298498</v>
      </c>
      <c r="DZ61" s="163">
        <v>879105</v>
      </c>
      <c r="EA61" s="163">
        <v>420596</v>
      </c>
      <c r="EB61" s="163">
        <v>2131796</v>
      </c>
      <c r="EC61" s="163">
        <v>169915</v>
      </c>
      <c r="ED61" s="163">
        <v>4899910</v>
      </c>
      <c r="EE61" s="163">
        <v>809402</v>
      </c>
      <c r="EF61" s="163">
        <v>122079</v>
      </c>
      <c r="EG61" s="163">
        <v>85961</v>
      </c>
      <c r="EH61" s="163">
        <v>531665</v>
      </c>
      <c r="EI61" s="163">
        <v>1500000</v>
      </c>
      <c r="EJ61" s="163">
        <v>3049107</v>
      </c>
      <c r="EK61" s="163">
        <v>1935117</v>
      </c>
      <c r="EL61" s="163">
        <v>1055602</v>
      </c>
      <c r="EM61" s="163">
        <v>229520</v>
      </c>
      <c r="EN61" s="163">
        <v>383809</v>
      </c>
      <c r="EO61" s="163">
        <v>728333</v>
      </c>
      <c r="EP61" s="163">
        <v>4332381</v>
      </c>
      <c r="EQ61" s="163">
        <v>0</v>
      </c>
      <c r="ER61" s="163">
        <v>0</v>
      </c>
      <c r="ES61" s="163">
        <v>0</v>
      </c>
      <c r="ET61" s="163">
        <v>0</v>
      </c>
      <c r="EU61" s="163">
        <v>568956</v>
      </c>
      <c r="EV61" s="163">
        <v>568956</v>
      </c>
      <c r="EW61" s="163">
        <v>0</v>
      </c>
      <c r="EX61" s="163">
        <v>0</v>
      </c>
      <c r="EY61" s="163">
        <v>0</v>
      </c>
      <c r="EZ61" s="163">
        <v>0</v>
      </c>
      <c r="FA61" s="163">
        <v>0</v>
      </c>
      <c r="FB61" s="163">
        <v>0</v>
      </c>
      <c r="FC61" s="163">
        <v>3956055</v>
      </c>
      <c r="FD61" s="163">
        <v>108</v>
      </c>
      <c r="FE61" s="163">
        <v>66570</v>
      </c>
      <c r="FF61" s="163">
        <v>1058615</v>
      </c>
      <c r="FG61" s="163">
        <v>7170735</v>
      </c>
      <c r="FH61" s="163">
        <v>12252083</v>
      </c>
      <c r="FI61" s="163">
        <v>0</v>
      </c>
      <c r="FJ61" s="163">
        <v>0</v>
      </c>
      <c r="FK61" s="163">
        <v>0</v>
      </c>
      <c r="FL61" s="163">
        <v>0</v>
      </c>
      <c r="FM61" s="163">
        <v>398221</v>
      </c>
      <c r="FN61" s="163">
        <v>398221</v>
      </c>
      <c r="FO61" s="163">
        <v>0</v>
      </c>
      <c r="FP61" s="163">
        <v>0</v>
      </c>
      <c r="FQ61" s="163">
        <v>0</v>
      </c>
      <c r="FR61" s="163">
        <v>0</v>
      </c>
      <c r="FS61" s="163">
        <v>1762971</v>
      </c>
      <c r="FT61" s="163">
        <v>1762971</v>
      </c>
      <c r="FU61" s="163">
        <v>0</v>
      </c>
      <c r="FV61" s="163">
        <v>0</v>
      </c>
      <c r="FW61" s="163">
        <v>0</v>
      </c>
      <c r="FX61" s="163">
        <v>0</v>
      </c>
      <c r="FY61" s="163">
        <v>2217675</v>
      </c>
      <c r="FZ61" s="163">
        <v>2217675</v>
      </c>
      <c r="GA61" s="163">
        <v>2900</v>
      </c>
      <c r="GB61" s="163">
        <v>1075</v>
      </c>
      <c r="GC61" s="163">
        <v>1168</v>
      </c>
      <c r="GD61" s="163">
        <v>9053</v>
      </c>
      <c r="GE61" s="163">
        <v>1470440</v>
      </c>
      <c r="GF61" s="163">
        <v>1484636</v>
      </c>
      <c r="GG61" s="163">
        <v>498073</v>
      </c>
      <c r="GH61" s="163">
        <v>162780</v>
      </c>
      <c r="GI61" s="163">
        <v>141559</v>
      </c>
      <c r="GJ61" s="163">
        <v>646764</v>
      </c>
      <c r="GK61" s="163">
        <v>4482423</v>
      </c>
      <c r="GL61" s="163">
        <v>5931599</v>
      </c>
      <c r="GM61" s="163">
        <v>20322442</v>
      </c>
      <c r="GN61" s="163">
        <v>7244948</v>
      </c>
      <c r="GO61" s="163">
        <v>3456162</v>
      </c>
      <c r="GP61" s="163">
        <v>18179998</v>
      </c>
      <c r="GQ61" s="163">
        <v>34259671</v>
      </c>
      <c r="GR61" s="163">
        <v>83463221</v>
      </c>
      <c r="GS61" s="163">
        <v>0</v>
      </c>
      <c r="GT61" s="163">
        <v>0</v>
      </c>
      <c r="GU61" s="163">
        <v>0</v>
      </c>
      <c r="GV61" s="163">
        <v>0</v>
      </c>
      <c r="GW61" s="163">
        <v>0</v>
      </c>
      <c r="GX61" s="163">
        <v>0</v>
      </c>
      <c r="GY61" s="163">
        <v>20322442</v>
      </c>
      <c r="GZ61" s="163">
        <v>7244948</v>
      </c>
      <c r="HA61" s="163">
        <v>3456162</v>
      </c>
      <c r="HB61" s="163">
        <v>18179998</v>
      </c>
      <c r="HC61" s="163">
        <v>34259671</v>
      </c>
      <c r="HD61" s="163">
        <v>83463221</v>
      </c>
      <c r="HF61" s="70">
        <f>SUM(AZ61:AZ61)</f>
        <v>10379939</v>
      </c>
      <c r="HG61" s="70" t="e">
        <f>#REF!-HF61</f>
        <v>#REF!</v>
      </c>
      <c r="HH61" s="70" t="e">
        <f>SUM(#REF!)</f>
        <v>#REF!</v>
      </c>
      <c r="HI61" s="70" t="e">
        <f>#REF!-HH61</f>
        <v>#REF!</v>
      </c>
      <c r="HJ61" s="70">
        <f>SUM(BA61:BA61)</f>
        <v>300000</v>
      </c>
      <c r="HK61" s="70" t="e">
        <f>#REF!-HJ61</f>
        <v>#REF!</v>
      </c>
      <c r="HL61" s="70" t="e">
        <f>SUM(#REF!)</f>
        <v>#REF!</v>
      </c>
      <c r="HM61" s="70" t="e">
        <f>BB61-HL61</f>
        <v>#REF!</v>
      </c>
      <c r="HN61" s="70" t="e">
        <f>SUM(#REF!)</f>
        <v>#REF!</v>
      </c>
      <c r="HO61" s="70" t="e">
        <f>#REF!-HN61</f>
        <v>#REF!</v>
      </c>
      <c r="HP61" s="70" t="e">
        <f>SUM(#REF!)</f>
        <v>#REF!</v>
      </c>
      <c r="HQ61" s="70" t="e">
        <f>#REF!-HP61</f>
        <v>#REF!</v>
      </c>
      <c r="HR61" s="70" t="e">
        <f>SUM(#REF!)</f>
        <v>#REF!</v>
      </c>
      <c r="HS61" s="70" t="e">
        <f>#REF!-HR61</f>
        <v>#REF!</v>
      </c>
      <c r="HT61" s="70" t="e">
        <f>SUM(#REF!)</f>
        <v>#REF!</v>
      </c>
      <c r="HU61" s="70" t="e">
        <f>#REF!-HT61</f>
        <v>#REF!</v>
      </c>
      <c r="HV61" s="70" t="e">
        <f>SUM(#REF!)</f>
        <v>#REF!</v>
      </c>
      <c r="HW61" s="70" t="e">
        <f>#REF!-HV61</f>
        <v>#REF!</v>
      </c>
      <c r="HX61" s="70" t="e">
        <f>SUM(#REF!)</f>
        <v>#REF!</v>
      </c>
      <c r="HY61" s="70" t="e">
        <f>#REF!-HX61</f>
        <v>#REF!</v>
      </c>
      <c r="HZ61" s="70">
        <f>SUM(BC61:BC61)</f>
        <v>799150</v>
      </c>
      <c r="IA61" s="70" t="e">
        <f>#REF!-HZ61</f>
        <v>#REF!</v>
      </c>
      <c r="IB61" s="70">
        <f>SUM(BD61:BD61)</f>
        <v>0</v>
      </c>
      <c r="IC61" s="70" t="e">
        <f>#REF!-IB61</f>
        <v>#REF!</v>
      </c>
      <c r="ID61" s="70">
        <f t="shared" si="56"/>
        <v>0</v>
      </c>
      <c r="IE61" s="70">
        <f t="shared" si="57"/>
        <v>0</v>
      </c>
      <c r="IF61" s="70">
        <f t="shared" si="58"/>
        <v>18196</v>
      </c>
      <c r="IG61" s="70">
        <f t="shared" si="59"/>
        <v>0</v>
      </c>
      <c r="IH61" s="70">
        <f t="shared" si="60"/>
        <v>2347126</v>
      </c>
      <c r="II61" s="70">
        <f t="shared" si="61"/>
        <v>0</v>
      </c>
      <c r="IJ61" s="70">
        <f t="shared" si="62"/>
        <v>83771913</v>
      </c>
      <c r="IK61" s="70">
        <f t="shared" si="63"/>
        <v>0</v>
      </c>
      <c r="IL61" s="70">
        <f t="shared" si="102"/>
        <v>12392051</v>
      </c>
      <c r="IM61" s="70">
        <f t="shared" si="64"/>
        <v>0</v>
      </c>
      <c r="IN61" s="70">
        <f t="shared" si="65"/>
        <v>2380979</v>
      </c>
      <c r="IO61" s="70">
        <f t="shared" si="66"/>
        <v>0</v>
      </c>
      <c r="IP61" s="70">
        <f t="shared" si="67"/>
        <v>13642676</v>
      </c>
      <c r="IQ61" s="70">
        <f t="shared" si="68"/>
        <v>0</v>
      </c>
      <c r="IR61" s="70">
        <f t="shared" si="107"/>
        <v>0</v>
      </c>
      <c r="IS61" s="70">
        <f t="shared" si="108"/>
        <v>0</v>
      </c>
      <c r="IT61" s="70">
        <f t="shared" si="103"/>
        <v>16221542</v>
      </c>
      <c r="IU61" s="70">
        <f t="shared" si="104"/>
        <v>0</v>
      </c>
      <c r="IV61" s="70">
        <f t="shared" si="105"/>
        <v>0</v>
      </c>
      <c r="IW61" s="70">
        <f t="shared" si="106"/>
        <v>0</v>
      </c>
      <c r="IX61" s="70">
        <f t="shared" si="69"/>
        <v>609319</v>
      </c>
      <c r="IY61" s="70">
        <f t="shared" si="70"/>
        <v>0</v>
      </c>
      <c r="IZ61" s="70">
        <f t="shared" si="71"/>
        <v>1319115</v>
      </c>
      <c r="JA61" s="70">
        <f t="shared" si="72"/>
        <v>0</v>
      </c>
      <c r="JB61" s="70">
        <f t="shared" si="73"/>
        <v>4899910</v>
      </c>
      <c r="JC61" s="70">
        <f t="shared" si="74"/>
        <v>0</v>
      </c>
      <c r="JD61" s="70">
        <f t="shared" si="75"/>
        <v>3049107</v>
      </c>
      <c r="JE61" s="70">
        <f t="shared" si="76"/>
        <v>0</v>
      </c>
      <c r="JF61" s="70">
        <f t="shared" si="77"/>
        <v>4332381</v>
      </c>
      <c r="JG61" s="70">
        <f t="shared" si="78"/>
        <v>0</v>
      </c>
      <c r="JH61" s="70">
        <f t="shared" si="79"/>
        <v>568956</v>
      </c>
      <c r="JI61" s="70">
        <f t="shared" si="80"/>
        <v>0</v>
      </c>
      <c r="JJ61" s="70">
        <f t="shared" si="81"/>
        <v>0</v>
      </c>
      <c r="JK61" s="70">
        <f t="shared" si="82"/>
        <v>0</v>
      </c>
      <c r="JL61" s="70">
        <f t="shared" si="83"/>
        <v>12252083</v>
      </c>
      <c r="JM61" s="70">
        <f t="shared" si="84"/>
        <v>0</v>
      </c>
      <c r="JN61" s="70">
        <f t="shared" si="85"/>
        <v>398221</v>
      </c>
      <c r="JO61" s="70">
        <f t="shared" si="86"/>
        <v>0</v>
      </c>
      <c r="JP61" s="70">
        <f t="shared" si="87"/>
        <v>1762971</v>
      </c>
      <c r="JQ61" s="70">
        <f t="shared" si="88"/>
        <v>0</v>
      </c>
      <c r="JR61" s="70">
        <f t="shared" si="89"/>
        <v>2217675</v>
      </c>
      <c r="JS61" s="70">
        <f t="shared" si="90"/>
        <v>0</v>
      </c>
      <c r="JT61" s="70">
        <f t="shared" si="91"/>
        <v>1484636</v>
      </c>
      <c r="JU61" s="70">
        <f t="shared" si="92"/>
        <v>0</v>
      </c>
      <c r="JV61" s="70">
        <f t="shared" si="93"/>
        <v>5931599</v>
      </c>
      <c r="JW61" s="70">
        <f t="shared" si="94"/>
        <v>0</v>
      </c>
      <c r="JX61" s="70">
        <f t="shared" si="95"/>
        <v>83463221</v>
      </c>
      <c r="JY61" s="70">
        <f t="shared" si="96"/>
        <v>0</v>
      </c>
      <c r="JZ61" s="70">
        <f t="shared" si="97"/>
        <v>0</v>
      </c>
      <c r="KA61" s="70">
        <f t="shared" si="98"/>
        <v>0</v>
      </c>
      <c r="KB61" s="70">
        <f t="shared" si="99"/>
        <v>83463221</v>
      </c>
      <c r="KC61" s="70">
        <f t="shared" si="100"/>
        <v>0</v>
      </c>
      <c r="KE61" s="70" t="e">
        <f t="shared" si="101"/>
        <v>#REF!</v>
      </c>
      <c r="KG61" s="68" t="e">
        <f t="shared" si="53"/>
        <v>#REF!</v>
      </c>
    </row>
    <row r="62" spans="1:293">
      <c r="A62" s="180" t="s">
        <v>274</v>
      </c>
      <c r="B62" s="76" t="s">
        <v>363</v>
      </c>
      <c r="C62" s="90">
        <v>199193</v>
      </c>
      <c r="D62" s="90">
        <v>2014</v>
      </c>
      <c r="E62" s="90">
        <v>1</v>
      </c>
      <c r="F62" s="91">
        <v>1</v>
      </c>
      <c r="G62" s="92">
        <v>11883</v>
      </c>
      <c r="H62" s="92">
        <v>9447</v>
      </c>
      <c r="I62" s="93">
        <v>1285952770</v>
      </c>
      <c r="J62" s="93">
        <v>1279177823</v>
      </c>
      <c r="K62" s="93">
        <v>5871229</v>
      </c>
      <c r="L62" s="93">
        <v>5245972</v>
      </c>
      <c r="M62" s="93">
        <v>41345123</v>
      </c>
      <c r="N62" s="93">
        <v>27540642</v>
      </c>
      <c r="O62" s="93">
        <v>41056936</v>
      </c>
      <c r="P62" s="93">
        <v>44427191</v>
      </c>
      <c r="Q62" s="93">
        <v>575147119</v>
      </c>
      <c r="R62" s="99">
        <v>580432894</v>
      </c>
      <c r="S62" s="93">
        <v>1131780385</v>
      </c>
      <c r="T62" s="93">
        <v>1136595741</v>
      </c>
      <c r="U62" s="93">
        <v>18548</v>
      </c>
      <c r="V62" s="99">
        <v>17382</v>
      </c>
      <c r="W62" s="93">
        <v>32003</v>
      </c>
      <c r="X62" s="99">
        <v>30547</v>
      </c>
      <c r="Y62" s="93">
        <v>22184</v>
      </c>
      <c r="Z62" s="93">
        <v>20644</v>
      </c>
      <c r="AA62" s="93">
        <v>35639</v>
      </c>
      <c r="AB62" s="93">
        <v>33809</v>
      </c>
      <c r="AC62" s="114">
        <v>11</v>
      </c>
      <c r="AD62" s="114">
        <v>11</v>
      </c>
      <c r="AE62" s="114">
        <v>0</v>
      </c>
      <c r="AF62" s="115">
        <v>5121849</v>
      </c>
      <c r="AG62" s="115">
        <v>3398661</v>
      </c>
      <c r="AH62" s="115">
        <v>1108768</v>
      </c>
      <c r="AI62" s="115">
        <v>389014</v>
      </c>
      <c r="AJ62" s="115">
        <v>641075</v>
      </c>
      <c r="AK62" s="116">
        <v>9</v>
      </c>
      <c r="AL62" s="115">
        <v>525023</v>
      </c>
      <c r="AM62" s="116">
        <v>11</v>
      </c>
      <c r="AN62" s="115">
        <v>183597</v>
      </c>
      <c r="AO62" s="116">
        <v>9</v>
      </c>
      <c r="AP62" s="115">
        <v>150216</v>
      </c>
      <c r="AQ62" s="116">
        <v>11</v>
      </c>
      <c r="AR62" s="115">
        <v>219976</v>
      </c>
      <c r="AS62" s="116">
        <v>24.5</v>
      </c>
      <c r="AT62" s="115">
        <v>185842</v>
      </c>
      <c r="AU62" s="116">
        <v>29</v>
      </c>
      <c r="AV62" s="115">
        <v>90183</v>
      </c>
      <c r="AW62" s="116">
        <v>17.5</v>
      </c>
      <c r="AX62" s="115">
        <v>71736</v>
      </c>
      <c r="AY62" s="116">
        <v>22</v>
      </c>
      <c r="AZ62" s="162">
        <v>13867570</v>
      </c>
      <c r="BA62" s="162">
        <v>100000</v>
      </c>
      <c r="BB62" s="162">
        <v>10824170</v>
      </c>
      <c r="BC62" s="162">
        <v>2039175</v>
      </c>
      <c r="BD62" s="162">
        <v>425000</v>
      </c>
      <c r="BE62" s="162">
        <v>5391</v>
      </c>
      <c r="BF62" s="162">
        <v>36761</v>
      </c>
      <c r="BG62" s="162">
        <v>252</v>
      </c>
      <c r="BH62" s="162">
        <v>31557</v>
      </c>
      <c r="BI62" s="162">
        <v>0</v>
      </c>
      <c r="BJ62" s="162">
        <v>73961</v>
      </c>
      <c r="BK62" s="162">
        <v>0</v>
      </c>
      <c r="BL62" s="162">
        <v>0</v>
      </c>
      <c r="BM62" s="162">
        <v>0</v>
      </c>
      <c r="BN62" s="162">
        <v>0</v>
      </c>
      <c r="BO62" s="162">
        <v>0</v>
      </c>
      <c r="BP62" s="162">
        <v>0</v>
      </c>
      <c r="BQ62" s="162">
        <v>0</v>
      </c>
      <c r="BR62" s="162">
        <v>0</v>
      </c>
      <c r="BS62" s="162">
        <v>0</v>
      </c>
      <c r="BT62" s="162">
        <v>0</v>
      </c>
      <c r="BU62" s="162">
        <v>3079451</v>
      </c>
      <c r="BV62" s="162">
        <v>3079451</v>
      </c>
      <c r="BW62" s="162">
        <v>36232984</v>
      </c>
      <c r="BX62" s="162">
        <v>12638347</v>
      </c>
      <c r="BY62" s="162">
        <v>638287</v>
      </c>
      <c r="BZ62" s="162">
        <v>9190998</v>
      </c>
      <c r="CA62" s="162">
        <v>11800195</v>
      </c>
      <c r="CB62" s="162">
        <v>70500811</v>
      </c>
      <c r="CC62" s="162">
        <v>2686508</v>
      </c>
      <c r="CD62" s="162">
        <v>404255</v>
      </c>
      <c r="CE62" s="162">
        <v>405005</v>
      </c>
      <c r="CF62" s="162">
        <v>5124812</v>
      </c>
      <c r="CG62" s="162">
        <v>513146</v>
      </c>
      <c r="CH62" s="162">
        <v>9133726</v>
      </c>
      <c r="CI62" s="162">
        <v>2095000</v>
      </c>
      <c r="CJ62" s="162">
        <v>733490</v>
      </c>
      <c r="CK62" s="162">
        <v>128238</v>
      </c>
      <c r="CL62" s="162">
        <v>33781</v>
      </c>
      <c r="CM62" s="162">
        <v>0</v>
      </c>
      <c r="CN62" s="162">
        <v>2990509</v>
      </c>
      <c r="CO62" s="162">
        <v>5091336</v>
      </c>
      <c r="CP62" s="162">
        <v>3561315</v>
      </c>
      <c r="CQ62" s="162">
        <v>1105526</v>
      </c>
      <c r="CR62" s="162">
        <v>4637167</v>
      </c>
      <c r="CS62" s="162">
        <v>0</v>
      </c>
      <c r="CT62" s="162">
        <v>14395344</v>
      </c>
      <c r="CU62" s="162">
        <v>0</v>
      </c>
      <c r="CV62" s="162">
        <v>0</v>
      </c>
      <c r="CW62" s="162">
        <v>0</v>
      </c>
      <c r="CX62" s="162">
        <v>0</v>
      </c>
      <c r="CY62" s="162">
        <v>0</v>
      </c>
      <c r="CZ62" s="162">
        <v>0</v>
      </c>
      <c r="DA62" s="162">
        <v>1759644</v>
      </c>
      <c r="DB62" s="162">
        <v>431335</v>
      </c>
      <c r="DC62" s="162">
        <v>260534</v>
      </c>
      <c r="DD62" s="162">
        <v>347043</v>
      </c>
      <c r="DE62" s="162">
        <v>9052517</v>
      </c>
      <c r="DF62" s="162">
        <v>11851073</v>
      </c>
      <c r="DG62" s="162">
        <v>0</v>
      </c>
      <c r="DH62" s="162">
        <v>0</v>
      </c>
      <c r="DI62" s="162">
        <v>0</v>
      </c>
      <c r="DJ62" s="162">
        <v>0</v>
      </c>
      <c r="DK62" s="162">
        <v>0</v>
      </c>
      <c r="DL62" s="162">
        <v>0</v>
      </c>
      <c r="DM62" s="162">
        <v>511878</v>
      </c>
      <c r="DN62" s="162">
        <v>0</v>
      </c>
      <c r="DO62" s="162">
        <v>31193</v>
      </c>
      <c r="DP62" s="162">
        <v>44366</v>
      </c>
      <c r="DQ62" s="162">
        <v>72380</v>
      </c>
      <c r="DR62" s="162">
        <v>659817</v>
      </c>
      <c r="DS62" s="162">
        <v>569574</v>
      </c>
      <c r="DT62" s="162">
        <v>330804</v>
      </c>
      <c r="DU62" s="162">
        <v>150842</v>
      </c>
      <c r="DV62" s="162">
        <v>450433</v>
      </c>
      <c r="DW62" s="162">
        <v>0</v>
      </c>
      <c r="DX62" s="162">
        <v>1501653</v>
      </c>
      <c r="DY62" s="162">
        <v>569574</v>
      </c>
      <c r="DZ62" s="162">
        <v>330804</v>
      </c>
      <c r="EA62" s="162">
        <v>150842</v>
      </c>
      <c r="EB62" s="162">
        <v>450433</v>
      </c>
      <c r="EC62" s="162">
        <v>0</v>
      </c>
      <c r="ED62" s="162">
        <v>1501653</v>
      </c>
      <c r="EE62" s="162">
        <v>569574</v>
      </c>
      <c r="EF62" s="162">
        <v>330804</v>
      </c>
      <c r="EG62" s="162">
        <v>150842</v>
      </c>
      <c r="EH62" s="162">
        <v>450433</v>
      </c>
      <c r="EI62" s="162">
        <v>0</v>
      </c>
      <c r="EJ62" s="162">
        <v>1501653</v>
      </c>
      <c r="EK62" s="162">
        <v>1428903</v>
      </c>
      <c r="EL62" s="162">
        <v>379549</v>
      </c>
      <c r="EM62" s="162">
        <v>181975</v>
      </c>
      <c r="EN62" s="162">
        <v>288128</v>
      </c>
      <c r="EO62" s="162">
        <v>1076945</v>
      </c>
      <c r="EP62" s="162">
        <v>3355500</v>
      </c>
      <c r="EQ62" s="162">
        <v>0</v>
      </c>
      <c r="ER62" s="162">
        <v>0</v>
      </c>
      <c r="ES62" s="162">
        <v>0</v>
      </c>
      <c r="ET62" s="162">
        <v>0</v>
      </c>
      <c r="EU62" s="162">
        <v>827924</v>
      </c>
      <c r="EV62" s="162">
        <v>827924</v>
      </c>
      <c r="EW62" s="162">
        <v>0</v>
      </c>
      <c r="EX62" s="162">
        <v>32156</v>
      </c>
      <c r="EY62" s="162">
        <v>50</v>
      </c>
      <c r="EZ62" s="162">
        <v>11828</v>
      </c>
      <c r="FA62" s="162">
        <v>150</v>
      </c>
      <c r="FB62" s="162">
        <v>44184</v>
      </c>
      <c r="FC62" s="162">
        <v>3808073</v>
      </c>
      <c r="FD62" s="162">
        <v>1850214</v>
      </c>
      <c r="FE62" s="162">
        <v>386027</v>
      </c>
      <c r="FF62" s="162">
        <v>1922965</v>
      </c>
      <c r="FG62" s="162">
        <v>2241934</v>
      </c>
      <c r="FH62" s="162">
        <v>10209213</v>
      </c>
      <c r="FI62" s="162">
        <v>0</v>
      </c>
      <c r="FJ62" s="162">
        <v>0</v>
      </c>
      <c r="FK62" s="162">
        <v>0</v>
      </c>
      <c r="FL62" s="162">
        <v>0</v>
      </c>
      <c r="FM62" s="162">
        <v>404349</v>
      </c>
      <c r="FN62" s="162">
        <v>404349</v>
      </c>
      <c r="FO62" s="162">
        <v>0</v>
      </c>
      <c r="FP62" s="162">
        <v>0</v>
      </c>
      <c r="FQ62" s="162">
        <v>0</v>
      </c>
      <c r="FR62" s="162">
        <v>0</v>
      </c>
      <c r="FS62" s="162">
        <v>0</v>
      </c>
      <c r="FT62" s="162">
        <v>0</v>
      </c>
      <c r="FU62" s="162">
        <v>0</v>
      </c>
      <c r="FV62" s="162">
        <v>0</v>
      </c>
      <c r="FW62" s="162">
        <v>0</v>
      </c>
      <c r="FX62" s="162">
        <v>0</v>
      </c>
      <c r="FY62" s="162">
        <v>725239</v>
      </c>
      <c r="FZ62" s="162">
        <v>725239</v>
      </c>
      <c r="GA62" s="162">
        <v>1235</v>
      </c>
      <c r="GB62" s="162">
        <v>0</v>
      </c>
      <c r="GC62" s="162">
        <v>16056</v>
      </c>
      <c r="GD62" s="162">
        <v>9767</v>
      </c>
      <c r="GE62" s="162">
        <v>1443923</v>
      </c>
      <c r="GF62" s="162">
        <v>1470981</v>
      </c>
      <c r="GG62" s="162">
        <v>0</v>
      </c>
      <c r="GH62" s="162">
        <v>0</v>
      </c>
      <c r="GI62" s="162">
        <v>0</v>
      </c>
      <c r="GJ62" s="162">
        <v>0</v>
      </c>
      <c r="GK62" s="162">
        <v>1666467</v>
      </c>
      <c r="GL62" s="162">
        <v>1666467</v>
      </c>
      <c r="GM62" s="162">
        <v>19030914</v>
      </c>
      <c r="GN62" s="162">
        <v>8592241</v>
      </c>
      <c r="GO62" s="162">
        <v>2942698</v>
      </c>
      <c r="GP62" s="162">
        <v>15367742</v>
      </c>
      <c r="GQ62" s="162">
        <v>18024974</v>
      </c>
      <c r="GR62" s="162">
        <v>63958569</v>
      </c>
      <c r="GS62" s="162">
        <v>0</v>
      </c>
      <c r="GT62" s="162">
        <v>0</v>
      </c>
      <c r="GU62" s="162">
        <v>0</v>
      </c>
      <c r="GV62" s="162">
        <v>0</v>
      </c>
      <c r="GW62" s="162">
        <v>965793</v>
      </c>
      <c r="GX62" s="162">
        <v>965793</v>
      </c>
      <c r="GY62" s="162">
        <v>19030914</v>
      </c>
      <c r="GZ62" s="162">
        <v>8592241</v>
      </c>
      <c r="HA62" s="162">
        <v>2942698</v>
      </c>
      <c r="HB62" s="162">
        <v>15367742</v>
      </c>
      <c r="HC62" s="162">
        <v>18990767</v>
      </c>
      <c r="HD62" s="162">
        <v>64924362</v>
      </c>
      <c r="HF62" s="70">
        <f>SUM(AZ62:AZ62)</f>
        <v>13867570</v>
      </c>
      <c r="HG62" s="70" t="e">
        <f>#REF!-HF62</f>
        <v>#REF!</v>
      </c>
      <c r="HH62" s="70" t="e">
        <f>SUM(#REF!)</f>
        <v>#REF!</v>
      </c>
      <c r="HI62" s="70" t="e">
        <f>#REF!-HH62</f>
        <v>#REF!</v>
      </c>
      <c r="HJ62" s="70">
        <f>SUM(BA62:BA62)</f>
        <v>100000</v>
      </c>
      <c r="HK62" s="70" t="e">
        <f>#REF!-HJ62</f>
        <v>#REF!</v>
      </c>
      <c r="HL62" s="70" t="e">
        <f>SUM(#REF!)</f>
        <v>#REF!</v>
      </c>
      <c r="HM62" s="70" t="e">
        <f>BB62-HL62</f>
        <v>#REF!</v>
      </c>
      <c r="HN62" s="70" t="e">
        <f>SUM(#REF!)</f>
        <v>#REF!</v>
      </c>
      <c r="HO62" s="70" t="e">
        <f>#REF!-HN62</f>
        <v>#REF!</v>
      </c>
      <c r="HP62" s="70" t="e">
        <f>SUM(#REF!)</f>
        <v>#REF!</v>
      </c>
      <c r="HQ62" s="70" t="e">
        <f>#REF!-HP62</f>
        <v>#REF!</v>
      </c>
      <c r="HR62" s="70" t="e">
        <f>SUM(#REF!)</f>
        <v>#REF!</v>
      </c>
      <c r="HS62" s="70" t="e">
        <f>#REF!-HR62</f>
        <v>#REF!</v>
      </c>
      <c r="HT62" s="70" t="e">
        <f>SUM(#REF!)</f>
        <v>#REF!</v>
      </c>
      <c r="HU62" s="70" t="e">
        <f>#REF!-HT62</f>
        <v>#REF!</v>
      </c>
      <c r="HV62" s="70" t="e">
        <f>SUM(#REF!)</f>
        <v>#REF!</v>
      </c>
      <c r="HW62" s="70" t="e">
        <f>#REF!-HV62</f>
        <v>#REF!</v>
      </c>
      <c r="HX62" s="70" t="e">
        <f>SUM(#REF!)</f>
        <v>#REF!</v>
      </c>
      <c r="HY62" s="70" t="e">
        <f>#REF!-HX62</f>
        <v>#REF!</v>
      </c>
      <c r="HZ62" s="70">
        <f>SUM(BC62:BC62)</f>
        <v>2039175</v>
      </c>
      <c r="IA62" s="70" t="e">
        <f>#REF!-HZ62</f>
        <v>#REF!</v>
      </c>
      <c r="IB62" s="70">
        <f>SUM(BD62:BD62)</f>
        <v>425000</v>
      </c>
      <c r="IC62" s="70" t="e">
        <f>#REF!-IB62</f>
        <v>#REF!</v>
      </c>
      <c r="ID62" s="70">
        <f t="shared" si="56"/>
        <v>73961</v>
      </c>
      <c r="IE62" s="70">
        <f t="shared" si="57"/>
        <v>0</v>
      </c>
      <c r="IF62" s="70">
        <f t="shared" si="58"/>
        <v>0</v>
      </c>
      <c r="IG62" s="70">
        <f t="shared" si="59"/>
        <v>0</v>
      </c>
      <c r="IH62" s="70">
        <f t="shared" si="60"/>
        <v>3079451</v>
      </c>
      <c r="II62" s="70">
        <f t="shared" si="61"/>
        <v>0</v>
      </c>
      <c r="IJ62" s="70">
        <f t="shared" si="62"/>
        <v>70500811</v>
      </c>
      <c r="IK62" s="70">
        <f t="shared" si="63"/>
        <v>0</v>
      </c>
      <c r="IL62" s="70">
        <f t="shared" si="102"/>
        <v>9133726</v>
      </c>
      <c r="IM62" s="70">
        <f t="shared" si="64"/>
        <v>0</v>
      </c>
      <c r="IN62" s="70">
        <f t="shared" si="65"/>
        <v>2990509</v>
      </c>
      <c r="IO62" s="70">
        <f t="shared" si="66"/>
        <v>0</v>
      </c>
      <c r="IP62" s="70">
        <f t="shared" si="67"/>
        <v>14395344</v>
      </c>
      <c r="IQ62" s="70">
        <f t="shared" si="68"/>
        <v>0</v>
      </c>
      <c r="IR62" s="70">
        <f t="shared" si="107"/>
        <v>0</v>
      </c>
      <c r="IS62" s="70">
        <f t="shared" si="108"/>
        <v>0</v>
      </c>
      <c r="IT62" s="70">
        <f t="shared" si="103"/>
        <v>11851073</v>
      </c>
      <c r="IU62" s="70">
        <f t="shared" si="104"/>
        <v>0</v>
      </c>
      <c r="IV62" s="70">
        <f t="shared" si="105"/>
        <v>0</v>
      </c>
      <c r="IW62" s="70">
        <f t="shared" si="106"/>
        <v>0</v>
      </c>
      <c r="IX62" s="70">
        <f t="shared" si="69"/>
        <v>659817</v>
      </c>
      <c r="IY62" s="70">
        <f t="shared" si="70"/>
        <v>0</v>
      </c>
      <c r="IZ62" s="70">
        <f t="shared" si="71"/>
        <v>1501653</v>
      </c>
      <c r="JA62" s="70">
        <f t="shared" si="72"/>
        <v>0</v>
      </c>
      <c r="JB62" s="70">
        <f t="shared" si="73"/>
        <v>1501653</v>
      </c>
      <c r="JC62" s="70">
        <f t="shared" si="74"/>
        <v>0</v>
      </c>
      <c r="JD62" s="70">
        <f t="shared" si="75"/>
        <v>1501653</v>
      </c>
      <c r="JE62" s="70">
        <f t="shared" si="76"/>
        <v>0</v>
      </c>
      <c r="JF62" s="70">
        <f t="shared" si="77"/>
        <v>3355500</v>
      </c>
      <c r="JG62" s="70">
        <f t="shared" si="78"/>
        <v>0</v>
      </c>
      <c r="JH62" s="70">
        <f t="shared" si="79"/>
        <v>827924</v>
      </c>
      <c r="JI62" s="70">
        <f t="shared" si="80"/>
        <v>0</v>
      </c>
      <c r="JJ62" s="70">
        <f t="shared" si="81"/>
        <v>44184</v>
      </c>
      <c r="JK62" s="70">
        <f t="shared" si="82"/>
        <v>0</v>
      </c>
      <c r="JL62" s="70">
        <f t="shared" si="83"/>
        <v>10209213</v>
      </c>
      <c r="JM62" s="70">
        <f t="shared" si="84"/>
        <v>0</v>
      </c>
      <c r="JN62" s="70">
        <f t="shared" si="85"/>
        <v>404349</v>
      </c>
      <c r="JO62" s="70">
        <f t="shared" si="86"/>
        <v>0</v>
      </c>
      <c r="JP62" s="70">
        <f t="shared" si="87"/>
        <v>0</v>
      </c>
      <c r="JQ62" s="70">
        <f t="shared" si="88"/>
        <v>0</v>
      </c>
      <c r="JR62" s="70">
        <f t="shared" si="89"/>
        <v>725239</v>
      </c>
      <c r="JS62" s="70">
        <f t="shared" si="90"/>
        <v>0</v>
      </c>
      <c r="JT62" s="70">
        <f t="shared" si="91"/>
        <v>1470981</v>
      </c>
      <c r="JU62" s="70">
        <f t="shared" si="92"/>
        <v>0</v>
      </c>
      <c r="JV62" s="70">
        <f t="shared" si="93"/>
        <v>1666467</v>
      </c>
      <c r="JW62" s="70">
        <f t="shared" si="94"/>
        <v>0</v>
      </c>
      <c r="JX62" s="70">
        <f t="shared" si="95"/>
        <v>63958569</v>
      </c>
      <c r="JY62" s="70">
        <f t="shared" si="96"/>
        <v>0</v>
      </c>
      <c r="JZ62" s="70">
        <f t="shared" si="97"/>
        <v>965793</v>
      </c>
      <c r="KA62" s="70">
        <f t="shared" si="98"/>
        <v>0</v>
      </c>
      <c r="KB62" s="70">
        <f t="shared" si="99"/>
        <v>64924362</v>
      </c>
      <c r="KC62" s="70">
        <f t="shared" si="100"/>
        <v>0</v>
      </c>
      <c r="KE62" s="70" t="e">
        <f t="shared" si="101"/>
        <v>#REF!</v>
      </c>
      <c r="KG62" s="68" t="e">
        <f t="shared" si="53"/>
        <v>#REF!</v>
      </c>
    </row>
    <row r="63" spans="1:293">
      <c r="A63" s="180" t="s">
        <v>285</v>
      </c>
      <c r="B63" s="67" t="s">
        <v>364</v>
      </c>
      <c r="C63" s="90">
        <v>220978</v>
      </c>
      <c r="D63" s="90">
        <v>2014</v>
      </c>
      <c r="E63" s="90">
        <v>1</v>
      </c>
      <c r="F63" s="91">
        <v>8</v>
      </c>
      <c r="G63" s="92">
        <v>15368</v>
      </c>
      <c r="H63" s="92">
        <v>14394</v>
      </c>
      <c r="I63" s="93">
        <v>563192551</v>
      </c>
      <c r="J63" s="93">
        <v>587823235</v>
      </c>
      <c r="K63" s="93">
        <v>22600000</v>
      </c>
      <c r="L63" s="93">
        <v>2135000</v>
      </c>
      <c r="M63" s="93">
        <v>93003866</v>
      </c>
      <c r="N63" s="93">
        <v>29356928</v>
      </c>
      <c r="O63" s="93">
        <v>68195000</v>
      </c>
      <c r="P63" s="93">
        <v>76330000</v>
      </c>
      <c r="Q63" s="93">
        <v>292737379</v>
      </c>
      <c r="R63" s="93">
        <v>352437804</v>
      </c>
      <c r="S63" s="93">
        <v>234807809</v>
      </c>
      <c r="T63" s="93">
        <v>514306756</v>
      </c>
      <c r="U63" s="93">
        <v>17325</v>
      </c>
      <c r="V63" s="93">
        <v>16965</v>
      </c>
      <c r="W63" s="93">
        <v>27945</v>
      </c>
      <c r="X63" s="93">
        <v>26705</v>
      </c>
      <c r="Y63" s="93">
        <v>20984</v>
      </c>
      <c r="Z63" s="93">
        <v>20244</v>
      </c>
      <c r="AA63" s="93">
        <v>31514</v>
      </c>
      <c r="AB63" s="93">
        <v>30774</v>
      </c>
      <c r="AC63" s="114">
        <v>6</v>
      </c>
      <c r="AD63" s="114">
        <v>10</v>
      </c>
      <c r="AE63" s="114">
        <v>0</v>
      </c>
      <c r="AF63" s="115">
        <v>2244992</v>
      </c>
      <c r="AG63" s="115">
        <v>1864840</v>
      </c>
      <c r="AH63" s="115">
        <v>261969</v>
      </c>
      <c r="AI63" s="115">
        <v>143693</v>
      </c>
      <c r="AJ63" s="115">
        <v>372444</v>
      </c>
      <c r="AK63" s="116">
        <v>3.5</v>
      </c>
      <c r="AL63" s="115">
        <v>325889</v>
      </c>
      <c r="AM63" s="116">
        <v>4</v>
      </c>
      <c r="AN63" s="115">
        <v>125159</v>
      </c>
      <c r="AO63" s="116">
        <v>7.8</v>
      </c>
      <c r="AP63" s="115">
        <v>117337</v>
      </c>
      <c r="AQ63" s="116">
        <v>8</v>
      </c>
      <c r="AR63" s="115">
        <v>143723</v>
      </c>
      <c r="AS63" s="116">
        <v>14</v>
      </c>
      <c r="AT63" s="115">
        <v>125757</v>
      </c>
      <c r="AU63" s="116">
        <v>16</v>
      </c>
      <c r="AV63" s="115">
        <v>57983</v>
      </c>
      <c r="AW63" s="116">
        <v>12</v>
      </c>
      <c r="AX63" s="115">
        <v>49699</v>
      </c>
      <c r="AY63" s="116">
        <v>14</v>
      </c>
      <c r="AZ63" s="139">
        <v>1096126</v>
      </c>
      <c r="BA63" s="139">
        <v>1950000</v>
      </c>
      <c r="BB63" s="139">
        <v>1909037</v>
      </c>
      <c r="BC63" s="139">
        <v>420484</v>
      </c>
      <c r="BD63" s="139">
        <v>84100</v>
      </c>
      <c r="BE63" s="139">
        <v>75389</v>
      </c>
      <c r="BF63" s="139">
        <v>19370</v>
      </c>
      <c r="BG63" s="139">
        <v>20030</v>
      </c>
      <c r="BH63" s="139">
        <v>339872</v>
      </c>
      <c r="BI63" s="139">
        <v>0</v>
      </c>
      <c r="BJ63" s="139">
        <v>454661</v>
      </c>
      <c r="BK63" s="139">
        <v>1700</v>
      </c>
      <c r="BL63" s="139">
        <v>0</v>
      </c>
      <c r="BM63" s="139">
        <v>0</v>
      </c>
      <c r="BN63" s="139">
        <v>7246</v>
      </c>
      <c r="BO63" s="139">
        <v>1281</v>
      </c>
      <c r="BP63" s="139">
        <v>10227</v>
      </c>
      <c r="BQ63" s="139">
        <v>137970</v>
      </c>
      <c r="BR63" s="139">
        <v>0</v>
      </c>
      <c r="BS63" s="139">
        <v>0</v>
      </c>
      <c r="BT63" s="139">
        <v>11391</v>
      </c>
      <c r="BU63" s="139">
        <v>159152</v>
      </c>
      <c r="BV63" s="139">
        <v>308513</v>
      </c>
      <c r="BW63" s="139">
        <v>9007806</v>
      </c>
      <c r="BX63" s="139">
        <v>1965518</v>
      </c>
      <c r="BY63" s="139">
        <v>1203670</v>
      </c>
      <c r="BZ63" s="139">
        <v>3908839</v>
      </c>
      <c r="CA63" s="139">
        <v>15531261</v>
      </c>
      <c r="CB63" s="139">
        <v>31617094</v>
      </c>
      <c r="CC63" s="139">
        <v>1680658</v>
      </c>
      <c r="CD63" s="139">
        <v>243988</v>
      </c>
      <c r="CE63" s="139">
        <v>324803</v>
      </c>
      <c r="CF63" s="139">
        <v>1860383</v>
      </c>
      <c r="CG63" s="139">
        <v>61513</v>
      </c>
      <c r="CH63" s="139">
        <v>4171345</v>
      </c>
      <c r="CI63" s="139">
        <v>175000</v>
      </c>
      <c r="CJ63" s="139">
        <v>353000</v>
      </c>
      <c r="CK63" s="139">
        <v>25000</v>
      </c>
      <c r="CL63" s="139">
        <v>2618</v>
      </c>
      <c r="CM63" s="139">
        <v>0</v>
      </c>
      <c r="CN63" s="139">
        <v>555618</v>
      </c>
      <c r="CO63" s="139">
        <v>2221853</v>
      </c>
      <c r="CP63" s="139">
        <v>863899</v>
      </c>
      <c r="CQ63" s="139">
        <v>486001</v>
      </c>
      <c r="CR63" s="139">
        <v>1378401</v>
      </c>
      <c r="CS63" s="139">
        <v>12076</v>
      </c>
      <c r="CT63" s="139">
        <v>4962230</v>
      </c>
      <c r="CU63" s="139">
        <v>0</v>
      </c>
      <c r="CV63" s="139">
        <v>0</v>
      </c>
      <c r="CW63" s="139">
        <v>0</v>
      </c>
      <c r="CX63" s="139">
        <v>0</v>
      </c>
      <c r="CY63" s="139">
        <v>0</v>
      </c>
      <c r="CZ63" s="139">
        <v>0</v>
      </c>
      <c r="DA63" s="139">
        <v>428178</v>
      </c>
      <c r="DB63" s="139">
        <v>115602</v>
      </c>
      <c r="DC63" s="139">
        <v>120488</v>
      </c>
      <c r="DD63" s="139">
        <v>74369</v>
      </c>
      <c r="DE63" s="139">
        <v>4169465</v>
      </c>
      <c r="DF63" s="139">
        <v>4908102</v>
      </c>
      <c r="DG63" s="139">
        <v>0</v>
      </c>
      <c r="DH63" s="139">
        <v>0</v>
      </c>
      <c r="DI63" s="139">
        <v>0</v>
      </c>
      <c r="DJ63" s="139">
        <v>0</v>
      </c>
      <c r="DK63" s="139">
        <v>0</v>
      </c>
      <c r="DL63" s="139">
        <v>0</v>
      </c>
      <c r="DM63" s="139">
        <v>0</v>
      </c>
      <c r="DN63" s="139">
        <v>0</v>
      </c>
      <c r="DO63" s="139">
        <v>0</v>
      </c>
      <c r="DP63" s="139">
        <v>0</v>
      </c>
      <c r="DQ63" s="139">
        <v>9011</v>
      </c>
      <c r="DR63" s="139">
        <v>9011</v>
      </c>
      <c r="DS63" s="139">
        <v>171705</v>
      </c>
      <c r="DT63" s="139">
        <v>77780</v>
      </c>
      <c r="DU63" s="139">
        <v>81097</v>
      </c>
      <c r="DV63" s="139">
        <v>75080</v>
      </c>
      <c r="DW63" s="139">
        <v>114</v>
      </c>
      <c r="DX63" s="139">
        <v>405776</v>
      </c>
      <c r="DY63" s="139">
        <v>1048395</v>
      </c>
      <c r="DZ63" s="139">
        <v>190388</v>
      </c>
      <c r="EA63" s="139">
        <v>192230</v>
      </c>
      <c r="EB63" s="139">
        <v>702898</v>
      </c>
      <c r="EC63" s="139">
        <v>45657</v>
      </c>
      <c r="ED63" s="139">
        <v>2179568</v>
      </c>
      <c r="EE63" s="139">
        <v>613657</v>
      </c>
      <c r="EF63" s="139">
        <v>40718</v>
      </c>
      <c r="EG63" s="139">
        <v>31127</v>
      </c>
      <c r="EH63" s="139">
        <v>262023</v>
      </c>
      <c r="EI63" s="139">
        <v>0</v>
      </c>
      <c r="EJ63" s="139">
        <v>947525</v>
      </c>
      <c r="EK63" s="139">
        <v>788307</v>
      </c>
      <c r="EL63" s="139">
        <v>214099</v>
      </c>
      <c r="EM63" s="139">
        <v>120945</v>
      </c>
      <c r="EN63" s="139">
        <v>82993</v>
      </c>
      <c r="EO63" s="139">
        <v>201553</v>
      </c>
      <c r="EP63" s="139">
        <v>1407897</v>
      </c>
      <c r="EQ63" s="139">
        <v>225322</v>
      </c>
      <c r="ER63" s="139">
        <v>53763</v>
      </c>
      <c r="ES63" s="139">
        <v>47289</v>
      </c>
      <c r="ET63" s="139">
        <v>29727</v>
      </c>
      <c r="EU63" s="139">
        <v>763630</v>
      </c>
      <c r="EV63" s="139">
        <v>1119731</v>
      </c>
      <c r="EW63" s="139">
        <v>29883</v>
      </c>
      <c r="EX63" s="139">
        <v>11274</v>
      </c>
      <c r="EY63" s="139">
        <v>10653</v>
      </c>
      <c r="EZ63" s="139">
        <v>112795</v>
      </c>
      <c r="FA63" s="139">
        <v>0</v>
      </c>
      <c r="FB63" s="139">
        <v>164605</v>
      </c>
      <c r="FC63" s="139">
        <v>5320567</v>
      </c>
      <c r="FD63" s="139">
        <v>30757</v>
      </c>
      <c r="FE63" s="139">
        <v>27314</v>
      </c>
      <c r="FF63" s="139">
        <v>94990</v>
      </c>
      <c r="FG63" s="139">
        <v>1738422</v>
      </c>
      <c r="FH63" s="139">
        <v>7212050</v>
      </c>
      <c r="FI63" s="139">
        <v>0</v>
      </c>
      <c r="FJ63" s="139">
        <v>0</v>
      </c>
      <c r="FK63" s="139">
        <v>0</v>
      </c>
      <c r="FL63" s="139">
        <v>0</v>
      </c>
      <c r="FM63" s="139">
        <v>59895</v>
      </c>
      <c r="FN63" s="139">
        <v>59895</v>
      </c>
      <c r="FO63" s="139">
        <v>0</v>
      </c>
      <c r="FP63" s="139">
        <v>0</v>
      </c>
      <c r="FQ63" s="139">
        <v>0</v>
      </c>
      <c r="FR63" s="139">
        <v>0</v>
      </c>
      <c r="FS63" s="139">
        <v>35291</v>
      </c>
      <c r="FT63" s="139">
        <v>35291</v>
      </c>
      <c r="FU63" s="139">
        <v>66746</v>
      </c>
      <c r="FV63" s="139">
        <v>7898</v>
      </c>
      <c r="FW63" s="139">
        <v>9134</v>
      </c>
      <c r="FX63" s="139">
        <v>58124</v>
      </c>
      <c r="FY63" s="139">
        <v>559979</v>
      </c>
      <c r="FZ63" s="139">
        <v>701881</v>
      </c>
      <c r="GA63" s="139">
        <v>10783</v>
      </c>
      <c r="GB63" s="139">
        <v>4495</v>
      </c>
      <c r="GC63" s="139">
        <v>7705</v>
      </c>
      <c r="GD63" s="139">
        <v>3291</v>
      </c>
      <c r="GE63" s="139">
        <v>789069</v>
      </c>
      <c r="GF63" s="139">
        <v>815343</v>
      </c>
      <c r="GG63" s="139">
        <v>612209</v>
      </c>
      <c r="GH63" s="139">
        <v>42892</v>
      </c>
      <c r="GI63" s="139">
        <v>24094</v>
      </c>
      <c r="GJ63" s="139">
        <v>91763</v>
      </c>
      <c r="GK63" s="139">
        <v>755847</v>
      </c>
      <c r="GL63" s="139">
        <v>1526805</v>
      </c>
      <c r="GM63" s="139">
        <v>13393263</v>
      </c>
      <c r="GN63" s="139">
        <v>2250553</v>
      </c>
      <c r="GO63" s="139">
        <v>1507880</v>
      </c>
      <c r="GP63" s="139">
        <v>4829455</v>
      </c>
      <c r="GQ63" s="139">
        <v>9201522</v>
      </c>
      <c r="GR63" s="139">
        <v>31182673</v>
      </c>
      <c r="GS63" s="139">
        <v>0</v>
      </c>
      <c r="GT63" s="139">
        <v>0</v>
      </c>
      <c r="GU63" s="139">
        <v>0</v>
      </c>
      <c r="GV63" s="139">
        <v>0</v>
      </c>
      <c r="GW63" s="139">
        <v>0</v>
      </c>
      <c r="GX63" s="139">
        <v>0</v>
      </c>
      <c r="GY63" s="139">
        <v>13393263</v>
      </c>
      <c r="GZ63" s="139">
        <v>2250553</v>
      </c>
      <c r="HA63" s="139">
        <v>1507880</v>
      </c>
      <c r="HB63" s="139">
        <v>4829455</v>
      </c>
      <c r="HC63" s="139">
        <v>9201522</v>
      </c>
      <c r="HD63" s="139">
        <v>31182673</v>
      </c>
      <c r="HF63" s="70">
        <f>SUM(AZ63:AZ63)</f>
        <v>1096126</v>
      </c>
      <c r="HG63" s="70" t="e">
        <f>#REF!-HF63</f>
        <v>#REF!</v>
      </c>
      <c r="HH63" s="70" t="e">
        <f>SUM(#REF!)</f>
        <v>#REF!</v>
      </c>
      <c r="HI63" s="70" t="e">
        <f>#REF!-HH63</f>
        <v>#REF!</v>
      </c>
      <c r="HJ63" s="70">
        <f>SUM(BA63:BA63)</f>
        <v>1950000</v>
      </c>
      <c r="HK63" s="70" t="e">
        <f>#REF!-HJ63</f>
        <v>#REF!</v>
      </c>
      <c r="HL63" s="70" t="e">
        <f>SUM(#REF!)</f>
        <v>#REF!</v>
      </c>
      <c r="HM63" s="70" t="e">
        <f>BB63-HL63</f>
        <v>#REF!</v>
      </c>
      <c r="HN63" s="70" t="e">
        <f>SUM(#REF!)</f>
        <v>#REF!</v>
      </c>
      <c r="HO63" s="70" t="e">
        <f>#REF!-HN63</f>
        <v>#REF!</v>
      </c>
      <c r="HP63" s="70" t="e">
        <f>SUM(#REF!)</f>
        <v>#REF!</v>
      </c>
      <c r="HQ63" s="70" t="e">
        <f>#REF!-HP63</f>
        <v>#REF!</v>
      </c>
      <c r="HR63" s="70" t="e">
        <f>SUM(#REF!)</f>
        <v>#REF!</v>
      </c>
      <c r="HS63" s="70" t="e">
        <f>#REF!-HR63</f>
        <v>#REF!</v>
      </c>
      <c r="HT63" s="70" t="e">
        <f>SUM(#REF!)</f>
        <v>#REF!</v>
      </c>
      <c r="HU63" s="70" t="e">
        <f>#REF!-HT63</f>
        <v>#REF!</v>
      </c>
      <c r="HV63" s="70" t="e">
        <f>SUM(#REF!)</f>
        <v>#REF!</v>
      </c>
      <c r="HW63" s="70" t="e">
        <f>#REF!-HV63</f>
        <v>#REF!</v>
      </c>
      <c r="HX63" s="70" t="e">
        <f>SUM(#REF!)</f>
        <v>#REF!</v>
      </c>
      <c r="HY63" s="70" t="e">
        <f>#REF!-HX63</f>
        <v>#REF!</v>
      </c>
      <c r="HZ63" s="70">
        <f>SUM(BC63:BC63)</f>
        <v>420484</v>
      </c>
      <c r="IA63" s="70" t="e">
        <f>#REF!-HZ63</f>
        <v>#REF!</v>
      </c>
      <c r="IB63" s="70">
        <f>SUM(BD63:BD63)</f>
        <v>84100</v>
      </c>
      <c r="IC63" s="70" t="e">
        <f>#REF!-IB63</f>
        <v>#REF!</v>
      </c>
      <c r="ID63" s="70">
        <f t="shared" si="56"/>
        <v>454661</v>
      </c>
      <c r="IE63" s="70">
        <f t="shared" si="57"/>
        <v>0</v>
      </c>
      <c r="IF63" s="70">
        <f t="shared" si="58"/>
        <v>10227</v>
      </c>
      <c r="IG63" s="70">
        <f t="shared" si="59"/>
        <v>0</v>
      </c>
      <c r="IH63" s="70">
        <f t="shared" si="60"/>
        <v>308513</v>
      </c>
      <c r="II63" s="70">
        <f t="shared" si="61"/>
        <v>0</v>
      </c>
      <c r="IJ63" s="70">
        <f t="shared" si="62"/>
        <v>31617094</v>
      </c>
      <c r="IK63" s="70">
        <f t="shared" si="63"/>
        <v>0</v>
      </c>
      <c r="IL63" s="70">
        <f t="shared" si="102"/>
        <v>4171345</v>
      </c>
      <c r="IM63" s="70">
        <f t="shared" si="64"/>
        <v>0</v>
      </c>
      <c r="IN63" s="70">
        <f t="shared" si="65"/>
        <v>555618</v>
      </c>
      <c r="IO63" s="70">
        <f t="shared" si="66"/>
        <v>0</v>
      </c>
      <c r="IP63" s="70">
        <f t="shared" si="67"/>
        <v>4962230</v>
      </c>
      <c r="IQ63" s="70">
        <f t="shared" si="68"/>
        <v>0</v>
      </c>
      <c r="IR63" s="70">
        <f t="shared" si="107"/>
        <v>0</v>
      </c>
      <c r="IS63" s="70">
        <f t="shared" si="108"/>
        <v>0</v>
      </c>
      <c r="IT63" s="70">
        <f t="shared" si="103"/>
        <v>4908102</v>
      </c>
      <c r="IU63" s="70">
        <f t="shared" si="104"/>
        <v>0</v>
      </c>
      <c r="IV63" s="70">
        <f t="shared" si="105"/>
        <v>0</v>
      </c>
      <c r="IW63" s="70">
        <f t="shared" si="106"/>
        <v>0</v>
      </c>
      <c r="IX63" s="70">
        <f t="shared" si="69"/>
        <v>9011</v>
      </c>
      <c r="IY63" s="70">
        <f t="shared" si="70"/>
        <v>0</v>
      </c>
      <c r="IZ63" s="70">
        <f t="shared" si="71"/>
        <v>405776</v>
      </c>
      <c r="JA63" s="70">
        <f t="shared" si="72"/>
        <v>0</v>
      </c>
      <c r="JB63" s="70">
        <f t="shared" si="73"/>
        <v>2179568</v>
      </c>
      <c r="JC63" s="70">
        <f t="shared" si="74"/>
        <v>0</v>
      </c>
      <c r="JD63" s="70">
        <f t="shared" si="75"/>
        <v>947525</v>
      </c>
      <c r="JE63" s="70">
        <f t="shared" si="76"/>
        <v>0</v>
      </c>
      <c r="JF63" s="70">
        <f t="shared" si="77"/>
        <v>1407897</v>
      </c>
      <c r="JG63" s="70">
        <f t="shared" si="78"/>
        <v>0</v>
      </c>
      <c r="JH63" s="70">
        <f t="shared" si="79"/>
        <v>1119731</v>
      </c>
      <c r="JI63" s="70">
        <f t="shared" si="80"/>
        <v>0</v>
      </c>
      <c r="JJ63" s="70">
        <f t="shared" si="81"/>
        <v>164605</v>
      </c>
      <c r="JK63" s="70">
        <f t="shared" si="82"/>
        <v>0</v>
      </c>
      <c r="JL63" s="70">
        <f t="shared" si="83"/>
        <v>7212050</v>
      </c>
      <c r="JM63" s="70">
        <f t="shared" si="84"/>
        <v>0</v>
      </c>
      <c r="JN63" s="70">
        <f t="shared" si="85"/>
        <v>59895</v>
      </c>
      <c r="JO63" s="70">
        <f t="shared" si="86"/>
        <v>0</v>
      </c>
      <c r="JP63" s="70">
        <f t="shared" si="87"/>
        <v>35291</v>
      </c>
      <c r="JQ63" s="70">
        <f t="shared" si="88"/>
        <v>0</v>
      </c>
      <c r="JR63" s="70">
        <f t="shared" si="89"/>
        <v>701881</v>
      </c>
      <c r="JS63" s="70">
        <f t="shared" si="90"/>
        <v>0</v>
      </c>
      <c r="JT63" s="70">
        <f t="shared" si="91"/>
        <v>815343</v>
      </c>
      <c r="JU63" s="70">
        <f t="shared" si="92"/>
        <v>0</v>
      </c>
      <c r="JV63" s="70">
        <f t="shared" si="93"/>
        <v>1526805</v>
      </c>
      <c r="JW63" s="70">
        <f t="shared" si="94"/>
        <v>0</v>
      </c>
      <c r="JX63" s="70">
        <f t="shared" si="95"/>
        <v>31182673</v>
      </c>
      <c r="JY63" s="70">
        <f t="shared" si="96"/>
        <v>0</v>
      </c>
      <c r="JZ63" s="70">
        <f t="shared" si="97"/>
        <v>0</v>
      </c>
      <c r="KA63" s="70">
        <f t="shared" si="98"/>
        <v>0</v>
      </c>
      <c r="KB63" s="70">
        <f t="shared" si="99"/>
        <v>31182673</v>
      </c>
      <c r="KC63" s="70">
        <f t="shared" si="100"/>
        <v>0</v>
      </c>
      <c r="KE63" s="70" t="e">
        <f t="shared" si="101"/>
        <v>#REF!</v>
      </c>
      <c r="KG63" s="68" t="e">
        <f t="shared" si="53"/>
        <v>#REF!</v>
      </c>
    </row>
    <row r="64" spans="1:293">
      <c r="A64" s="181" t="s">
        <v>275</v>
      </c>
      <c r="B64" s="76" t="s">
        <v>363</v>
      </c>
      <c r="C64" s="90">
        <v>147703</v>
      </c>
      <c r="D64" s="90">
        <v>2014</v>
      </c>
      <c r="E64" s="90">
        <v>1</v>
      </c>
      <c r="F64" s="91">
        <v>9</v>
      </c>
      <c r="G64" s="92">
        <v>7926</v>
      </c>
      <c r="H64" s="97">
        <v>7888</v>
      </c>
      <c r="I64" s="93">
        <v>612804000</v>
      </c>
      <c r="J64" s="93"/>
      <c r="K64" s="93">
        <v>7825000</v>
      </c>
      <c r="L64" s="93"/>
      <c r="M64" s="93">
        <v>8000000</v>
      </c>
      <c r="N64" s="93"/>
      <c r="O64" s="93">
        <v>0</v>
      </c>
      <c r="P64" s="93"/>
      <c r="Q64" s="93">
        <v>378627000</v>
      </c>
      <c r="R64" s="93"/>
      <c r="S64" s="93">
        <v>510673000</v>
      </c>
      <c r="T64" s="93"/>
      <c r="U64" s="93">
        <v>22878.28</v>
      </c>
      <c r="V64" s="98"/>
      <c r="W64" s="93">
        <v>32715.08</v>
      </c>
      <c r="X64" s="93"/>
      <c r="Y64" s="93">
        <v>28342</v>
      </c>
      <c r="Z64" s="99"/>
      <c r="AA64" s="93">
        <v>37438</v>
      </c>
      <c r="AB64" s="93"/>
      <c r="AC64" s="114">
        <v>7</v>
      </c>
      <c r="AD64" s="114">
        <v>8</v>
      </c>
      <c r="AE64" s="114">
        <v>0</v>
      </c>
      <c r="AF64" s="115">
        <v>4337343.75</v>
      </c>
      <c r="AG64" s="115">
        <v>2966949.5300000003</v>
      </c>
      <c r="AH64" s="115">
        <v>240241.43999999997</v>
      </c>
      <c r="AI64" s="115">
        <v>84085.5</v>
      </c>
      <c r="AJ64" s="115">
        <v>163421.43428571429</v>
      </c>
      <c r="AK64" s="116">
        <v>7</v>
      </c>
      <c r="AL64" s="115">
        <v>163421.43428571429</v>
      </c>
      <c r="AM64" s="116">
        <v>7</v>
      </c>
      <c r="AN64" s="115">
        <v>74603.444444444438</v>
      </c>
      <c r="AO64" s="116">
        <v>9</v>
      </c>
      <c r="AP64" s="115">
        <v>74603.444444444438</v>
      </c>
      <c r="AQ64" s="116">
        <v>9</v>
      </c>
      <c r="AR64" s="115">
        <v>75854.766666666677</v>
      </c>
      <c r="AS64" s="116">
        <v>21</v>
      </c>
      <c r="AT64" s="115">
        <v>66372.920833333337</v>
      </c>
      <c r="AU64" s="116">
        <v>24</v>
      </c>
      <c r="AV64" s="115">
        <v>42214.595999999998</v>
      </c>
      <c r="AW64" s="116">
        <v>12.5</v>
      </c>
      <c r="AX64" s="115">
        <v>37691.603571428568</v>
      </c>
      <c r="AY64" s="116">
        <v>14</v>
      </c>
      <c r="AZ64" s="162">
        <v>1004655</v>
      </c>
      <c r="BA64" s="162">
        <v>1440000</v>
      </c>
      <c r="BB64" s="162">
        <v>1724111.19</v>
      </c>
      <c r="BC64" s="162">
        <v>88366.21</v>
      </c>
      <c r="BD64" s="162">
        <v>0</v>
      </c>
      <c r="BE64" s="162">
        <v>71470</v>
      </c>
      <c r="BF64" s="162">
        <v>7025</v>
      </c>
      <c r="BG64" s="162">
        <v>1700</v>
      </c>
      <c r="BH64" s="162">
        <f>191619+177921-BE64-BF64-BG64</f>
        <v>289345</v>
      </c>
      <c r="BI64" s="162">
        <v>24790</v>
      </c>
      <c r="BJ64" s="162">
        <v>394330.15</v>
      </c>
      <c r="BK64" s="162">
        <v>36588.74</v>
      </c>
      <c r="BL64" s="162">
        <v>26435.75</v>
      </c>
      <c r="BM64" s="162">
        <v>15391.63</v>
      </c>
      <c r="BN64" s="162">
        <f>77190+19042-BK64-BL64-BM64</f>
        <v>17815.880000000005</v>
      </c>
      <c r="BO64" s="162">
        <v>109126.89</v>
      </c>
      <c r="BP64" s="162">
        <v>205358.65999999997</v>
      </c>
      <c r="BQ64" s="162">
        <v>77900.08</v>
      </c>
      <c r="BR64" s="162">
        <v>1213</v>
      </c>
      <c r="BS64" s="162">
        <v>1465</v>
      </c>
      <c r="BT64" s="162">
        <f>143363+48351-BQ64-BR64-BS64</f>
        <v>111135.92</v>
      </c>
      <c r="BU64" s="162">
        <v>130299.73</v>
      </c>
      <c r="BV64" s="162">
        <v>322014.01999999996</v>
      </c>
      <c r="BW64" s="162" t="e">
        <f>AZ64+#REF!+BA64+#REF!+#REF!+#REF!+#REF!+#REF!+#REF!+#REF!+BC64+BD64+BE64+BK64+BQ64</f>
        <v>#REF!</v>
      </c>
      <c r="BX64" s="162" t="e">
        <f>#REF!+#REF!+#REF!+#REF!+#REF!+#REF!+#REF!+#REF!+#REF!+#REF!+#REF!+#REF!+BF64+BL64+BR64</f>
        <v>#REF!</v>
      </c>
      <c r="BY64" s="162" t="e">
        <f>#REF!+#REF!+#REF!+#REF!+#REF!+#REF!+#REF!+#REF!+#REF!+#REF!+#REF!+#REF!+BG64+BM64+BS64</f>
        <v>#REF!</v>
      </c>
      <c r="BZ64" s="162" t="e">
        <f>#REF!+#REF!+#REF!+#REF!+#REF!+#REF!+#REF!+#REF!+#REF!+#REF!+#REF!+#REF!+BH64+BN64+BT64</f>
        <v>#REF!</v>
      </c>
      <c r="CA64" s="162" t="e">
        <f>#REF!+#REF!+#REF!+#REF!+#REF!+#REF!+#REF!+#REF!+#REF!+#REF!+#REF!+#REF!+BI64+BO64+BU64</f>
        <v>#REF!</v>
      </c>
      <c r="CB64" s="162" t="e">
        <f>#REF!+#REF!+#REF!+BB64+#REF!+#REF!+#REF!+#REF!+#REF!+#REF!+#REF!+#REF!+BJ64+BP64+BV64</f>
        <v>#REF!</v>
      </c>
      <c r="CC64" s="162">
        <v>2816978.2</v>
      </c>
      <c r="CD64" s="162">
        <v>447872.01</v>
      </c>
      <c r="CE64" s="162">
        <v>458469.75</v>
      </c>
      <c r="CF64" s="162">
        <f>4337344+2966950-CC64-CD64-CE64</f>
        <v>3580974.04</v>
      </c>
      <c r="CG64" s="162">
        <v>105252.14</v>
      </c>
      <c r="CH64" s="162">
        <v>7409545.4199999999</v>
      </c>
      <c r="CI64" s="162">
        <v>250000</v>
      </c>
      <c r="CJ64" s="162">
        <v>63000</v>
      </c>
      <c r="CK64" s="162">
        <v>1000</v>
      </c>
      <c r="CL64" s="162">
        <f>313000+2000-CI64-CJ64-CK64</f>
        <v>1000</v>
      </c>
      <c r="CM64" s="162">
        <v>0</v>
      </c>
      <c r="CN64" s="162">
        <v>315000</v>
      </c>
      <c r="CO64" s="162">
        <f>469700+1115794</f>
        <v>1585494</v>
      </c>
      <c r="CP64" s="162">
        <f>316140+240264</f>
        <v>556404</v>
      </c>
      <c r="CQ64" s="162">
        <f>138372+205044</f>
        <v>343416</v>
      </c>
      <c r="CR64" s="162">
        <f>1143950+1592950+671431+527682-CO64-CP64-CQ64</f>
        <v>1450699</v>
      </c>
      <c r="CS64" s="162">
        <f>CT64-CR64-CQ64-CP64-CO64</f>
        <v>0.58999999985098839</v>
      </c>
      <c r="CT64" s="162">
        <v>3936013.59</v>
      </c>
      <c r="CU64" s="162">
        <v>0</v>
      </c>
      <c r="CV64" s="162">
        <v>0</v>
      </c>
      <c r="CW64" s="162">
        <v>0</v>
      </c>
      <c r="CX64" s="162">
        <v>0</v>
      </c>
      <c r="CY64" s="162">
        <v>0</v>
      </c>
      <c r="CZ64" s="162">
        <v>0</v>
      </c>
      <c r="DA64" s="162">
        <v>239022.07</v>
      </c>
      <c r="DB64" s="162">
        <v>55389.5</v>
      </c>
      <c r="DC64" s="162">
        <v>56295.75</v>
      </c>
      <c r="DD64" s="162">
        <f>294412+67641-DA64-DB64-DC64</f>
        <v>11345.679999999993</v>
      </c>
      <c r="DE64" s="162">
        <v>2317354.71</v>
      </c>
      <c r="DF64" s="162">
        <v>2679407.0299999998</v>
      </c>
      <c r="DG64" s="162">
        <v>0</v>
      </c>
      <c r="DH64" s="162">
        <v>0</v>
      </c>
      <c r="DI64" s="162">
        <v>0</v>
      </c>
      <c r="DJ64" s="162">
        <v>0</v>
      </c>
      <c r="DK64" s="162">
        <v>0</v>
      </c>
      <c r="DL64" s="162">
        <v>0</v>
      </c>
      <c r="DM64" s="162">
        <v>0</v>
      </c>
      <c r="DN64" s="162">
        <v>0</v>
      </c>
      <c r="DO64" s="162">
        <v>0</v>
      </c>
      <c r="DP64" s="162">
        <v>0</v>
      </c>
      <c r="DQ64" s="162">
        <v>0</v>
      </c>
      <c r="DR64" s="162">
        <v>0</v>
      </c>
      <c r="DS64" s="162">
        <v>158737.1</v>
      </c>
      <c r="DT64" s="162">
        <v>31390.3</v>
      </c>
      <c r="DU64" s="162">
        <v>35468.9</v>
      </c>
      <c r="DV64" s="162">
        <f>240241+84086-DS64-DT64-DU64</f>
        <v>98730.700000000012</v>
      </c>
      <c r="DW64" s="162">
        <v>15000</v>
      </c>
      <c r="DX64" s="162">
        <v>339326.93999999994</v>
      </c>
      <c r="DY64" s="162">
        <v>1100668.52</v>
      </c>
      <c r="DZ64" s="162">
        <v>198350.16</v>
      </c>
      <c r="EA64" s="162">
        <v>142047.45000000001</v>
      </c>
      <c r="EB64" s="162">
        <f>1655248+640375-DY64-DZ64-EA64</f>
        <v>854556.86999999988</v>
      </c>
      <c r="EC64" s="162">
        <v>0</v>
      </c>
      <c r="ED64" s="162">
        <v>2295622.9399999995</v>
      </c>
      <c r="EE64" s="162">
        <v>311486.74</v>
      </c>
      <c r="EF64" s="162">
        <v>56888.06</v>
      </c>
      <c r="EG64" s="162">
        <v>50631.81</v>
      </c>
      <c r="EH64" s="162">
        <f>521770+280542-EE64-EF64-EG64</f>
        <v>383305.39</v>
      </c>
      <c r="EI64" s="162">
        <v>57995.42</v>
      </c>
      <c r="EJ64" s="162">
        <v>860306.91000000015</v>
      </c>
      <c r="EK64" s="162">
        <v>259633.02</v>
      </c>
      <c r="EL64" s="162">
        <v>124922.32</v>
      </c>
      <c r="EM64" s="162">
        <v>50448.33</v>
      </c>
      <c r="EN64" s="162">
        <f>776546+146228-EK64-EL64-EM64</f>
        <v>487770.3299999999</v>
      </c>
      <c r="EO64" s="162">
        <v>12388.6</v>
      </c>
      <c r="EP64" s="162">
        <v>935162.97</v>
      </c>
      <c r="EQ64" s="162">
        <v>227015.13</v>
      </c>
      <c r="ER64" s="162">
        <v>33254.620000000003</v>
      </c>
      <c r="ES64" s="162">
        <v>22074.51</v>
      </c>
      <c r="ET64" s="162">
        <f>342705+52974-EQ64-ER64-ES64</f>
        <v>113334.74</v>
      </c>
      <c r="EU64" s="162">
        <v>293628.17</v>
      </c>
      <c r="EV64" s="162">
        <v>689306.21</v>
      </c>
      <c r="EW64" s="162">
        <v>29851.88</v>
      </c>
      <c r="EX64" s="162">
        <v>5629.49</v>
      </c>
      <c r="EY64" s="162">
        <v>1904.87</v>
      </c>
      <c r="EZ64" s="162">
        <f>82566+110131-EW64-EX64-EY64</f>
        <v>155310.76</v>
      </c>
      <c r="FA64" s="162">
        <v>21448.65</v>
      </c>
      <c r="FB64" s="162">
        <v>214145.93</v>
      </c>
      <c r="FC64" s="162">
        <v>734837.11</v>
      </c>
      <c r="FD64" s="162">
        <v>3920.5</v>
      </c>
      <c r="FE64" s="162">
        <v>3920.5</v>
      </c>
      <c r="FF64" s="162">
        <f>839720+125792-FC64-FD64-FE64</f>
        <v>222833.89</v>
      </c>
      <c r="FG64" s="162">
        <v>99586.42</v>
      </c>
      <c r="FH64" s="162">
        <v>1065097.8599999999</v>
      </c>
      <c r="FI64" s="162">
        <v>97610.4</v>
      </c>
      <c r="FJ64" s="162">
        <v>4299.3</v>
      </c>
      <c r="FK64" s="162">
        <v>4299.3</v>
      </c>
      <c r="FL64" s="162">
        <f>101910+4299-FI64-FJ64-FK64</f>
        <v>0</v>
      </c>
      <c r="FM64" s="162">
        <v>81415.56</v>
      </c>
      <c r="FN64" s="162">
        <v>187624.56</v>
      </c>
      <c r="FO64" s="162">
        <v>137181.14000000001</v>
      </c>
      <c r="FP64" s="162">
        <v>78726.25</v>
      </c>
      <c r="FQ64" s="162">
        <v>55257.35</v>
      </c>
      <c r="FR64" s="162">
        <f>252841+130955-FO64-FP64-FQ64</f>
        <v>112631.25999999998</v>
      </c>
      <c r="FS64" s="162">
        <v>2950400.2199999997</v>
      </c>
      <c r="FT64" s="162">
        <v>3334196.21</v>
      </c>
      <c r="FU64" s="162">
        <v>105366.08</v>
      </c>
      <c r="FV64" s="162">
        <v>18626.400000000001</v>
      </c>
      <c r="FW64" s="162">
        <v>11546.99</v>
      </c>
      <c r="FX64" s="162">
        <f>200469+66248-FU64-FV64-FW64</f>
        <v>131177.53</v>
      </c>
      <c r="FY64" s="162">
        <v>150827.32</v>
      </c>
      <c r="FZ64" s="162">
        <v>417543.75</v>
      </c>
      <c r="GA64" s="162">
        <v>8676</v>
      </c>
      <c r="GB64" s="162">
        <v>2945.45</v>
      </c>
      <c r="GC64" s="162">
        <v>906</v>
      </c>
      <c r="GD64" s="162">
        <f>14601+4766-GA64-GB64-GC64</f>
        <v>6839.55</v>
      </c>
      <c r="GE64" s="162">
        <v>17945.560000000001</v>
      </c>
      <c r="GF64" s="162">
        <v>37312.01</v>
      </c>
      <c r="GG64" s="162">
        <v>387739.17</v>
      </c>
      <c r="GH64" s="162">
        <v>52583.78</v>
      </c>
      <c r="GI64" s="162">
        <v>39367.339999999997</v>
      </c>
      <c r="GJ64" s="162">
        <f>531273+165783-GG64-GH64-GI64</f>
        <v>217365.71000000002</v>
      </c>
      <c r="GK64" s="162">
        <v>717446.29</v>
      </c>
      <c r="GL64" s="162">
        <v>1414503.03</v>
      </c>
      <c r="GM64" s="162">
        <v>8450296.2200000007</v>
      </c>
      <c r="GN64" s="162">
        <v>1734202.1400000001</v>
      </c>
      <c r="GO64" s="162">
        <v>1277054.8500000001</v>
      </c>
      <c r="GP64" s="162">
        <f>13241545+6047882-GM64-GN64-GO64</f>
        <v>7827873.7899999991</v>
      </c>
      <c r="GQ64" s="162">
        <v>6840689.0599999996</v>
      </c>
      <c r="GR64" s="162">
        <v>26130115.359999999</v>
      </c>
      <c r="GS64" s="162">
        <v>0</v>
      </c>
      <c r="GT64" s="162">
        <v>0</v>
      </c>
      <c r="GU64" s="162">
        <v>0</v>
      </c>
      <c r="GV64" s="162">
        <v>0</v>
      </c>
      <c r="GW64" s="162">
        <v>0</v>
      </c>
      <c r="GX64" s="162">
        <v>0</v>
      </c>
      <c r="GY64" s="162">
        <v>8450296.2200000007</v>
      </c>
      <c r="GZ64" s="162">
        <v>1734202.1400000001</v>
      </c>
      <c r="HA64" s="162">
        <v>1277054.8500000001</v>
      </c>
      <c r="HB64" s="162">
        <f>13241545+6047882-GY64-GZ64-HA64</f>
        <v>7827873.7899999991</v>
      </c>
      <c r="HC64" s="162">
        <v>6840689.0599999996</v>
      </c>
      <c r="HD64" s="162">
        <v>26130115.359999999</v>
      </c>
      <c r="HF64" s="70">
        <f>SUM(AZ64:AZ64)</f>
        <v>1004655</v>
      </c>
      <c r="HG64" s="70" t="e">
        <f>#REF!-HF64</f>
        <v>#REF!</v>
      </c>
      <c r="HH64" s="70" t="e">
        <f>SUM(#REF!)</f>
        <v>#REF!</v>
      </c>
      <c r="HI64" s="70" t="e">
        <f>#REF!-HH64</f>
        <v>#REF!</v>
      </c>
      <c r="HJ64" s="70">
        <f>SUM(BA64:BA64)</f>
        <v>1440000</v>
      </c>
      <c r="HK64" s="70" t="e">
        <f>#REF!-HJ64</f>
        <v>#REF!</v>
      </c>
      <c r="HL64" s="70" t="e">
        <f>SUM(#REF!)</f>
        <v>#REF!</v>
      </c>
      <c r="HM64" s="70" t="e">
        <f>BB64-HL64</f>
        <v>#REF!</v>
      </c>
      <c r="HN64" s="70" t="e">
        <f>SUM(#REF!)</f>
        <v>#REF!</v>
      </c>
      <c r="HO64" s="70" t="e">
        <f>#REF!-HN64</f>
        <v>#REF!</v>
      </c>
      <c r="HP64" s="70" t="e">
        <f>SUM(#REF!)</f>
        <v>#REF!</v>
      </c>
      <c r="HQ64" s="70" t="e">
        <f>#REF!-HP64</f>
        <v>#REF!</v>
      </c>
      <c r="HR64" s="70" t="e">
        <f>SUM(#REF!)</f>
        <v>#REF!</v>
      </c>
      <c r="HS64" s="70" t="e">
        <f>#REF!-HR64</f>
        <v>#REF!</v>
      </c>
      <c r="HT64" s="70" t="e">
        <f>SUM(#REF!)</f>
        <v>#REF!</v>
      </c>
      <c r="HU64" s="70" t="e">
        <f>#REF!-HT64</f>
        <v>#REF!</v>
      </c>
      <c r="HV64" s="70" t="e">
        <f>SUM(#REF!)</f>
        <v>#REF!</v>
      </c>
      <c r="HW64" s="70" t="e">
        <f>#REF!-HV64</f>
        <v>#REF!</v>
      </c>
      <c r="HX64" s="70" t="e">
        <f>SUM(#REF!)</f>
        <v>#REF!</v>
      </c>
      <c r="HY64" s="70" t="e">
        <f>#REF!-HX64</f>
        <v>#REF!</v>
      </c>
      <c r="HZ64" s="70">
        <f>SUM(BC64:BC64)</f>
        <v>88366.21</v>
      </c>
      <c r="IA64" s="70" t="e">
        <f>#REF!-HZ64</f>
        <v>#REF!</v>
      </c>
      <c r="IB64" s="70">
        <f>SUM(BD64:BD64)</f>
        <v>0</v>
      </c>
      <c r="IC64" s="70" t="e">
        <f>#REF!-IB64</f>
        <v>#REF!</v>
      </c>
      <c r="ID64" s="70">
        <f t="shared" si="56"/>
        <v>394330</v>
      </c>
      <c r="IE64" s="70">
        <f t="shared" si="57"/>
        <v>0.15000000002328306</v>
      </c>
      <c r="IF64" s="70">
        <f t="shared" si="58"/>
        <v>205358.89</v>
      </c>
      <c r="IG64" s="70">
        <f t="shared" si="59"/>
        <v>-0.23000000003958121</v>
      </c>
      <c r="IH64" s="70">
        <f t="shared" si="60"/>
        <v>322013.73</v>
      </c>
      <c r="II64" s="70">
        <f t="shared" si="61"/>
        <v>0.28999999997904524</v>
      </c>
      <c r="IJ64" s="70" t="e">
        <f t="shared" si="62"/>
        <v>#REF!</v>
      </c>
      <c r="IK64" s="70" t="e">
        <f t="shared" si="63"/>
        <v>#REF!</v>
      </c>
      <c r="IL64" s="70">
        <f t="shared" si="102"/>
        <v>7409546.1399999997</v>
      </c>
      <c r="IM64" s="70">
        <f t="shared" si="64"/>
        <v>-0.71999999973922968</v>
      </c>
      <c r="IN64" s="70">
        <f t="shared" si="65"/>
        <v>315000</v>
      </c>
      <c r="IO64" s="70">
        <f t="shared" si="66"/>
        <v>0</v>
      </c>
      <c r="IP64" s="70">
        <f t="shared" si="67"/>
        <v>3936013.59</v>
      </c>
      <c r="IQ64" s="70">
        <f t="shared" si="68"/>
        <v>0</v>
      </c>
      <c r="IR64" s="70">
        <f t="shared" si="107"/>
        <v>0</v>
      </c>
      <c r="IS64" s="70">
        <f t="shared" si="108"/>
        <v>0</v>
      </c>
      <c r="IT64" s="70">
        <f t="shared" si="103"/>
        <v>2679407.71</v>
      </c>
      <c r="IU64" s="70">
        <f t="shared" si="104"/>
        <v>-0.68000000016763806</v>
      </c>
      <c r="IV64" s="70">
        <f t="shared" si="105"/>
        <v>0</v>
      </c>
      <c r="IW64" s="70">
        <f t="shared" si="106"/>
        <v>0</v>
      </c>
      <c r="IX64" s="70">
        <f t="shared" si="69"/>
        <v>0</v>
      </c>
      <c r="IY64" s="70">
        <f t="shared" si="70"/>
        <v>0</v>
      </c>
      <c r="IZ64" s="70">
        <f t="shared" si="71"/>
        <v>339327</v>
      </c>
      <c r="JA64" s="70">
        <f t="shared" si="72"/>
        <v>-6.0000000055879354E-2</v>
      </c>
      <c r="JB64" s="70">
        <f t="shared" si="73"/>
        <v>2295623</v>
      </c>
      <c r="JC64" s="70">
        <f t="shared" si="74"/>
        <v>-6.0000000521540642E-2</v>
      </c>
      <c r="JD64" s="70">
        <f t="shared" si="75"/>
        <v>860307.42</v>
      </c>
      <c r="JE64" s="70">
        <f t="shared" si="76"/>
        <v>-0.5099999998928979</v>
      </c>
      <c r="JF64" s="70">
        <f t="shared" si="77"/>
        <v>935162.59999999986</v>
      </c>
      <c r="JG64" s="70">
        <f t="shared" si="78"/>
        <v>0.37000000011175871</v>
      </c>
      <c r="JH64" s="70">
        <f t="shared" si="79"/>
        <v>689307.16999999993</v>
      </c>
      <c r="JI64" s="70">
        <f t="shared" si="80"/>
        <v>-0.9599999999627471</v>
      </c>
      <c r="JJ64" s="70">
        <f t="shared" si="81"/>
        <v>214145.65</v>
      </c>
      <c r="JK64" s="70">
        <f t="shared" si="82"/>
        <v>0.27999999999883585</v>
      </c>
      <c r="JL64" s="70">
        <f t="shared" si="83"/>
        <v>1065098.42</v>
      </c>
      <c r="JM64" s="70">
        <f t="shared" si="84"/>
        <v>-0.56000000005587935</v>
      </c>
      <c r="JN64" s="70">
        <f t="shared" si="85"/>
        <v>187624.56</v>
      </c>
      <c r="JO64" s="70">
        <f t="shared" si="86"/>
        <v>0</v>
      </c>
      <c r="JP64" s="70">
        <f t="shared" si="87"/>
        <v>3334196.2199999997</v>
      </c>
      <c r="JQ64" s="70">
        <f t="shared" si="88"/>
        <v>-9.9999997764825821E-3</v>
      </c>
      <c r="JR64" s="70">
        <f t="shared" si="89"/>
        <v>417544.32</v>
      </c>
      <c r="JS64" s="70">
        <f t="shared" si="90"/>
        <v>-0.57000000000698492</v>
      </c>
      <c r="JT64" s="70">
        <f t="shared" si="91"/>
        <v>37312.559999999998</v>
      </c>
      <c r="JU64" s="70">
        <f t="shared" si="92"/>
        <v>-0.54999999999563443</v>
      </c>
      <c r="JV64" s="70">
        <f t="shared" si="93"/>
        <v>1414502.29</v>
      </c>
      <c r="JW64" s="70">
        <f t="shared" si="94"/>
        <v>0.73999999999068677</v>
      </c>
      <c r="JX64" s="70">
        <f t="shared" si="95"/>
        <v>26130116.059999999</v>
      </c>
      <c r="JY64" s="70">
        <f t="shared" si="96"/>
        <v>-0.69999999925494194</v>
      </c>
      <c r="JZ64" s="70">
        <f t="shared" si="97"/>
        <v>0</v>
      </c>
      <c r="KA64" s="70">
        <f t="shared" si="98"/>
        <v>0</v>
      </c>
      <c r="KB64" s="70">
        <f t="shared" si="99"/>
        <v>26130116.059999999</v>
      </c>
      <c r="KC64" s="70">
        <f t="shared" si="100"/>
        <v>-0.69999999925494194</v>
      </c>
      <c r="KE64" s="70" t="e">
        <f t="shared" si="101"/>
        <v>#REF!</v>
      </c>
      <c r="KG64" s="68" t="e">
        <f t="shared" si="53"/>
        <v>#REF!</v>
      </c>
    </row>
    <row r="65" spans="1:304">
      <c r="A65" s="180" t="s">
        <v>286</v>
      </c>
      <c r="B65" s="76" t="s">
        <v>364</v>
      </c>
      <c r="C65" s="90">
        <v>174066</v>
      </c>
      <c r="D65" s="90">
        <v>2014</v>
      </c>
      <c r="E65" s="90">
        <v>1</v>
      </c>
      <c r="F65" s="91">
        <v>9</v>
      </c>
      <c r="G65" s="92">
        <v>8111</v>
      </c>
      <c r="H65" s="92">
        <v>8621</v>
      </c>
      <c r="I65" s="93">
        <v>667829690</v>
      </c>
      <c r="J65" s="93">
        <v>643231932</v>
      </c>
      <c r="K65" s="93">
        <v>238970</v>
      </c>
      <c r="L65" s="93">
        <v>239634</v>
      </c>
      <c r="M65" s="93">
        <v>24675747</v>
      </c>
      <c r="N65" s="93">
        <v>54340345</v>
      </c>
      <c r="O65" s="93">
        <v>2614427</v>
      </c>
      <c r="P65" s="93">
        <v>2853396</v>
      </c>
      <c r="Q65" s="93">
        <v>310166879</v>
      </c>
      <c r="R65" s="93">
        <v>324848654</v>
      </c>
      <c r="S65" s="93">
        <v>595046693</v>
      </c>
      <c r="T65" s="93">
        <v>572668355</v>
      </c>
      <c r="U65" s="93">
        <v>21476</v>
      </c>
      <c r="V65" s="93">
        <v>21176</v>
      </c>
      <c r="W65" s="93">
        <v>30440</v>
      </c>
      <c r="X65" s="93">
        <v>30140</v>
      </c>
      <c r="Y65" s="93">
        <v>25374</v>
      </c>
      <c r="Z65" s="93">
        <v>24920</v>
      </c>
      <c r="AA65" s="93">
        <v>34338</v>
      </c>
      <c r="AB65" s="93">
        <v>33884</v>
      </c>
      <c r="AC65" s="114">
        <v>6</v>
      </c>
      <c r="AD65" s="114">
        <v>10</v>
      </c>
      <c r="AE65" s="114">
        <v>0</v>
      </c>
      <c r="AF65" s="115">
        <v>4040348</v>
      </c>
      <c r="AG65" s="115">
        <v>3048090</v>
      </c>
      <c r="AH65" s="115">
        <v>375201</v>
      </c>
      <c r="AI65" s="115">
        <v>148630</v>
      </c>
      <c r="AJ65" s="115">
        <v>307393</v>
      </c>
      <c r="AK65" s="116">
        <v>5.25</v>
      </c>
      <c r="AL65" s="115">
        <v>268969</v>
      </c>
      <c r="AM65" s="116">
        <v>6</v>
      </c>
      <c r="AN65" s="115">
        <v>128014</v>
      </c>
      <c r="AO65" s="116">
        <v>7.75</v>
      </c>
      <c r="AP65" s="115">
        <v>124013</v>
      </c>
      <c r="AQ65" s="116">
        <v>8</v>
      </c>
      <c r="AR65" s="115">
        <v>118528</v>
      </c>
      <c r="AS65" s="116">
        <v>16</v>
      </c>
      <c r="AT65" s="115">
        <v>105358</v>
      </c>
      <c r="AU65" s="116">
        <v>18</v>
      </c>
      <c r="AV65" s="115">
        <v>66363</v>
      </c>
      <c r="AW65" s="116">
        <v>13</v>
      </c>
      <c r="AX65" s="115">
        <v>61623</v>
      </c>
      <c r="AY65" s="116">
        <v>14</v>
      </c>
      <c r="AZ65" s="139">
        <v>837317</v>
      </c>
      <c r="BA65" s="139">
        <v>500000</v>
      </c>
      <c r="BB65" s="139">
        <v>2337759</v>
      </c>
      <c r="BC65" s="139">
        <v>62851</v>
      </c>
      <c r="BD65" s="139">
        <v>0</v>
      </c>
      <c r="BE65" s="139">
        <v>39743</v>
      </c>
      <c r="BF65" s="139">
        <v>107466</v>
      </c>
      <c r="BG65" s="139">
        <v>9430</v>
      </c>
      <c r="BH65" s="139">
        <v>115377</v>
      </c>
      <c r="BI65" s="139">
        <v>0</v>
      </c>
      <c r="BJ65" s="139">
        <v>272016</v>
      </c>
      <c r="BK65" s="139">
        <v>8617</v>
      </c>
      <c r="BL65" s="139">
        <v>11212</v>
      </c>
      <c r="BM65" s="139">
        <v>0</v>
      </c>
      <c r="BN65" s="139">
        <v>30368</v>
      </c>
      <c r="BO65" s="139">
        <v>96334</v>
      </c>
      <c r="BP65" s="139">
        <v>146531</v>
      </c>
      <c r="BQ65" s="139">
        <v>3965</v>
      </c>
      <c r="BR65" s="139">
        <v>521759</v>
      </c>
      <c r="BS65" s="139">
        <v>0</v>
      </c>
      <c r="BT65" s="139">
        <v>19388</v>
      </c>
      <c r="BU65" s="139">
        <v>329992</v>
      </c>
      <c r="BV65" s="139">
        <v>875104</v>
      </c>
      <c r="BW65" s="139">
        <v>8416929</v>
      </c>
      <c r="BX65" s="139">
        <v>3672766</v>
      </c>
      <c r="BY65" s="139">
        <v>1139697</v>
      </c>
      <c r="BZ65" s="139">
        <v>7262958</v>
      </c>
      <c r="CA65" s="139">
        <v>7227650</v>
      </c>
      <c r="CB65" s="139">
        <v>27720000</v>
      </c>
      <c r="CC65" s="139">
        <v>2727908</v>
      </c>
      <c r="CD65" s="139">
        <v>454785</v>
      </c>
      <c r="CE65" s="139">
        <v>506100</v>
      </c>
      <c r="CF65" s="139">
        <v>3399645</v>
      </c>
      <c r="CG65" s="139">
        <v>86406</v>
      </c>
      <c r="CH65" s="139">
        <v>7174844</v>
      </c>
      <c r="CI65" s="139">
        <v>475000</v>
      </c>
      <c r="CJ65" s="139">
        <v>319000</v>
      </c>
      <c r="CK65" s="139">
        <v>6500</v>
      </c>
      <c r="CL65" s="139">
        <v>0</v>
      </c>
      <c r="CM65" s="139">
        <v>0</v>
      </c>
      <c r="CN65" s="139">
        <v>800500</v>
      </c>
      <c r="CO65" s="139">
        <v>1749338</v>
      </c>
      <c r="CP65" s="139">
        <v>1192979</v>
      </c>
      <c r="CQ65" s="139">
        <v>480562</v>
      </c>
      <c r="CR65" s="139">
        <v>1942216</v>
      </c>
      <c r="CS65" s="139">
        <v>0</v>
      </c>
      <c r="CT65" s="139">
        <v>5365095</v>
      </c>
      <c r="CU65" s="139">
        <v>0</v>
      </c>
      <c r="CV65" s="139">
        <v>0</v>
      </c>
      <c r="CW65" s="139">
        <v>0</v>
      </c>
      <c r="CX65" s="139">
        <v>0</v>
      </c>
      <c r="CY65" s="139">
        <v>0</v>
      </c>
      <c r="CZ65" s="139">
        <v>0</v>
      </c>
      <c r="DA65" s="139">
        <v>258783</v>
      </c>
      <c r="DB65" s="139">
        <v>39095</v>
      </c>
      <c r="DC65" s="139">
        <v>47040</v>
      </c>
      <c r="DD65" s="139">
        <v>25553</v>
      </c>
      <c r="DE65" s="139">
        <v>2204887</v>
      </c>
      <c r="DF65" s="139">
        <v>2575358</v>
      </c>
      <c r="DG65" s="139">
        <v>0</v>
      </c>
      <c r="DH65" s="139">
        <v>0</v>
      </c>
      <c r="DI65" s="139">
        <v>0</v>
      </c>
      <c r="DJ65" s="139">
        <v>0</v>
      </c>
      <c r="DK65" s="139">
        <v>0</v>
      </c>
      <c r="DL65" s="139">
        <v>0</v>
      </c>
      <c r="DM65" s="139">
        <v>0</v>
      </c>
      <c r="DN65" s="139">
        <v>0</v>
      </c>
      <c r="DO65" s="139">
        <v>0</v>
      </c>
      <c r="DP65" s="139">
        <v>0</v>
      </c>
      <c r="DQ65" s="139">
        <v>0</v>
      </c>
      <c r="DR65" s="139">
        <v>0</v>
      </c>
      <c r="DS65" s="139">
        <v>239451</v>
      </c>
      <c r="DT65" s="139">
        <v>94231</v>
      </c>
      <c r="DU65" s="139">
        <v>63686</v>
      </c>
      <c r="DV65" s="139">
        <v>126463</v>
      </c>
      <c r="DW65" s="139">
        <v>0</v>
      </c>
      <c r="DX65" s="139">
        <v>523831</v>
      </c>
      <c r="DY65" s="139">
        <v>880699</v>
      </c>
      <c r="DZ65" s="139">
        <v>422018</v>
      </c>
      <c r="EA65" s="139">
        <v>137128</v>
      </c>
      <c r="EB65" s="139">
        <v>756153</v>
      </c>
      <c r="EC65" s="139">
        <v>5456</v>
      </c>
      <c r="ED65" s="139">
        <v>2201454</v>
      </c>
      <c r="EE65" s="139">
        <v>261143</v>
      </c>
      <c r="EF65" s="139">
        <v>30579</v>
      </c>
      <c r="EG65" s="139">
        <v>20541</v>
      </c>
      <c r="EH65" s="139">
        <v>219782</v>
      </c>
      <c r="EI65" s="139">
        <v>220802</v>
      </c>
      <c r="EJ65" s="139">
        <v>752847</v>
      </c>
      <c r="EK65" s="139">
        <v>104020</v>
      </c>
      <c r="EL65" s="139">
        <v>108269</v>
      </c>
      <c r="EM65" s="139">
        <v>36600</v>
      </c>
      <c r="EN65" s="139">
        <v>95051</v>
      </c>
      <c r="EO65" s="139">
        <v>0</v>
      </c>
      <c r="EP65" s="139">
        <v>343940</v>
      </c>
      <c r="EQ65" s="139">
        <v>114171</v>
      </c>
      <c r="ER65" s="139">
        <v>15209</v>
      </c>
      <c r="ES65" s="139">
        <v>6450</v>
      </c>
      <c r="ET65" s="139">
        <v>23527</v>
      </c>
      <c r="EU65" s="139">
        <v>1142276</v>
      </c>
      <c r="EV65" s="139">
        <v>1301633</v>
      </c>
      <c r="EW65" s="139">
        <v>8790</v>
      </c>
      <c r="EX65" s="139">
        <v>58977</v>
      </c>
      <c r="EY65" s="139">
        <v>6627</v>
      </c>
      <c r="EZ65" s="139">
        <v>74185</v>
      </c>
      <c r="FA65" s="139">
        <v>131</v>
      </c>
      <c r="FB65" s="139">
        <v>148710</v>
      </c>
      <c r="FC65" s="139">
        <v>101440</v>
      </c>
      <c r="FD65" s="139">
        <v>111511</v>
      </c>
      <c r="FE65" s="139">
        <v>20994</v>
      </c>
      <c r="FF65" s="139">
        <v>103819</v>
      </c>
      <c r="FG65" s="139">
        <v>1659161</v>
      </c>
      <c r="FH65" s="139">
        <v>1996925</v>
      </c>
      <c r="FI65" s="139">
        <v>0</v>
      </c>
      <c r="FJ65" s="139">
        <v>0</v>
      </c>
      <c r="FK65" s="139">
        <v>0</v>
      </c>
      <c r="FL65" s="139">
        <v>0</v>
      </c>
      <c r="FM65" s="139">
        <v>0</v>
      </c>
      <c r="FN65" s="139">
        <v>0</v>
      </c>
      <c r="FO65" s="139">
        <v>679085</v>
      </c>
      <c r="FP65" s="139">
        <v>285163</v>
      </c>
      <c r="FQ65" s="139">
        <v>129811</v>
      </c>
      <c r="FR65" s="139">
        <v>652380</v>
      </c>
      <c r="FS65" s="139">
        <v>660620</v>
      </c>
      <c r="FT65" s="139">
        <v>2407059</v>
      </c>
      <c r="FU65" s="139">
        <v>918</v>
      </c>
      <c r="FV65" s="139">
        <v>60000</v>
      </c>
      <c r="FW65" s="139">
        <v>0</v>
      </c>
      <c r="FX65" s="139">
        <v>869</v>
      </c>
      <c r="FY65" s="139">
        <v>686585</v>
      </c>
      <c r="FZ65" s="139">
        <v>748372</v>
      </c>
      <c r="GA65" s="139">
        <v>1540</v>
      </c>
      <c r="GB65" s="139">
        <v>15200</v>
      </c>
      <c r="GC65" s="139">
        <v>1153</v>
      </c>
      <c r="GD65" s="139">
        <v>23103</v>
      </c>
      <c r="GE65" s="139">
        <v>247047</v>
      </c>
      <c r="GF65" s="139">
        <v>288043</v>
      </c>
      <c r="GG65" s="139">
        <v>100299</v>
      </c>
      <c r="GH65" s="139">
        <v>26883</v>
      </c>
      <c r="GI65" s="139">
        <v>8928</v>
      </c>
      <c r="GJ65" s="139">
        <v>48981</v>
      </c>
      <c r="GK65" s="139">
        <v>485017</v>
      </c>
      <c r="GL65" s="139">
        <v>670108</v>
      </c>
      <c r="GM65" s="139">
        <v>7702585</v>
      </c>
      <c r="GN65" s="139">
        <v>3233899</v>
      </c>
      <c r="GO65" s="139">
        <v>1472120</v>
      </c>
      <c r="GP65" s="139">
        <v>7491727</v>
      </c>
      <c r="GQ65" s="139">
        <v>7398388</v>
      </c>
      <c r="GR65" s="139">
        <v>27298719</v>
      </c>
      <c r="GS65" s="139">
        <v>0</v>
      </c>
      <c r="GT65" s="139">
        <v>0</v>
      </c>
      <c r="GU65" s="139">
        <v>0</v>
      </c>
      <c r="GV65" s="139">
        <v>0</v>
      </c>
      <c r="GW65" s="139">
        <v>0</v>
      </c>
      <c r="GX65" s="139">
        <v>0</v>
      </c>
      <c r="GY65" s="139">
        <v>7702585</v>
      </c>
      <c r="GZ65" s="139">
        <v>3233899</v>
      </c>
      <c r="HA65" s="139">
        <v>1472120</v>
      </c>
      <c r="HB65" s="139">
        <v>7491727</v>
      </c>
      <c r="HC65" s="139">
        <v>7398388</v>
      </c>
      <c r="HD65" s="139">
        <v>27298719</v>
      </c>
      <c r="HF65" s="70">
        <f>SUM(AZ65:AZ65)</f>
        <v>837317</v>
      </c>
      <c r="HG65" s="70" t="e">
        <f>#REF!-HF65</f>
        <v>#REF!</v>
      </c>
      <c r="HH65" s="70" t="e">
        <f>SUM(#REF!)</f>
        <v>#REF!</v>
      </c>
      <c r="HI65" s="70" t="e">
        <f>#REF!-HH65</f>
        <v>#REF!</v>
      </c>
      <c r="HJ65" s="70">
        <f>SUM(BA65:BA65)</f>
        <v>500000</v>
      </c>
      <c r="HK65" s="70" t="e">
        <f>#REF!-HJ65</f>
        <v>#REF!</v>
      </c>
      <c r="HL65" s="70" t="e">
        <f>SUM(#REF!)</f>
        <v>#REF!</v>
      </c>
      <c r="HM65" s="70" t="e">
        <f>BB65-HL65</f>
        <v>#REF!</v>
      </c>
      <c r="HN65" s="70" t="e">
        <f>SUM(#REF!)</f>
        <v>#REF!</v>
      </c>
      <c r="HO65" s="70" t="e">
        <f>#REF!-HN65</f>
        <v>#REF!</v>
      </c>
      <c r="HP65" s="70" t="e">
        <f>SUM(#REF!)</f>
        <v>#REF!</v>
      </c>
      <c r="HQ65" s="70" t="e">
        <f>#REF!-HP65</f>
        <v>#REF!</v>
      </c>
      <c r="HR65" s="70" t="e">
        <f>SUM(#REF!)</f>
        <v>#REF!</v>
      </c>
      <c r="HS65" s="70" t="e">
        <f>#REF!-HR65</f>
        <v>#REF!</v>
      </c>
      <c r="HT65" s="70" t="e">
        <f>SUM(#REF!)</f>
        <v>#REF!</v>
      </c>
      <c r="HU65" s="70" t="e">
        <f>#REF!-HT65</f>
        <v>#REF!</v>
      </c>
      <c r="HV65" s="70" t="e">
        <f>SUM(#REF!)</f>
        <v>#REF!</v>
      </c>
      <c r="HW65" s="70" t="e">
        <f>#REF!-HV65</f>
        <v>#REF!</v>
      </c>
      <c r="HX65" s="70" t="e">
        <f>SUM(#REF!)</f>
        <v>#REF!</v>
      </c>
      <c r="HY65" s="70" t="e">
        <f>#REF!-HX65</f>
        <v>#REF!</v>
      </c>
      <c r="HZ65" s="70">
        <f>SUM(BC65:BC65)</f>
        <v>62851</v>
      </c>
      <c r="IA65" s="70" t="e">
        <f>#REF!-HZ65</f>
        <v>#REF!</v>
      </c>
      <c r="IB65" s="70">
        <f>SUM(BD65:BD65)</f>
        <v>0</v>
      </c>
      <c r="IC65" s="70" t="e">
        <f>#REF!-IB65</f>
        <v>#REF!</v>
      </c>
      <c r="ID65" s="70">
        <f t="shared" ref="ID65:ID97" si="109">SUM(BE65:BI65)</f>
        <v>272016</v>
      </c>
      <c r="IE65" s="70">
        <f t="shared" ref="IE65:IE96" si="110">BJ65-ID65</f>
        <v>0</v>
      </c>
      <c r="IF65" s="70">
        <f t="shared" ref="IF65:IF97" si="111">SUM(BK65:BO65)</f>
        <v>146531</v>
      </c>
      <c r="IG65" s="70">
        <f t="shared" ref="IG65:IG96" si="112">BP65-IF65</f>
        <v>0</v>
      </c>
      <c r="IH65" s="70">
        <f t="shared" ref="IH65:IH97" si="113">SUM(BQ65:BU65)</f>
        <v>875104</v>
      </c>
      <c r="II65" s="70">
        <f t="shared" ref="II65:II96" si="114">BV65-IH65</f>
        <v>0</v>
      </c>
      <c r="IJ65" s="70">
        <f t="shared" ref="IJ65:IJ97" si="115">SUM(BW65:CA65)</f>
        <v>27720000</v>
      </c>
      <c r="IK65" s="70">
        <f t="shared" ref="IK65:IK96" si="116">CB65-IJ65</f>
        <v>0</v>
      </c>
      <c r="IL65" s="70">
        <f t="shared" ref="IL65:IL97" si="117">SUM(CC65:CG65)</f>
        <v>7174844</v>
      </c>
      <c r="IM65" s="70">
        <f t="shared" ref="IM65:IM96" si="118">CH65-IL65</f>
        <v>0</v>
      </c>
      <c r="IN65" s="70">
        <f t="shared" ref="IN65:IN97" si="119">SUM(CI65:CM65)</f>
        <v>800500</v>
      </c>
      <c r="IO65" s="70">
        <f t="shared" ref="IO65:IO96" si="120">CN65-IN65</f>
        <v>0</v>
      </c>
      <c r="IP65" s="70">
        <f t="shared" ref="IP65:IP97" si="121">SUM(CO65:CS65)</f>
        <v>5365095</v>
      </c>
      <c r="IQ65" s="70">
        <f t="shared" ref="IQ65:IQ96" si="122">CT65-IP65</f>
        <v>0</v>
      </c>
      <c r="IR65" s="70">
        <f t="shared" si="107"/>
        <v>0</v>
      </c>
      <c r="IS65" s="70">
        <f t="shared" si="108"/>
        <v>0</v>
      </c>
      <c r="IT65" s="70">
        <f t="shared" ref="IT65:IT97" si="123">SUM(DA65:DE65)</f>
        <v>2575358</v>
      </c>
      <c r="IU65" s="70">
        <f t="shared" ref="IU65:IU96" si="124">DF65-IT65</f>
        <v>0</v>
      </c>
      <c r="IV65" s="70">
        <f t="shared" ref="IV65:IV97" si="125">SUM(DG65:DK65)</f>
        <v>0</v>
      </c>
      <c r="IW65" s="70">
        <f t="shared" ref="IW65:IW96" si="126">DL65-IV65</f>
        <v>0</v>
      </c>
      <c r="IX65" s="70">
        <f t="shared" ref="IX65:IX97" si="127">SUM(DM65:DQ65)</f>
        <v>0</v>
      </c>
      <c r="IY65" s="70">
        <f t="shared" ref="IY65:IY96" si="128">DR65-IX65</f>
        <v>0</v>
      </c>
      <c r="IZ65" s="70">
        <f t="shared" ref="IZ65:IZ97" si="129">SUM(DS65:DW65)</f>
        <v>523831</v>
      </c>
      <c r="JA65" s="70">
        <f t="shared" ref="JA65:JA96" si="130">DX65-IZ65</f>
        <v>0</v>
      </c>
      <c r="JB65" s="70">
        <f t="shared" ref="JB65:JB97" si="131">SUM(DY65:EC65)</f>
        <v>2201454</v>
      </c>
      <c r="JC65" s="70">
        <f t="shared" ref="JC65:JC96" si="132">ED65-JB65</f>
        <v>0</v>
      </c>
      <c r="JD65" s="70">
        <f t="shared" ref="JD65:JD97" si="133">SUM(EE65:EI65)</f>
        <v>752847</v>
      </c>
      <c r="JE65" s="70">
        <f t="shared" ref="JE65:JE96" si="134">EJ65-JD65</f>
        <v>0</v>
      </c>
      <c r="JF65" s="70">
        <f t="shared" ref="JF65:JF97" si="135">SUM(EK65:EO65)</f>
        <v>343940</v>
      </c>
      <c r="JG65" s="70">
        <f t="shared" ref="JG65:JG96" si="136">EP65-JF65</f>
        <v>0</v>
      </c>
      <c r="JH65" s="70">
        <f t="shared" ref="JH65:JH97" si="137">SUM(EQ65:EU65)</f>
        <v>1301633</v>
      </c>
      <c r="JI65" s="70">
        <f t="shared" ref="JI65:JI96" si="138">EV65-JH65</f>
        <v>0</v>
      </c>
      <c r="JJ65" s="70">
        <f t="shared" ref="JJ65:JJ97" si="139">SUM(EW65:FA65)</f>
        <v>148710</v>
      </c>
      <c r="JK65" s="70">
        <f t="shared" ref="JK65:JK96" si="140">FB65-JJ65</f>
        <v>0</v>
      </c>
      <c r="JL65" s="70">
        <f t="shared" ref="JL65:JL97" si="141">SUM(FC65:FG65)</f>
        <v>1996925</v>
      </c>
      <c r="JM65" s="70">
        <f t="shared" ref="JM65:JM96" si="142">FH65-JL65</f>
        <v>0</v>
      </c>
      <c r="JN65" s="70">
        <f t="shared" ref="JN65:JN97" si="143">SUM(FI65:FM65)</f>
        <v>0</v>
      </c>
      <c r="JO65" s="70">
        <f t="shared" ref="JO65:JO96" si="144">FN65-JN65</f>
        <v>0</v>
      </c>
      <c r="JP65" s="70">
        <f t="shared" ref="JP65:JP97" si="145">SUM(FO65:FS65)</f>
        <v>2407059</v>
      </c>
      <c r="JQ65" s="70">
        <f t="shared" ref="JQ65:JQ96" si="146">FT65-JP65</f>
        <v>0</v>
      </c>
      <c r="JR65" s="70">
        <f t="shared" ref="JR65:JR97" si="147">SUM(FU65:FY65)</f>
        <v>748372</v>
      </c>
      <c r="JS65" s="70">
        <f t="shared" ref="JS65:JS96" si="148">FZ65-JR65</f>
        <v>0</v>
      </c>
      <c r="JT65" s="70">
        <f t="shared" ref="JT65:JT97" si="149">SUM(GA65:GE65)</f>
        <v>288043</v>
      </c>
      <c r="JU65" s="70">
        <f t="shared" ref="JU65:JU96" si="150">GF65-JT65</f>
        <v>0</v>
      </c>
      <c r="JV65" s="70">
        <f t="shared" ref="JV65:JV97" si="151">SUM(GG65:GK65)</f>
        <v>670108</v>
      </c>
      <c r="JW65" s="70">
        <f t="shared" ref="JW65:JW96" si="152">GL65-JV65</f>
        <v>0</v>
      </c>
      <c r="JX65" s="70">
        <f t="shared" ref="JX65:JX97" si="153">SUM(GM65:GQ65)</f>
        <v>27298719</v>
      </c>
      <c r="JY65" s="70">
        <f t="shared" ref="JY65:JY96" si="154">GR65-JX65</f>
        <v>0</v>
      </c>
      <c r="JZ65" s="70">
        <f t="shared" ref="JZ65:JZ97" si="155">SUM(GS65:GW65)</f>
        <v>0</v>
      </c>
      <c r="KA65" s="70">
        <f t="shared" ref="KA65:KA96" si="156">GX65-JZ65</f>
        <v>0</v>
      </c>
      <c r="KB65" s="70">
        <f t="shared" ref="KB65:KB97" si="157">SUM(GY65:HC65)</f>
        <v>27298719</v>
      </c>
      <c r="KC65" s="70">
        <f t="shared" ref="KC65:KC96" si="158">HD65-KB65</f>
        <v>0</v>
      </c>
      <c r="KE65" s="70" t="e">
        <f t="shared" ref="KE65:KE97" si="159">SUM(HG65,HI65,HK65,HM65,HO65,HQ65,HS65,HU65,HW65,HY65,IA65,IC65,IE65,IG65,II65,IK65,IM65,IO65,IQ65,IS65,IU65,IY65,JA65,,JE65,JG65,JI65,JK65,JM65,JO65,JQ65,JS65,JU65,JW65,JY65,KA65,KC65)</f>
        <v>#REF!</v>
      </c>
      <c r="KG65" s="68" t="e">
        <f t="shared" si="53"/>
        <v>#REF!</v>
      </c>
    </row>
    <row r="66" spans="1:304">
      <c r="A66" s="180" t="s">
        <v>287</v>
      </c>
      <c r="B66" s="76" t="s">
        <v>364</v>
      </c>
      <c r="C66" s="90">
        <v>176017</v>
      </c>
      <c r="D66" s="90">
        <v>2014</v>
      </c>
      <c r="E66" s="90">
        <v>1</v>
      </c>
      <c r="F66" s="91">
        <v>3</v>
      </c>
      <c r="G66" s="92">
        <v>20989</v>
      </c>
      <c r="H66" s="92">
        <v>19031</v>
      </c>
      <c r="I66" s="93">
        <v>5018501000</v>
      </c>
      <c r="J66" s="93">
        <v>4841425000</v>
      </c>
      <c r="K66" s="93">
        <v>17451000</v>
      </c>
      <c r="L66" s="93">
        <v>15882000</v>
      </c>
      <c r="M66" s="93">
        <v>158977000</v>
      </c>
      <c r="N66" s="93">
        <v>335743000</v>
      </c>
      <c r="O66" s="93">
        <v>191173000</v>
      </c>
      <c r="P66" s="93">
        <v>169342000</v>
      </c>
      <c r="Q66" s="93">
        <v>2622782000</v>
      </c>
      <c r="R66" s="93">
        <v>2700165000</v>
      </c>
      <c r="S66" s="93">
        <v>2327469000</v>
      </c>
      <c r="T66" s="93">
        <v>2221666000</v>
      </c>
      <c r="U66" s="93">
        <v>22418</v>
      </c>
      <c r="V66" s="93">
        <v>22468</v>
      </c>
      <c r="W66" s="93">
        <v>38138</v>
      </c>
      <c r="X66" s="93">
        <v>37876</v>
      </c>
      <c r="Y66" s="93">
        <v>25758</v>
      </c>
      <c r="Z66" s="93">
        <v>27159</v>
      </c>
      <c r="AA66" s="93">
        <v>42924</v>
      </c>
      <c r="AB66" s="93">
        <v>43287</v>
      </c>
      <c r="AC66" s="114">
        <v>17</v>
      </c>
      <c r="AD66" s="114">
        <v>17</v>
      </c>
      <c r="AE66" s="114">
        <v>2</v>
      </c>
      <c r="AF66" s="115">
        <v>8773761</v>
      </c>
      <c r="AG66" s="115">
        <v>7803338</v>
      </c>
      <c r="AH66" s="115">
        <v>1036180</v>
      </c>
      <c r="AI66" s="115">
        <v>612790</v>
      </c>
      <c r="AJ66" s="115">
        <v>772210</v>
      </c>
      <c r="AK66" s="116">
        <v>15</v>
      </c>
      <c r="AL66" s="115">
        <v>681362</v>
      </c>
      <c r="AM66" s="116">
        <v>17</v>
      </c>
      <c r="AN66" s="115">
        <v>186769</v>
      </c>
      <c r="AO66" s="116">
        <v>17</v>
      </c>
      <c r="AP66" s="115">
        <v>176393</v>
      </c>
      <c r="AQ66" s="116">
        <v>18</v>
      </c>
      <c r="AR66" s="115">
        <v>278346</v>
      </c>
      <c r="AS66" s="116">
        <v>32.5</v>
      </c>
      <c r="AT66" s="115">
        <v>266066</v>
      </c>
      <c r="AU66" s="116">
        <v>34</v>
      </c>
      <c r="AV66" s="115">
        <v>102930</v>
      </c>
      <c r="AW66" s="116">
        <v>25.5</v>
      </c>
      <c r="AX66" s="115">
        <v>97212</v>
      </c>
      <c r="AY66" s="116">
        <v>27</v>
      </c>
      <c r="AZ66" s="169">
        <v>47091663</v>
      </c>
      <c r="BA66" s="139">
        <v>250000</v>
      </c>
      <c r="BB66" s="139">
        <v>28201658</v>
      </c>
      <c r="BC66" s="139">
        <v>4283346</v>
      </c>
      <c r="BD66" s="139">
        <v>375000</v>
      </c>
      <c r="BE66" s="139">
        <v>540888</v>
      </c>
      <c r="BF66" s="139">
        <v>99965</v>
      </c>
      <c r="BG66" s="139">
        <v>37340</v>
      </c>
      <c r="BH66" s="139">
        <v>2317672</v>
      </c>
      <c r="BI66" s="139">
        <v>0</v>
      </c>
      <c r="BJ66" s="139">
        <v>2995865</v>
      </c>
      <c r="BK66" s="139">
        <v>554182</v>
      </c>
      <c r="BL66" s="139">
        <v>131010</v>
      </c>
      <c r="BM66" s="139">
        <v>30986</v>
      </c>
      <c r="BN66" s="139">
        <v>449292</v>
      </c>
      <c r="BO66" s="139">
        <v>1542592</v>
      </c>
      <c r="BP66" s="139">
        <v>2708062</v>
      </c>
      <c r="BQ66" s="139">
        <v>0</v>
      </c>
      <c r="BR66" s="139">
        <v>0</v>
      </c>
      <c r="BS66" s="139">
        <v>0</v>
      </c>
      <c r="BT66" s="139">
        <v>0</v>
      </c>
      <c r="BU66" s="139">
        <v>5058612</v>
      </c>
      <c r="BV66" s="139">
        <v>5058612</v>
      </c>
      <c r="BW66" s="139">
        <v>72338036</v>
      </c>
      <c r="BX66" s="139">
        <v>22647562</v>
      </c>
      <c r="BY66" s="139">
        <v>713617</v>
      </c>
      <c r="BZ66" s="139">
        <v>6239238</v>
      </c>
      <c r="CA66" s="139">
        <v>43294228</v>
      </c>
      <c r="CB66" s="139">
        <v>145232681</v>
      </c>
      <c r="CC66" s="139">
        <v>3721349</v>
      </c>
      <c r="CD66" s="139">
        <v>495852</v>
      </c>
      <c r="CE66" s="139">
        <v>532312</v>
      </c>
      <c r="CF66" s="139">
        <v>12082120</v>
      </c>
      <c r="CG66" s="139">
        <v>0</v>
      </c>
      <c r="CH66" s="139">
        <v>16831633</v>
      </c>
      <c r="CI66" s="139">
        <v>3100000</v>
      </c>
      <c r="CJ66" s="139">
        <v>652299</v>
      </c>
      <c r="CK66" s="139">
        <v>216862</v>
      </c>
      <c r="CL66" s="139">
        <v>94596</v>
      </c>
      <c r="CM66" s="139">
        <v>0</v>
      </c>
      <c r="CN66" s="139">
        <v>4063757</v>
      </c>
      <c r="CO66" s="139">
        <v>11250866</v>
      </c>
      <c r="CP66" s="139">
        <v>4487020</v>
      </c>
      <c r="CQ66" s="139">
        <v>1312079</v>
      </c>
      <c r="CR66" s="139">
        <v>9379217</v>
      </c>
      <c r="CS66" s="139">
        <v>0</v>
      </c>
      <c r="CT66" s="139">
        <v>26429182</v>
      </c>
      <c r="CU66" s="139">
        <v>21000</v>
      </c>
      <c r="CV66" s="139">
        <v>5000</v>
      </c>
      <c r="CW66" s="139">
        <v>5000</v>
      </c>
      <c r="CX66" s="139">
        <v>0</v>
      </c>
      <c r="CY66" s="139">
        <v>0</v>
      </c>
      <c r="CZ66" s="139">
        <v>31000</v>
      </c>
      <c r="DA66" s="139">
        <v>2634411</v>
      </c>
      <c r="DB66" s="139">
        <v>301501</v>
      </c>
      <c r="DC66" s="139">
        <v>196177</v>
      </c>
      <c r="DD66" s="139">
        <v>341188</v>
      </c>
      <c r="DE66" s="139">
        <v>23073652</v>
      </c>
      <c r="DF66" s="139">
        <v>26546929</v>
      </c>
      <c r="DG66" s="139">
        <v>0</v>
      </c>
      <c r="DH66" s="139">
        <v>0</v>
      </c>
      <c r="DI66" s="139">
        <v>0</v>
      </c>
      <c r="DJ66" s="139">
        <v>0</v>
      </c>
      <c r="DK66" s="139">
        <v>44000</v>
      </c>
      <c r="DL66" s="139">
        <v>44000</v>
      </c>
      <c r="DM66" s="139">
        <v>0</v>
      </c>
      <c r="DN66" s="139">
        <v>0</v>
      </c>
      <c r="DO66" s="139">
        <v>0</v>
      </c>
      <c r="DP66" s="139">
        <v>0</v>
      </c>
      <c r="DQ66" s="139">
        <v>0</v>
      </c>
      <c r="DR66" s="139">
        <v>0</v>
      </c>
      <c r="DS66" s="139">
        <v>485996</v>
      </c>
      <c r="DT66" s="139">
        <v>226226</v>
      </c>
      <c r="DU66" s="139">
        <v>242484</v>
      </c>
      <c r="DV66" s="139">
        <v>707201</v>
      </c>
      <c r="DW66" s="139">
        <v>0</v>
      </c>
      <c r="DX66" s="139">
        <v>1661907</v>
      </c>
      <c r="DY66" s="139">
        <v>3243771</v>
      </c>
      <c r="DZ66" s="139">
        <v>1206552</v>
      </c>
      <c r="EA66" s="139">
        <v>599942</v>
      </c>
      <c r="EB66" s="139">
        <v>4456857</v>
      </c>
      <c r="EC66" s="139">
        <v>0</v>
      </c>
      <c r="ED66" s="139">
        <v>9507122</v>
      </c>
      <c r="EE66" s="139">
        <v>953237</v>
      </c>
      <c r="EF66" s="139">
        <v>94724</v>
      </c>
      <c r="EG66" s="139">
        <v>89828</v>
      </c>
      <c r="EH66" s="139">
        <v>1411794</v>
      </c>
      <c r="EI66" s="139">
        <v>165000</v>
      </c>
      <c r="EJ66" s="139">
        <v>2714583</v>
      </c>
      <c r="EK66" s="139">
        <v>2894253</v>
      </c>
      <c r="EL66" s="139">
        <v>862442</v>
      </c>
      <c r="EM66" s="139">
        <v>305567</v>
      </c>
      <c r="EN66" s="139">
        <v>887340</v>
      </c>
      <c r="EO66" s="139">
        <v>1098</v>
      </c>
      <c r="EP66" s="139">
        <v>4950700</v>
      </c>
      <c r="EQ66" s="139">
        <v>0</v>
      </c>
      <c r="ER66" s="139">
        <v>0</v>
      </c>
      <c r="ES66" s="139">
        <v>0</v>
      </c>
      <c r="ET66" s="139">
        <v>0</v>
      </c>
      <c r="EU66" s="139">
        <v>1027169</v>
      </c>
      <c r="EV66" s="139">
        <v>1027169</v>
      </c>
      <c r="EW66" s="139">
        <v>552572</v>
      </c>
      <c r="EX66" s="139">
        <v>68110</v>
      </c>
      <c r="EY66" s="139">
        <v>40169</v>
      </c>
      <c r="EZ66" s="139">
        <v>1186995</v>
      </c>
      <c r="FA66" s="139">
        <v>9316</v>
      </c>
      <c r="FB66" s="139">
        <v>1857162</v>
      </c>
      <c r="FC66" s="139">
        <v>3088819</v>
      </c>
      <c r="FD66" s="139">
        <v>0</v>
      </c>
      <c r="FE66" s="139">
        <v>0</v>
      </c>
      <c r="FF66" s="139">
        <v>2619119</v>
      </c>
      <c r="FG66" s="139">
        <v>0</v>
      </c>
      <c r="FH66" s="139">
        <v>5707938</v>
      </c>
      <c r="FI66" s="139">
        <v>0</v>
      </c>
      <c r="FJ66" s="139">
        <v>0</v>
      </c>
      <c r="FK66" s="139">
        <v>0</v>
      </c>
      <c r="FL66" s="139">
        <v>0</v>
      </c>
      <c r="FM66" s="139">
        <v>868746</v>
      </c>
      <c r="FN66" s="139">
        <v>868746</v>
      </c>
      <c r="FO66" s="139">
        <v>0</v>
      </c>
      <c r="FP66" s="139">
        <v>0</v>
      </c>
      <c r="FQ66" s="139">
        <v>0</v>
      </c>
      <c r="FR66" s="139">
        <v>0</v>
      </c>
      <c r="FS66" s="139">
        <v>0</v>
      </c>
      <c r="FT66" s="139">
        <v>0</v>
      </c>
      <c r="FU66" s="139">
        <v>0</v>
      </c>
      <c r="FV66" s="139">
        <v>0</v>
      </c>
      <c r="FW66" s="139">
        <v>0</v>
      </c>
      <c r="FX66" s="139">
        <v>0</v>
      </c>
      <c r="FY66" s="139">
        <v>1368737</v>
      </c>
      <c r="FZ66" s="139">
        <v>1368737</v>
      </c>
      <c r="GA66" s="139">
        <v>4724</v>
      </c>
      <c r="GB66" s="139">
        <v>1250</v>
      </c>
      <c r="GC66" s="139">
        <v>885</v>
      </c>
      <c r="GD66" s="139">
        <v>19776</v>
      </c>
      <c r="GE66" s="139">
        <v>292009</v>
      </c>
      <c r="GF66" s="139">
        <v>318644</v>
      </c>
      <c r="GG66" s="139">
        <v>0</v>
      </c>
      <c r="GH66" s="139">
        <v>0</v>
      </c>
      <c r="GI66" s="139">
        <v>0</v>
      </c>
      <c r="GJ66" s="139">
        <v>0</v>
      </c>
      <c r="GK66" s="139">
        <v>10007792</v>
      </c>
      <c r="GL66" s="139">
        <v>10007792</v>
      </c>
      <c r="GM66" s="139">
        <v>31950998</v>
      </c>
      <c r="GN66" s="139">
        <v>8400976</v>
      </c>
      <c r="GO66" s="139">
        <v>3541305</v>
      </c>
      <c r="GP66" s="139">
        <v>33186203</v>
      </c>
      <c r="GQ66" s="139">
        <v>36857519</v>
      </c>
      <c r="GR66" s="139">
        <v>113937001</v>
      </c>
      <c r="GS66" s="139">
        <v>0</v>
      </c>
      <c r="GT66" s="139">
        <v>0</v>
      </c>
      <c r="GU66" s="139">
        <v>0</v>
      </c>
      <c r="GV66" s="139">
        <v>0</v>
      </c>
      <c r="GW66" s="139">
        <v>8634183</v>
      </c>
      <c r="GX66" s="139">
        <v>8634183</v>
      </c>
      <c r="GY66" s="139">
        <v>31950998</v>
      </c>
      <c r="GZ66" s="139">
        <v>8400976</v>
      </c>
      <c r="HA66" s="139">
        <v>3541305</v>
      </c>
      <c r="HB66" s="139">
        <v>33186203</v>
      </c>
      <c r="HC66" s="139">
        <v>45491702</v>
      </c>
      <c r="HD66" s="139">
        <v>122571184</v>
      </c>
      <c r="HF66" s="70">
        <f>SUM(AZ66:AZ66)</f>
        <v>47091663</v>
      </c>
      <c r="HG66" s="70" t="e">
        <f>#REF!-HF66</f>
        <v>#REF!</v>
      </c>
      <c r="HH66" s="70" t="e">
        <f>SUM(#REF!)</f>
        <v>#REF!</v>
      </c>
      <c r="HI66" s="70" t="e">
        <f>#REF!-HH66</f>
        <v>#REF!</v>
      </c>
      <c r="HJ66" s="70">
        <f>SUM(BA66:BA66)</f>
        <v>250000</v>
      </c>
      <c r="HK66" s="70" t="e">
        <f>#REF!-HJ66</f>
        <v>#REF!</v>
      </c>
      <c r="HL66" s="70" t="e">
        <f>SUM(#REF!)</f>
        <v>#REF!</v>
      </c>
      <c r="HM66" s="70" t="e">
        <f>BB66-HL66</f>
        <v>#REF!</v>
      </c>
      <c r="HN66" s="70" t="e">
        <f>SUM(#REF!)</f>
        <v>#REF!</v>
      </c>
      <c r="HO66" s="70" t="e">
        <f>#REF!-HN66</f>
        <v>#REF!</v>
      </c>
      <c r="HP66" s="70" t="e">
        <f>SUM(#REF!)</f>
        <v>#REF!</v>
      </c>
      <c r="HQ66" s="70" t="e">
        <f>#REF!-HP66</f>
        <v>#REF!</v>
      </c>
      <c r="HR66" s="70" t="e">
        <f>SUM(#REF!)</f>
        <v>#REF!</v>
      </c>
      <c r="HS66" s="70" t="e">
        <f>#REF!-HR66</f>
        <v>#REF!</v>
      </c>
      <c r="HT66" s="70" t="e">
        <f>SUM(#REF!)</f>
        <v>#REF!</v>
      </c>
      <c r="HU66" s="70" t="e">
        <f>#REF!-HT66</f>
        <v>#REF!</v>
      </c>
      <c r="HV66" s="70" t="e">
        <f>SUM(#REF!)</f>
        <v>#REF!</v>
      </c>
      <c r="HW66" s="70" t="e">
        <f>#REF!-HV66</f>
        <v>#REF!</v>
      </c>
      <c r="HX66" s="70" t="e">
        <f>SUM(#REF!)</f>
        <v>#REF!</v>
      </c>
      <c r="HY66" s="70" t="e">
        <f>#REF!-HX66</f>
        <v>#REF!</v>
      </c>
      <c r="HZ66" s="70">
        <f>SUM(BC66:BC66)</f>
        <v>4283346</v>
      </c>
      <c r="IA66" s="70" t="e">
        <f>#REF!-HZ66</f>
        <v>#REF!</v>
      </c>
      <c r="IB66" s="70">
        <f>SUM(BD66:BD66)</f>
        <v>375000</v>
      </c>
      <c r="IC66" s="70" t="e">
        <f>#REF!-IB66</f>
        <v>#REF!</v>
      </c>
      <c r="ID66" s="70">
        <f t="shared" si="109"/>
        <v>2995865</v>
      </c>
      <c r="IE66" s="70">
        <f t="shared" si="110"/>
        <v>0</v>
      </c>
      <c r="IF66" s="70">
        <f t="shared" si="111"/>
        <v>2708062</v>
      </c>
      <c r="IG66" s="70">
        <f t="shared" si="112"/>
        <v>0</v>
      </c>
      <c r="IH66" s="70">
        <f t="shared" si="113"/>
        <v>5058612</v>
      </c>
      <c r="II66" s="70">
        <f t="shared" si="114"/>
        <v>0</v>
      </c>
      <c r="IJ66" s="70">
        <f t="shared" si="115"/>
        <v>145232681</v>
      </c>
      <c r="IK66" s="70">
        <f t="shared" si="116"/>
        <v>0</v>
      </c>
      <c r="IL66" s="70">
        <f t="shared" si="117"/>
        <v>16831633</v>
      </c>
      <c r="IM66" s="70">
        <f t="shared" si="118"/>
        <v>0</v>
      </c>
      <c r="IN66" s="70">
        <f t="shared" si="119"/>
        <v>4063757</v>
      </c>
      <c r="IO66" s="70">
        <f t="shared" si="120"/>
        <v>0</v>
      </c>
      <c r="IP66" s="70">
        <f t="shared" si="121"/>
        <v>26429182</v>
      </c>
      <c r="IQ66" s="70">
        <f t="shared" si="122"/>
        <v>0</v>
      </c>
      <c r="IR66" s="70">
        <f t="shared" si="107"/>
        <v>31000</v>
      </c>
      <c r="IS66" s="70">
        <f t="shared" si="108"/>
        <v>0</v>
      </c>
      <c r="IT66" s="70">
        <f t="shared" si="123"/>
        <v>26546929</v>
      </c>
      <c r="IU66" s="70">
        <f t="shared" si="124"/>
        <v>0</v>
      </c>
      <c r="IV66" s="70">
        <f t="shared" si="125"/>
        <v>44000</v>
      </c>
      <c r="IW66" s="70">
        <f t="shared" si="126"/>
        <v>0</v>
      </c>
      <c r="IX66" s="70">
        <f t="shared" si="127"/>
        <v>0</v>
      </c>
      <c r="IY66" s="70">
        <f t="shared" si="128"/>
        <v>0</v>
      </c>
      <c r="IZ66" s="70">
        <f t="shared" si="129"/>
        <v>1661907</v>
      </c>
      <c r="JA66" s="70">
        <f t="shared" si="130"/>
        <v>0</v>
      </c>
      <c r="JB66" s="70">
        <f t="shared" si="131"/>
        <v>9507122</v>
      </c>
      <c r="JC66" s="70">
        <f t="shared" si="132"/>
        <v>0</v>
      </c>
      <c r="JD66" s="70">
        <f t="shared" si="133"/>
        <v>2714583</v>
      </c>
      <c r="JE66" s="70">
        <f t="shared" si="134"/>
        <v>0</v>
      </c>
      <c r="JF66" s="70">
        <f t="shared" si="135"/>
        <v>4950700</v>
      </c>
      <c r="JG66" s="70">
        <f t="shared" si="136"/>
        <v>0</v>
      </c>
      <c r="JH66" s="70">
        <f t="shared" si="137"/>
        <v>1027169</v>
      </c>
      <c r="JI66" s="70">
        <f t="shared" si="138"/>
        <v>0</v>
      </c>
      <c r="JJ66" s="70">
        <f t="shared" si="139"/>
        <v>1857162</v>
      </c>
      <c r="JK66" s="70">
        <f t="shared" si="140"/>
        <v>0</v>
      </c>
      <c r="JL66" s="70">
        <f t="shared" si="141"/>
        <v>5707938</v>
      </c>
      <c r="JM66" s="70">
        <f t="shared" si="142"/>
        <v>0</v>
      </c>
      <c r="JN66" s="70">
        <f>SUM(FU66:FY66)</f>
        <v>1368737</v>
      </c>
      <c r="JO66" s="70">
        <f>FZ66-JN66</f>
        <v>0</v>
      </c>
      <c r="JP66" s="70">
        <f t="shared" si="145"/>
        <v>0</v>
      </c>
      <c r="JQ66" s="70">
        <f t="shared" si="146"/>
        <v>0</v>
      </c>
      <c r="JR66" s="70">
        <f>SUM(FU66:FY66)</f>
        <v>1368737</v>
      </c>
      <c r="JS66" s="70">
        <f>FZ66-JR66</f>
        <v>0</v>
      </c>
      <c r="JT66" s="70">
        <f t="shared" si="149"/>
        <v>318644</v>
      </c>
      <c r="JU66" s="70">
        <f t="shared" si="150"/>
        <v>0</v>
      </c>
      <c r="JV66" s="70">
        <f t="shared" si="151"/>
        <v>10007792</v>
      </c>
      <c r="JW66" s="70">
        <f t="shared" si="152"/>
        <v>0</v>
      </c>
      <c r="JX66" s="70">
        <f t="shared" si="153"/>
        <v>113937001</v>
      </c>
      <c r="JY66" s="70">
        <f t="shared" si="154"/>
        <v>0</v>
      </c>
      <c r="JZ66" s="70">
        <f t="shared" si="155"/>
        <v>8634183</v>
      </c>
      <c r="KA66" s="70">
        <f t="shared" si="156"/>
        <v>0</v>
      </c>
      <c r="KB66" s="70">
        <f t="shared" si="157"/>
        <v>122571184</v>
      </c>
      <c r="KC66" s="70">
        <f t="shared" si="158"/>
        <v>0</v>
      </c>
      <c r="KE66" s="70" t="e">
        <f t="shared" si="159"/>
        <v>#REF!</v>
      </c>
      <c r="KG66" s="68" t="e">
        <f t="shared" ref="KG66:KG95" si="160">IF(KE66=0,0,1)</f>
        <v>#REF!</v>
      </c>
    </row>
    <row r="67" spans="1:304">
      <c r="A67" s="76" t="s">
        <v>288</v>
      </c>
      <c r="B67" s="76" t="s">
        <v>364</v>
      </c>
      <c r="C67" s="90">
        <v>176080</v>
      </c>
      <c r="D67" s="90">
        <v>2014</v>
      </c>
      <c r="E67" s="90">
        <v>1</v>
      </c>
      <c r="F67" s="91">
        <v>2</v>
      </c>
      <c r="G67" s="92">
        <v>8570</v>
      </c>
      <c r="H67" s="92">
        <v>8783</v>
      </c>
      <c r="I67" s="93">
        <v>865092000</v>
      </c>
      <c r="J67" s="93">
        <v>837851000</v>
      </c>
      <c r="K67" s="93">
        <v>9876036</v>
      </c>
      <c r="L67" s="93">
        <v>9527000</v>
      </c>
      <c r="M67" s="93">
        <v>212723000</v>
      </c>
      <c r="N67" s="93">
        <v>97877000</v>
      </c>
      <c r="O67" s="93">
        <v>114994970</v>
      </c>
      <c r="P67" s="93">
        <v>120054000</v>
      </c>
      <c r="Q67" s="93">
        <v>783567000</v>
      </c>
      <c r="R67" s="93">
        <v>787791000</v>
      </c>
      <c r="S67" s="93">
        <v>502096867</v>
      </c>
      <c r="T67" s="93">
        <v>485013000</v>
      </c>
      <c r="U67" s="93">
        <v>20161</v>
      </c>
      <c r="V67" s="93">
        <v>18774</v>
      </c>
      <c r="W67" s="93">
        <v>32350</v>
      </c>
      <c r="X67" s="93">
        <v>30410</v>
      </c>
      <c r="Y67" s="93">
        <v>23221</v>
      </c>
      <c r="Z67" s="93">
        <v>22441</v>
      </c>
      <c r="AA67" s="93">
        <v>35510</v>
      </c>
      <c r="AB67" s="93">
        <v>34078</v>
      </c>
      <c r="AC67" s="114">
        <v>10</v>
      </c>
      <c r="AD67" s="114">
        <v>11</v>
      </c>
      <c r="AE67" s="114">
        <v>0</v>
      </c>
      <c r="AF67" s="115">
        <v>6176087</v>
      </c>
      <c r="AG67" s="115">
        <v>5113263</v>
      </c>
      <c r="AH67" s="115">
        <v>1439983</v>
      </c>
      <c r="AI67" s="115">
        <v>576875</v>
      </c>
      <c r="AJ67" s="115">
        <v>1305283</v>
      </c>
      <c r="AK67" s="116">
        <v>7.5</v>
      </c>
      <c r="AL67" s="115">
        <v>1223703</v>
      </c>
      <c r="AM67" s="116">
        <v>8</v>
      </c>
      <c r="AN67" s="115">
        <v>379093</v>
      </c>
      <c r="AO67" s="116">
        <v>8.5</v>
      </c>
      <c r="AP67" s="115">
        <v>358032</v>
      </c>
      <c r="AQ67" s="116">
        <v>9</v>
      </c>
      <c r="AR67" s="115">
        <v>298646</v>
      </c>
      <c r="AS67" s="116">
        <v>22.5</v>
      </c>
      <c r="AT67" s="115">
        <v>268781</v>
      </c>
      <c r="AU67" s="116">
        <v>25</v>
      </c>
      <c r="AV67" s="115">
        <v>124987</v>
      </c>
      <c r="AW67" s="116">
        <v>17.5</v>
      </c>
      <c r="AX67" s="115">
        <v>109364</v>
      </c>
      <c r="AY67" s="116">
        <v>20</v>
      </c>
      <c r="AZ67" s="139">
        <v>33426977</v>
      </c>
      <c r="BA67" s="139">
        <v>1000000</v>
      </c>
      <c r="BB67" s="139">
        <v>33363102</v>
      </c>
      <c r="BC67" s="139">
        <v>1433321</v>
      </c>
      <c r="BD67" s="139">
        <v>360581</v>
      </c>
      <c r="BE67" s="139">
        <v>0</v>
      </c>
      <c r="BF67" s="139">
        <v>0</v>
      </c>
      <c r="BG67" s="139">
        <v>0</v>
      </c>
      <c r="BH67" s="139">
        <v>0</v>
      </c>
      <c r="BI67" s="139">
        <v>0</v>
      </c>
      <c r="BJ67" s="139">
        <v>0</v>
      </c>
      <c r="BK67" s="139">
        <v>75502</v>
      </c>
      <c r="BL67" s="139">
        <v>77449</v>
      </c>
      <c r="BM67" s="139">
        <v>177280</v>
      </c>
      <c r="BN67" s="139">
        <v>722765</v>
      </c>
      <c r="BO67" s="139">
        <v>3902956</v>
      </c>
      <c r="BP67" s="139">
        <v>4955952</v>
      </c>
      <c r="BQ67" s="139">
        <v>98837</v>
      </c>
      <c r="BR67" s="139">
        <v>22194</v>
      </c>
      <c r="BS67" s="139">
        <v>43575</v>
      </c>
      <c r="BT67" s="139">
        <v>183552</v>
      </c>
      <c r="BU67" s="139">
        <v>5944038</v>
      </c>
      <c r="BV67" s="139">
        <v>6292196</v>
      </c>
      <c r="BW67" s="139">
        <v>69029858</v>
      </c>
      <c r="BX67" s="139">
        <v>9314707</v>
      </c>
      <c r="BY67" s="139">
        <v>2267867</v>
      </c>
      <c r="BZ67" s="139">
        <v>7660705</v>
      </c>
      <c r="CA67" s="139">
        <v>40953555</v>
      </c>
      <c r="CB67" s="139">
        <v>129226692</v>
      </c>
      <c r="CC67" s="139">
        <v>3361841</v>
      </c>
      <c r="CD67" s="139">
        <v>484287</v>
      </c>
      <c r="CE67" s="139">
        <v>642528</v>
      </c>
      <c r="CF67" s="139">
        <v>6800694</v>
      </c>
      <c r="CG67" s="139">
        <v>63011</v>
      </c>
      <c r="CH67" s="139">
        <v>11352361</v>
      </c>
      <c r="CI67" s="139">
        <v>1400000</v>
      </c>
      <c r="CJ67" s="139">
        <v>510000</v>
      </c>
      <c r="CK67" s="139">
        <v>239000</v>
      </c>
      <c r="CL67" s="139">
        <v>115966</v>
      </c>
      <c r="CM67" s="139">
        <v>0</v>
      </c>
      <c r="CN67" s="139">
        <v>2264966</v>
      </c>
      <c r="CO67" s="139">
        <v>10279674</v>
      </c>
      <c r="CP67" s="139">
        <v>3501489</v>
      </c>
      <c r="CQ67" s="139">
        <v>1913176</v>
      </c>
      <c r="CR67" s="139">
        <v>6224381</v>
      </c>
      <c r="CS67" s="139">
        <v>0</v>
      </c>
      <c r="CT67" s="139">
        <v>21918720</v>
      </c>
      <c r="CU67" s="139">
        <v>0</v>
      </c>
      <c r="CV67" s="139">
        <v>0</v>
      </c>
      <c r="CW67" s="139">
        <v>0</v>
      </c>
      <c r="CX67" s="139">
        <v>0</v>
      </c>
      <c r="CY67" s="139">
        <v>0</v>
      </c>
      <c r="CZ67" s="139">
        <v>0</v>
      </c>
      <c r="DA67" s="139">
        <v>1090622</v>
      </c>
      <c r="DB67" s="139">
        <v>398062</v>
      </c>
      <c r="DC67" s="139">
        <v>299933</v>
      </c>
      <c r="DD67" s="139">
        <v>559398</v>
      </c>
      <c r="DE67" s="139">
        <v>15694730</v>
      </c>
      <c r="DF67" s="139">
        <v>18042745</v>
      </c>
      <c r="DG67" s="139">
        <v>0</v>
      </c>
      <c r="DH67" s="139">
        <v>0</v>
      </c>
      <c r="DI67" s="139">
        <v>0</v>
      </c>
      <c r="DJ67" s="139">
        <v>0</v>
      </c>
      <c r="DK67" s="139">
        <v>0</v>
      </c>
      <c r="DL67" s="139">
        <v>0</v>
      </c>
      <c r="DM67" s="139">
        <v>100744</v>
      </c>
      <c r="DN67" s="139">
        <v>0</v>
      </c>
      <c r="DO67" s="139">
        <v>0</v>
      </c>
      <c r="DP67" s="139">
        <v>54357</v>
      </c>
      <c r="DQ67" s="139">
        <v>0</v>
      </c>
      <c r="DR67" s="139">
        <v>155101</v>
      </c>
      <c r="DS67" s="139">
        <v>880541</v>
      </c>
      <c r="DT67" s="139">
        <v>328630</v>
      </c>
      <c r="DU67" s="139">
        <v>227971</v>
      </c>
      <c r="DV67" s="139">
        <v>579716</v>
      </c>
      <c r="DW67" s="139">
        <v>0</v>
      </c>
      <c r="DX67" s="139">
        <v>2016858</v>
      </c>
      <c r="DY67" s="139">
        <v>2478322</v>
      </c>
      <c r="DZ67" s="139">
        <v>758764</v>
      </c>
      <c r="EA67" s="139">
        <v>684258</v>
      </c>
      <c r="EB67" s="139">
        <v>3485052</v>
      </c>
      <c r="EC67" s="139">
        <v>123669</v>
      </c>
      <c r="ED67" s="139">
        <v>7530065</v>
      </c>
      <c r="EE67" s="139">
        <v>1232903</v>
      </c>
      <c r="EF67" s="139">
        <v>256354</v>
      </c>
      <c r="EG67" s="139">
        <v>218729</v>
      </c>
      <c r="EH67" s="139">
        <v>1818350</v>
      </c>
      <c r="EI67" s="139">
        <v>1103243</v>
      </c>
      <c r="EJ67" s="139">
        <v>4629579</v>
      </c>
      <c r="EK67" s="139">
        <v>4356621</v>
      </c>
      <c r="EL67" s="139">
        <v>979852</v>
      </c>
      <c r="EM67" s="139">
        <v>412767</v>
      </c>
      <c r="EN67" s="139">
        <v>715230</v>
      </c>
      <c r="EO67" s="139">
        <v>1774375</v>
      </c>
      <c r="EP67" s="139">
        <v>8238845</v>
      </c>
      <c r="EQ67" s="139">
        <v>450066</v>
      </c>
      <c r="ER67" s="139">
        <v>274138</v>
      </c>
      <c r="ES67" s="139">
        <v>191778</v>
      </c>
      <c r="ET67" s="139">
        <v>594629</v>
      </c>
      <c r="EU67" s="139">
        <v>2822662</v>
      </c>
      <c r="EV67" s="139">
        <v>4333273</v>
      </c>
      <c r="EW67" s="139">
        <v>0</v>
      </c>
      <c r="EX67" s="139">
        <v>0</v>
      </c>
      <c r="EY67" s="139">
        <v>0</v>
      </c>
      <c r="EZ67" s="139">
        <v>0</v>
      </c>
      <c r="FA67" s="139">
        <v>0</v>
      </c>
      <c r="FB67" s="139">
        <v>0</v>
      </c>
      <c r="FC67" s="139">
        <v>928724</v>
      </c>
      <c r="FD67" s="139">
        <v>190061</v>
      </c>
      <c r="FE67" s="139">
        <v>203373</v>
      </c>
      <c r="FF67" s="139">
        <v>1382221</v>
      </c>
      <c r="FG67" s="139">
        <v>22769789</v>
      </c>
      <c r="FH67" s="139">
        <v>25474168</v>
      </c>
      <c r="FI67" s="139">
        <v>0</v>
      </c>
      <c r="FJ67" s="139">
        <v>0</v>
      </c>
      <c r="FK67" s="139">
        <v>0</v>
      </c>
      <c r="FL67" s="139">
        <v>0</v>
      </c>
      <c r="FM67" s="139">
        <v>168633</v>
      </c>
      <c r="FN67" s="139">
        <v>168633</v>
      </c>
      <c r="FO67" s="139">
        <v>0</v>
      </c>
      <c r="FP67" s="139">
        <v>0</v>
      </c>
      <c r="FQ67" s="139">
        <v>0</v>
      </c>
      <c r="FR67" s="139">
        <v>0</v>
      </c>
      <c r="FS67" s="139">
        <v>0</v>
      </c>
      <c r="FT67" s="139">
        <v>0</v>
      </c>
      <c r="FU67" s="139">
        <v>200395</v>
      </c>
      <c r="FV67" s="139">
        <v>24302</v>
      </c>
      <c r="FW67" s="139">
        <v>18817</v>
      </c>
      <c r="FX67" s="139">
        <v>429647</v>
      </c>
      <c r="FY67" s="139">
        <v>647043</v>
      </c>
      <c r="FZ67" s="139">
        <v>1320204</v>
      </c>
      <c r="GA67" s="139">
        <v>5049</v>
      </c>
      <c r="GB67" s="139">
        <v>2046</v>
      </c>
      <c r="GC67" s="139">
        <v>2353</v>
      </c>
      <c r="GD67" s="139">
        <v>22922</v>
      </c>
      <c r="GE67" s="139">
        <v>54605</v>
      </c>
      <c r="GF67" s="139">
        <v>86975</v>
      </c>
      <c r="GG67" s="139">
        <v>835069</v>
      </c>
      <c r="GH67" s="139">
        <v>187678</v>
      </c>
      <c r="GI67" s="139">
        <v>149819</v>
      </c>
      <c r="GJ67" s="139">
        <v>424391</v>
      </c>
      <c r="GK67" s="139">
        <v>4237248</v>
      </c>
      <c r="GL67" s="139">
        <v>5834205</v>
      </c>
      <c r="GM67" s="139">
        <v>27600571</v>
      </c>
      <c r="GN67" s="139">
        <v>7895663</v>
      </c>
      <c r="GO67" s="139">
        <v>5204502</v>
      </c>
      <c r="GP67" s="139">
        <v>23206954</v>
      </c>
      <c r="GQ67" s="139">
        <v>49459008</v>
      </c>
      <c r="GR67" s="139">
        <v>113366698</v>
      </c>
      <c r="GS67" s="139">
        <v>0</v>
      </c>
      <c r="GT67" s="139">
        <v>0</v>
      </c>
      <c r="GU67" s="139">
        <v>0</v>
      </c>
      <c r="GV67" s="139">
        <v>0</v>
      </c>
      <c r="GW67" s="139">
        <v>3180078</v>
      </c>
      <c r="GX67" s="139">
        <v>3180078</v>
      </c>
      <c r="GY67" s="139">
        <v>27600571</v>
      </c>
      <c r="GZ67" s="139">
        <v>7895663</v>
      </c>
      <c r="HA67" s="139">
        <v>5204502</v>
      </c>
      <c r="HB67" s="139">
        <v>23206954</v>
      </c>
      <c r="HC67" s="139">
        <v>52639086</v>
      </c>
      <c r="HD67" s="139">
        <v>116546776</v>
      </c>
      <c r="HF67" s="70">
        <f>SUM(AZ67:AZ67)</f>
        <v>33426977</v>
      </c>
      <c r="HG67" s="70" t="e">
        <f>#REF!-HF67</f>
        <v>#REF!</v>
      </c>
      <c r="HH67" s="70" t="e">
        <f>SUM(#REF!)</f>
        <v>#REF!</v>
      </c>
      <c r="HI67" s="70" t="e">
        <f>#REF!-HH67</f>
        <v>#REF!</v>
      </c>
      <c r="HJ67" s="70">
        <f>SUM(BA67:BA67)</f>
        <v>1000000</v>
      </c>
      <c r="HK67" s="70" t="e">
        <f>#REF!-HJ67</f>
        <v>#REF!</v>
      </c>
      <c r="HL67" s="70" t="e">
        <f>SUM(#REF!)</f>
        <v>#REF!</v>
      </c>
      <c r="HM67" s="70" t="e">
        <f>BB67-HL67</f>
        <v>#REF!</v>
      </c>
      <c r="HN67" s="70" t="e">
        <f>SUM(#REF!)</f>
        <v>#REF!</v>
      </c>
      <c r="HO67" s="70" t="e">
        <f>#REF!-HN67</f>
        <v>#REF!</v>
      </c>
      <c r="HP67" s="70" t="e">
        <f>SUM(#REF!)</f>
        <v>#REF!</v>
      </c>
      <c r="HQ67" s="70" t="e">
        <f>#REF!-HP67</f>
        <v>#REF!</v>
      </c>
      <c r="HR67" s="70" t="e">
        <f>SUM(#REF!)</f>
        <v>#REF!</v>
      </c>
      <c r="HS67" s="70" t="e">
        <f>#REF!-HR67</f>
        <v>#REF!</v>
      </c>
      <c r="HT67" s="70" t="e">
        <f>SUM(#REF!)</f>
        <v>#REF!</v>
      </c>
      <c r="HU67" s="70" t="e">
        <f>#REF!-HT67</f>
        <v>#REF!</v>
      </c>
      <c r="HV67" s="70" t="e">
        <f>SUM(#REF!)</f>
        <v>#REF!</v>
      </c>
      <c r="HW67" s="70" t="e">
        <f>#REF!-HV67</f>
        <v>#REF!</v>
      </c>
      <c r="HX67" s="70" t="e">
        <f>SUM(#REF!)</f>
        <v>#REF!</v>
      </c>
      <c r="HY67" s="70" t="e">
        <f>#REF!-HX67</f>
        <v>#REF!</v>
      </c>
      <c r="HZ67" s="70">
        <f>SUM(BC67:BC67)</f>
        <v>1433321</v>
      </c>
      <c r="IA67" s="70" t="e">
        <f>#REF!-HZ67</f>
        <v>#REF!</v>
      </c>
      <c r="IB67" s="70">
        <f>SUM(BD67:BD67)</f>
        <v>360581</v>
      </c>
      <c r="IC67" s="70" t="e">
        <f>#REF!-IB67</f>
        <v>#REF!</v>
      </c>
      <c r="ID67" s="70">
        <f t="shared" si="109"/>
        <v>0</v>
      </c>
      <c r="IE67" s="70">
        <f t="shared" si="110"/>
        <v>0</v>
      </c>
      <c r="IF67" s="70">
        <f t="shared" si="111"/>
        <v>4955952</v>
      </c>
      <c r="IG67" s="70">
        <f t="shared" si="112"/>
        <v>0</v>
      </c>
      <c r="IH67" s="70">
        <f t="shared" si="113"/>
        <v>6292196</v>
      </c>
      <c r="II67" s="70">
        <f t="shared" si="114"/>
        <v>0</v>
      </c>
      <c r="IJ67" s="70">
        <f t="shared" si="115"/>
        <v>129226692</v>
      </c>
      <c r="IK67" s="70">
        <f t="shared" si="116"/>
        <v>0</v>
      </c>
      <c r="IL67" s="70">
        <f t="shared" si="117"/>
        <v>11352361</v>
      </c>
      <c r="IM67" s="70">
        <f t="shared" si="118"/>
        <v>0</v>
      </c>
      <c r="IN67" s="70">
        <f t="shared" si="119"/>
        <v>2264966</v>
      </c>
      <c r="IO67" s="70">
        <f t="shared" si="120"/>
        <v>0</v>
      </c>
      <c r="IP67" s="70">
        <f t="shared" si="121"/>
        <v>21918720</v>
      </c>
      <c r="IQ67" s="70">
        <f t="shared" si="122"/>
        <v>0</v>
      </c>
      <c r="IR67" s="70">
        <f t="shared" si="107"/>
        <v>0</v>
      </c>
      <c r="IS67" s="70">
        <f t="shared" si="108"/>
        <v>0</v>
      </c>
      <c r="IT67" s="70">
        <f t="shared" si="123"/>
        <v>18042745</v>
      </c>
      <c r="IU67" s="70">
        <f t="shared" si="124"/>
        <v>0</v>
      </c>
      <c r="IV67" s="70">
        <f t="shared" si="125"/>
        <v>0</v>
      </c>
      <c r="IW67" s="70">
        <f t="shared" si="126"/>
        <v>0</v>
      </c>
      <c r="IX67" s="70">
        <f t="shared" si="127"/>
        <v>155101</v>
      </c>
      <c r="IY67" s="70">
        <f t="shared" si="128"/>
        <v>0</v>
      </c>
      <c r="IZ67" s="70">
        <f t="shared" si="129"/>
        <v>2016858</v>
      </c>
      <c r="JA67" s="70">
        <f t="shared" si="130"/>
        <v>0</v>
      </c>
      <c r="JB67" s="70">
        <f t="shared" si="131"/>
        <v>7530065</v>
      </c>
      <c r="JC67" s="70">
        <f t="shared" si="132"/>
        <v>0</v>
      </c>
      <c r="JD67" s="70">
        <f t="shared" si="133"/>
        <v>4629579</v>
      </c>
      <c r="JE67" s="70">
        <f t="shared" si="134"/>
        <v>0</v>
      </c>
      <c r="JF67" s="70">
        <f t="shared" si="135"/>
        <v>8238845</v>
      </c>
      <c r="JG67" s="70">
        <f t="shared" si="136"/>
        <v>0</v>
      </c>
      <c r="JH67" s="70">
        <f t="shared" si="137"/>
        <v>4333273</v>
      </c>
      <c r="JI67" s="70">
        <f t="shared" si="138"/>
        <v>0</v>
      </c>
      <c r="JJ67" s="70">
        <f t="shared" si="139"/>
        <v>0</v>
      </c>
      <c r="JK67" s="70">
        <f t="shared" si="140"/>
        <v>0</v>
      </c>
      <c r="JL67" s="70">
        <f t="shared" si="141"/>
        <v>25474168</v>
      </c>
      <c r="JM67" s="70">
        <f t="shared" si="142"/>
        <v>0</v>
      </c>
      <c r="JN67" s="70">
        <f t="shared" si="143"/>
        <v>168633</v>
      </c>
      <c r="JO67" s="70">
        <f t="shared" si="144"/>
        <v>0</v>
      </c>
      <c r="JP67" s="70">
        <f t="shared" si="145"/>
        <v>0</v>
      </c>
      <c r="JQ67" s="70">
        <f t="shared" si="146"/>
        <v>0</v>
      </c>
      <c r="JR67" s="70">
        <f t="shared" si="147"/>
        <v>1320204</v>
      </c>
      <c r="JS67" s="70">
        <f t="shared" si="148"/>
        <v>0</v>
      </c>
      <c r="JT67" s="70">
        <f t="shared" si="149"/>
        <v>86975</v>
      </c>
      <c r="JU67" s="70">
        <f t="shared" si="150"/>
        <v>0</v>
      </c>
      <c r="JV67" s="70">
        <f t="shared" si="151"/>
        <v>5834205</v>
      </c>
      <c r="JW67" s="70">
        <f t="shared" si="152"/>
        <v>0</v>
      </c>
      <c r="JX67" s="70">
        <f t="shared" si="153"/>
        <v>113366698</v>
      </c>
      <c r="JY67" s="70">
        <f t="shared" si="154"/>
        <v>0</v>
      </c>
      <c r="JZ67" s="70">
        <f t="shared" si="155"/>
        <v>3180078</v>
      </c>
      <c r="KA67" s="70">
        <f t="shared" si="156"/>
        <v>0</v>
      </c>
      <c r="KB67" s="70">
        <f t="shared" si="157"/>
        <v>116546776</v>
      </c>
      <c r="KC67" s="70">
        <f t="shared" si="158"/>
        <v>0</v>
      </c>
      <c r="KE67" s="70" t="e">
        <f t="shared" si="159"/>
        <v>#REF!</v>
      </c>
      <c r="KG67" s="68" t="e">
        <f t="shared" si="160"/>
        <v>#REF!</v>
      </c>
      <c r="KR67" s="80"/>
    </row>
    <row r="68" spans="1:304">
      <c r="A68" s="180" t="s">
        <v>289</v>
      </c>
      <c r="B68" s="76" t="s">
        <v>364</v>
      </c>
      <c r="C68" s="90">
        <v>178396</v>
      </c>
      <c r="D68" s="90">
        <v>2014</v>
      </c>
      <c r="E68" s="90">
        <v>1</v>
      </c>
      <c r="F68" s="91">
        <v>2</v>
      </c>
      <c r="G68" s="92">
        <v>9025</v>
      </c>
      <c r="H68" s="92">
        <v>8722</v>
      </c>
      <c r="I68" s="93">
        <v>1047974000</v>
      </c>
      <c r="J68" s="93">
        <v>1008892000</v>
      </c>
      <c r="K68" s="93">
        <v>6752000</v>
      </c>
      <c r="L68" s="93">
        <v>6840000</v>
      </c>
      <c r="M68" s="93">
        <v>48995000</v>
      </c>
      <c r="N68" s="93">
        <v>46617000</v>
      </c>
      <c r="O68" s="93">
        <v>86785000</v>
      </c>
      <c r="P68" s="93">
        <v>89560000</v>
      </c>
      <c r="Q68" s="93">
        <v>664351000</v>
      </c>
      <c r="R68" s="93">
        <v>591801000</v>
      </c>
      <c r="S68" s="93">
        <v>768607000</v>
      </c>
      <c r="T68" s="93">
        <v>730678841</v>
      </c>
      <c r="U68" s="93">
        <v>18330</v>
      </c>
      <c r="V68" s="93">
        <v>18200</v>
      </c>
      <c r="W68" s="93">
        <v>30070</v>
      </c>
      <c r="X68" s="93">
        <v>29410</v>
      </c>
      <c r="Y68" s="93">
        <v>22100</v>
      </c>
      <c r="Z68" s="93">
        <v>21810</v>
      </c>
      <c r="AA68" s="93">
        <v>33840</v>
      </c>
      <c r="AB68" s="93">
        <v>33020</v>
      </c>
      <c r="AC68" s="114">
        <v>9</v>
      </c>
      <c r="AD68" s="114">
        <v>9</v>
      </c>
      <c r="AE68" s="114">
        <v>0</v>
      </c>
      <c r="AF68" s="115">
        <v>2753262</v>
      </c>
      <c r="AG68" s="115">
        <v>1627029</v>
      </c>
      <c r="AH68" s="115">
        <v>491511</v>
      </c>
      <c r="AI68" s="115">
        <v>231922</v>
      </c>
      <c r="AJ68" s="115">
        <v>1022442</v>
      </c>
      <c r="AK68" s="116">
        <v>6.5</v>
      </c>
      <c r="AL68" s="115">
        <v>949410</v>
      </c>
      <c r="AM68" s="116">
        <v>7</v>
      </c>
      <c r="AN68" s="115">
        <v>221443</v>
      </c>
      <c r="AO68" s="116">
        <v>6.5</v>
      </c>
      <c r="AP68" s="115">
        <v>205626</v>
      </c>
      <c r="AQ68" s="116">
        <v>7</v>
      </c>
      <c r="AR68" s="115">
        <v>292148</v>
      </c>
      <c r="AS68" s="116">
        <v>20</v>
      </c>
      <c r="AT68" s="115">
        <v>292148</v>
      </c>
      <c r="AU68" s="116">
        <v>20</v>
      </c>
      <c r="AV68" s="115">
        <v>97355</v>
      </c>
      <c r="AW68" s="116">
        <v>14</v>
      </c>
      <c r="AX68" s="115">
        <v>97355</v>
      </c>
      <c r="AY68" s="116">
        <v>14</v>
      </c>
      <c r="AZ68" s="139">
        <v>18541629</v>
      </c>
      <c r="BA68" s="139">
        <v>2290000</v>
      </c>
      <c r="BB68" s="139">
        <v>37027350</v>
      </c>
      <c r="BC68" s="139">
        <v>296389</v>
      </c>
      <c r="BD68" s="139">
        <v>0</v>
      </c>
      <c r="BE68" s="139">
        <v>0</v>
      </c>
      <c r="BF68" s="139">
        <v>0</v>
      </c>
      <c r="BG68" s="139">
        <v>0</v>
      </c>
      <c r="BH68" s="139">
        <v>0</v>
      </c>
      <c r="BI68" s="139">
        <v>0</v>
      </c>
      <c r="BJ68" s="139">
        <v>0</v>
      </c>
      <c r="BK68" s="139">
        <v>295446</v>
      </c>
      <c r="BL68" s="139">
        <v>272483</v>
      </c>
      <c r="BM68" s="139">
        <v>35102</v>
      </c>
      <c r="BN68" s="139">
        <v>426336</v>
      </c>
      <c r="BO68" s="139">
        <v>11302784</v>
      </c>
      <c r="BP68" s="139">
        <v>12332151</v>
      </c>
      <c r="BQ68" s="139">
        <v>494120</v>
      </c>
      <c r="BR68" s="139">
        <v>-360</v>
      </c>
      <c r="BS68" s="139">
        <v>99</v>
      </c>
      <c r="BT68" s="139">
        <v>135172</v>
      </c>
      <c r="BU68" s="139">
        <v>1995705</v>
      </c>
      <c r="BV68" s="139">
        <v>2624736</v>
      </c>
      <c r="BW68" s="139">
        <v>48635619</v>
      </c>
      <c r="BX68" s="139">
        <v>10920836</v>
      </c>
      <c r="BY68" s="139">
        <v>798455</v>
      </c>
      <c r="BZ68" s="139">
        <v>4530699</v>
      </c>
      <c r="CA68" s="139">
        <v>52917693</v>
      </c>
      <c r="CB68" s="139">
        <v>117803302</v>
      </c>
      <c r="CC68" s="139">
        <v>1744401</v>
      </c>
      <c r="CD68" s="139">
        <v>275555</v>
      </c>
      <c r="CE68" s="139">
        <v>276144</v>
      </c>
      <c r="CF68" s="139">
        <v>2084191</v>
      </c>
      <c r="CG68" s="139">
        <v>4676411</v>
      </c>
      <c r="CH68" s="139">
        <v>9056702</v>
      </c>
      <c r="CI68" s="139">
        <v>350000</v>
      </c>
      <c r="CJ68" s="139">
        <v>564443</v>
      </c>
      <c r="CK68" s="139">
        <v>138848</v>
      </c>
      <c r="CL68" s="139">
        <v>47186</v>
      </c>
      <c r="CM68" s="139">
        <v>0</v>
      </c>
      <c r="CN68" s="139">
        <v>1100477</v>
      </c>
      <c r="CO68" s="139">
        <v>7019910</v>
      </c>
      <c r="CP68" s="139">
        <v>3185975</v>
      </c>
      <c r="CQ68" s="139">
        <v>999487</v>
      </c>
      <c r="CR68" s="139">
        <v>4085800</v>
      </c>
      <c r="CS68" s="139">
        <v>0</v>
      </c>
      <c r="CT68" s="139">
        <v>15291172</v>
      </c>
      <c r="CU68" s="139">
        <v>0</v>
      </c>
      <c r="CV68" s="139">
        <v>0</v>
      </c>
      <c r="CW68" s="139">
        <v>0</v>
      </c>
      <c r="CX68" s="139">
        <v>0</v>
      </c>
      <c r="CY68" s="139">
        <v>0</v>
      </c>
      <c r="CZ68" s="139">
        <v>0</v>
      </c>
      <c r="DA68" s="139">
        <v>1019356</v>
      </c>
      <c r="DB68" s="139">
        <v>321358</v>
      </c>
      <c r="DC68" s="139">
        <v>185025</v>
      </c>
      <c r="DD68" s="139">
        <v>495011</v>
      </c>
      <c r="DE68" s="139">
        <v>9807312</v>
      </c>
      <c r="DF68" s="139">
        <v>11828062</v>
      </c>
      <c r="DG68" s="139">
        <v>0</v>
      </c>
      <c r="DH68" s="139">
        <v>0</v>
      </c>
      <c r="DI68" s="139">
        <v>0</v>
      </c>
      <c r="DJ68" s="139">
        <v>0</v>
      </c>
      <c r="DK68" s="139">
        <v>0</v>
      </c>
      <c r="DL68" s="139">
        <v>0</v>
      </c>
      <c r="DM68" s="139">
        <v>0</v>
      </c>
      <c r="DN68" s="139">
        <v>0</v>
      </c>
      <c r="DO68" s="139">
        <v>0</v>
      </c>
      <c r="DP68" s="139">
        <v>0</v>
      </c>
      <c r="DQ68" s="139">
        <v>144956</v>
      </c>
      <c r="DR68" s="139">
        <v>144956</v>
      </c>
      <c r="DS68" s="139">
        <v>203622</v>
      </c>
      <c r="DT68" s="139">
        <v>142999</v>
      </c>
      <c r="DU68" s="139">
        <v>78902</v>
      </c>
      <c r="DV68" s="139">
        <v>297910</v>
      </c>
      <c r="DW68" s="139">
        <v>0</v>
      </c>
      <c r="DX68" s="139">
        <v>723433</v>
      </c>
      <c r="DY68" s="139">
        <v>1869722</v>
      </c>
      <c r="DZ68" s="139">
        <v>856023</v>
      </c>
      <c r="EA68" s="139">
        <v>531012</v>
      </c>
      <c r="EB68" s="139">
        <v>2025685</v>
      </c>
      <c r="EC68" s="139">
        <v>64478</v>
      </c>
      <c r="ED68" s="139">
        <v>5346920</v>
      </c>
      <c r="EE68" s="139">
        <v>497540</v>
      </c>
      <c r="EF68" s="139">
        <v>98917</v>
      </c>
      <c r="EG68" s="139">
        <v>104530</v>
      </c>
      <c r="EH68" s="139">
        <v>437421</v>
      </c>
      <c r="EI68" s="139">
        <v>1274395</v>
      </c>
      <c r="EJ68" s="139">
        <v>2412803</v>
      </c>
      <c r="EK68" s="139">
        <v>220507</v>
      </c>
      <c r="EL68" s="139">
        <v>158200</v>
      </c>
      <c r="EM68" s="139">
        <v>140900</v>
      </c>
      <c r="EN68" s="139">
        <v>227676</v>
      </c>
      <c r="EO68" s="139">
        <v>1254183</v>
      </c>
      <c r="EP68" s="139">
        <v>2001466</v>
      </c>
      <c r="EQ68" s="139">
        <v>0</v>
      </c>
      <c r="ER68" s="139">
        <v>0</v>
      </c>
      <c r="ES68" s="139">
        <v>0</v>
      </c>
      <c r="ET68" s="139">
        <v>0</v>
      </c>
      <c r="EU68" s="139">
        <v>1845170</v>
      </c>
      <c r="EV68" s="139">
        <v>1845170</v>
      </c>
      <c r="EW68" s="139">
        <v>0</v>
      </c>
      <c r="EX68" s="139">
        <v>0</v>
      </c>
      <c r="EY68" s="139">
        <v>0</v>
      </c>
      <c r="EZ68" s="139">
        <v>0</v>
      </c>
      <c r="FA68" s="139">
        <v>0</v>
      </c>
      <c r="FB68" s="139">
        <v>0</v>
      </c>
      <c r="FC68" s="139">
        <v>91686</v>
      </c>
      <c r="FD68" s="139">
        <v>58305</v>
      </c>
      <c r="FE68" s="139">
        <v>63501</v>
      </c>
      <c r="FF68" s="139">
        <v>79540</v>
      </c>
      <c r="FG68" s="139">
        <v>27636993</v>
      </c>
      <c r="FH68" s="139">
        <v>27930025</v>
      </c>
      <c r="FI68" s="139">
        <v>0</v>
      </c>
      <c r="FJ68" s="139">
        <v>0</v>
      </c>
      <c r="FK68" s="139">
        <v>0</v>
      </c>
      <c r="FL68" s="139">
        <v>0</v>
      </c>
      <c r="FM68" s="139">
        <v>372504</v>
      </c>
      <c r="FN68" s="139">
        <v>372504</v>
      </c>
      <c r="FO68" s="139">
        <v>0</v>
      </c>
      <c r="FP68" s="139">
        <v>0</v>
      </c>
      <c r="FQ68" s="139">
        <v>0</v>
      </c>
      <c r="FR68" s="139">
        <v>0</v>
      </c>
      <c r="FS68" s="139">
        <v>1515512</v>
      </c>
      <c r="FT68" s="139">
        <v>1515512</v>
      </c>
      <c r="FU68" s="139">
        <v>81964</v>
      </c>
      <c r="FV68" s="139">
        <v>33906</v>
      </c>
      <c r="FW68" s="139">
        <v>12072</v>
      </c>
      <c r="FX68" s="139">
        <v>169004</v>
      </c>
      <c r="FY68" s="139">
        <v>457616</v>
      </c>
      <c r="FZ68" s="139">
        <v>754562</v>
      </c>
      <c r="GA68" s="139">
        <v>58953</v>
      </c>
      <c r="GB68" s="139">
        <v>9034</v>
      </c>
      <c r="GC68" s="139">
        <v>8149</v>
      </c>
      <c r="GD68" s="139">
        <v>28541</v>
      </c>
      <c r="GE68" s="139">
        <v>37325</v>
      </c>
      <c r="GF68" s="139">
        <v>142002</v>
      </c>
      <c r="GG68" s="139">
        <v>9070799</v>
      </c>
      <c r="GH68" s="139">
        <v>5350100</v>
      </c>
      <c r="GI68" s="139">
        <v>182043</v>
      </c>
      <c r="GJ68" s="139">
        <v>2454337</v>
      </c>
      <c r="GK68" s="139">
        <v>12124955</v>
      </c>
      <c r="GL68" s="139">
        <v>29182234</v>
      </c>
      <c r="GM68" s="139">
        <v>22228460</v>
      </c>
      <c r="GN68" s="139">
        <v>11054815</v>
      </c>
      <c r="GO68" s="139">
        <v>2720613</v>
      </c>
      <c r="GP68" s="139">
        <v>12432302</v>
      </c>
      <c r="GQ68" s="139">
        <v>61211810</v>
      </c>
      <c r="GR68" s="139">
        <v>109648000</v>
      </c>
      <c r="GS68" s="139">
        <v>0</v>
      </c>
      <c r="GT68" s="139">
        <v>0</v>
      </c>
      <c r="GU68" s="139">
        <v>0</v>
      </c>
      <c r="GV68" s="139">
        <v>0</v>
      </c>
      <c r="GW68" s="139">
        <v>0</v>
      </c>
      <c r="GX68" s="139">
        <v>0</v>
      </c>
      <c r="GY68" s="139">
        <v>22228460</v>
      </c>
      <c r="GZ68" s="139">
        <v>11054815</v>
      </c>
      <c r="HA68" s="139">
        <v>2720613</v>
      </c>
      <c r="HB68" s="139">
        <v>12432302</v>
      </c>
      <c r="HC68" s="139">
        <v>61211810</v>
      </c>
      <c r="HD68" s="139">
        <v>109648000</v>
      </c>
      <c r="HF68" s="70">
        <f>SUM(AZ68:AZ68)</f>
        <v>18541629</v>
      </c>
      <c r="HG68" s="70" t="e">
        <f>#REF!-HF68</f>
        <v>#REF!</v>
      </c>
      <c r="HH68" s="70" t="e">
        <f>SUM(#REF!)</f>
        <v>#REF!</v>
      </c>
      <c r="HI68" s="70" t="e">
        <f>#REF!-HH68</f>
        <v>#REF!</v>
      </c>
      <c r="HJ68" s="70">
        <f>SUM(BA68:BA68)</f>
        <v>2290000</v>
      </c>
      <c r="HK68" s="70" t="e">
        <f>#REF!-HJ68</f>
        <v>#REF!</v>
      </c>
      <c r="HL68" s="70" t="e">
        <f>SUM(#REF!)</f>
        <v>#REF!</v>
      </c>
      <c r="HM68" s="70" t="e">
        <f>BB68-HL68</f>
        <v>#REF!</v>
      </c>
      <c r="HN68" s="70" t="e">
        <f>SUM(#REF!)</f>
        <v>#REF!</v>
      </c>
      <c r="HO68" s="70" t="e">
        <f>#REF!-HN68</f>
        <v>#REF!</v>
      </c>
      <c r="HP68" s="70" t="e">
        <f>SUM(#REF!)</f>
        <v>#REF!</v>
      </c>
      <c r="HQ68" s="70" t="e">
        <f>#REF!-HP68</f>
        <v>#REF!</v>
      </c>
      <c r="HR68" s="70" t="e">
        <f>SUM(#REF!)</f>
        <v>#REF!</v>
      </c>
      <c r="HS68" s="70" t="e">
        <f>#REF!-HR68</f>
        <v>#REF!</v>
      </c>
      <c r="HT68" s="70" t="e">
        <f>SUM(#REF!)</f>
        <v>#REF!</v>
      </c>
      <c r="HU68" s="70" t="e">
        <f>#REF!-HT68</f>
        <v>#REF!</v>
      </c>
      <c r="HV68" s="70" t="e">
        <f>SUM(#REF!)</f>
        <v>#REF!</v>
      </c>
      <c r="HW68" s="70" t="e">
        <f>#REF!-HV68</f>
        <v>#REF!</v>
      </c>
      <c r="HX68" s="70" t="e">
        <f>SUM(#REF!)</f>
        <v>#REF!</v>
      </c>
      <c r="HY68" s="70" t="e">
        <f>#REF!-HX68</f>
        <v>#REF!</v>
      </c>
      <c r="HZ68" s="70">
        <f>SUM(BC68:BC68)</f>
        <v>296389</v>
      </c>
      <c r="IA68" s="70" t="e">
        <f>#REF!-HZ68</f>
        <v>#REF!</v>
      </c>
      <c r="IB68" s="70">
        <f>SUM(BD68:BD68)</f>
        <v>0</v>
      </c>
      <c r="IC68" s="70" t="e">
        <f>#REF!-IB68</f>
        <v>#REF!</v>
      </c>
      <c r="ID68" s="70">
        <f t="shared" si="109"/>
        <v>0</v>
      </c>
      <c r="IE68" s="70">
        <f t="shared" si="110"/>
        <v>0</v>
      </c>
      <c r="IF68" s="70">
        <f t="shared" si="111"/>
        <v>12332151</v>
      </c>
      <c r="IG68" s="70">
        <f t="shared" si="112"/>
        <v>0</v>
      </c>
      <c r="IH68" s="70">
        <f t="shared" si="113"/>
        <v>2624736</v>
      </c>
      <c r="II68" s="70">
        <f t="shared" si="114"/>
        <v>0</v>
      </c>
      <c r="IJ68" s="70">
        <f t="shared" si="115"/>
        <v>117803302</v>
      </c>
      <c r="IK68" s="70">
        <f t="shared" si="116"/>
        <v>0</v>
      </c>
      <c r="IL68" s="70">
        <f t="shared" si="117"/>
        <v>9056702</v>
      </c>
      <c r="IM68" s="70">
        <f t="shared" si="118"/>
        <v>0</v>
      </c>
      <c r="IN68" s="70">
        <f t="shared" si="119"/>
        <v>1100477</v>
      </c>
      <c r="IO68" s="70">
        <f t="shared" si="120"/>
        <v>0</v>
      </c>
      <c r="IP68" s="70">
        <f t="shared" si="121"/>
        <v>15291172</v>
      </c>
      <c r="IQ68" s="70">
        <f t="shared" si="122"/>
        <v>0</v>
      </c>
      <c r="IR68" s="70">
        <f t="shared" si="107"/>
        <v>0</v>
      </c>
      <c r="IS68" s="70">
        <f t="shared" si="108"/>
        <v>0</v>
      </c>
      <c r="IT68" s="70">
        <f t="shared" si="123"/>
        <v>11828062</v>
      </c>
      <c r="IU68" s="70">
        <f t="shared" si="124"/>
        <v>0</v>
      </c>
      <c r="IV68" s="70">
        <f t="shared" si="125"/>
        <v>0</v>
      </c>
      <c r="IW68" s="70">
        <f t="shared" si="126"/>
        <v>0</v>
      </c>
      <c r="IX68" s="70">
        <f t="shared" si="127"/>
        <v>144956</v>
      </c>
      <c r="IY68" s="70">
        <f t="shared" si="128"/>
        <v>0</v>
      </c>
      <c r="IZ68" s="70">
        <f t="shared" si="129"/>
        <v>723433</v>
      </c>
      <c r="JA68" s="70">
        <f t="shared" si="130"/>
        <v>0</v>
      </c>
      <c r="JB68" s="70">
        <f t="shared" si="131"/>
        <v>5346920</v>
      </c>
      <c r="JC68" s="70">
        <f t="shared" si="132"/>
        <v>0</v>
      </c>
      <c r="JD68" s="70">
        <f t="shared" si="133"/>
        <v>2412803</v>
      </c>
      <c r="JE68" s="70">
        <f t="shared" si="134"/>
        <v>0</v>
      </c>
      <c r="JF68" s="70">
        <f t="shared" si="135"/>
        <v>2001466</v>
      </c>
      <c r="JG68" s="70">
        <f t="shared" si="136"/>
        <v>0</v>
      </c>
      <c r="JH68" s="70">
        <f t="shared" si="137"/>
        <v>1845170</v>
      </c>
      <c r="JI68" s="70">
        <f t="shared" si="138"/>
        <v>0</v>
      </c>
      <c r="JJ68" s="70">
        <f t="shared" si="139"/>
        <v>0</v>
      </c>
      <c r="JK68" s="70">
        <f t="shared" si="140"/>
        <v>0</v>
      </c>
      <c r="JL68" s="70">
        <f t="shared" si="141"/>
        <v>27930025</v>
      </c>
      <c r="JM68" s="70">
        <f t="shared" si="142"/>
        <v>0</v>
      </c>
      <c r="JN68" s="70">
        <f t="shared" si="143"/>
        <v>372504</v>
      </c>
      <c r="JO68" s="70">
        <f t="shared" si="144"/>
        <v>0</v>
      </c>
      <c r="JP68" s="70">
        <f t="shared" si="145"/>
        <v>1515512</v>
      </c>
      <c r="JQ68" s="70">
        <f t="shared" si="146"/>
        <v>0</v>
      </c>
      <c r="JR68" s="70">
        <f t="shared" si="147"/>
        <v>754562</v>
      </c>
      <c r="JS68" s="70">
        <f t="shared" si="148"/>
        <v>0</v>
      </c>
      <c r="JT68" s="70">
        <f t="shared" si="149"/>
        <v>142002</v>
      </c>
      <c r="JU68" s="70">
        <f t="shared" si="150"/>
        <v>0</v>
      </c>
      <c r="JV68" s="70">
        <f t="shared" si="151"/>
        <v>29182234</v>
      </c>
      <c r="JW68" s="70">
        <f t="shared" si="152"/>
        <v>0</v>
      </c>
      <c r="JX68" s="70">
        <f t="shared" si="153"/>
        <v>109648000</v>
      </c>
      <c r="JY68" s="70">
        <f t="shared" si="154"/>
        <v>0</v>
      </c>
      <c r="JZ68" s="70">
        <f t="shared" si="155"/>
        <v>0</v>
      </c>
      <c r="KA68" s="70">
        <f t="shared" si="156"/>
        <v>0</v>
      </c>
      <c r="KB68" s="70">
        <f t="shared" si="157"/>
        <v>109648000</v>
      </c>
      <c r="KC68" s="70">
        <f t="shared" si="158"/>
        <v>0</v>
      </c>
      <c r="KE68" s="70" t="e">
        <f t="shared" si="159"/>
        <v>#REF!</v>
      </c>
      <c r="KG68" s="68" t="e">
        <f t="shared" si="160"/>
        <v>#REF!</v>
      </c>
      <c r="KR68" s="80"/>
    </row>
    <row r="69" spans="1:304">
      <c r="A69" s="180" t="s">
        <v>290</v>
      </c>
      <c r="B69" s="76" t="s">
        <v>364</v>
      </c>
      <c r="C69" s="90">
        <v>181464</v>
      </c>
      <c r="D69" s="90">
        <v>2014</v>
      </c>
      <c r="E69" s="90">
        <v>1</v>
      </c>
      <c r="F69" s="91">
        <v>8</v>
      </c>
      <c r="G69" s="92">
        <v>7079</v>
      </c>
      <c r="H69" s="92">
        <v>7971</v>
      </c>
      <c r="I69" s="93">
        <v>401675588</v>
      </c>
      <c r="J69" s="93">
        <v>375907089</v>
      </c>
      <c r="K69" s="93">
        <v>2338132</v>
      </c>
      <c r="L69" s="93">
        <v>2337019</v>
      </c>
      <c r="M69" s="93">
        <v>13914435</v>
      </c>
      <c r="N69" s="93">
        <v>13262748</v>
      </c>
      <c r="O69" s="93">
        <v>43302973</v>
      </c>
      <c r="P69" s="93">
        <v>45149260</v>
      </c>
      <c r="Q69" s="93">
        <v>246398623</v>
      </c>
      <c r="R69" s="93">
        <v>256445823</v>
      </c>
      <c r="S69" s="93">
        <v>312841593</v>
      </c>
      <c r="T69" s="93">
        <v>295132979</v>
      </c>
      <c r="U69" s="93">
        <v>20760</v>
      </c>
      <c r="V69" s="93">
        <v>19664</v>
      </c>
      <c r="W69" s="93">
        <v>36510</v>
      </c>
      <c r="X69" s="93">
        <v>35144</v>
      </c>
      <c r="Y69" s="93">
        <v>23635</v>
      </c>
      <c r="Z69" s="93">
        <v>22539</v>
      </c>
      <c r="AA69" s="93">
        <v>39385</v>
      </c>
      <c r="AB69" s="93">
        <v>38019</v>
      </c>
      <c r="AC69" s="114">
        <v>9</v>
      </c>
      <c r="AD69" s="114">
        <v>9</v>
      </c>
      <c r="AE69" s="114">
        <v>0</v>
      </c>
      <c r="AF69" s="115">
        <v>4680091</v>
      </c>
      <c r="AG69" s="115">
        <v>3350802</v>
      </c>
      <c r="AH69" s="115">
        <v>507018</v>
      </c>
      <c r="AI69" s="115">
        <v>151254</v>
      </c>
      <c r="AJ69" s="115">
        <v>265603</v>
      </c>
      <c r="AK69" s="116">
        <v>7.75</v>
      </c>
      <c r="AL69" s="115">
        <v>228714</v>
      </c>
      <c r="AM69" s="116">
        <v>9</v>
      </c>
      <c r="AN69" s="115">
        <v>124772</v>
      </c>
      <c r="AO69" s="116">
        <v>8</v>
      </c>
      <c r="AP69" s="115">
        <v>110909</v>
      </c>
      <c r="AQ69" s="116">
        <v>9</v>
      </c>
      <c r="AR69" s="115">
        <v>93299</v>
      </c>
      <c r="AS69" s="116">
        <v>23.07</v>
      </c>
      <c r="AT69" s="115">
        <v>74221</v>
      </c>
      <c r="AU69" s="116">
        <v>29</v>
      </c>
      <c r="AV69" s="115">
        <v>65845</v>
      </c>
      <c r="AW69" s="116">
        <v>15.08</v>
      </c>
      <c r="AX69" s="115">
        <v>52260</v>
      </c>
      <c r="AY69" s="116">
        <v>19</v>
      </c>
      <c r="AZ69" s="139">
        <v>2535254</v>
      </c>
      <c r="BA69" s="139">
        <v>1679065</v>
      </c>
      <c r="BB69" s="139">
        <v>4638049</v>
      </c>
      <c r="BC69" s="139">
        <v>94670</v>
      </c>
      <c r="BD69" s="139">
        <v>91949</v>
      </c>
      <c r="BE69" s="139">
        <v>960</v>
      </c>
      <c r="BF69" s="139">
        <v>1032</v>
      </c>
      <c r="BG69" s="139">
        <v>0</v>
      </c>
      <c r="BH69" s="139">
        <v>6426</v>
      </c>
      <c r="BI69" s="139">
        <v>0</v>
      </c>
      <c r="BJ69" s="139">
        <v>8418</v>
      </c>
      <c r="BK69" s="139">
        <v>0</v>
      </c>
      <c r="BL69" s="139">
        <v>0</v>
      </c>
      <c r="BM69" s="139">
        <v>0</v>
      </c>
      <c r="BN69" s="139">
        <v>0</v>
      </c>
      <c r="BO69" s="139">
        <v>1504</v>
      </c>
      <c r="BP69" s="139">
        <v>1504</v>
      </c>
      <c r="BQ69" s="139">
        <v>11186</v>
      </c>
      <c r="BR69" s="139">
        <v>74999</v>
      </c>
      <c r="BS69" s="139">
        <v>74667</v>
      </c>
      <c r="BT69" s="139">
        <v>0</v>
      </c>
      <c r="BU69" s="139">
        <v>921712</v>
      </c>
      <c r="BV69" s="139">
        <v>1082564</v>
      </c>
      <c r="BW69" s="139">
        <v>6086468</v>
      </c>
      <c r="BX69" s="139">
        <v>1572580</v>
      </c>
      <c r="BY69" s="139">
        <v>509761</v>
      </c>
      <c r="BZ69" s="139">
        <v>487326</v>
      </c>
      <c r="CA69" s="139">
        <v>32405305</v>
      </c>
      <c r="CB69" s="139">
        <v>41061440</v>
      </c>
      <c r="CC69" s="139">
        <v>2691567</v>
      </c>
      <c r="CD69" s="139">
        <v>435564</v>
      </c>
      <c r="CE69" s="139">
        <v>584120</v>
      </c>
      <c r="CF69" s="139">
        <v>4319642</v>
      </c>
      <c r="CG69" s="139">
        <v>23688</v>
      </c>
      <c r="CH69" s="139">
        <v>8054581</v>
      </c>
      <c r="CI69" s="139">
        <v>1150000</v>
      </c>
      <c r="CJ69" s="139">
        <v>379605</v>
      </c>
      <c r="CK69" s="139">
        <v>60635</v>
      </c>
      <c r="CL69" s="139">
        <v>20333</v>
      </c>
      <c r="CM69" s="139">
        <v>0</v>
      </c>
      <c r="CN69" s="139">
        <v>1610573</v>
      </c>
      <c r="CO69" s="139">
        <v>1610387</v>
      </c>
      <c r="CP69" s="139">
        <v>1117772</v>
      </c>
      <c r="CQ69" s="139">
        <v>595633</v>
      </c>
      <c r="CR69" s="139">
        <v>2878173</v>
      </c>
      <c r="CS69" s="139">
        <v>0</v>
      </c>
      <c r="CT69" s="139">
        <v>6201965</v>
      </c>
      <c r="CU69" s="139">
        <v>0</v>
      </c>
      <c r="CV69" s="139">
        <v>0</v>
      </c>
      <c r="CW69" s="139">
        <v>0</v>
      </c>
      <c r="CX69" s="139">
        <v>0</v>
      </c>
      <c r="CY69" s="139">
        <v>0</v>
      </c>
      <c r="CZ69" s="139">
        <v>0</v>
      </c>
      <c r="DA69" s="139">
        <v>356769</v>
      </c>
      <c r="DB69" s="139">
        <v>165185</v>
      </c>
      <c r="DC69" s="139">
        <v>166767</v>
      </c>
      <c r="DD69" s="139">
        <v>74815</v>
      </c>
      <c r="DE69" s="139">
        <v>5043888</v>
      </c>
      <c r="DF69" s="139">
        <v>5807424</v>
      </c>
      <c r="DG69" s="139">
        <v>0</v>
      </c>
      <c r="DH69" s="139">
        <v>0</v>
      </c>
      <c r="DI69" s="139">
        <v>0</v>
      </c>
      <c r="DJ69" s="139">
        <v>0</v>
      </c>
      <c r="DK69" s="139">
        <v>0</v>
      </c>
      <c r="DL69" s="139">
        <v>0</v>
      </c>
      <c r="DM69" s="139">
        <v>0</v>
      </c>
      <c r="DN69" s="139">
        <v>0</v>
      </c>
      <c r="DO69" s="139">
        <v>0</v>
      </c>
      <c r="DP69" s="139">
        <v>0</v>
      </c>
      <c r="DQ69" s="139">
        <v>0</v>
      </c>
      <c r="DR69" s="139">
        <v>0</v>
      </c>
      <c r="DS69" s="139">
        <v>272765</v>
      </c>
      <c r="DT69" s="139">
        <v>121395</v>
      </c>
      <c r="DU69" s="139">
        <v>67645</v>
      </c>
      <c r="DV69" s="139">
        <v>196467</v>
      </c>
      <c r="DW69" s="139">
        <v>3842</v>
      </c>
      <c r="DX69" s="139">
        <v>662114</v>
      </c>
      <c r="DY69" s="139">
        <v>901116</v>
      </c>
      <c r="DZ69" s="139">
        <v>386904</v>
      </c>
      <c r="EA69" s="139">
        <v>358143</v>
      </c>
      <c r="EB69" s="139">
        <v>1402351</v>
      </c>
      <c r="EC69" s="139">
        <v>0</v>
      </c>
      <c r="ED69" s="139">
        <v>3048514</v>
      </c>
      <c r="EE69" s="139">
        <v>421662</v>
      </c>
      <c r="EF69" s="139">
        <v>67138</v>
      </c>
      <c r="EG69" s="139">
        <v>48629</v>
      </c>
      <c r="EH69" s="139">
        <v>437953</v>
      </c>
      <c r="EI69" s="139">
        <v>377091</v>
      </c>
      <c r="EJ69" s="139">
        <v>1352473</v>
      </c>
      <c r="EK69" s="139">
        <v>473450</v>
      </c>
      <c r="EL69" s="139">
        <v>350135</v>
      </c>
      <c r="EM69" s="139">
        <v>222464</v>
      </c>
      <c r="EN69" s="139">
        <v>225303</v>
      </c>
      <c r="EO69" s="139">
        <v>0</v>
      </c>
      <c r="EP69" s="139">
        <v>1271352</v>
      </c>
      <c r="EQ69" s="139">
        <v>52792</v>
      </c>
      <c r="ER69" s="139">
        <v>39292</v>
      </c>
      <c r="ES69" s="139">
        <v>6967</v>
      </c>
      <c r="ET69" s="139">
        <v>20956</v>
      </c>
      <c r="EU69" s="139">
        <v>510611</v>
      </c>
      <c r="EV69" s="139">
        <v>630618</v>
      </c>
      <c r="EW69" s="139">
        <v>0</v>
      </c>
      <c r="EX69" s="139">
        <v>0</v>
      </c>
      <c r="EY69" s="139">
        <v>0</v>
      </c>
      <c r="EZ69" s="139">
        <v>0</v>
      </c>
      <c r="FA69" s="139">
        <v>0</v>
      </c>
      <c r="FB69" s="139">
        <v>0</v>
      </c>
      <c r="FC69" s="139">
        <v>504831</v>
      </c>
      <c r="FD69" s="139">
        <v>449</v>
      </c>
      <c r="FE69" s="139">
        <v>861</v>
      </c>
      <c r="FF69" s="139">
        <v>122664</v>
      </c>
      <c r="FG69" s="139">
        <v>6099583</v>
      </c>
      <c r="FH69" s="139">
        <v>6728388</v>
      </c>
      <c r="FI69" s="139">
        <v>0</v>
      </c>
      <c r="FJ69" s="139">
        <v>0</v>
      </c>
      <c r="FK69" s="139">
        <v>0</v>
      </c>
      <c r="FL69" s="139">
        <v>0</v>
      </c>
      <c r="FM69" s="139">
        <v>51729</v>
      </c>
      <c r="FN69" s="139">
        <v>51729</v>
      </c>
      <c r="FO69" s="139">
        <v>0</v>
      </c>
      <c r="FP69" s="139">
        <v>0</v>
      </c>
      <c r="FQ69" s="139">
        <v>0</v>
      </c>
      <c r="FR69" s="139">
        <v>0</v>
      </c>
      <c r="FS69" s="139">
        <v>0</v>
      </c>
      <c r="FT69" s="139">
        <v>0</v>
      </c>
      <c r="FU69" s="139">
        <v>19620</v>
      </c>
      <c r="FV69" s="139">
        <v>11112</v>
      </c>
      <c r="FW69" s="139">
        <v>11275</v>
      </c>
      <c r="FX69" s="139">
        <v>16092</v>
      </c>
      <c r="FY69" s="139">
        <v>286108</v>
      </c>
      <c r="FZ69" s="139">
        <v>344207</v>
      </c>
      <c r="GA69" s="139">
        <v>6780</v>
      </c>
      <c r="GB69" s="139">
        <v>510</v>
      </c>
      <c r="GC69" s="139">
        <v>627</v>
      </c>
      <c r="GD69" s="139">
        <v>11189</v>
      </c>
      <c r="GE69" s="139">
        <v>797975</v>
      </c>
      <c r="GF69" s="139">
        <v>817081</v>
      </c>
      <c r="GG69" s="139">
        <v>477559</v>
      </c>
      <c r="GH69" s="139">
        <v>30956</v>
      </c>
      <c r="GI69" s="139">
        <v>46173</v>
      </c>
      <c r="GJ69" s="139">
        <v>283986</v>
      </c>
      <c r="GK69" s="139">
        <v>3699183</v>
      </c>
      <c r="GL69" s="139">
        <v>4537857</v>
      </c>
      <c r="GM69" s="139">
        <v>8939298</v>
      </c>
      <c r="GN69" s="139">
        <v>3106017</v>
      </c>
      <c r="GO69" s="139">
        <v>2169939</v>
      </c>
      <c r="GP69" s="139">
        <v>10009924</v>
      </c>
      <c r="GQ69" s="139">
        <v>16893698</v>
      </c>
      <c r="GR69" s="139">
        <v>41118876</v>
      </c>
      <c r="GS69" s="139">
        <v>0</v>
      </c>
      <c r="GT69" s="139">
        <v>0</v>
      </c>
      <c r="GU69" s="139">
        <v>0</v>
      </c>
      <c r="GV69" s="139">
        <v>0</v>
      </c>
      <c r="GW69" s="139">
        <v>0</v>
      </c>
      <c r="GX69" s="139">
        <v>0</v>
      </c>
      <c r="GY69" s="139">
        <v>8939298</v>
      </c>
      <c r="GZ69" s="139">
        <v>3106017</v>
      </c>
      <c r="HA69" s="139">
        <v>2169939</v>
      </c>
      <c r="HB69" s="139">
        <v>10009924</v>
      </c>
      <c r="HC69" s="139">
        <v>16893698</v>
      </c>
      <c r="HD69" s="139">
        <v>41118876</v>
      </c>
      <c r="HF69" s="70">
        <f>SUM(AZ69:AZ69)</f>
        <v>2535254</v>
      </c>
      <c r="HG69" s="70" t="e">
        <f>#REF!-HF69</f>
        <v>#REF!</v>
      </c>
      <c r="HH69" s="70" t="e">
        <f>SUM(#REF!)</f>
        <v>#REF!</v>
      </c>
      <c r="HI69" s="70" t="e">
        <f>#REF!-HH69</f>
        <v>#REF!</v>
      </c>
      <c r="HJ69" s="70">
        <f>SUM(BA69:BA69)</f>
        <v>1679065</v>
      </c>
      <c r="HK69" s="70" t="e">
        <f>#REF!-HJ69</f>
        <v>#REF!</v>
      </c>
      <c r="HL69" s="70" t="e">
        <f>SUM(#REF!)</f>
        <v>#REF!</v>
      </c>
      <c r="HM69" s="70" t="e">
        <f>BB69-HL69</f>
        <v>#REF!</v>
      </c>
      <c r="HN69" s="70" t="e">
        <f>SUM(#REF!)</f>
        <v>#REF!</v>
      </c>
      <c r="HO69" s="70" t="e">
        <f>#REF!-HN69</f>
        <v>#REF!</v>
      </c>
      <c r="HP69" s="70" t="e">
        <f>SUM(#REF!)</f>
        <v>#REF!</v>
      </c>
      <c r="HQ69" s="70" t="e">
        <f>#REF!-HP69</f>
        <v>#REF!</v>
      </c>
      <c r="HR69" s="70" t="e">
        <f>SUM(#REF!)</f>
        <v>#REF!</v>
      </c>
      <c r="HS69" s="70" t="e">
        <f>#REF!-HR69</f>
        <v>#REF!</v>
      </c>
      <c r="HT69" s="70" t="e">
        <f>SUM(#REF!)</f>
        <v>#REF!</v>
      </c>
      <c r="HU69" s="70" t="e">
        <f>#REF!-HT69</f>
        <v>#REF!</v>
      </c>
      <c r="HV69" s="70" t="e">
        <f>SUM(#REF!)</f>
        <v>#REF!</v>
      </c>
      <c r="HW69" s="70" t="e">
        <f>#REF!-HV69</f>
        <v>#REF!</v>
      </c>
      <c r="HX69" s="70" t="e">
        <f>SUM(#REF!)</f>
        <v>#REF!</v>
      </c>
      <c r="HY69" s="70" t="e">
        <f>#REF!-HX69</f>
        <v>#REF!</v>
      </c>
      <c r="HZ69" s="70">
        <f>SUM(BC69:BC69)</f>
        <v>94670</v>
      </c>
      <c r="IA69" s="70" t="e">
        <f>#REF!-HZ69</f>
        <v>#REF!</v>
      </c>
      <c r="IB69" s="70">
        <f>SUM(BD69:BD69)</f>
        <v>91949</v>
      </c>
      <c r="IC69" s="70" t="e">
        <f>#REF!-IB69</f>
        <v>#REF!</v>
      </c>
      <c r="ID69" s="70">
        <f t="shared" si="109"/>
        <v>8418</v>
      </c>
      <c r="IE69" s="70">
        <f t="shared" si="110"/>
        <v>0</v>
      </c>
      <c r="IF69" s="70">
        <f t="shared" si="111"/>
        <v>1504</v>
      </c>
      <c r="IG69" s="70">
        <f t="shared" si="112"/>
        <v>0</v>
      </c>
      <c r="IH69" s="70">
        <f t="shared" si="113"/>
        <v>1082564</v>
      </c>
      <c r="II69" s="70">
        <f t="shared" si="114"/>
        <v>0</v>
      </c>
      <c r="IJ69" s="70">
        <f t="shared" si="115"/>
        <v>41061440</v>
      </c>
      <c r="IK69" s="70">
        <f t="shared" si="116"/>
        <v>0</v>
      </c>
      <c r="IL69" s="70">
        <f t="shared" si="117"/>
        <v>8054581</v>
      </c>
      <c r="IM69" s="70">
        <f t="shared" si="118"/>
        <v>0</v>
      </c>
      <c r="IN69" s="70">
        <f t="shared" si="119"/>
        <v>1610573</v>
      </c>
      <c r="IO69" s="70">
        <f t="shared" si="120"/>
        <v>0</v>
      </c>
      <c r="IP69" s="70">
        <f t="shared" si="121"/>
        <v>6201965</v>
      </c>
      <c r="IQ69" s="70">
        <f t="shared" si="122"/>
        <v>0</v>
      </c>
      <c r="IR69" s="70">
        <f t="shared" si="107"/>
        <v>0</v>
      </c>
      <c r="IS69" s="70">
        <f t="shared" si="108"/>
        <v>0</v>
      </c>
      <c r="IT69" s="70">
        <f t="shared" si="123"/>
        <v>5807424</v>
      </c>
      <c r="IU69" s="70">
        <f t="shared" si="124"/>
        <v>0</v>
      </c>
      <c r="IV69" s="70">
        <f t="shared" si="125"/>
        <v>0</v>
      </c>
      <c r="IW69" s="70">
        <f t="shared" si="126"/>
        <v>0</v>
      </c>
      <c r="IX69" s="70">
        <f t="shared" si="127"/>
        <v>0</v>
      </c>
      <c r="IY69" s="70">
        <f t="shared" si="128"/>
        <v>0</v>
      </c>
      <c r="IZ69" s="70">
        <f t="shared" si="129"/>
        <v>662114</v>
      </c>
      <c r="JA69" s="70">
        <f t="shared" si="130"/>
        <v>0</v>
      </c>
      <c r="JB69" s="70">
        <f t="shared" si="131"/>
        <v>3048514</v>
      </c>
      <c r="JC69" s="70">
        <f t="shared" si="132"/>
        <v>0</v>
      </c>
      <c r="JD69" s="70">
        <f t="shared" si="133"/>
        <v>1352473</v>
      </c>
      <c r="JE69" s="70">
        <f t="shared" si="134"/>
        <v>0</v>
      </c>
      <c r="JF69" s="70">
        <f t="shared" si="135"/>
        <v>1271352</v>
      </c>
      <c r="JG69" s="70">
        <f t="shared" si="136"/>
        <v>0</v>
      </c>
      <c r="JH69" s="70">
        <f t="shared" si="137"/>
        <v>630618</v>
      </c>
      <c r="JI69" s="70">
        <f t="shared" si="138"/>
        <v>0</v>
      </c>
      <c r="JJ69" s="70">
        <f t="shared" si="139"/>
        <v>0</v>
      </c>
      <c r="JK69" s="70">
        <f t="shared" si="140"/>
        <v>0</v>
      </c>
      <c r="JL69" s="70">
        <f t="shared" si="141"/>
        <v>6728388</v>
      </c>
      <c r="JM69" s="70">
        <f t="shared" si="142"/>
        <v>0</v>
      </c>
      <c r="JN69" s="70">
        <f t="shared" si="143"/>
        <v>51729</v>
      </c>
      <c r="JO69" s="70">
        <f t="shared" si="144"/>
        <v>0</v>
      </c>
      <c r="JP69" s="70">
        <f t="shared" si="145"/>
        <v>0</v>
      </c>
      <c r="JQ69" s="70">
        <f t="shared" si="146"/>
        <v>0</v>
      </c>
      <c r="JR69" s="70">
        <f t="shared" si="147"/>
        <v>344207</v>
      </c>
      <c r="JS69" s="70">
        <f t="shared" si="148"/>
        <v>0</v>
      </c>
      <c r="JT69" s="70">
        <f t="shared" si="149"/>
        <v>817081</v>
      </c>
      <c r="JU69" s="70">
        <f t="shared" si="150"/>
        <v>0</v>
      </c>
      <c r="JV69" s="70">
        <f t="shared" si="151"/>
        <v>4537857</v>
      </c>
      <c r="JW69" s="70">
        <f t="shared" si="152"/>
        <v>0</v>
      </c>
      <c r="JX69" s="70">
        <f t="shared" si="153"/>
        <v>41118876</v>
      </c>
      <c r="JY69" s="70">
        <f t="shared" si="154"/>
        <v>0</v>
      </c>
      <c r="JZ69" s="70">
        <f t="shared" si="155"/>
        <v>0</v>
      </c>
      <c r="KA69" s="70">
        <f t="shared" si="156"/>
        <v>0</v>
      </c>
      <c r="KB69" s="70">
        <f t="shared" si="157"/>
        <v>41118876</v>
      </c>
      <c r="KC69" s="70">
        <f t="shared" si="158"/>
        <v>0</v>
      </c>
      <c r="KE69" s="70" t="e">
        <f t="shared" si="159"/>
        <v>#REF!</v>
      </c>
      <c r="KG69" s="68" t="e">
        <f t="shared" si="160"/>
        <v>#REF!</v>
      </c>
      <c r="KR69" s="80"/>
    </row>
    <row r="70" spans="1:304">
      <c r="A70" s="180" t="s">
        <v>291</v>
      </c>
      <c r="B70" s="76" t="s">
        <v>364</v>
      </c>
      <c r="C70" s="90">
        <v>182290</v>
      </c>
      <c r="D70" s="90">
        <v>2014</v>
      </c>
      <c r="E70" s="90">
        <v>1</v>
      </c>
      <c r="F70" s="91">
        <v>4</v>
      </c>
      <c r="G70" s="92">
        <v>8972</v>
      </c>
      <c r="H70" s="92">
        <v>9900</v>
      </c>
      <c r="I70" s="93">
        <v>824238000</v>
      </c>
      <c r="J70" s="93">
        <v>773028000</v>
      </c>
      <c r="K70" s="93">
        <v>19285555</v>
      </c>
      <c r="L70" s="93">
        <v>19243594</v>
      </c>
      <c r="M70" s="93">
        <v>48579000</v>
      </c>
      <c r="N70" s="93">
        <v>55835126</v>
      </c>
      <c r="O70" s="93">
        <v>227796849</v>
      </c>
      <c r="P70" s="93">
        <v>233239157</v>
      </c>
      <c r="Q70" s="93">
        <v>764959000</v>
      </c>
      <c r="R70" s="93">
        <v>668481303</v>
      </c>
      <c r="S70" s="93">
        <v>613781000</v>
      </c>
      <c r="T70" s="93">
        <v>573817000</v>
      </c>
      <c r="U70" s="93">
        <v>21474</v>
      </c>
      <c r="V70" s="93">
        <v>20568</v>
      </c>
      <c r="W70" s="93">
        <v>41445</v>
      </c>
      <c r="X70" s="93">
        <v>39963</v>
      </c>
      <c r="Y70" s="93">
        <v>23904</v>
      </c>
      <c r="Z70" s="93">
        <v>22998</v>
      </c>
      <c r="AA70" s="93">
        <v>43875</v>
      </c>
      <c r="AB70" s="93">
        <v>42393</v>
      </c>
      <c r="AC70" s="114">
        <v>8</v>
      </c>
      <c r="AD70" s="114">
        <v>12</v>
      </c>
      <c r="AE70" s="114">
        <v>0</v>
      </c>
      <c r="AF70" s="115">
        <v>4811611</v>
      </c>
      <c r="AG70" s="115">
        <v>4303163</v>
      </c>
      <c r="AH70" s="115">
        <v>1149928</v>
      </c>
      <c r="AI70" s="115">
        <v>378021</v>
      </c>
      <c r="AJ70" s="115">
        <v>977042</v>
      </c>
      <c r="AK70" s="116">
        <v>5.5</v>
      </c>
      <c r="AL70" s="115">
        <v>895622</v>
      </c>
      <c r="AM70" s="116">
        <v>6</v>
      </c>
      <c r="AN70" s="115">
        <v>254086</v>
      </c>
      <c r="AO70" s="116">
        <v>8.75</v>
      </c>
      <c r="AP70" s="115">
        <v>222325</v>
      </c>
      <c r="AQ70" s="116">
        <v>10</v>
      </c>
      <c r="AR70" s="115">
        <v>361806</v>
      </c>
      <c r="AS70" s="116">
        <v>18.5</v>
      </c>
      <c r="AT70" s="115">
        <v>318734</v>
      </c>
      <c r="AU70" s="116">
        <v>21</v>
      </c>
      <c r="AV70" s="115">
        <v>115387</v>
      </c>
      <c r="AW70" s="116">
        <v>16.25</v>
      </c>
      <c r="AX70" s="115">
        <v>98686</v>
      </c>
      <c r="AY70" s="116">
        <v>19</v>
      </c>
      <c r="AZ70" s="139">
        <v>22971573</v>
      </c>
      <c r="BA70" s="139">
        <v>400000</v>
      </c>
      <c r="BB70" s="139">
        <v>124927474</v>
      </c>
      <c r="BC70" s="139">
        <v>3228774</v>
      </c>
      <c r="BD70" s="139">
        <v>294</v>
      </c>
      <c r="BE70" s="139">
        <v>251738</v>
      </c>
      <c r="BF70" s="139">
        <v>249285</v>
      </c>
      <c r="BG70" s="139">
        <v>10835</v>
      </c>
      <c r="BH70" s="139">
        <v>807045</v>
      </c>
      <c r="BI70" s="139">
        <v>31650</v>
      </c>
      <c r="BJ70" s="139">
        <v>1350553</v>
      </c>
      <c r="BK70" s="139">
        <v>14587</v>
      </c>
      <c r="BL70" s="139">
        <v>0</v>
      </c>
      <c r="BM70" s="139">
        <v>0</v>
      </c>
      <c r="BN70" s="139">
        <v>45573</v>
      </c>
      <c r="BO70" s="139">
        <v>125807</v>
      </c>
      <c r="BP70" s="139">
        <v>185967</v>
      </c>
      <c r="BQ70" s="139">
        <v>2187072</v>
      </c>
      <c r="BR70" s="139">
        <v>271440</v>
      </c>
      <c r="BS70" s="139">
        <v>19298</v>
      </c>
      <c r="BT70" s="139">
        <v>86437</v>
      </c>
      <c r="BU70" s="139">
        <v>2046672</v>
      </c>
      <c r="BV70" s="139">
        <v>4610919</v>
      </c>
      <c r="BW70" s="139">
        <v>151044310</v>
      </c>
      <c r="BX70" s="139">
        <v>9556671</v>
      </c>
      <c r="BY70" s="139">
        <v>199768</v>
      </c>
      <c r="BZ70" s="139">
        <v>2740916</v>
      </c>
      <c r="CA70" s="139">
        <v>32488733</v>
      </c>
      <c r="CB70" s="139">
        <v>196030398</v>
      </c>
      <c r="CC70" s="139">
        <v>3060172</v>
      </c>
      <c r="CD70" s="139">
        <v>422238</v>
      </c>
      <c r="CE70" s="139">
        <v>518000</v>
      </c>
      <c r="CF70" s="139">
        <v>5114364</v>
      </c>
      <c r="CG70" s="139">
        <v>844642</v>
      </c>
      <c r="CH70" s="139">
        <v>9959416</v>
      </c>
      <c r="CI70" s="139">
        <v>800000</v>
      </c>
      <c r="CJ70" s="139">
        <v>670313</v>
      </c>
      <c r="CK70" s="139">
        <v>126146</v>
      </c>
      <c r="CL70" s="139">
        <v>74261</v>
      </c>
      <c r="CM70" s="139">
        <v>0</v>
      </c>
      <c r="CN70" s="139">
        <v>1670720</v>
      </c>
      <c r="CO70" s="139">
        <v>6773142</v>
      </c>
      <c r="CP70" s="139">
        <v>3179333</v>
      </c>
      <c r="CQ70" s="139">
        <v>1345950</v>
      </c>
      <c r="CR70" s="139">
        <v>4867012</v>
      </c>
      <c r="CS70" s="139">
        <v>0</v>
      </c>
      <c r="CT70" s="139">
        <v>16165437</v>
      </c>
      <c r="CU70" s="139">
        <v>22100</v>
      </c>
      <c r="CV70" s="139">
        <v>10000</v>
      </c>
      <c r="CW70" s="139">
        <v>11664</v>
      </c>
      <c r="CX70" s="139">
        <v>74750</v>
      </c>
      <c r="CY70" s="139">
        <v>0</v>
      </c>
      <c r="CZ70" s="139">
        <v>118514</v>
      </c>
      <c r="DA70" s="139">
        <v>1668042</v>
      </c>
      <c r="DB70" s="139">
        <v>578047</v>
      </c>
      <c r="DC70" s="139">
        <v>230477</v>
      </c>
      <c r="DD70" s="139">
        <v>1364576</v>
      </c>
      <c r="DE70" s="139">
        <v>16280198</v>
      </c>
      <c r="DF70" s="139">
        <v>20121340</v>
      </c>
      <c r="DG70" s="139">
        <v>19900</v>
      </c>
      <c r="DH70" s="139">
        <v>3000</v>
      </c>
      <c r="DI70" s="139">
        <v>4332</v>
      </c>
      <c r="DJ70" s="139">
        <v>5000</v>
      </c>
      <c r="DK70" s="139">
        <v>28000</v>
      </c>
      <c r="DL70" s="139">
        <v>60232</v>
      </c>
      <c r="DM70" s="139">
        <v>0</v>
      </c>
      <c r="DN70" s="139">
        <v>0</v>
      </c>
      <c r="DO70" s="139">
        <v>0</v>
      </c>
      <c r="DP70" s="139">
        <v>0</v>
      </c>
      <c r="DQ70" s="139">
        <v>0</v>
      </c>
      <c r="DR70" s="139">
        <v>0</v>
      </c>
      <c r="DS70" s="139">
        <v>729479</v>
      </c>
      <c r="DT70" s="139">
        <v>252443</v>
      </c>
      <c r="DU70" s="139">
        <v>98313</v>
      </c>
      <c r="DV70" s="139">
        <v>447714</v>
      </c>
      <c r="DW70" s="139">
        <v>0</v>
      </c>
      <c r="DX70" s="139">
        <v>1527949</v>
      </c>
      <c r="DY70" s="139">
        <v>1111719</v>
      </c>
      <c r="DZ70" s="139">
        <v>452563</v>
      </c>
      <c r="EA70" s="139">
        <v>203949</v>
      </c>
      <c r="EB70" s="139">
        <v>2496741</v>
      </c>
      <c r="EC70" s="139">
        <v>0</v>
      </c>
      <c r="ED70" s="139">
        <v>4264972</v>
      </c>
      <c r="EE70" s="139">
        <v>485868</v>
      </c>
      <c r="EF70" s="139">
        <v>74716</v>
      </c>
      <c r="EG70" s="139">
        <v>37259</v>
      </c>
      <c r="EH70" s="139">
        <v>392687</v>
      </c>
      <c r="EI70" s="139">
        <v>0</v>
      </c>
      <c r="EJ70" s="139">
        <v>990530</v>
      </c>
      <c r="EK70" s="139">
        <v>1655118</v>
      </c>
      <c r="EL70" s="139">
        <v>604752</v>
      </c>
      <c r="EM70" s="139">
        <v>211094</v>
      </c>
      <c r="EN70" s="139">
        <v>423323</v>
      </c>
      <c r="EO70" s="139">
        <v>0</v>
      </c>
      <c r="EP70" s="139">
        <v>2894287</v>
      </c>
      <c r="EQ70" s="139">
        <v>35707</v>
      </c>
      <c r="ER70" s="139">
        <v>102749</v>
      </c>
      <c r="ES70" s="139">
        <v>3053</v>
      </c>
      <c r="ET70" s="139">
        <v>96489</v>
      </c>
      <c r="EU70" s="139">
        <v>1710680</v>
      </c>
      <c r="EV70" s="139">
        <v>1948678</v>
      </c>
      <c r="EW70" s="139">
        <v>81924</v>
      </c>
      <c r="EX70" s="139">
        <v>123576</v>
      </c>
      <c r="EY70" s="139">
        <v>1598</v>
      </c>
      <c r="EZ70" s="139">
        <v>404624</v>
      </c>
      <c r="FA70" s="139">
        <v>0</v>
      </c>
      <c r="FB70" s="139">
        <v>611722</v>
      </c>
      <c r="FC70" s="139">
        <v>11153420</v>
      </c>
      <c r="FD70" s="139">
        <v>1382</v>
      </c>
      <c r="FE70" s="139">
        <v>428</v>
      </c>
      <c r="FF70" s="139">
        <v>54402</v>
      </c>
      <c r="FG70" s="139">
        <v>24978268</v>
      </c>
      <c r="FH70" s="139">
        <v>36187900</v>
      </c>
      <c r="FI70" s="139">
        <v>0</v>
      </c>
      <c r="FJ70" s="139">
        <v>0</v>
      </c>
      <c r="FK70" s="139">
        <v>0</v>
      </c>
      <c r="FL70" s="139">
        <v>0</v>
      </c>
      <c r="FM70" s="139">
        <v>305331</v>
      </c>
      <c r="FN70" s="139">
        <v>305331</v>
      </c>
      <c r="FO70" s="139">
        <v>0</v>
      </c>
      <c r="FP70" s="139">
        <v>0</v>
      </c>
      <c r="FQ70" s="139">
        <v>0</v>
      </c>
      <c r="FR70" s="139">
        <v>0</v>
      </c>
      <c r="FS70" s="139">
        <v>0</v>
      </c>
      <c r="FT70" s="139">
        <v>0</v>
      </c>
      <c r="FU70" s="139">
        <v>91311</v>
      </c>
      <c r="FV70" s="139">
        <v>10676</v>
      </c>
      <c r="FW70" s="139">
        <v>2858</v>
      </c>
      <c r="FX70" s="139">
        <v>136190</v>
      </c>
      <c r="FY70" s="139">
        <v>1018072</v>
      </c>
      <c r="FZ70" s="139">
        <v>1259107</v>
      </c>
      <c r="GA70" s="139">
        <v>1234</v>
      </c>
      <c r="GB70" s="139">
        <v>435</v>
      </c>
      <c r="GC70" s="139">
        <v>943</v>
      </c>
      <c r="GD70" s="139">
        <f>4633+5015-GA70-GB70-GC70</f>
        <v>7036</v>
      </c>
      <c r="GE70" s="139">
        <v>65498</v>
      </c>
      <c r="GF70" s="139">
        <v>75146</v>
      </c>
      <c r="GG70" s="139">
        <v>1533040</v>
      </c>
      <c r="GH70" s="139">
        <v>308525</v>
      </c>
      <c r="GI70" s="139">
        <v>352818</v>
      </c>
      <c r="GJ70" s="139">
        <f>2244936+1063310-GG70-GH70-GI70</f>
        <v>1113863</v>
      </c>
      <c r="GK70" s="139">
        <v>8908905</v>
      </c>
      <c r="GL70" s="139">
        <v>12217151</v>
      </c>
      <c r="GM70" s="139">
        <v>29222176</v>
      </c>
      <c r="GN70" s="139">
        <v>6794748</v>
      </c>
      <c r="GO70" s="139">
        <v>3148882</v>
      </c>
      <c r="GP70" s="139">
        <f>42453691+13785147-GM70-GN70-GO70</f>
        <v>17073032</v>
      </c>
      <c r="GQ70" s="139">
        <v>54139594</v>
      </c>
      <c r="GR70" s="139">
        <v>110378432</v>
      </c>
      <c r="GS70" s="139">
        <v>0</v>
      </c>
      <c r="GT70" s="139">
        <v>0</v>
      </c>
      <c r="GU70" s="139">
        <v>0</v>
      </c>
      <c r="GV70" s="139">
        <v>0</v>
      </c>
      <c r="GW70" s="139">
        <v>0</v>
      </c>
      <c r="GX70" s="139">
        <v>0</v>
      </c>
      <c r="GY70" s="139">
        <v>29222176</v>
      </c>
      <c r="GZ70" s="139">
        <v>6794748</v>
      </c>
      <c r="HA70" s="139">
        <v>3148882</v>
      </c>
      <c r="HB70" s="139">
        <f>42453691+13785147-GY70-GZ70-HA70</f>
        <v>17073032</v>
      </c>
      <c r="HC70" s="139">
        <v>54139594</v>
      </c>
      <c r="HD70" s="139">
        <v>110378432</v>
      </c>
      <c r="HF70" s="70">
        <f>SUM(AZ70:AZ70)</f>
        <v>22971573</v>
      </c>
      <c r="HG70" s="70" t="e">
        <f>#REF!-HF70</f>
        <v>#REF!</v>
      </c>
      <c r="HH70" s="70" t="e">
        <f>SUM(#REF!)</f>
        <v>#REF!</v>
      </c>
      <c r="HI70" s="70" t="e">
        <f>#REF!-HH70</f>
        <v>#REF!</v>
      </c>
      <c r="HJ70" s="70">
        <f>SUM(BA70:BA70)</f>
        <v>400000</v>
      </c>
      <c r="HK70" s="70" t="e">
        <f>#REF!-HJ70</f>
        <v>#REF!</v>
      </c>
      <c r="HL70" s="70" t="e">
        <f>SUM(#REF!)</f>
        <v>#REF!</v>
      </c>
      <c r="HM70" s="70" t="e">
        <f>BB70-HL70</f>
        <v>#REF!</v>
      </c>
      <c r="HN70" s="70" t="e">
        <f>SUM(#REF!)</f>
        <v>#REF!</v>
      </c>
      <c r="HO70" s="70" t="e">
        <f>#REF!-HN70</f>
        <v>#REF!</v>
      </c>
      <c r="HP70" s="70" t="e">
        <f>SUM(#REF!)</f>
        <v>#REF!</v>
      </c>
      <c r="HQ70" s="70" t="e">
        <f>#REF!-HP70</f>
        <v>#REF!</v>
      </c>
      <c r="HR70" s="70" t="e">
        <f>SUM(#REF!)</f>
        <v>#REF!</v>
      </c>
      <c r="HS70" s="70" t="e">
        <f>#REF!-HR70</f>
        <v>#REF!</v>
      </c>
      <c r="HT70" s="70" t="e">
        <f>SUM(#REF!)</f>
        <v>#REF!</v>
      </c>
      <c r="HU70" s="70" t="e">
        <f>#REF!-HT70</f>
        <v>#REF!</v>
      </c>
      <c r="HV70" s="70" t="e">
        <f>SUM(#REF!)</f>
        <v>#REF!</v>
      </c>
      <c r="HW70" s="70" t="e">
        <f>#REF!-HV70</f>
        <v>#REF!</v>
      </c>
      <c r="HX70" s="70" t="e">
        <f>SUM(#REF!)</f>
        <v>#REF!</v>
      </c>
      <c r="HY70" s="70" t="e">
        <f>#REF!-HX70</f>
        <v>#REF!</v>
      </c>
      <c r="HZ70" s="70">
        <f>SUM(BC70:BC70)</f>
        <v>3228774</v>
      </c>
      <c r="IA70" s="70" t="e">
        <f>#REF!-HZ70</f>
        <v>#REF!</v>
      </c>
      <c r="IB70" s="70">
        <f>SUM(BD70:BD70)</f>
        <v>294</v>
      </c>
      <c r="IC70" s="70" t="e">
        <f>#REF!-IB70</f>
        <v>#REF!</v>
      </c>
      <c r="ID70" s="70">
        <f t="shared" si="109"/>
        <v>1350553</v>
      </c>
      <c r="IE70" s="70">
        <f t="shared" si="110"/>
        <v>0</v>
      </c>
      <c r="IF70" s="70">
        <f t="shared" si="111"/>
        <v>185967</v>
      </c>
      <c r="IG70" s="70">
        <f t="shared" si="112"/>
        <v>0</v>
      </c>
      <c r="IH70" s="70">
        <f t="shared" si="113"/>
        <v>4610919</v>
      </c>
      <c r="II70" s="70">
        <f t="shared" si="114"/>
        <v>0</v>
      </c>
      <c r="IJ70" s="70">
        <f t="shared" si="115"/>
        <v>196030398</v>
      </c>
      <c r="IK70" s="70">
        <f t="shared" si="116"/>
        <v>0</v>
      </c>
      <c r="IL70" s="70">
        <f t="shared" si="117"/>
        <v>9959416</v>
      </c>
      <c r="IM70" s="70">
        <f t="shared" si="118"/>
        <v>0</v>
      </c>
      <c r="IN70" s="70">
        <f t="shared" si="119"/>
        <v>1670720</v>
      </c>
      <c r="IO70" s="70">
        <f t="shared" si="120"/>
        <v>0</v>
      </c>
      <c r="IP70" s="70">
        <f t="shared" si="121"/>
        <v>16165437</v>
      </c>
      <c r="IQ70" s="70">
        <f t="shared" si="122"/>
        <v>0</v>
      </c>
      <c r="IR70" s="70">
        <f t="shared" si="107"/>
        <v>118514</v>
      </c>
      <c r="IS70" s="70">
        <f t="shared" si="108"/>
        <v>0</v>
      </c>
      <c r="IT70" s="70">
        <f t="shared" si="123"/>
        <v>20121340</v>
      </c>
      <c r="IU70" s="70">
        <f t="shared" si="124"/>
        <v>0</v>
      </c>
      <c r="IV70" s="70">
        <f t="shared" si="125"/>
        <v>60232</v>
      </c>
      <c r="IW70" s="70">
        <f t="shared" si="126"/>
        <v>0</v>
      </c>
      <c r="IX70" s="70">
        <f t="shared" si="127"/>
        <v>0</v>
      </c>
      <c r="IY70" s="70">
        <f t="shared" si="128"/>
        <v>0</v>
      </c>
      <c r="IZ70" s="70">
        <f t="shared" si="129"/>
        <v>1527949</v>
      </c>
      <c r="JA70" s="70">
        <f t="shared" si="130"/>
        <v>0</v>
      </c>
      <c r="JB70" s="70">
        <f t="shared" si="131"/>
        <v>4264972</v>
      </c>
      <c r="JC70" s="70">
        <f t="shared" si="132"/>
        <v>0</v>
      </c>
      <c r="JD70" s="70">
        <f t="shared" si="133"/>
        <v>990530</v>
      </c>
      <c r="JE70" s="70">
        <f t="shared" si="134"/>
        <v>0</v>
      </c>
      <c r="JF70" s="70">
        <f t="shared" si="135"/>
        <v>2894287</v>
      </c>
      <c r="JG70" s="70">
        <f t="shared" si="136"/>
        <v>0</v>
      </c>
      <c r="JH70" s="70">
        <f t="shared" si="137"/>
        <v>1948678</v>
      </c>
      <c r="JI70" s="70">
        <f t="shared" si="138"/>
        <v>0</v>
      </c>
      <c r="JJ70" s="70">
        <f t="shared" si="139"/>
        <v>611722</v>
      </c>
      <c r="JK70" s="70">
        <f t="shared" si="140"/>
        <v>0</v>
      </c>
      <c r="JL70" s="70">
        <f t="shared" si="141"/>
        <v>36187900</v>
      </c>
      <c r="JM70" s="70">
        <f t="shared" si="142"/>
        <v>0</v>
      </c>
      <c r="JN70" s="70">
        <f t="shared" si="143"/>
        <v>305331</v>
      </c>
      <c r="JO70" s="70">
        <f t="shared" si="144"/>
        <v>0</v>
      </c>
      <c r="JP70" s="70">
        <f t="shared" si="145"/>
        <v>0</v>
      </c>
      <c r="JQ70" s="70">
        <f t="shared" si="146"/>
        <v>0</v>
      </c>
      <c r="JR70" s="70">
        <f t="shared" si="147"/>
        <v>1259107</v>
      </c>
      <c r="JS70" s="70">
        <f t="shared" si="148"/>
        <v>0</v>
      </c>
      <c r="JT70" s="70">
        <f t="shared" si="149"/>
        <v>75146</v>
      </c>
      <c r="JU70" s="70">
        <f t="shared" si="150"/>
        <v>0</v>
      </c>
      <c r="JV70" s="70">
        <f t="shared" si="151"/>
        <v>12217151</v>
      </c>
      <c r="JW70" s="70">
        <f t="shared" si="152"/>
        <v>0</v>
      </c>
      <c r="JX70" s="70">
        <f t="shared" si="153"/>
        <v>110378432</v>
      </c>
      <c r="JY70" s="70">
        <f t="shared" si="154"/>
        <v>0</v>
      </c>
      <c r="JZ70" s="70">
        <f t="shared" si="155"/>
        <v>0</v>
      </c>
      <c r="KA70" s="70">
        <f t="shared" si="156"/>
        <v>0</v>
      </c>
      <c r="KB70" s="70">
        <f t="shared" si="157"/>
        <v>110378432</v>
      </c>
      <c r="KC70" s="70">
        <f t="shared" si="158"/>
        <v>0</v>
      </c>
      <c r="KE70" s="70" t="e">
        <f t="shared" si="159"/>
        <v>#REF!</v>
      </c>
      <c r="KG70" s="68" t="e">
        <f t="shared" si="160"/>
        <v>#REF!</v>
      </c>
      <c r="KR70" s="80"/>
    </row>
    <row r="71" spans="1:304">
      <c r="A71" s="180" t="s">
        <v>292</v>
      </c>
      <c r="B71" s="76" t="s">
        <v>364</v>
      </c>
      <c r="C71" s="90">
        <v>187985</v>
      </c>
      <c r="D71" s="90">
        <v>2014</v>
      </c>
      <c r="E71" s="90">
        <v>1</v>
      </c>
      <c r="F71" s="91">
        <v>4</v>
      </c>
      <c r="G71" s="92">
        <v>9902</v>
      </c>
      <c r="H71" s="92">
        <v>8216</v>
      </c>
      <c r="I71" s="93">
        <v>911425000</v>
      </c>
      <c r="J71" s="93">
        <v>846302000</v>
      </c>
      <c r="K71" s="93">
        <v>8008200</v>
      </c>
      <c r="L71" s="93">
        <v>7467398</v>
      </c>
      <c r="M71" s="93">
        <v>55255000</v>
      </c>
      <c r="N71" s="93">
        <v>72534000</v>
      </c>
      <c r="O71" s="93">
        <v>88808128</v>
      </c>
      <c r="P71" s="93">
        <v>93264488</v>
      </c>
      <c r="Q71" s="93">
        <v>634309000</v>
      </c>
      <c r="R71" s="93">
        <v>547520000</v>
      </c>
      <c r="S71" s="93">
        <v>736602000</v>
      </c>
      <c r="T71" s="93">
        <v>685879000</v>
      </c>
      <c r="U71" s="93">
        <v>23253</v>
      </c>
      <c r="V71" s="93">
        <v>21274</v>
      </c>
      <c r="W71" s="93">
        <v>40425</v>
      </c>
      <c r="X71" s="93">
        <v>35458</v>
      </c>
      <c r="Y71" s="93">
        <v>24594</v>
      </c>
      <c r="Z71" s="93">
        <v>23890</v>
      </c>
      <c r="AA71" s="93">
        <v>40425</v>
      </c>
      <c r="AB71" s="93">
        <v>35458</v>
      </c>
      <c r="AC71" s="114">
        <v>9</v>
      </c>
      <c r="AD71" s="114">
        <v>11</v>
      </c>
      <c r="AE71" s="114">
        <v>0</v>
      </c>
      <c r="AF71" s="115">
        <v>5021189</v>
      </c>
      <c r="AG71" s="115">
        <v>4135814</v>
      </c>
      <c r="AH71" s="115">
        <v>699143</v>
      </c>
      <c r="AI71" s="115">
        <v>289662</v>
      </c>
      <c r="AJ71" s="115">
        <v>596655</v>
      </c>
      <c r="AK71" s="116">
        <v>7</v>
      </c>
      <c r="AL71" s="115">
        <v>596655</v>
      </c>
      <c r="AM71" s="116">
        <v>7</v>
      </c>
      <c r="AN71" s="115">
        <v>181687</v>
      </c>
      <c r="AO71" s="116">
        <v>9</v>
      </c>
      <c r="AP71" s="115">
        <v>181687</v>
      </c>
      <c r="AQ71" s="116">
        <v>9</v>
      </c>
      <c r="AR71" s="115">
        <v>219609</v>
      </c>
      <c r="AS71" s="116">
        <v>20</v>
      </c>
      <c r="AT71" s="115">
        <v>219609</v>
      </c>
      <c r="AU71" s="116">
        <v>20</v>
      </c>
      <c r="AV71" s="115">
        <v>92503</v>
      </c>
      <c r="AW71" s="116">
        <v>17</v>
      </c>
      <c r="AX71" s="115">
        <v>92503</v>
      </c>
      <c r="AY71" s="116">
        <v>17</v>
      </c>
      <c r="AZ71" s="139">
        <v>8079469</v>
      </c>
      <c r="BA71" s="139">
        <v>250000</v>
      </c>
      <c r="BB71" s="139">
        <v>10670196</v>
      </c>
      <c r="BC71" s="139">
        <v>434329</v>
      </c>
      <c r="BD71" s="139">
        <v>0</v>
      </c>
      <c r="BE71" s="139">
        <v>224750</v>
      </c>
      <c r="BF71" s="139">
        <v>11712</v>
      </c>
      <c r="BG71" s="139">
        <v>80977</v>
      </c>
      <c r="BH71" s="139">
        <v>921325</v>
      </c>
      <c r="BI71" s="139">
        <v>40822</v>
      </c>
      <c r="BJ71" s="139">
        <v>1279586</v>
      </c>
      <c r="BK71" s="139">
        <v>0</v>
      </c>
      <c r="BL71" s="139">
        <v>0</v>
      </c>
      <c r="BM71" s="139">
        <v>0</v>
      </c>
      <c r="BN71" s="139">
        <v>9</v>
      </c>
      <c r="BO71" s="139">
        <v>239673</v>
      </c>
      <c r="BP71" s="139">
        <v>239682</v>
      </c>
      <c r="BQ71" s="139">
        <v>11840</v>
      </c>
      <c r="BR71" s="139">
        <v>495</v>
      </c>
      <c r="BS71" s="139">
        <v>1090</v>
      </c>
      <c r="BT71" s="139">
        <v>26928</v>
      </c>
      <c r="BU71" s="139">
        <v>321354</v>
      </c>
      <c r="BV71" s="139">
        <v>361707</v>
      </c>
      <c r="BW71" s="139">
        <v>28325249</v>
      </c>
      <c r="BX71" s="139">
        <v>5526105</v>
      </c>
      <c r="BY71" s="139">
        <v>315578</v>
      </c>
      <c r="BZ71" s="139">
        <v>3266493</v>
      </c>
      <c r="CA71" s="139">
        <v>25868369</v>
      </c>
      <c r="CB71" s="139">
        <v>63301794</v>
      </c>
      <c r="CC71" s="139">
        <v>3218850</v>
      </c>
      <c r="CD71" s="139">
        <v>462649</v>
      </c>
      <c r="CE71" s="139">
        <v>449987</v>
      </c>
      <c r="CF71" s="139">
        <v>5025517</v>
      </c>
      <c r="CG71" s="139">
        <v>294223</v>
      </c>
      <c r="CH71" s="139">
        <v>9451226</v>
      </c>
      <c r="CI71" s="139">
        <v>775000</v>
      </c>
      <c r="CJ71" s="139">
        <v>390000</v>
      </c>
      <c r="CK71" s="139">
        <v>59131</v>
      </c>
      <c r="CL71" s="139">
        <v>52232</v>
      </c>
      <c r="CM71" s="139">
        <v>0</v>
      </c>
      <c r="CN71" s="139">
        <v>1276363</v>
      </c>
      <c r="CO71" s="139">
        <v>4497771</v>
      </c>
      <c r="CP71" s="139">
        <v>2189766</v>
      </c>
      <c r="CQ71" s="139">
        <v>878681</v>
      </c>
      <c r="CR71" s="139">
        <v>4210282</v>
      </c>
      <c r="CS71" s="139">
        <v>0</v>
      </c>
      <c r="CT71" s="139">
        <v>11776500</v>
      </c>
      <c r="CU71" s="139">
        <v>0</v>
      </c>
      <c r="CV71" s="139">
        <v>0</v>
      </c>
      <c r="CW71" s="139">
        <v>0</v>
      </c>
      <c r="CX71" s="139">
        <v>0</v>
      </c>
      <c r="CY71" s="139">
        <v>0</v>
      </c>
      <c r="CZ71" s="139">
        <v>0</v>
      </c>
      <c r="DA71" s="139">
        <v>824355</v>
      </c>
      <c r="DB71" s="139">
        <v>186191</v>
      </c>
      <c r="DC71" s="139">
        <v>131632</v>
      </c>
      <c r="DD71" s="139">
        <v>318013</v>
      </c>
      <c r="DE71" s="139">
        <v>6778489</v>
      </c>
      <c r="DF71" s="139">
        <v>8238680</v>
      </c>
      <c r="DG71" s="139">
        <v>0</v>
      </c>
      <c r="DH71" s="139">
        <v>0</v>
      </c>
      <c r="DI71" s="139">
        <v>0</v>
      </c>
      <c r="DJ71" s="139">
        <v>0</v>
      </c>
      <c r="DK71" s="139">
        <v>0</v>
      </c>
      <c r="DL71" s="139">
        <v>0</v>
      </c>
      <c r="DM71" s="139">
        <v>0</v>
      </c>
      <c r="DN71" s="139">
        <v>0</v>
      </c>
      <c r="DO71" s="139">
        <v>0</v>
      </c>
      <c r="DP71" s="139">
        <v>4143888</v>
      </c>
      <c r="DQ71" s="139">
        <v>0</v>
      </c>
      <c r="DR71" s="139">
        <v>4143888</v>
      </c>
      <c r="DS71" s="139">
        <v>406513</v>
      </c>
      <c r="DT71" s="139">
        <v>155754</v>
      </c>
      <c r="DU71" s="139">
        <v>105038</v>
      </c>
      <c r="DV71" s="139">
        <v>321500</v>
      </c>
      <c r="DW71" s="139">
        <v>43046</v>
      </c>
      <c r="DX71" s="139">
        <v>1031851</v>
      </c>
      <c r="DY71" s="139">
        <v>2056175</v>
      </c>
      <c r="DZ71" s="139">
        <v>472437</v>
      </c>
      <c r="EA71" s="139">
        <v>223127</v>
      </c>
      <c r="EB71" s="139">
        <v>1965679</v>
      </c>
      <c r="EC71" s="139">
        <v>140766</v>
      </c>
      <c r="ED71" s="139">
        <v>4858184</v>
      </c>
      <c r="EE71" s="139">
        <v>618278</v>
      </c>
      <c r="EF71" s="139">
        <v>40337</v>
      </c>
      <c r="EG71" s="139">
        <v>11127</v>
      </c>
      <c r="EH71" s="139">
        <v>216287</v>
      </c>
      <c r="EI71" s="139">
        <v>187618</v>
      </c>
      <c r="EJ71" s="139">
        <v>1073647</v>
      </c>
      <c r="EK71" s="139">
        <v>208122</v>
      </c>
      <c r="EL71" s="139">
        <v>23741</v>
      </c>
      <c r="EM71" s="139">
        <v>12245</v>
      </c>
      <c r="EN71" s="139">
        <v>686225</v>
      </c>
      <c r="EO71" s="139">
        <v>874457</v>
      </c>
      <c r="EP71" s="139">
        <v>1804790</v>
      </c>
      <c r="EQ71" s="139">
        <v>209931</v>
      </c>
      <c r="ER71" s="139">
        <v>64889</v>
      </c>
      <c r="ES71" s="139">
        <v>50173</v>
      </c>
      <c r="ET71" s="139">
        <v>84730</v>
      </c>
      <c r="EU71" s="139">
        <v>2781534</v>
      </c>
      <c r="EV71" s="139">
        <v>3191257</v>
      </c>
      <c r="EW71" s="139">
        <v>173911</v>
      </c>
      <c r="EX71" s="139">
        <v>12058</v>
      </c>
      <c r="EY71" s="139">
        <v>35511</v>
      </c>
      <c r="EZ71" s="139">
        <v>532637</v>
      </c>
      <c r="FA71" s="139">
        <v>48864</v>
      </c>
      <c r="FB71" s="139">
        <v>802981</v>
      </c>
      <c r="FC71" s="139">
        <v>166544</v>
      </c>
      <c r="FD71" s="139">
        <v>2963</v>
      </c>
      <c r="FE71" s="139">
        <v>1129</v>
      </c>
      <c r="FF71" s="139">
        <v>18152</v>
      </c>
      <c r="FG71" s="139">
        <v>10616063</v>
      </c>
      <c r="FH71" s="139">
        <v>10804851</v>
      </c>
      <c r="FI71" s="139">
        <v>0</v>
      </c>
      <c r="FJ71" s="139">
        <v>0</v>
      </c>
      <c r="FK71" s="139">
        <v>0</v>
      </c>
      <c r="FL71" s="139">
        <v>0</v>
      </c>
      <c r="FM71" s="139">
        <v>51310</v>
      </c>
      <c r="FN71" s="139">
        <v>51310</v>
      </c>
      <c r="FO71" s="139">
        <v>0</v>
      </c>
      <c r="FP71" s="139">
        <v>0</v>
      </c>
      <c r="FQ71" s="139">
        <v>0</v>
      </c>
      <c r="FR71" s="139">
        <v>0</v>
      </c>
      <c r="FS71" s="139">
        <v>5988247</v>
      </c>
      <c r="FT71" s="139">
        <v>5988247</v>
      </c>
      <c r="FU71" s="139">
        <v>179207</v>
      </c>
      <c r="FV71" s="139">
        <v>22059</v>
      </c>
      <c r="FW71" s="139">
        <v>12697</v>
      </c>
      <c r="FX71" s="139">
        <v>209297</v>
      </c>
      <c r="FY71" s="139">
        <v>806741</v>
      </c>
      <c r="FZ71" s="139">
        <v>1230001</v>
      </c>
      <c r="GA71" s="139">
        <v>116390</v>
      </c>
      <c r="GB71" s="139">
        <v>145510</v>
      </c>
      <c r="GC71" s="139">
        <v>115279</v>
      </c>
      <c r="GD71" s="139">
        <v>116488</v>
      </c>
      <c r="GE71" s="139">
        <v>2270917</v>
      </c>
      <c r="GF71" s="139">
        <v>2764584</v>
      </c>
      <c r="GG71" s="139">
        <v>904612</v>
      </c>
      <c r="GH71" s="139">
        <v>123661</v>
      </c>
      <c r="GI71" s="139">
        <v>78158</v>
      </c>
      <c r="GJ71" s="139">
        <v>554499</v>
      </c>
      <c r="GK71" s="139">
        <v>2870713</v>
      </c>
      <c r="GL71" s="139">
        <v>4531643</v>
      </c>
      <c r="GM71" s="139">
        <v>14355659</v>
      </c>
      <c r="GN71" s="139">
        <v>4292015</v>
      </c>
      <c r="GO71" s="139">
        <v>2163915</v>
      </c>
      <c r="GP71" s="139">
        <v>18455426</v>
      </c>
      <c r="GQ71" s="139">
        <v>33752988</v>
      </c>
      <c r="GR71" s="139">
        <v>73020003</v>
      </c>
      <c r="GS71" s="139">
        <v>0</v>
      </c>
      <c r="GT71" s="139">
        <v>0</v>
      </c>
      <c r="GU71" s="139">
        <v>0</v>
      </c>
      <c r="GV71" s="139">
        <v>0</v>
      </c>
      <c r="GW71" s="139">
        <v>0</v>
      </c>
      <c r="GX71" s="139">
        <v>0</v>
      </c>
      <c r="GY71" s="139">
        <v>14355659</v>
      </c>
      <c r="GZ71" s="139">
        <v>4292015</v>
      </c>
      <c r="HA71" s="139">
        <v>2163915</v>
      </c>
      <c r="HB71" s="139">
        <v>18455426</v>
      </c>
      <c r="HC71" s="139">
        <v>33752988</v>
      </c>
      <c r="HD71" s="139">
        <v>73020003</v>
      </c>
      <c r="HF71" s="70">
        <f>SUM(AZ71:AZ71)</f>
        <v>8079469</v>
      </c>
      <c r="HG71" s="70" t="e">
        <f>#REF!-HF71</f>
        <v>#REF!</v>
      </c>
      <c r="HH71" s="70" t="e">
        <f>SUM(#REF!)</f>
        <v>#REF!</v>
      </c>
      <c r="HI71" s="70" t="e">
        <f>#REF!-HH71</f>
        <v>#REF!</v>
      </c>
      <c r="HJ71" s="70">
        <f>SUM(BA71:BA71)</f>
        <v>250000</v>
      </c>
      <c r="HK71" s="70" t="e">
        <f>#REF!-HJ71</f>
        <v>#REF!</v>
      </c>
      <c r="HL71" s="70" t="e">
        <f>SUM(#REF!)</f>
        <v>#REF!</v>
      </c>
      <c r="HM71" s="70" t="e">
        <f>BB71-HL71</f>
        <v>#REF!</v>
      </c>
      <c r="HN71" s="70" t="e">
        <f>SUM(#REF!)</f>
        <v>#REF!</v>
      </c>
      <c r="HO71" s="70" t="e">
        <f>#REF!-HN71</f>
        <v>#REF!</v>
      </c>
      <c r="HP71" s="70" t="e">
        <f>SUM(#REF!)</f>
        <v>#REF!</v>
      </c>
      <c r="HQ71" s="70" t="e">
        <f>#REF!-HP71</f>
        <v>#REF!</v>
      </c>
      <c r="HR71" s="70" t="e">
        <f>SUM(#REF!)</f>
        <v>#REF!</v>
      </c>
      <c r="HS71" s="70" t="e">
        <f>#REF!-HR71</f>
        <v>#REF!</v>
      </c>
      <c r="HT71" s="70" t="e">
        <f>SUM(#REF!)</f>
        <v>#REF!</v>
      </c>
      <c r="HU71" s="70" t="e">
        <f>#REF!-HT71</f>
        <v>#REF!</v>
      </c>
      <c r="HV71" s="70" t="e">
        <f>SUM(#REF!)</f>
        <v>#REF!</v>
      </c>
      <c r="HW71" s="70" t="e">
        <f>#REF!-HV71</f>
        <v>#REF!</v>
      </c>
      <c r="HX71" s="70" t="e">
        <f>SUM(#REF!)</f>
        <v>#REF!</v>
      </c>
      <c r="HY71" s="70" t="e">
        <f>#REF!-HX71</f>
        <v>#REF!</v>
      </c>
      <c r="HZ71" s="70">
        <f>SUM(BC71:BC71)</f>
        <v>434329</v>
      </c>
      <c r="IA71" s="70" t="e">
        <f>#REF!-HZ71</f>
        <v>#REF!</v>
      </c>
      <c r="IB71" s="70">
        <f>SUM(BD71:BD71)</f>
        <v>0</v>
      </c>
      <c r="IC71" s="70" t="e">
        <f>#REF!-IB71</f>
        <v>#REF!</v>
      </c>
      <c r="ID71" s="70">
        <f t="shared" si="109"/>
        <v>1279586</v>
      </c>
      <c r="IE71" s="70">
        <f t="shared" si="110"/>
        <v>0</v>
      </c>
      <c r="IF71" s="70">
        <f t="shared" si="111"/>
        <v>239682</v>
      </c>
      <c r="IG71" s="70">
        <f t="shared" si="112"/>
        <v>0</v>
      </c>
      <c r="IH71" s="70">
        <f t="shared" si="113"/>
        <v>361707</v>
      </c>
      <c r="II71" s="70">
        <f t="shared" si="114"/>
        <v>0</v>
      </c>
      <c r="IJ71" s="70">
        <f t="shared" si="115"/>
        <v>63301794</v>
      </c>
      <c r="IK71" s="70">
        <f t="shared" si="116"/>
        <v>0</v>
      </c>
      <c r="IL71" s="70">
        <f t="shared" si="117"/>
        <v>9451226</v>
      </c>
      <c r="IM71" s="70">
        <f t="shared" si="118"/>
        <v>0</v>
      </c>
      <c r="IN71" s="70">
        <f t="shared" si="119"/>
        <v>1276363</v>
      </c>
      <c r="IO71" s="70">
        <f t="shared" si="120"/>
        <v>0</v>
      </c>
      <c r="IP71" s="70">
        <f t="shared" si="121"/>
        <v>11776500</v>
      </c>
      <c r="IQ71" s="70">
        <f t="shared" si="122"/>
        <v>0</v>
      </c>
      <c r="IR71" s="70">
        <f t="shared" si="107"/>
        <v>0</v>
      </c>
      <c r="IS71" s="70">
        <f t="shared" si="108"/>
        <v>0</v>
      </c>
      <c r="IT71" s="70">
        <f t="shared" si="123"/>
        <v>8238680</v>
      </c>
      <c r="IU71" s="70">
        <f t="shared" si="124"/>
        <v>0</v>
      </c>
      <c r="IV71" s="70">
        <f t="shared" si="125"/>
        <v>0</v>
      </c>
      <c r="IW71" s="70">
        <f t="shared" si="126"/>
        <v>0</v>
      </c>
      <c r="IX71" s="70">
        <f t="shared" si="127"/>
        <v>4143888</v>
      </c>
      <c r="IY71" s="70">
        <f t="shared" si="128"/>
        <v>0</v>
      </c>
      <c r="IZ71" s="70">
        <f t="shared" si="129"/>
        <v>1031851</v>
      </c>
      <c r="JA71" s="70">
        <f t="shared" si="130"/>
        <v>0</v>
      </c>
      <c r="JB71" s="70">
        <f t="shared" si="131"/>
        <v>4858184</v>
      </c>
      <c r="JC71" s="70">
        <f t="shared" si="132"/>
        <v>0</v>
      </c>
      <c r="JD71" s="70">
        <f t="shared" si="133"/>
        <v>1073647</v>
      </c>
      <c r="JE71" s="70">
        <f t="shared" si="134"/>
        <v>0</v>
      </c>
      <c r="JF71" s="70">
        <f t="shared" si="135"/>
        <v>1804790</v>
      </c>
      <c r="JG71" s="70">
        <f t="shared" si="136"/>
        <v>0</v>
      </c>
      <c r="JH71" s="70">
        <f t="shared" si="137"/>
        <v>3191257</v>
      </c>
      <c r="JI71" s="70">
        <f t="shared" si="138"/>
        <v>0</v>
      </c>
      <c r="JJ71" s="70">
        <f t="shared" si="139"/>
        <v>802981</v>
      </c>
      <c r="JK71" s="70">
        <f t="shared" si="140"/>
        <v>0</v>
      </c>
      <c r="JL71" s="70">
        <f t="shared" si="141"/>
        <v>10804851</v>
      </c>
      <c r="JM71" s="70">
        <f t="shared" si="142"/>
        <v>0</v>
      </c>
      <c r="JN71" s="70">
        <f t="shared" si="143"/>
        <v>51310</v>
      </c>
      <c r="JO71" s="70">
        <f t="shared" si="144"/>
        <v>0</v>
      </c>
      <c r="JP71" s="70">
        <f t="shared" si="145"/>
        <v>5988247</v>
      </c>
      <c r="JQ71" s="70">
        <f t="shared" si="146"/>
        <v>0</v>
      </c>
      <c r="JR71" s="70">
        <f t="shared" si="147"/>
        <v>1230001</v>
      </c>
      <c r="JS71" s="70">
        <f t="shared" si="148"/>
        <v>0</v>
      </c>
      <c r="JT71" s="70">
        <f t="shared" si="149"/>
        <v>2764584</v>
      </c>
      <c r="JU71" s="70">
        <f t="shared" si="150"/>
        <v>0</v>
      </c>
      <c r="JV71" s="70">
        <f t="shared" si="151"/>
        <v>4531643</v>
      </c>
      <c r="JW71" s="70">
        <f t="shared" si="152"/>
        <v>0</v>
      </c>
      <c r="JX71" s="70">
        <f t="shared" si="153"/>
        <v>73020003</v>
      </c>
      <c r="JY71" s="70">
        <f t="shared" si="154"/>
        <v>0</v>
      </c>
      <c r="JZ71" s="70">
        <f t="shared" si="155"/>
        <v>0</v>
      </c>
      <c r="KA71" s="70">
        <f t="shared" si="156"/>
        <v>0</v>
      </c>
      <c r="KB71" s="70">
        <f t="shared" si="157"/>
        <v>73020003</v>
      </c>
      <c r="KC71" s="70">
        <f t="shared" si="158"/>
        <v>0</v>
      </c>
      <c r="KE71" s="70" t="e">
        <f t="shared" si="159"/>
        <v>#REF!</v>
      </c>
      <c r="KG71" s="68" t="e">
        <f t="shared" si="160"/>
        <v>#REF!</v>
      </c>
      <c r="KR71" s="80"/>
    </row>
    <row r="72" spans="1:304">
      <c r="A72" s="180" t="s">
        <v>293</v>
      </c>
      <c r="B72" s="76" t="s">
        <v>364</v>
      </c>
      <c r="C72" s="90">
        <v>199120</v>
      </c>
      <c r="D72" s="90">
        <v>2014</v>
      </c>
      <c r="E72" s="90">
        <v>1</v>
      </c>
      <c r="F72" s="91">
        <v>3</v>
      </c>
      <c r="G72" s="92">
        <v>16843</v>
      </c>
      <c r="H72" s="92">
        <v>12597</v>
      </c>
      <c r="I72" s="93">
        <v>1623563254</v>
      </c>
      <c r="J72" s="93">
        <v>1589776813</v>
      </c>
      <c r="K72" s="93">
        <v>8888112</v>
      </c>
      <c r="L72" s="93">
        <v>8977342</v>
      </c>
      <c r="M72" s="93">
        <v>84498817</v>
      </c>
      <c r="N72" s="93">
        <v>78829341</v>
      </c>
      <c r="O72" s="93">
        <v>133320000</v>
      </c>
      <c r="P72" s="93">
        <v>124175000</v>
      </c>
      <c r="Q72" s="93">
        <v>762032016</v>
      </c>
      <c r="R72" s="93">
        <v>782336971</v>
      </c>
      <c r="S72" s="93">
        <v>1458745150</v>
      </c>
      <c r="T72" s="93">
        <v>1401738769</v>
      </c>
      <c r="U72" s="93">
        <v>21092</v>
      </c>
      <c r="V72" s="93">
        <v>21078</v>
      </c>
      <c r="W72" s="93">
        <v>39694</v>
      </c>
      <c r="X72" s="93">
        <v>39880</v>
      </c>
      <c r="Y72" s="93">
        <v>23242</v>
      </c>
      <c r="Z72" s="93">
        <v>23468</v>
      </c>
      <c r="AA72" s="93">
        <v>42194</v>
      </c>
      <c r="AB72" s="93">
        <v>42480</v>
      </c>
      <c r="AC72" s="114">
        <v>10</v>
      </c>
      <c r="AD72" s="114">
        <v>10</v>
      </c>
      <c r="AE72" s="114">
        <v>0</v>
      </c>
      <c r="AF72" s="115">
        <v>6547982</v>
      </c>
      <c r="AG72" s="115">
        <v>4082123</v>
      </c>
      <c r="AH72" s="115">
        <v>773235</v>
      </c>
      <c r="AI72" s="115">
        <v>370618</v>
      </c>
      <c r="AJ72" s="115">
        <v>730028</v>
      </c>
      <c r="AK72" s="116">
        <v>7.5</v>
      </c>
      <c r="AL72" s="115">
        <v>684401</v>
      </c>
      <c r="AM72" s="116">
        <v>8</v>
      </c>
      <c r="AN72" s="115">
        <v>222895</v>
      </c>
      <c r="AO72" s="116">
        <v>7.1</v>
      </c>
      <c r="AP72" s="115">
        <v>197819</v>
      </c>
      <c r="AQ72" s="116">
        <v>8</v>
      </c>
      <c r="AR72" s="115">
        <v>168364</v>
      </c>
      <c r="AS72" s="116">
        <v>24</v>
      </c>
      <c r="AT72" s="115">
        <v>139335</v>
      </c>
      <c r="AU72" s="116">
        <v>29</v>
      </c>
      <c r="AV72" s="115">
        <v>89543</v>
      </c>
      <c r="AW72" s="116">
        <v>15</v>
      </c>
      <c r="AX72" s="115">
        <v>74619</v>
      </c>
      <c r="AY72" s="116">
        <v>18</v>
      </c>
      <c r="AZ72" s="139">
        <v>9628594</v>
      </c>
      <c r="BA72" s="139">
        <v>350000</v>
      </c>
      <c r="BB72" s="139">
        <v>15281636</v>
      </c>
      <c r="BC72" s="139">
        <v>469603</v>
      </c>
      <c r="BD72" s="139">
        <v>0</v>
      </c>
      <c r="BE72" s="139">
        <v>0</v>
      </c>
      <c r="BF72" s="139">
        <v>0</v>
      </c>
      <c r="BG72" s="139">
        <v>0</v>
      </c>
      <c r="BH72" s="139">
        <v>17174</v>
      </c>
      <c r="BI72" s="139">
        <v>123125</v>
      </c>
      <c r="BJ72" s="139">
        <v>140299</v>
      </c>
      <c r="BK72" s="139">
        <v>278991</v>
      </c>
      <c r="BL72" s="139">
        <v>109900</v>
      </c>
      <c r="BM72" s="139">
        <v>96652</v>
      </c>
      <c r="BN72" s="139">
        <v>103409</v>
      </c>
      <c r="BO72" s="139">
        <v>864460</v>
      </c>
      <c r="BP72" s="139">
        <v>1453412</v>
      </c>
      <c r="BQ72" s="139">
        <v>43864</v>
      </c>
      <c r="BR72" s="139">
        <v>5202</v>
      </c>
      <c r="BS72" s="139">
        <v>0</v>
      </c>
      <c r="BT72" s="139">
        <v>27</v>
      </c>
      <c r="BU72" s="139">
        <v>2027542</v>
      </c>
      <c r="BV72" s="139">
        <v>2076635</v>
      </c>
      <c r="BW72" s="139">
        <v>19834394</v>
      </c>
      <c r="BX72" s="139">
        <v>9510008</v>
      </c>
      <c r="BY72" s="139">
        <v>747240</v>
      </c>
      <c r="BZ72" s="139">
        <v>3346070</v>
      </c>
      <c r="CA72" s="139">
        <v>37934494</v>
      </c>
      <c r="CB72" s="139">
        <v>71372206</v>
      </c>
      <c r="CC72" s="139">
        <v>3986548</v>
      </c>
      <c r="CD72" s="139">
        <v>400867</v>
      </c>
      <c r="CE72" s="139">
        <v>488242</v>
      </c>
      <c r="CF72" s="139">
        <v>5754448</v>
      </c>
      <c r="CG72" s="139">
        <v>115061</v>
      </c>
      <c r="CH72" s="139">
        <v>10745166</v>
      </c>
      <c r="CI72" s="139">
        <v>1350000</v>
      </c>
      <c r="CJ72" s="139">
        <v>627106</v>
      </c>
      <c r="CK72" s="139">
        <v>42963</v>
      </c>
      <c r="CL72" s="139">
        <v>65344</v>
      </c>
      <c r="CM72" s="139">
        <v>0</v>
      </c>
      <c r="CN72" s="139">
        <v>2085413</v>
      </c>
      <c r="CO72" s="139">
        <v>4838672</v>
      </c>
      <c r="CP72" s="139">
        <v>3121033</v>
      </c>
      <c r="CQ72" s="139">
        <v>983154</v>
      </c>
      <c r="CR72" s="139">
        <v>3498775</v>
      </c>
      <c r="CS72" s="139">
        <v>0</v>
      </c>
      <c r="CT72" s="139">
        <v>12441634</v>
      </c>
      <c r="CU72" s="139">
        <v>48731</v>
      </c>
      <c r="CV72" s="139">
        <v>17394</v>
      </c>
      <c r="CW72" s="139">
        <v>12385</v>
      </c>
      <c r="CX72" s="139">
        <v>12135</v>
      </c>
      <c r="CY72" s="139">
        <v>0</v>
      </c>
      <c r="CZ72" s="139">
        <v>90645</v>
      </c>
      <c r="DA72" s="139">
        <v>695655</v>
      </c>
      <c r="DB72" s="139">
        <v>324733</v>
      </c>
      <c r="DC72" s="139">
        <v>245044</v>
      </c>
      <c r="DD72" s="139">
        <v>534301</v>
      </c>
      <c r="DE72" s="139">
        <v>12327882</v>
      </c>
      <c r="DF72" s="139">
        <v>14127615</v>
      </c>
      <c r="DG72" s="139">
        <v>0</v>
      </c>
      <c r="DH72" s="139">
        <v>0</v>
      </c>
      <c r="DI72" s="139">
        <v>0</v>
      </c>
      <c r="DJ72" s="139">
        <v>0</v>
      </c>
      <c r="DK72" s="139">
        <v>48671</v>
      </c>
      <c r="DL72" s="139">
        <v>48671</v>
      </c>
      <c r="DM72" s="139">
        <v>0</v>
      </c>
      <c r="DN72" s="139">
        <v>0</v>
      </c>
      <c r="DO72" s="139">
        <v>0</v>
      </c>
      <c r="DP72" s="139">
        <v>0</v>
      </c>
      <c r="DQ72" s="139">
        <v>0</v>
      </c>
      <c r="DR72" s="139">
        <v>0</v>
      </c>
      <c r="DS72" s="139">
        <v>406384</v>
      </c>
      <c r="DT72" s="139">
        <v>197206</v>
      </c>
      <c r="DU72" s="139">
        <v>128386</v>
      </c>
      <c r="DV72" s="139">
        <v>411877</v>
      </c>
      <c r="DW72" s="139">
        <v>0</v>
      </c>
      <c r="DX72" s="139">
        <v>1143853</v>
      </c>
      <c r="DY72" s="139">
        <v>1485044</v>
      </c>
      <c r="DZ72" s="139">
        <v>708171</v>
      </c>
      <c r="EA72" s="139">
        <v>515880</v>
      </c>
      <c r="EB72" s="139">
        <v>2147463</v>
      </c>
      <c r="EC72" s="139">
        <v>36518</v>
      </c>
      <c r="ED72" s="139">
        <v>4893076</v>
      </c>
      <c r="EE72" s="139">
        <v>385745</v>
      </c>
      <c r="EF72" s="139">
        <v>116052</v>
      </c>
      <c r="EG72" s="139">
        <v>109427</v>
      </c>
      <c r="EH72" s="139">
        <v>661785</v>
      </c>
      <c r="EI72" s="139">
        <v>243857</v>
      </c>
      <c r="EJ72" s="139">
        <v>1516866</v>
      </c>
      <c r="EK72" s="139">
        <v>1305450</v>
      </c>
      <c r="EL72" s="139">
        <v>581738</v>
      </c>
      <c r="EM72" s="139">
        <v>359439</v>
      </c>
      <c r="EN72" s="139">
        <v>326218</v>
      </c>
      <c r="EO72" s="139">
        <v>30836</v>
      </c>
      <c r="EP72" s="139">
        <v>2603681</v>
      </c>
      <c r="EQ72" s="139">
        <v>197629</v>
      </c>
      <c r="ER72" s="139">
        <v>112413</v>
      </c>
      <c r="ES72" s="139">
        <v>88783</v>
      </c>
      <c r="ET72" s="139">
        <v>53184</v>
      </c>
      <c r="EU72" s="139">
        <v>2998805</v>
      </c>
      <c r="EV72" s="139">
        <v>3450814</v>
      </c>
      <c r="EW72" s="139">
        <v>0</v>
      </c>
      <c r="EX72" s="139">
        <v>0</v>
      </c>
      <c r="EY72" s="139">
        <v>0</v>
      </c>
      <c r="EZ72" s="139">
        <v>0</v>
      </c>
      <c r="FA72" s="139">
        <v>6849</v>
      </c>
      <c r="FB72" s="139">
        <v>6849</v>
      </c>
      <c r="FC72" s="139">
        <v>236472</v>
      </c>
      <c r="FD72" s="139">
        <v>16128</v>
      </c>
      <c r="FE72" s="139">
        <v>3242</v>
      </c>
      <c r="FF72" s="139">
        <v>1051727</v>
      </c>
      <c r="FG72" s="139">
        <v>14793312</v>
      </c>
      <c r="FH72" s="139">
        <v>16100881</v>
      </c>
      <c r="FI72" s="139">
        <v>0</v>
      </c>
      <c r="FJ72" s="139">
        <v>0</v>
      </c>
      <c r="FK72" s="139">
        <v>0</v>
      </c>
      <c r="FL72" s="139">
        <v>0</v>
      </c>
      <c r="FM72" s="139">
        <v>83674</v>
      </c>
      <c r="FN72" s="139">
        <v>83674</v>
      </c>
      <c r="FO72" s="139">
        <v>0</v>
      </c>
      <c r="FP72" s="139">
        <v>0</v>
      </c>
      <c r="FQ72" s="139">
        <v>0</v>
      </c>
      <c r="FR72" s="139">
        <v>0</v>
      </c>
      <c r="FS72" s="139">
        <v>0</v>
      </c>
      <c r="FT72" s="139">
        <v>0</v>
      </c>
      <c r="FU72" s="139">
        <v>23962</v>
      </c>
      <c r="FV72" s="139">
        <v>7097</v>
      </c>
      <c r="FW72" s="139">
        <v>3468</v>
      </c>
      <c r="FX72" s="139">
        <v>26810</v>
      </c>
      <c r="FY72" s="139">
        <v>1012528</v>
      </c>
      <c r="FZ72" s="139">
        <v>1073865</v>
      </c>
      <c r="GA72" s="139">
        <v>2400</v>
      </c>
      <c r="GB72" s="139">
        <v>185</v>
      </c>
      <c r="GC72" s="139">
        <v>100</v>
      </c>
      <c r="GD72" s="139">
        <v>7065</v>
      </c>
      <c r="GE72" s="139">
        <v>99832</v>
      </c>
      <c r="GF72" s="139">
        <v>109582</v>
      </c>
      <c r="GG72" s="139">
        <v>414747</v>
      </c>
      <c r="GH72" s="139">
        <v>172904</v>
      </c>
      <c r="GI72" s="139">
        <v>105422</v>
      </c>
      <c r="GJ72" s="139">
        <v>474703</v>
      </c>
      <c r="GK72" s="139">
        <v>2914695</v>
      </c>
      <c r="GL72" s="139">
        <v>4082471</v>
      </c>
      <c r="GM72" s="139">
        <v>15377439</v>
      </c>
      <c r="GN72" s="139">
        <v>6403027</v>
      </c>
      <c r="GO72" s="139">
        <v>3085935</v>
      </c>
      <c r="GP72" s="139">
        <v>15025835</v>
      </c>
      <c r="GQ72" s="139">
        <v>34712520</v>
      </c>
      <c r="GR72" s="139">
        <v>74604756</v>
      </c>
      <c r="GS72" s="139">
        <v>0</v>
      </c>
      <c r="GT72" s="139">
        <v>0</v>
      </c>
      <c r="GU72" s="139">
        <v>0</v>
      </c>
      <c r="GV72" s="139">
        <v>0</v>
      </c>
      <c r="GW72" s="139">
        <v>1716728</v>
      </c>
      <c r="GX72" s="139">
        <v>1716728</v>
      </c>
      <c r="GY72" s="139">
        <v>15377439</v>
      </c>
      <c r="GZ72" s="139">
        <v>6403027</v>
      </c>
      <c r="HA72" s="139">
        <v>3085935</v>
      </c>
      <c r="HB72" s="139">
        <v>15025835</v>
      </c>
      <c r="HC72" s="139">
        <v>36429248</v>
      </c>
      <c r="HD72" s="139">
        <v>76321484</v>
      </c>
      <c r="HF72" s="70">
        <f>SUM(AZ72:AZ72)</f>
        <v>9628594</v>
      </c>
      <c r="HG72" s="70" t="e">
        <f>#REF!-HF72</f>
        <v>#REF!</v>
      </c>
      <c r="HH72" s="70" t="e">
        <f>SUM(#REF!)</f>
        <v>#REF!</v>
      </c>
      <c r="HI72" s="70" t="e">
        <f>#REF!-HH72</f>
        <v>#REF!</v>
      </c>
      <c r="HJ72" s="70">
        <f>SUM(BA72:BA72)</f>
        <v>350000</v>
      </c>
      <c r="HK72" s="70" t="e">
        <f>#REF!-HJ72</f>
        <v>#REF!</v>
      </c>
      <c r="HL72" s="70" t="e">
        <f>SUM(#REF!)</f>
        <v>#REF!</v>
      </c>
      <c r="HM72" s="70" t="e">
        <f>BB72-HL72</f>
        <v>#REF!</v>
      </c>
      <c r="HN72" s="70" t="e">
        <f>SUM(#REF!)</f>
        <v>#REF!</v>
      </c>
      <c r="HO72" s="70" t="e">
        <f>#REF!-HN72</f>
        <v>#REF!</v>
      </c>
      <c r="HP72" s="70" t="e">
        <f>SUM(#REF!)</f>
        <v>#REF!</v>
      </c>
      <c r="HQ72" s="70" t="e">
        <f>#REF!-HP72</f>
        <v>#REF!</v>
      </c>
      <c r="HR72" s="70" t="e">
        <f>SUM(#REF!)</f>
        <v>#REF!</v>
      </c>
      <c r="HS72" s="70" t="e">
        <f>#REF!-HR72</f>
        <v>#REF!</v>
      </c>
      <c r="HT72" s="70" t="e">
        <f>SUM(#REF!)</f>
        <v>#REF!</v>
      </c>
      <c r="HU72" s="70" t="e">
        <f>#REF!-HT72</f>
        <v>#REF!</v>
      </c>
      <c r="HV72" s="70" t="e">
        <f>SUM(#REF!)</f>
        <v>#REF!</v>
      </c>
      <c r="HW72" s="70" t="e">
        <f>#REF!-HV72</f>
        <v>#REF!</v>
      </c>
      <c r="HX72" s="70" t="e">
        <f>SUM(#REF!)</f>
        <v>#REF!</v>
      </c>
      <c r="HY72" s="70" t="e">
        <f>#REF!-HX72</f>
        <v>#REF!</v>
      </c>
      <c r="HZ72" s="70">
        <f>SUM(BC72:BC72)</f>
        <v>469603</v>
      </c>
      <c r="IA72" s="70" t="e">
        <f>#REF!-HZ72</f>
        <v>#REF!</v>
      </c>
      <c r="IB72" s="70">
        <f>SUM(BD72:BD72)</f>
        <v>0</v>
      </c>
      <c r="IC72" s="70" t="e">
        <f>#REF!-IB72</f>
        <v>#REF!</v>
      </c>
      <c r="ID72" s="70">
        <f t="shared" si="109"/>
        <v>140299</v>
      </c>
      <c r="IE72" s="70">
        <f t="shared" si="110"/>
        <v>0</v>
      </c>
      <c r="IF72" s="70">
        <f t="shared" si="111"/>
        <v>1453412</v>
      </c>
      <c r="IG72" s="70">
        <f t="shared" si="112"/>
        <v>0</v>
      </c>
      <c r="IH72" s="70">
        <f t="shared" si="113"/>
        <v>2076635</v>
      </c>
      <c r="II72" s="70">
        <f t="shared" si="114"/>
        <v>0</v>
      </c>
      <c r="IJ72" s="70">
        <f t="shared" si="115"/>
        <v>71372206</v>
      </c>
      <c r="IK72" s="70">
        <f t="shared" si="116"/>
        <v>0</v>
      </c>
      <c r="IL72" s="70">
        <f t="shared" si="117"/>
        <v>10745166</v>
      </c>
      <c r="IM72" s="70">
        <f t="shared" si="118"/>
        <v>0</v>
      </c>
      <c r="IN72" s="70">
        <f t="shared" si="119"/>
        <v>2085413</v>
      </c>
      <c r="IO72" s="70">
        <f t="shared" si="120"/>
        <v>0</v>
      </c>
      <c r="IP72" s="70">
        <f t="shared" si="121"/>
        <v>12441634</v>
      </c>
      <c r="IQ72" s="70">
        <f t="shared" si="122"/>
        <v>0</v>
      </c>
      <c r="IR72" s="70">
        <f t="shared" si="107"/>
        <v>90645</v>
      </c>
      <c r="IS72" s="70">
        <f t="shared" si="108"/>
        <v>0</v>
      </c>
      <c r="IT72" s="70">
        <f t="shared" si="123"/>
        <v>14127615</v>
      </c>
      <c r="IU72" s="70">
        <f t="shared" si="124"/>
        <v>0</v>
      </c>
      <c r="IV72" s="70">
        <f t="shared" si="125"/>
        <v>48671</v>
      </c>
      <c r="IW72" s="70">
        <f t="shared" si="126"/>
        <v>0</v>
      </c>
      <c r="IX72" s="70">
        <f t="shared" si="127"/>
        <v>0</v>
      </c>
      <c r="IY72" s="70">
        <f t="shared" si="128"/>
        <v>0</v>
      </c>
      <c r="IZ72" s="70">
        <f t="shared" si="129"/>
        <v>1143853</v>
      </c>
      <c r="JA72" s="70">
        <f t="shared" si="130"/>
        <v>0</v>
      </c>
      <c r="JB72" s="70">
        <f t="shared" si="131"/>
        <v>4893076</v>
      </c>
      <c r="JC72" s="70">
        <f t="shared" si="132"/>
        <v>0</v>
      </c>
      <c r="JD72" s="70">
        <f t="shared" si="133"/>
        <v>1516866</v>
      </c>
      <c r="JE72" s="70">
        <f t="shared" si="134"/>
        <v>0</v>
      </c>
      <c r="JF72" s="70">
        <f t="shared" si="135"/>
        <v>2603681</v>
      </c>
      <c r="JG72" s="70">
        <f t="shared" si="136"/>
        <v>0</v>
      </c>
      <c r="JH72" s="70">
        <f t="shared" si="137"/>
        <v>3450814</v>
      </c>
      <c r="JI72" s="70">
        <f t="shared" si="138"/>
        <v>0</v>
      </c>
      <c r="JJ72" s="70">
        <f t="shared" si="139"/>
        <v>6849</v>
      </c>
      <c r="JK72" s="70">
        <f t="shared" si="140"/>
        <v>0</v>
      </c>
      <c r="JL72" s="70">
        <f t="shared" si="141"/>
        <v>16100881</v>
      </c>
      <c r="JM72" s="70">
        <f t="shared" si="142"/>
        <v>0</v>
      </c>
      <c r="JN72" s="70">
        <f t="shared" si="143"/>
        <v>83674</v>
      </c>
      <c r="JO72" s="70">
        <f t="shared" si="144"/>
        <v>0</v>
      </c>
      <c r="JP72" s="70">
        <f t="shared" si="145"/>
        <v>0</v>
      </c>
      <c r="JQ72" s="70">
        <f t="shared" si="146"/>
        <v>0</v>
      </c>
      <c r="JR72" s="70">
        <f t="shared" si="147"/>
        <v>1073865</v>
      </c>
      <c r="JS72" s="70">
        <f t="shared" si="148"/>
        <v>0</v>
      </c>
      <c r="JT72" s="70">
        <f t="shared" si="149"/>
        <v>109582</v>
      </c>
      <c r="JU72" s="70">
        <f t="shared" si="150"/>
        <v>0</v>
      </c>
      <c r="JV72" s="70">
        <f t="shared" si="151"/>
        <v>4082471</v>
      </c>
      <c r="JW72" s="70">
        <f t="shared" si="152"/>
        <v>0</v>
      </c>
      <c r="JX72" s="70">
        <f t="shared" si="153"/>
        <v>74604756</v>
      </c>
      <c r="JY72" s="70">
        <f t="shared" si="154"/>
        <v>0</v>
      </c>
      <c r="JZ72" s="70">
        <f t="shared" si="155"/>
        <v>1716728</v>
      </c>
      <c r="KA72" s="70">
        <f t="shared" si="156"/>
        <v>0</v>
      </c>
      <c r="KB72" s="70">
        <f t="shared" si="157"/>
        <v>76321484</v>
      </c>
      <c r="KC72" s="70">
        <f t="shared" si="158"/>
        <v>0</v>
      </c>
      <c r="KE72" s="70" t="e">
        <f t="shared" si="159"/>
        <v>#REF!</v>
      </c>
      <c r="KG72" s="68" t="e">
        <f t="shared" si="160"/>
        <v>#REF!</v>
      </c>
      <c r="KR72" s="80"/>
    </row>
    <row r="73" spans="1:304">
      <c r="A73" s="181" t="s">
        <v>294</v>
      </c>
      <c r="B73" s="76" t="s">
        <v>364</v>
      </c>
      <c r="C73" s="90">
        <v>199193</v>
      </c>
      <c r="D73" s="90">
        <v>2014</v>
      </c>
      <c r="E73" s="90">
        <v>1</v>
      </c>
      <c r="F73" s="91">
        <v>3</v>
      </c>
      <c r="G73" s="92">
        <v>15908</v>
      </c>
      <c r="H73" s="92">
        <v>15722</v>
      </c>
      <c r="I73" s="93">
        <v>3360116000</v>
      </c>
      <c r="J73" s="93">
        <v>1985392000</v>
      </c>
      <c r="K73" s="93">
        <v>4952146</v>
      </c>
      <c r="L73" s="93">
        <v>6040406</v>
      </c>
      <c r="M73" s="93">
        <v>145105470</v>
      </c>
      <c r="N73" s="93">
        <v>94153878</v>
      </c>
      <c r="O73" s="93">
        <v>90555000</v>
      </c>
      <c r="P73" s="93">
        <v>92985000</v>
      </c>
      <c r="Q73" s="93">
        <v>2073308045</v>
      </c>
      <c r="R73" s="93">
        <v>1120651939</v>
      </c>
      <c r="S73" s="93">
        <v>2452965000</v>
      </c>
      <c r="T73" s="93">
        <v>1706005000</v>
      </c>
      <c r="U73" s="93">
        <v>26871</v>
      </c>
      <c r="V73" s="93">
        <v>26238</v>
      </c>
      <c r="W73" s="93">
        <v>40895</v>
      </c>
      <c r="X73" s="93">
        <v>39532</v>
      </c>
      <c r="Y73" s="93">
        <v>29950</v>
      </c>
      <c r="Z73" s="93">
        <v>29050</v>
      </c>
      <c r="AA73" s="93">
        <v>43670</v>
      </c>
      <c r="AB73" s="93">
        <v>42090</v>
      </c>
      <c r="AC73" s="114">
        <v>10</v>
      </c>
      <c r="AD73" s="114">
        <v>14</v>
      </c>
      <c r="AE73" s="114">
        <v>0</v>
      </c>
      <c r="AF73" s="115">
        <v>5556394</v>
      </c>
      <c r="AG73" s="115">
        <v>5067106</v>
      </c>
      <c r="AH73" s="115">
        <v>673523</v>
      </c>
      <c r="AI73" s="115">
        <v>295728</v>
      </c>
      <c r="AJ73" s="115"/>
      <c r="AK73" s="116"/>
      <c r="AL73" s="115"/>
      <c r="AM73" s="116"/>
      <c r="AN73" s="115"/>
      <c r="AO73" s="116"/>
      <c r="AP73" s="115"/>
      <c r="AQ73" s="116"/>
      <c r="AR73" s="115"/>
      <c r="AS73" s="116"/>
      <c r="AT73" s="115"/>
      <c r="AU73" s="116"/>
      <c r="AV73" s="115"/>
      <c r="AW73" s="116"/>
      <c r="AX73" s="115"/>
      <c r="AY73" s="116"/>
      <c r="AZ73" s="139">
        <v>8767194</v>
      </c>
      <c r="BA73" s="139">
        <v>275000</v>
      </c>
      <c r="BB73" s="139">
        <v>8113992</v>
      </c>
      <c r="BC73" s="139">
        <v>1543288</v>
      </c>
      <c r="BD73" s="139">
        <v>5313058</v>
      </c>
      <c r="BE73" s="139">
        <v>0</v>
      </c>
      <c r="BF73" s="139">
        <v>0</v>
      </c>
      <c r="BG73" s="139">
        <v>0</v>
      </c>
      <c r="BH73" s="139">
        <v>0</v>
      </c>
      <c r="BI73" s="139">
        <v>8678</v>
      </c>
      <c r="BJ73" s="139">
        <v>8678</v>
      </c>
      <c r="BK73" s="139">
        <v>384633</v>
      </c>
      <c r="BL73" s="139">
        <v>78218</v>
      </c>
      <c r="BM73" s="139">
        <v>59120</v>
      </c>
      <c r="BN73" s="139">
        <v>156722</v>
      </c>
      <c r="BO73" s="139">
        <v>297945</v>
      </c>
      <c r="BP73" s="139">
        <v>976638</v>
      </c>
      <c r="BQ73" s="139">
        <v>84317</v>
      </c>
      <c r="BR73" s="139">
        <v>80986</v>
      </c>
      <c r="BS73" s="139">
        <v>0</v>
      </c>
      <c r="BT73" s="139">
        <v>88765</v>
      </c>
      <c r="BU73" s="139">
        <v>409765</v>
      </c>
      <c r="BV73" s="139">
        <v>663833</v>
      </c>
      <c r="BW73" s="139">
        <v>21695700</v>
      </c>
      <c r="BX73" s="139">
        <v>5945723</v>
      </c>
      <c r="BY73" s="139">
        <v>3737193</v>
      </c>
      <c r="BZ73" s="139">
        <v>14766438</v>
      </c>
      <c r="CA73" s="139">
        <v>30511285</v>
      </c>
      <c r="CB73" s="139">
        <v>76656339</v>
      </c>
      <c r="CC73" s="139">
        <v>3321737</v>
      </c>
      <c r="CD73" s="139">
        <v>545754</v>
      </c>
      <c r="CE73" s="139">
        <v>458167</v>
      </c>
      <c r="CF73" s="139">
        <v>6297842</v>
      </c>
      <c r="CG73" s="139">
        <v>0</v>
      </c>
      <c r="CH73" s="139">
        <v>10623500</v>
      </c>
      <c r="CI73" s="139">
        <v>1480000</v>
      </c>
      <c r="CJ73" s="139">
        <v>310000</v>
      </c>
      <c r="CK73" s="139">
        <v>78000</v>
      </c>
      <c r="CL73" s="139">
        <v>0</v>
      </c>
      <c r="CM73" s="139">
        <v>0</v>
      </c>
      <c r="CN73" s="139">
        <v>1868000</v>
      </c>
      <c r="CO73" s="139">
        <v>3390710</v>
      </c>
      <c r="CP73" s="139">
        <v>1733104</v>
      </c>
      <c r="CQ73" s="139">
        <v>1561850</v>
      </c>
      <c r="CR73" s="139">
        <v>3750277</v>
      </c>
      <c r="CS73" s="139">
        <v>0</v>
      </c>
      <c r="CT73" s="139">
        <v>10435941</v>
      </c>
      <c r="CU73" s="139">
        <v>26250</v>
      </c>
      <c r="CV73" s="139">
        <v>17000</v>
      </c>
      <c r="CW73" s="139">
        <v>134500</v>
      </c>
      <c r="CX73" s="139">
        <v>613297</v>
      </c>
      <c r="CY73" s="139">
        <v>0</v>
      </c>
      <c r="CZ73" s="139">
        <v>791047</v>
      </c>
      <c r="DA73" s="139">
        <v>2045803</v>
      </c>
      <c r="DB73" s="139">
        <v>514811</v>
      </c>
      <c r="DC73" s="139">
        <v>354200</v>
      </c>
      <c r="DD73" s="139">
        <v>370265</v>
      </c>
      <c r="DE73" s="139">
        <v>6847471</v>
      </c>
      <c r="DF73" s="139">
        <v>10132550</v>
      </c>
      <c r="DG73" s="139">
        <v>32000</v>
      </c>
      <c r="DH73" s="139">
        <v>4500</v>
      </c>
      <c r="DI73" s="139">
        <v>4100</v>
      </c>
      <c r="DJ73" s="139">
        <v>2500</v>
      </c>
      <c r="DK73" s="139">
        <v>125465</v>
      </c>
      <c r="DL73" s="139">
        <v>168565</v>
      </c>
      <c r="DM73" s="139">
        <v>0</v>
      </c>
      <c r="DN73" s="139">
        <v>0</v>
      </c>
      <c r="DO73" s="139">
        <v>0</v>
      </c>
      <c r="DP73" s="139">
        <v>0</v>
      </c>
      <c r="DQ73" s="139">
        <v>0</v>
      </c>
      <c r="DR73" s="139">
        <v>0</v>
      </c>
      <c r="DS73" s="139">
        <v>482220</v>
      </c>
      <c r="DT73" s="139">
        <v>111178</v>
      </c>
      <c r="DU73" s="139">
        <v>119645</v>
      </c>
      <c r="DV73" s="139">
        <v>256208</v>
      </c>
      <c r="DW73" s="139">
        <v>0</v>
      </c>
      <c r="DX73" s="139">
        <v>969251</v>
      </c>
      <c r="DY73" s="139">
        <v>2444403</v>
      </c>
      <c r="DZ73" s="139">
        <v>669015</v>
      </c>
      <c r="EA73" s="139">
        <v>585567</v>
      </c>
      <c r="EB73" s="139">
        <v>2109684</v>
      </c>
      <c r="EC73" s="139">
        <v>3772</v>
      </c>
      <c r="ED73" s="139">
        <v>5812441</v>
      </c>
      <c r="EE73" s="139">
        <v>802212</v>
      </c>
      <c r="EF73" s="139">
        <v>77242</v>
      </c>
      <c r="EG73" s="139">
        <v>33601</v>
      </c>
      <c r="EH73" s="139">
        <v>592591</v>
      </c>
      <c r="EI73" s="139">
        <v>31730</v>
      </c>
      <c r="EJ73" s="139">
        <v>1537376</v>
      </c>
      <c r="EK73" s="139">
        <v>3240404</v>
      </c>
      <c r="EL73" s="139">
        <v>443199</v>
      </c>
      <c r="EM73" s="139">
        <v>318120</v>
      </c>
      <c r="EN73" s="139">
        <v>133263</v>
      </c>
      <c r="EO73" s="139">
        <v>0</v>
      </c>
      <c r="EP73" s="139">
        <v>4134986</v>
      </c>
      <c r="EQ73" s="139">
        <v>145327</v>
      </c>
      <c r="ER73" s="139">
        <v>29108</v>
      </c>
      <c r="ES73" s="139">
        <v>7768</v>
      </c>
      <c r="ET73" s="139">
        <v>61477</v>
      </c>
      <c r="EU73" s="139">
        <v>2269867</v>
      </c>
      <c r="EV73" s="139">
        <v>2513547</v>
      </c>
      <c r="EW73" s="139">
        <v>0</v>
      </c>
      <c r="EX73" s="139">
        <v>0</v>
      </c>
      <c r="EY73" s="139">
        <v>0</v>
      </c>
      <c r="EZ73" s="139">
        <v>0</v>
      </c>
      <c r="FA73" s="139">
        <v>8678</v>
      </c>
      <c r="FB73" s="139">
        <v>8678</v>
      </c>
      <c r="FC73" s="139">
        <v>366319</v>
      </c>
      <c r="FD73" s="139">
        <v>69519</v>
      </c>
      <c r="FE73" s="139">
        <v>0</v>
      </c>
      <c r="FF73" s="139">
        <v>134892</v>
      </c>
      <c r="FG73" s="139">
        <v>10402443</v>
      </c>
      <c r="FH73" s="139">
        <v>10973173</v>
      </c>
      <c r="FI73" s="139">
        <v>0</v>
      </c>
      <c r="FJ73" s="139">
        <v>0</v>
      </c>
      <c r="FK73" s="139">
        <v>0</v>
      </c>
      <c r="FL73" s="139">
        <v>0</v>
      </c>
      <c r="FM73" s="139">
        <v>633404</v>
      </c>
      <c r="FN73" s="139">
        <v>633404</v>
      </c>
      <c r="FO73" s="139">
        <v>0</v>
      </c>
      <c r="FP73" s="139">
        <v>0</v>
      </c>
      <c r="FQ73" s="139">
        <v>0</v>
      </c>
      <c r="FR73" s="139">
        <v>0</v>
      </c>
      <c r="FS73" s="139">
        <v>0</v>
      </c>
      <c r="FT73" s="139">
        <v>0</v>
      </c>
      <c r="FU73" s="139">
        <v>0</v>
      </c>
      <c r="FV73" s="139">
        <v>0</v>
      </c>
      <c r="FW73" s="139">
        <v>0</v>
      </c>
      <c r="FX73" s="139">
        <v>0</v>
      </c>
      <c r="FY73" s="139">
        <v>2482998</v>
      </c>
      <c r="FZ73" s="139">
        <v>2482998</v>
      </c>
      <c r="GA73" s="139">
        <v>3330</v>
      </c>
      <c r="GB73" s="139">
        <v>1595</v>
      </c>
      <c r="GC73" s="139">
        <v>2655</v>
      </c>
      <c r="GD73" s="139">
        <v>10680</v>
      </c>
      <c r="GE73" s="139">
        <v>6518070</v>
      </c>
      <c r="GF73" s="139">
        <v>6536330</v>
      </c>
      <c r="GG73" s="139">
        <v>1918949</v>
      </c>
      <c r="GH73" s="139">
        <v>217407</v>
      </c>
      <c r="GI73" s="139">
        <v>79020</v>
      </c>
      <c r="GJ73" s="139">
        <v>433462</v>
      </c>
      <c r="GK73" s="139">
        <v>4385714</v>
      </c>
      <c r="GL73" s="139">
        <v>7034552</v>
      </c>
      <c r="GM73" s="139">
        <v>19699664</v>
      </c>
      <c r="GN73" s="139">
        <v>4743432</v>
      </c>
      <c r="GO73" s="139">
        <v>3737193</v>
      </c>
      <c r="GP73" s="139">
        <v>14766438</v>
      </c>
      <c r="GQ73" s="139">
        <v>33709612</v>
      </c>
      <c r="GR73" s="139">
        <v>76656339</v>
      </c>
      <c r="GS73" s="139">
        <v>0</v>
      </c>
      <c r="GT73" s="139">
        <v>0</v>
      </c>
      <c r="GU73" s="139">
        <v>0</v>
      </c>
      <c r="GV73" s="139">
        <v>0</v>
      </c>
      <c r="GW73" s="139">
        <v>0</v>
      </c>
      <c r="GX73" s="139">
        <v>0</v>
      </c>
      <c r="GY73" s="139">
        <v>19699664</v>
      </c>
      <c r="GZ73" s="139">
        <v>4743432</v>
      </c>
      <c r="HA73" s="139">
        <v>3737193</v>
      </c>
      <c r="HB73" s="139">
        <v>14766438</v>
      </c>
      <c r="HC73" s="139">
        <v>33709612</v>
      </c>
      <c r="HD73" s="139">
        <v>76656339</v>
      </c>
      <c r="HF73" s="70">
        <f>SUM(AZ73:AZ73)</f>
        <v>8767194</v>
      </c>
      <c r="HG73" s="70" t="e">
        <f>#REF!-HF73</f>
        <v>#REF!</v>
      </c>
      <c r="HH73" s="70" t="e">
        <f>SUM(#REF!)</f>
        <v>#REF!</v>
      </c>
      <c r="HI73" s="70" t="e">
        <f>#REF!-HH73</f>
        <v>#REF!</v>
      </c>
      <c r="HJ73" s="70">
        <f>SUM(BA73:BA73)</f>
        <v>275000</v>
      </c>
      <c r="HK73" s="70" t="e">
        <f>#REF!-HJ73</f>
        <v>#REF!</v>
      </c>
      <c r="HL73" s="70" t="e">
        <f>SUM(#REF!)</f>
        <v>#REF!</v>
      </c>
      <c r="HM73" s="70" t="e">
        <f>BB73-HL73</f>
        <v>#REF!</v>
      </c>
      <c r="HN73" s="70" t="e">
        <f>SUM(#REF!)</f>
        <v>#REF!</v>
      </c>
      <c r="HO73" s="70" t="e">
        <f>#REF!-HN73</f>
        <v>#REF!</v>
      </c>
      <c r="HP73" s="70" t="e">
        <f>SUM(#REF!)</f>
        <v>#REF!</v>
      </c>
      <c r="HQ73" s="70" t="e">
        <f>#REF!-HP73</f>
        <v>#REF!</v>
      </c>
      <c r="HR73" s="70" t="e">
        <f>SUM(#REF!)</f>
        <v>#REF!</v>
      </c>
      <c r="HS73" s="70" t="e">
        <f>#REF!-HR73</f>
        <v>#REF!</v>
      </c>
      <c r="HT73" s="70" t="e">
        <f>SUM(#REF!)</f>
        <v>#REF!</v>
      </c>
      <c r="HU73" s="70" t="e">
        <f>#REF!-HT73</f>
        <v>#REF!</v>
      </c>
      <c r="HV73" s="70" t="e">
        <f>SUM(#REF!)</f>
        <v>#REF!</v>
      </c>
      <c r="HW73" s="70" t="e">
        <f>#REF!-HV73</f>
        <v>#REF!</v>
      </c>
      <c r="HX73" s="70" t="e">
        <f>SUM(#REF!)</f>
        <v>#REF!</v>
      </c>
      <c r="HY73" s="70" t="e">
        <f>#REF!-HX73</f>
        <v>#REF!</v>
      </c>
      <c r="HZ73" s="70">
        <f>SUM(BC73:BC73)</f>
        <v>1543288</v>
      </c>
      <c r="IA73" s="70" t="e">
        <f>#REF!-HZ73</f>
        <v>#REF!</v>
      </c>
      <c r="IB73" s="70">
        <f>SUM(BD73:BD73)</f>
        <v>5313058</v>
      </c>
      <c r="IC73" s="70" t="e">
        <f>#REF!-IB73</f>
        <v>#REF!</v>
      </c>
      <c r="ID73" s="70">
        <f t="shared" si="109"/>
        <v>8678</v>
      </c>
      <c r="IE73" s="70">
        <f t="shared" si="110"/>
        <v>0</v>
      </c>
      <c r="IF73" s="70">
        <f t="shared" si="111"/>
        <v>976638</v>
      </c>
      <c r="IG73" s="70">
        <f t="shared" si="112"/>
        <v>0</v>
      </c>
      <c r="IH73" s="70">
        <f t="shared" si="113"/>
        <v>663833</v>
      </c>
      <c r="II73" s="70">
        <f t="shared" si="114"/>
        <v>0</v>
      </c>
      <c r="IJ73" s="70">
        <f t="shared" si="115"/>
        <v>76656339</v>
      </c>
      <c r="IK73" s="70">
        <f t="shared" si="116"/>
        <v>0</v>
      </c>
      <c r="IL73" s="70">
        <f t="shared" si="117"/>
        <v>10623500</v>
      </c>
      <c r="IM73" s="70">
        <f t="shared" si="118"/>
        <v>0</v>
      </c>
      <c r="IN73" s="70">
        <f t="shared" si="119"/>
        <v>1868000</v>
      </c>
      <c r="IO73" s="70">
        <f t="shared" si="120"/>
        <v>0</v>
      </c>
      <c r="IP73" s="70">
        <f t="shared" si="121"/>
        <v>10435941</v>
      </c>
      <c r="IQ73" s="70">
        <f t="shared" si="122"/>
        <v>0</v>
      </c>
      <c r="IR73" s="70">
        <f t="shared" si="107"/>
        <v>791047</v>
      </c>
      <c r="IS73" s="70">
        <f t="shared" si="108"/>
        <v>0</v>
      </c>
      <c r="IT73" s="70">
        <f t="shared" si="123"/>
        <v>10132550</v>
      </c>
      <c r="IU73" s="70">
        <f t="shared" si="124"/>
        <v>0</v>
      </c>
      <c r="IV73" s="70">
        <f t="shared" si="125"/>
        <v>168565</v>
      </c>
      <c r="IW73" s="70">
        <f t="shared" si="126"/>
        <v>0</v>
      </c>
      <c r="IX73" s="70">
        <f t="shared" si="127"/>
        <v>0</v>
      </c>
      <c r="IY73" s="70">
        <f t="shared" si="128"/>
        <v>0</v>
      </c>
      <c r="IZ73" s="70">
        <f t="shared" si="129"/>
        <v>969251</v>
      </c>
      <c r="JA73" s="70">
        <f t="shared" si="130"/>
        <v>0</v>
      </c>
      <c r="JB73" s="70">
        <f t="shared" si="131"/>
        <v>5812441</v>
      </c>
      <c r="JC73" s="70">
        <f t="shared" si="132"/>
        <v>0</v>
      </c>
      <c r="JD73" s="70">
        <f t="shared" si="133"/>
        <v>1537376</v>
      </c>
      <c r="JE73" s="70">
        <f t="shared" si="134"/>
        <v>0</v>
      </c>
      <c r="JF73" s="70">
        <f t="shared" si="135"/>
        <v>4134986</v>
      </c>
      <c r="JG73" s="70">
        <f t="shared" si="136"/>
        <v>0</v>
      </c>
      <c r="JH73" s="70">
        <f t="shared" si="137"/>
        <v>2513547</v>
      </c>
      <c r="JI73" s="70">
        <f t="shared" si="138"/>
        <v>0</v>
      </c>
      <c r="JJ73" s="70">
        <f t="shared" si="139"/>
        <v>8678</v>
      </c>
      <c r="JK73" s="70">
        <f t="shared" si="140"/>
        <v>0</v>
      </c>
      <c r="JL73" s="70">
        <f t="shared" si="141"/>
        <v>10973173</v>
      </c>
      <c r="JM73" s="70">
        <f t="shared" si="142"/>
        <v>0</v>
      </c>
      <c r="JN73" s="70">
        <f t="shared" si="143"/>
        <v>633404</v>
      </c>
      <c r="JO73" s="70">
        <f t="shared" si="144"/>
        <v>0</v>
      </c>
      <c r="JP73" s="70">
        <f t="shared" si="145"/>
        <v>0</v>
      </c>
      <c r="JQ73" s="70">
        <f t="shared" si="146"/>
        <v>0</v>
      </c>
      <c r="JR73" s="70">
        <f t="shared" si="147"/>
        <v>2482998</v>
      </c>
      <c r="JS73" s="70">
        <f t="shared" si="148"/>
        <v>0</v>
      </c>
      <c r="JT73" s="70">
        <f t="shared" si="149"/>
        <v>6536330</v>
      </c>
      <c r="JU73" s="70">
        <f t="shared" si="150"/>
        <v>0</v>
      </c>
      <c r="JV73" s="70">
        <f t="shared" si="151"/>
        <v>7034552</v>
      </c>
      <c r="JW73" s="70">
        <f t="shared" si="152"/>
        <v>0</v>
      </c>
      <c r="JX73" s="70">
        <f t="shared" si="153"/>
        <v>76656339</v>
      </c>
      <c r="JY73" s="70">
        <f t="shared" si="154"/>
        <v>0</v>
      </c>
      <c r="JZ73" s="70">
        <f t="shared" si="155"/>
        <v>0</v>
      </c>
      <c r="KA73" s="70">
        <f t="shared" si="156"/>
        <v>0</v>
      </c>
      <c r="KB73" s="70">
        <f t="shared" si="157"/>
        <v>76656339</v>
      </c>
      <c r="KC73" s="70">
        <f t="shared" si="158"/>
        <v>0</v>
      </c>
      <c r="KE73" s="70" t="e">
        <f t="shared" si="159"/>
        <v>#REF!</v>
      </c>
      <c r="KG73" s="68" t="e">
        <f t="shared" si="160"/>
        <v>#REF!</v>
      </c>
    </row>
    <row r="74" spans="1:304">
      <c r="A74" s="180" t="s">
        <v>295</v>
      </c>
      <c r="B74" s="76" t="s">
        <v>364</v>
      </c>
      <c r="C74" s="90">
        <v>147703</v>
      </c>
      <c r="D74" s="90">
        <v>2014</v>
      </c>
      <c r="E74" s="90">
        <v>1</v>
      </c>
      <c r="F74" s="91">
        <v>10</v>
      </c>
      <c r="G74" s="92">
        <v>13208</v>
      </c>
      <c r="H74" s="92">
        <v>12654</v>
      </c>
      <c r="I74" s="93">
        <v>396961426</v>
      </c>
      <c r="J74" s="93">
        <v>388263183</v>
      </c>
      <c r="K74" s="93">
        <v>0</v>
      </c>
      <c r="L74" s="93">
        <v>0</v>
      </c>
      <c r="M74" s="93">
        <v>22434772</v>
      </c>
      <c r="N74" s="93">
        <v>18333771</v>
      </c>
      <c r="O74" s="93">
        <v>0</v>
      </c>
      <c r="P74" s="93">
        <v>0</v>
      </c>
      <c r="Q74" s="93">
        <v>341526084</v>
      </c>
      <c r="R74" s="93">
        <v>317294063</v>
      </c>
      <c r="S74" s="93">
        <v>341526084</v>
      </c>
      <c r="T74" s="93">
        <v>311122634</v>
      </c>
      <c r="U74" s="93">
        <v>19760</v>
      </c>
      <c r="V74" s="93">
        <v>18928</v>
      </c>
      <c r="W74" s="93">
        <v>30920</v>
      </c>
      <c r="X74" s="93">
        <v>30088</v>
      </c>
      <c r="Y74" s="93">
        <v>24642</v>
      </c>
      <c r="Z74" s="93">
        <v>25216</v>
      </c>
      <c r="AA74" s="93">
        <v>35802</v>
      </c>
      <c r="AB74" s="93">
        <v>34144</v>
      </c>
      <c r="AC74" s="114">
        <v>6</v>
      </c>
      <c r="AD74" s="114">
        <v>13</v>
      </c>
      <c r="AE74" s="114">
        <v>0</v>
      </c>
      <c r="AF74" s="115">
        <v>1591713</v>
      </c>
      <c r="AG74" s="115">
        <v>2575954</v>
      </c>
      <c r="AH74" s="115">
        <v>339840</v>
      </c>
      <c r="AI74" s="115">
        <v>155369</v>
      </c>
      <c r="AJ74" s="115">
        <v>305769</v>
      </c>
      <c r="AK74" s="116">
        <v>5.25</v>
      </c>
      <c r="AL74" s="115">
        <v>267548</v>
      </c>
      <c r="AM74" s="116">
        <v>6</v>
      </c>
      <c r="AN74" s="115">
        <v>128428</v>
      </c>
      <c r="AO74" s="116">
        <v>10.25</v>
      </c>
      <c r="AP74" s="115">
        <v>101260</v>
      </c>
      <c r="AQ74" s="116">
        <v>13</v>
      </c>
      <c r="AR74" s="115">
        <v>148976</v>
      </c>
      <c r="AS74" s="116">
        <v>16.14</v>
      </c>
      <c r="AT74" s="115">
        <v>133582</v>
      </c>
      <c r="AU74" s="116">
        <v>18</v>
      </c>
      <c r="AV74" s="115">
        <v>83621</v>
      </c>
      <c r="AW74" s="116">
        <v>11.01</v>
      </c>
      <c r="AX74" s="115">
        <v>51148</v>
      </c>
      <c r="AY74" s="116">
        <v>18</v>
      </c>
      <c r="AZ74" s="139">
        <v>1345171</v>
      </c>
      <c r="BA74" s="139">
        <v>1014908</v>
      </c>
      <c r="BB74" s="139">
        <v>3507536</v>
      </c>
      <c r="BC74" s="139">
        <v>287945</v>
      </c>
      <c r="BD74" s="139">
        <v>426791</v>
      </c>
      <c r="BE74" s="139">
        <v>61751</v>
      </c>
      <c r="BF74" s="139">
        <v>0</v>
      </c>
      <c r="BG74" s="139">
        <v>0</v>
      </c>
      <c r="BH74" s="139">
        <v>0</v>
      </c>
      <c r="BI74" s="139">
        <v>0</v>
      </c>
      <c r="BJ74" s="139">
        <v>61751</v>
      </c>
      <c r="BK74" s="139">
        <v>32102</v>
      </c>
      <c r="BL74" s="139">
        <v>0</v>
      </c>
      <c r="BM74" s="139">
        <v>2523</v>
      </c>
      <c r="BN74" s="139">
        <v>192956</v>
      </c>
      <c r="BO74" s="139">
        <v>29903</v>
      </c>
      <c r="BP74" s="139">
        <v>257484</v>
      </c>
      <c r="BQ74" s="139">
        <v>148166</v>
      </c>
      <c r="BR74" s="139">
        <v>3770</v>
      </c>
      <c r="BS74" s="139">
        <v>4820</v>
      </c>
      <c r="BT74" s="139">
        <v>92495</v>
      </c>
      <c r="BU74" s="139">
        <v>644068</v>
      </c>
      <c r="BV74" s="139">
        <v>893319</v>
      </c>
      <c r="BW74" s="139">
        <v>5716591</v>
      </c>
      <c r="BX74" s="139">
        <v>1051674</v>
      </c>
      <c r="BY74" s="139">
        <v>45595</v>
      </c>
      <c r="BZ74" s="139">
        <v>712859</v>
      </c>
      <c r="CA74" s="139">
        <v>22140221</v>
      </c>
      <c r="CB74" s="139">
        <v>29666940</v>
      </c>
      <c r="CC74" s="139">
        <v>1630131</v>
      </c>
      <c r="CD74" s="139">
        <v>360651</v>
      </c>
      <c r="CE74" s="139">
        <v>362634</v>
      </c>
      <c r="CF74" s="139">
        <v>2814251</v>
      </c>
      <c r="CG74" s="139">
        <v>490204</v>
      </c>
      <c r="CH74" s="139">
        <v>5657871</v>
      </c>
      <c r="CI74" s="139">
        <v>450000</v>
      </c>
      <c r="CJ74" s="139">
        <v>7500</v>
      </c>
      <c r="CK74" s="139">
        <v>6750</v>
      </c>
      <c r="CL74" s="139">
        <v>3240</v>
      </c>
      <c r="CM74" s="139">
        <v>0</v>
      </c>
      <c r="CN74" s="139">
        <v>467490</v>
      </c>
      <c r="CO74" s="139">
        <v>2166970</v>
      </c>
      <c r="CP74" s="139">
        <v>1016180</v>
      </c>
      <c r="CQ74" s="139">
        <v>547911</v>
      </c>
      <c r="CR74" s="139">
        <v>2515748</v>
      </c>
      <c r="CS74" s="139">
        <v>0</v>
      </c>
      <c r="CT74" s="139">
        <v>6246809</v>
      </c>
      <c r="CU74" s="139">
        <v>0</v>
      </c>
      <c r="CV74" s="139">
        <v>0</v>
      </c>
      <c r="CW74" s="139">
        <v>0</v>
      </c>
      <c r="CX74" s="139">
        <v>0</v>
      </c>
      <c r="CY74" s="139">
        <v>0</v>
      </c>
      <c r="CZ74" s="139">
        <v>0</v>
      </c>
      <c r="DA74" s="139">
        <v>198508</v>
      </c>
      <c r="DB74" s="139">
        <v>87319</v>
      </c>
      <c r="DC74" s="139">
        <v>0</v>
      </c>
      <c r="DD74" s="139">
        <v>8902</v>
      </c>
      <c r="DE74" s="139">
        <v>3904863</v>
      </c>
      <c r="DF74" s="139">
        <v>4199592</v>
      </c>
      <c r="DG74" s="139">
        <v>0</v>
      </c>
      <c r="DH74" s="139">
        <v>0</v>
      </c>
      <c r="DI74" s="139">
        <v>0</v>
      </c>
      <c r="DJ74" s="139">
        <v>0</v>
      </c>
      <c r="DK74" s="139">
        <v>0</v>
      </c>
      <c r="DL74" s="139">
        <v>0</v>
      </c>
      <c r="DM74" s="139">
        <v>0</v>
      </c>
      <c r="DN74" s="139">
        <v>0</v>
      </c>
      <c r="DO74" s="139">
        <v>143735</v>
      </c>
      <c r="DP74" s="139">
        <v>0</v>
      </c>
      <c r="DQ74" s="139">
        <v>0</v>
      </c>
      <c r="DR74" s="139">
        <v>143735</v>
      </c>
      <c r="DS74" s="139">
        <v>193587</v>
      </c>
      <c r="DT74" s="139">
        <v>100596</v>
      </c>
      <c r="DU74" s="139">
        <v>44485</v>
      </c>
      <c r="DV74" s="139">
        <v>156541</v>
      </c>
      <c r="DW74" s="139">
        <v>9195</v>
      </c>
      <c r="DX74" s="139">
        <v>504404</v>
      </c>
      <c r="DY74" s="139">
        <v>720768</v>
      </c>
      <c r="DZ74" s="139">
        <v>245006</v>
      </c>
      <c r="EA74" s="139">
        <v>132726</v>
      </c>
      <c r="EB74" s="139">
        <v>1291245</v>
      </c>
      <c r="EC74" s="139">
        <v>8615</v>
      </c>
      <c r="ED74" s="139">
        <v>2398360</v>
      </c>
      <c r="EE74" s="139">
        <v>175633</v>
      </c>
      <c r="EF74" s="139">
        <v>45880</v>
      </c>
      <c r="EG74" s="139">
        <v>49826</v>
      </c>
      <c r="EH74" s="139">
        <v>319100</v>
      </c>
      <c r="EI74" s="139">
        <v>53843</v>
      </c>
      <c r="EJ74" s="139">
        <v>644282</v>
      </c>
      <c r="EK74" s="139">
        <v>668116</v>
      </c>
      <c r="EL74" s="139">
        <v>183020</v>
      </c>
      <c r="EM74" s="139">
        <v>153865</v>
      </c>
      <c r="EN74" s="139">
        <v>268871</v>
      </c>
      <c r="EO74" s="139">
        <v>24</v>
      </c>
      <c r="EP74" s="139">
        <v>1273896</v>
      </c>
      <c r="EQ74" s="139">
        <v>55491</v>
      </c>
      <c r="ER74" s="139">
        <v>9105</v>
      </c>
      <c r="ES74" s="139">
        <v>2448</v>
      </c>
      <c r="ET74" s="139">
        <v>110251</v>
      </c>
      <c r="EU74" s="139">
        <v>1326386</v>
      </c>
      <c r="EV74" s="139">
        <v>1503681</v>
      </c>
      <c r="EW74" s="139">
        <v>55869</v>
      </c>
      <c r="EX74" s="139">
        <v>0</v>
      </c>
      <c r="EY74" s="139">
        <v>0</v>
      </c>
      <c r="EZ74" s="139">
        <v>0</v>
      </c>
      <c r="FA74" s="139">
        <v>0</v>
      </c>
      <c r="FB74" s="139">
        <v>55869</v>
      </c>
      <c r="FC74" s="139">
        <v>208945</v>
      </c>
      <c r="FD74" s="139">
        <v>10587</v>
      </c>
      <c r="FE74" s="139">
        <v>741</v>
      </c>
      <c r="FF74" s="139">
        <v>110699</v>
      </c>
      <c r="FG74" s="139">
        <v>386021</v>
      </c>
      <c r="FH74" s="139">
        <v>716993</v>
      </c>
      <c r="FI74" s="139">
        <v>0</v>
      </c>
      <c r="FJ74" s="139">
        <v>0</v>
      </c>
      <c r="FK74" s="139">
        <v>0</v>
      </c>
      <c r="FL74" s="139">
        <v>0</v>
      </c>
      <c r="FM74" s="139">
        <v>60262</v>
      </c>
      <c r="FN74" s="139">
        <v>60262</v>
      </c>
      <c r="FO74" s="139">
        <v>0</v>
      </c>
      <c r="FP74" s="139">
        <v>0</v>
      </c>
      <c r="FQ74" s="139">
        <v>0</v>
      </c>
      <c r="FR74" s="139">
        <v>0</v>
      </c>
      <c r="FS74" s="139">
        <v>652517</v>
      </c>
      <c r="FT74" s="139">
        <v>652517</v>
      </c>
      <c r="FU74" s="139">
        <v>0</v>
      </c>
      <c r="FV74" s="139">
        <v>0</v>
      </c>
      <c r="FW74" s="139">
        <v>0</v>
      </c>
      <c r="FX74" s="139">
        <v>4980</v>
      </c>
      <c r="FY74" s="139">
        <v>616931</v>
      </c>
      <c r="FZ74" s="139">
        <v>621911</v>
      </c>
      <c r="GA74" s="139">
        <v>0</v>
      </c>
      <c r="GB74" s="139">
        <v>0</v>
      </c>
      <c r="GC74" s="139">
        <v>1240</v>
      </c>
      <c r="GD74" s="139">
        <v>5285</v>
      </c>
      <c r="GE74" s="139">
        <v>1411790</v>
      </c>
      <c r="GF74" s="139">
        <v>1418315</v>
      </c>
      <c r="GG74" s="139">
        <v>307321</v>
      </c>
      <c r="GH74" s="139">
        <v>115021</v>
      </c>
      <c r="GI74" s="139">
        <v>34649</v>
      </c>
      <c r="GJ74" s="139">
        <v>160921</v>
      </c>
      <c r="GK74" s="139">
        <v>632058</v>
      </c>
      <c r="GL74" s="139">
        <v>1249970</v>
      </c>
      <c r="GM74" s="139">
        <v>6831339</v>
      </c>
      <c r="GN74" s="139">
        <v>2180865</v>
      </c>
      <c r="GO74" s="139">
        <v>1481010</v>
      </c>
      <c r="GP74" s="139">
        <v>7770034</v>
      </c>
      <c r="GQ74" s="139">
        <v>9552709</v>
      </c>
      <c r="GR74" s="139">
        <v>27815957</v>
      </c>
      <c r="GS74" s="139">
        <v>0</v>
      </c>
      <c r="GT74" s="139">
        <v>0</v>
      </c>
      <c r="GU74" s="139">
        <v>0</v>
      </c>
      <c r="GV74" s="139">
        <v>0</v>
      </c>
      <c r="GW74" s="139">
        <v>250000</v>
      </c>
      <c r="GX74" s="139">
        <v>250000</v>
      </c>
      <c r="GY74" s="139">
        <v>6831339</v>
      </c>
      <c r="GZ74" s="139">
        <v>2180865</v>
      </c>
      <c r="HA74" s="139">
        <v>1481010</v>
      </c>
      <c r="HB74" s="139">
        <v>7770034</v>
      </c>
      <c r="HC74" s="139">
        <v>9802709</v>
      </c>
      <c r="HD74" s="139">
        <v>28065957</v>
      </c>
      <c r="HF74" s="70">
        <f>SUM(AZ74:AZ74)</f>
        <v>1345171</v>
      </c>
      <c r="HG74" s="70" t="e">
        <f>#REF!-HF74</f>
        <v>#REF!</v>
      </c>
      <c r="HH74" s="70" t="e">
        <f>SUM(#REF!)</f>
        <v>#REF!</v>
      </c>
      <c r="HI74" s="70" t="e">
        <f>#REF!-HH74</f>
        <v>#REF!</v>
      </c>
      <c r="HJ74" s="70">
        <f>SUM(BA74:BA74)</f>
        <v>1014908</v>
      </c>
      <c r="HK74" s="70" t="e">
        <f>#REF!-HJ74</f>
        <v>#REF!</v>
      </c>
      <c r="HL74" s="70" t="e">
        <f>SUM(#REF!)</f>
        <v>#REF!</v>
      </c>
      <c r="HM74" s="70" t="e">
        <f>BB74-HL74</f>
        <v>#REF!</v>
      </c>
      <c r="HN74" s="70" t="e">
        <f>SUM(#REF!)</f>
        <v>#REF!</v>
      </c>
      <c r="HO74" s="70" t="e">
        <f>#REF!-HN74</f>
        <v>#REF!</v>
      </c>
      <c r="HP74" s="70" t="e">
        <f>SUM(#REF!)</f>
        <v>#REF!</v>
      </c>
      <c r="HQ74" s="70" t="e">
        <f>#REF!-HP74</f>
        <v>#REF!</v>
      </c>
      <c r="HR74" s="70" t="e">
        <f>SUM(#REF!)</f>
        <v>#REF!</v>
      </c>
      <c r="HS74" s="70" t="e">
        <f>#REF!-HR74</f>
        <v>#REF!</v>
      </c>
      <c r="HT74" s="70" t="e">
        <f>SUM(#REF!)</f>
        <v>#REF!</v>
      </c>
      <c r="HU74" s="70" t="e">
        <f>#REF!-HT74</f>
        <v>#REF!</v>
      </c>
      <c r="HV74" s="70" t="e">
        <f>SUM(#REF!)</f>
        <v>#REF!</v>
      </c>
      <c r="HW74" s="70" t="e">
        <f>#REF!-HV74</f>
        <v>#REF!</v>
      </c>
      <c r="HX74" s="70" t="e">
        <f>SUM(#REF!)</f>
        <v>#REF!</v>
      </c>
      <c r="HY74" s="70" t="e">
        <f>#REF!-HX74</f>
        <v>#REF!</v>
      </c>
      <c r="HZ74" s="70">
        <f>SUM(BC74:BC74)</f>
        <v>287945</v>
      </c>
      <c r="IA74" s="70" t="e">
        <f>#REF!-HZ74</f>
        <v>#REF!</v>
      </c>
      <c r="IB74" s="70">
        <f>SUM(BD74:BD74)</f>
        <v>426791</v>
      </c>
      <c r="IC74" s="70" t="e">
        <f>#REF!-IB74</f>
        <v>#REF!</v>
      </c>
      <c r="ID74" s="70">
        <f t="shared" si="109"/>
        <v>61751</v>
      </c>
      <c r="IE74" s="70">
        <f t="shared" si="110"/>
        <v>0</v>
      </c>
      <c r="IF74" s="70">
        <f t="shared" si="111"/>
        <v>257484</v>
      </c>
      <c r="IG74" s="70">
        <f t="shared" si="112"/>
        <v>0</v>
      </c>
      <c r="IH74" s="70">
        <f t="shared" si="113"/>
        <v>893319</v>
      </c>
      <c r="II74" s="70">
        <f t="shared" si="114"/>
        <v>0</v>
      </c>
      <c r="IJ74" s="70">
        <f t="shared" si="115"/>
        <v>29666940</v>
      </c>
      <c r="IK74" s="70">
        <f t="shared" si="116"/>
        <v>0</v>
      </c>
      <c r="IL74" s="70">
        <f t="shared" si="117"/>
        <v>5657871</v>
      </c>
      <c r="IM74" s="70">
        <f t="shared" si="118"/>
        <v>0</v>
      </c>
      <c r="IN74" s="70">
        <f t="shared" si="119"/>
        <v>467490</v>
      </c>
      <c r="IO74" s="70">
        <f t="shared" si="120"/>
        <v>0</v>
      </c>
      <c r="IP74" s="70">
        <f t="shared" si="121"/>
        <v>6246809</v>
      </c>
      <c r="IQ74" s="70">
        <f t="shared" si="122"/>
        <v>0</v>
      </c>
      <c r="IR74" s="70">
        <f t="shared" si="107"/>
        <v>0</v>
      </c>
      <c r="IS74" s="70">
        <f t="shared" si="108"/>
        <v>0</v>
      </c>
      <c r="IT74" s="70">
        <f t="shared" si="123"/>
        <v>4199592</v>
      </c>
      <c r="IU74" s="70">
        <f t="shared" si="124"/>
        <v>0</v>
      </c>
      <c r="IV74" s="70">
        <f t="shared" si="125"/>
        <v>0</v>
      </c>
      <c r="IW74" s="70">
        <f t="shared" si="126"/>
        <v>0</v>
      </c>
      <c r="IX74" s="70">
        <f t="shared" si="127"/>
        <v>143735</v>
      </c>
      <c r="IY74" s="70">
        <f t="shared" si="128"/>
        <v>0</v>
      </c>
      <c r="IZ74" s="70">
        <f t="shared" si="129"/>
        <v>504404</v>
      </c>
      <c r="JA74" s="70">
        <f t="shared" si="130"/>
        <v>0</v>
      </c>
      <c r="JB74" s="70">
        <f t="shared" si="131"/>
        <v>2398360</v>
      </c>
      <c r="JC74" s="70">
        <f t="shared" si="132"/>
        <v>0</v>
      </c>
      <c r="JD74" s="70">
        <f t="shared" si="133"/>
        <v>644282</v>
      </c>
      <c r="JE74" s="70">
        <f t="shared" si="134"/>
        <v>0</v>
      </c>
      <c r="JF74" s="70">
        <f t="shared" si="135"/>
        <v>1273896</v>
      </c>
      <c r="JG74" s="70">
        <f t="shared" si="136"/>
        <v>0</v>
      </c>
      <c r="JH74" s="70">
        <f t="shared" si="137"/>
        <v>1503681</v>
      </c>
      <c r="JI74" s="70">
        <f t="shared" si="138"/>
        <v>0</v>
      </c>
      <c r="JJ74" s="70">
        <f t="shared" si="139"/>
        <v>55869</v>
      </c>
      <c r="JK74" s="70">
        <f t="shared" si="140"/>
        <v>0</v>
      </c>
      <c r="JL74" s="70">
        <f t="shared" si="141"/>
        <v>716993</v>
      </c>
      <c r="JM74" s="70">
        <f t="shared" si="142"/>
        <v>0</v>
      </c>
      <c r="JN74" s="70">
        <f t="shared" si="143"/>
        <v>60262</v>
      </c>
      <c r="JO74" s="70">
        <f t="shared" si="144"/>
        <v>0</v>
      </c>
      <c r="JP74" s="70">
        <f t="shared" si="145"/>
        <v>652517</v>
      </c>
      <c r="JQ74" s="70">
        <f t="shared" si="146"/>
        <v>0</v>
      </c>
      <c r="JR74" s="70">
        <f t="shared" si="147"/>
        <v>621911</v>
      </c>
      <c r="JS74" s="70">
        <f t="shared" si="148"/>
        <v>0</v>
      </c>
      <c r="JT74" s="70">
        <f t="shared" si="149"/>
        <v>1418315</v>
      </c>
      <c r="JU74" s="70">
        <f t="shared" si="150"/>
        <v>0</v>
      </c>
      <c r="JV74" s="70">
        <f t="shared" si="151"/>
        <v>1249970</v>
      </c>
      <c r="JW74" s="70">
        <f t="shared" si="152"/>
        <v>0</v>
      </c>
      <c r="JX74" s="70">
        <f t="shared" si="153"/>
        <v>27815957</v>
      </c>
      <c r="JY74" s="70">
        <f t="shared" si="154"/>
        <v>0</v>
      </c>
      <c r="JZ74" s="70">
        <f t="shared" si="155"/>
        <v>250000</v>
      </c>
      <c r="KA74" s="70">
        <f t="shared" si="156"/>
        <v>0</v>
      </c>
      <c r="KB74" s="70">
        <f t="shared" si="157"/>
        <v>28065957</v>
      </c>
      <c r="KC74" s="70">
        <f t="shared" si="158"/>
        <v>0</v>
      </c>
      <c r="KE74" s="70" t="e">
        <f t="shared" si="159"/>
        <v>#REF!</v>
      </c>
      <c r="KG74" s="68" t="e">
        <f t="shared" si="160"/>
        <v>#REF!</v>
      </c>
    </row>
    <row r="75" spans="1:304">
      <c r="A75" s="180" t="s">
        <v>296</v>
      </c>
      <c r="B75" s="76" t="s">
        <v>364</v>
      </c>
      <c r="C75" s="90">
        <v>102094</v>
      </c>
      <c r="D75" s="90">
        <v>2014</v>
      </c>
      <c r="E75" s="90">
        <v>1</v>
      </c>
      <c r="F75" s="91">
        <v>11</v>
      </c>
      <c r="G75" s="92">
        <v>3830</v>
      </c>
      <c r="H75" s="92">
        <v>4924</v>
      </c>
      <c r="I75" s="93">
        <v>633978000</v>
      </c>
      <c r="J75" s="93">
        <v>602120000</v>
      </c>
      <c r="K75" s="93">
        <v>1433000</v>
      </c>
      <c r="L75" s="93">
        <v>1344000</v>
      </c>
      <c r="M75" s="93">
        <v>28548000</v>
      </c>
      <c r="N75" s="93">
        <v>24852000</v>
      </c>
      <c r="O75" s="93">
        <v>20428000</v>
      </c>
      <c r="P75" s="93">
        <v>20879000</v>
      </c>
      <c r="Q75" s="93">
        <v>395306000</v>
      </c>
      <c r="R75" s="93">
        <v>400890000</v>
      </c>
      <c r="S75" s="93">
        <v>332090000</v>
      </c>
      <c r="T75" s="93">
        <v>322112000</v>
      </c>
      <c r="U75" s="93">
        <v>17284</v>
      </c>
      <c r="V75" s="93">
        <v>16434</v>
      </c>
      <c r="W75" s="93">
        <v>25594</v>
      </c>
      <c r="X75" s="93">
        <v>24684</v>
      </c>
      <c r="Y75" s="93">
        <v>22170</v>
      </c>
      <c r="Z75" s="93">
        <v>21000</v>
      </c>
      <c r="AA75" s="93">
        <v>29522</v>
      </c>
      <c r="AB75" s="93">
        <v>27812</v>
      </c>
      <c r="AC75" s="114">
        <v>8</v>
      </c>
      <c r="AD75" s="114">
        <v>9</v>
      </c>
      <c r="AE75" s="114">
        <v>0</v>
      </c>
      <c r="AF75" s="115">
        <v>3367422</v>
      </c>
      <c r="AG75" s="115">
        <v>2143874</v>
      </c>
      <c r="AH75" s="115">
        <v>458173</v>
      </c>
      <c r="AI75" s="115">
        <v>53580</v>
      </c>
      <c r="AJ75" s="115">
        <v>233572</v>
      </c>
      <c r="AK75" s="116">
        <v>5.5</v>
      </c>
      <c r="AL75" s="115">
        <v>214108</v>
      </c>
      <c r="AM75" s="116">
        <v>6</v>
      </c>
      <c r="AN75" s="115">
        <v>104973</v>
      </c>
      <c r="AO75" s="116">
        <v>6.5</v>
      </c>
      <c r="AP75" s="115">
        <v>97475</v>
      </c>
      <c r="AQ75" s="116">
        <v>7</v>
      </c>
      <c r="AR75" s="115">
        <v>114695</v>
      </c>
      <c r="AS75" s="116">
        <v>15.75</v>
      </c>
      <c r="AT75" s="115">
        <v>100358</v>
      </c>
      <c r="AU75" s="116">
        <v>18</v>
      </c>
      <c r="AV75" s="115">
        <v>58949</v>
      </c>
      <c r="AW75" s="116">
        <v>9.75</v>
      </c>
      <c r="AX75" s="115">
        <v>47896</v>
      </c>
      <c r="AY75" s="116">
        <v>12</v>
      </c>
      <c r="AZ75" s="139">
        <v>1127264</v>
      </c>
      <c r="BA75" s="139">
        <v>500000</v>
      </c>
      <c r="BB75" s="139">
        <v>726774</v>
      </c>
      <c r="BC75" s="139">
        <v>137409</v>
      </c>
      <c r="BD75" s="139">
        <v>176926</v>
      </c>
      <c r="BE75" s="139">
        <v>0</v>
      </c>
      <c r="BF75" s="139">
        <v>0</v>
      </c>
      <c r="BG75" s="139">
        <v>0</v>
      </c>
      <c r="BH75" s="139">
        <v>0</v>
      </c>
      <c r="BI75" s="139">
        <v>0</v>
      </c>
      <c r="BJ75" s="139">
        <v>0</v>
      </c>
      <c r="BK75" s="139">
        <v>0</v>
      </c>
      <c r="BL75" s="139">
        <v>0</v>
      </c>
      <c r="BM75" s="139">
        <v>0</v>
      </c>
      <c r="BN75" s="139">
        <v>0</v>
      </c>
      <c r="BO75" s="139">
        <v>0</v>
      </c>
      <c r="BP75" s="139">
        <v>0</v>
      </c>
      <c r="BQ75" s="139">
        <v>50639</v>
      </c>
      <c r="BR75" s="139">
        <v>25000</v>
      </c>
      <c r="BS75" s="139">
        <v>25000</v>
      </c>
      <c r="BT75" s="139">
        <v>141661</v>
      </c>
      <c r="BU75" s="139">
        <v>25837</v>
      </c>
      <c r="BV75" s="139">
        <v>268137</v>
      </c>
      <c r="BW75" s="139">
        <v>8862655</v>
      </c>
      <c r="BX75" s="139">
        <v>1880121</v>
      </c>
      <c r="BY75" s="139">
        <v>1277364</v>
      </c>
      <c r="BZ75" s="139">
        <v>6178120</v>
      </c>
      <c r="CA75" s="139">
        <v>4893468</v>
      </c>
      <c r="CB75" s="139">
        <v>23091728</v>
      </c>
      <c r="CC75" s="139">
        <v>2152403</v>
      </c>
      <c r="CD75" s="139">
        <v>401004</v>
      </c>
      <c r="CE75" s="139">
        <v>415506</v>
      </c>
      <c r="CF75" s="139">
        <v>2542383</v>
      </c>
      <c r="CG75" s="139">
        <v>260120</v>
      </c>
      <c r="CH75" s="139">
        <v>5771416</v>
      </c>
      <c r="CI75" s="139">
        <v>450000</v>
      </c>
      <c r="CJ75" s="139">
        <v>27127</v>
      </c>
      <c r="CK75" s="139">
        <v>1000</v>
      </c>
      <c r="CL75" s="139">
        <v>18513</v>
      </c>
      <c r="CM75" s="139">
        <v>0</v>
      </c>
      <c r="CN75" s="139">
        <v>496640</v>
      </c>
      <c r="CO75" s="139">
        <v>1736594</v>
      </c>
      <c r="CP75" s="139">
        <v>656675</v>
      </c>
      <c r="CQ75" s="139">
        <v>454834</v>
      </c>
      <c r="CR75" s="139">
        <v>1500061</v>
      </c>
      <c r="CS75" s="139">
        <v>0</v>
      </c>
      <c r="CT75" s="139">
        <v>4348164</v>
      </c>
      <c r="CU75" s="139">
        <v>0</v>
      </c>
      <c r="CV75" s="139">
        <v>0</v>
      </c>
      <c r="CW75" s="139">
        <v>0</v>
      </c>
      <c r="CX75" s="139">
        <v>0</v>
      </c>
      <c r="CY75" s="139">
        <v>0</v>
      </c>
      <c r="CZ75" s="139">
        <v>0</v>
      </c>
      <c r="DA75" s="139">
        <v>899291</v>
      </c>
      <c r="DB75" s="139">
        <v>96862</v>
      </c>
      <c r="DC75" s="139">
        <v>69301</v>
      </c>
      <c r="DD75" s="139">
        <v>149330</v>
      </c>
      <c r="DE75" s="139">
        <v>2792063</v>
      </c>
      <c r="DF75" s="139">
        <v>4006847</v>
      </c>
      <c r="DG75" s="139">
        <v>0</v>
      </c>
      <c r="DH75" s="139">
        <v>0</v>
      </c>
      <c r="DI75" s="139">
        <v>0</v>
      </c>
      <c r="DJ75" s="139">
        <v>0</v>
      </c>
      <c r="DK75" s="139">
        <v>0</v>
      </c>
      <c r="DL75" s="139">
        <v>0</v>
      </c>
      <c r="DM75" s="139">
        <v>0</v>
      </c>
      <c r="DN75" s="139">
        <v>0</v>
      </c>
      <c r="DO75" s="139">
        <v>0</v>
      </c>
      <c r="DP75" s="139">
        <v>0</v>
      </c>
      <c r="DQ75" s="139">
        <v>0</v>
      </c>
      <c r="DR75" s="139">
        <v>0</v>
      </c>
      <c r="DS75" s="139">
        <v>259638</v>
      </c>
      <c r="DT75" s="139">
        <v>107188</v>
      </c>
      <c r="DU75" s="139">
        <v>71250</v>
      </c>
      <c r="DV75" s="139">
        <v>173677</v>
      </c>
      <c r="DW75" s="139">
        <v>6695</v>
      </c>
      <c r="DX75" s="139">
        <v>618448</v>
      </c>
      <c r="DY75" s="139">
        <v>969241</v>
      </c>
      <c r="DZ75" s="139">
        <v>223988</v>
      </c>
      <c r="EA75" s="139">
        <v>114723</v>
      </c>
      <c r="EB75" s="139">
        <v>756997</v>
      </c>
      <c r="EC75" s="139">
        <v>34663</v>
      </c>
      <c r="ED75" s="139">
        <v>2099612</v>
      </c>
      <c r="EE75" s="139">
        <v>493518</v>
      </c>
      <c r="EF75" s="139">
        <v>66323</v>
      </c>
      <c r="EG75" s="139">
        <v>49918</v>
      </c>
      <c r="EH75" s="139">
        <v>309735</v>
      </c>
      <c r="EI75" s="139">
        <v>331278</v>
      </c>
      <c r="EJ75" s="139">
        <v>1250772</v>
      </c>
      <c r="EK75" s="139">
        <v>190831</v>
      </c>
      <c r="EL75" s="139">
        <v>116887</v>
      </c>
      <c r="EM75" s="139">
        <v>69002</v>
      </c>
      <c r="EN75" s="139">
        <v>89609</v>
      </c>
      <c r="EO75" s="139">
        <v>45773</v>
      </c>
      <c r="EP75" s="139">
        <v>512102</v>
      </c>
      <c r="EQ75" s="139">
        <v>8340</v>
      </c>
      <c r="ER75" s="139">
        <v>0</v>
      </c>
      <c r="ES75" s="139">
        <v>0</v>
      </c>
      <c r="ET75" s="139">
        <v>320</v>
      </c>
      <c r="EU75" s="139">
        <v>405348</v>
      </c>
      <c r="EV75" s="139">
        <v>414008</v>
      </c>
      <c r="EW75" s="139">
        <v>0</v>
      </c>
      <c r="EX75" s="139">
        <v>0</v>
      </c>
      <c r="EY75" s="139">
        <v>0</v>
      </c>
      <c r="EZ75" s="139">
        <v>0</v>
      </c>
      <c r="FA75" s="139">
        <v>0</v>
      </c>
      <c r="FB75" s="139">
        <v>0</v>
      </c>
      <c r="FC75" s="139">
        <v>339323</v>
      </c>
      <c r="FD75" s="139">
        <v>50000</v>
      </c>
      <c r="FE75" s="139">
        <v>52908</v>
      </c>
      <c r="FF75" s="139">
        <v>44781</v>
      </c>
      <c r="FG75" s="139">
        <v>648158</v>
      </c>
      <c r="FH75" s="139">
        <v>1135170</v>
      </c>
      <c r="FI75" s="139">
        <v>0</v>
      </c>
      <c r="FJ75" s="139">
        <v>0</v>
      </c>
      <c r="FK75" s="139">
        <v>0</v>
      </c>
      <c r="FL75" s="139">
        <v>0</v>
      </c>
      <c r="FM75" s="139">
        <v>251498</v>
      </c>
      <c r="FN75" s="139">
        <v>251498</v>
      </c>
      <c r="FO75" s="139">
        <v>0</v>
      </c>
      <c r="FP75" s="139">
        <v>0</v>
      </c>
      <c r="FQ75" s="139">
        <v>0</v>
      </c>
      <c r="FR75" s="139">
        <v>0</v>
      </c>
      <c r="FS75" s="139">
        <v>0</v>
      </c>
      <c r="FT75" s="139">
        <v>0</v>
      </c>
      <c r="FU75" s="139">
        <v>318734</v>
      </c>
      <c r="FV75" s="139">
        <v>2067</v>
      </c>
      <c r="FW75" s="139">
        <v>0</v>
      </c>
      <c r="FX75" s="139">
        <v>35</v>
      </c>
      <c r="FY75" s="139">
        <v>208529</v>
      </c>
      <c r="FZ75" s="139">
        <v>529365</v>
      </c>
      <c r="GA75" s="139">
        <v>4669</v>
      </c>
      <c r="GB75" s="139">
        <v>1230</v>
      </c>
      <c r="GC75" s="139">
        <v>0</v>
      </c>
      <c r="GD75" s="139">
        <v>12607</v>
      </c>
      <c r="GE75" s="139">
        <v>119550</v>
      </c>
      <c r="GF75" s="139">
        <v>138056</v>
      </c>
      <c r="GG75" s="139">
        <v>598618</v>
      </c>
      <c r="GH75" s="139">
        <v>19878</v>
      </c>
      <c r="GI75" s="139">
        <v>23677</v>
      </c>
      <c r="GJ75" s="139">
        <v>390118</v>
      </c>
      <c r="GK75" s="139">
        <v>356370</v>
      </c>
      <c r="GL75" s="139">
        <v>1388661</v>
      </c>
      <c r="GM75" s="139">
        <v>8421200</v>
      </c>
      <c r="GN75" s="139">
        <v>1769229</v>
      </c>
      <c r="GO75" s="139">
        <v>1322119</v>
      </c>
      <c r="GP75" s="139">
        <v>5988166</v>
      </c>
      <c r="GQ75" s="139">
        <v>5460045</v>
      </c>
      <c r="GR75" s="139">
        <v>22960759</v>
      </c>
      <c r="GS75" s="139">
        <v>0</v>
      </c>
      <c r="GT75" s="139">
        <v>0</v>
      </c>
      <c r="GU75" s="139">
        <v>0</v>
      </c>
      <c r="GV75" s="139">
        <v>0</v>
      </c>
      <c r="GW75" s="139">
        <v>0</v>
      </c>
      <c r="GX75" s="139">
        <v>0</v>
      </c>
      <c r="GY75" s="139">
        <v>8421200</v>
      </c>
      <c r="GZ75" s="139">
        <v>1769229</v>
      </c>
      <c r="HA75" s="139">
        <v>1322119</v>
      </c>
      <c r="HB75" s="139">
        <v>5988166</v>
      </c>
      <c r="HC75" s="139">
        <v>5460045</v>
      </c>
      <c r="HD75" s="139">
        <v>22960759</v>
      </c>
      <c r="HF75" s="70">
        <f>SUM(AZ75:AZ75)</f>
        <v>1127264</v>
      </c>
      <c r="HG75" s="70" t="e">
        <f>#REF!-HF75</f>
        <v>#REF!</v>
      </c>
      <c r="HH75" s="70" t="e">
        <f>SUM(#REF!)</f>
        <v>#REF!</v>
      </c>
      <c r="HI75" s="70" t="e">
        <f>#REF!-HH75</f>
        <v>#REF!</v>
      </c>
      <c r="HJ75" s="70">
        <f>SUM(BA75:BA75)</f>
        <v>500000</v>
      </c>
      <c r="HK75" s="70" t="e">
        <f>#REF!-HJ75</f>
        <v>#REF!</v>
      </c>
      <c r="HL75" s="70" t="e">
        <f>SUM(#REF!)</f>
        <v>#REF!</v>
      </c>
      <c r="HM75" s="70" t="e">
        <f>BB75-HL75</f>
        <v>#REF!</v>
      </c>
      <c r="HN75" s="70" t="e">
        <f>SUM(#REF!)</f>
        <v>#REF!</v>
      </c>
      <c r="HO75" s="70" t="e">
        <f>#REF!-HN75</f>
        <v>#REF!</v>
      </c>
      <c r="HP75" s="70" t="e">
        <f>SUM(#REF!)</f>
        <v>#REF!</v>
      </c>
      <c r="HQ75" s="70" t="e">
        <f>#REF!-HP75</f>
        <v>#REF!</v>
      </c>
      <c r="HR75" s="70" t="e">
        <f>SUM(#REF!)</f>
        <v>#REF!</v>
      </c>
      <c r="HS75" s="70" t="e">
        <f>#REF!-HR75</f>
        <v>#REF!</v>
      </c>
      <c r="HT75" s="70" t="e">
        <f>SUM(#REF!)</f>
        <v>#REF!</v>
      </c>
      <c r="HU75" s="70" t="e">
        <f>#REF!-HT75</f>
        <v>#REF!</v>
      </c>
      <c r="HV75" s="70" t="e">
        <f>SUM(#REF!)</f>
        <v>#REF!</v>
      </c>
      <c r="HW75" s="70" t="e">
        <f>#REF!-HV75</f>
        <v>#REF!</v>
      </c>
      <c r="HX75" s="70" t="e">
        <f>SUM(#REF!)</f>
        <v>#REF!</v>
      </c>
      <c r="HY75" s="70" t="e">
        <f>#REF!-HX75</f>
        <v>#REF!</v>
      </c>
      <c r="HZ75" s="70">
        <f>SUM(BC75:BC75)</f>
        <v>137409</v>
      </c>
      <c r="IA75" s="70" t="e">
        <f>#REF!-HZ75</f>
        <v>#REF!</v>
      </c>
      <c r="IB75" s="70">
        <f>SUM(BD75:BD75)</f>
        <v>176926</v>
      </c>
      <c r="IC75" s="70" t="e">
        <f>#REF!-IB75</f>
        <v>#REF!</v>
      </c>
      <c r="ID75" s="70">
        <f t="shared" si="109"/>
        <v>0</v>
      </c>
      <c r="IE75" s="70">
        <f t="shared" si="110"/>
        <v>0</v>
      </c>
      <c r="IF75" s="70">
        <f t="shared" si="111"/>
        <v>0</v>
      </c>
      <c r="IG75" s="70">
        <f t="shared" si="112"/>
        <v>0</v>
      </c>
      <c r="IH75" s="70">
        <f t="shared" si="113"/>
        <v>268137</v>
      </c>
      <c r="II75" s="70">
        <f t="shared" si="114"/>
        <v>0</v>
      </c>
      <c r="IJ75" s="70">
        <f t="shared" si="115"/>
        <v>23091728</v>
      </c>
      <c r="IK75" s="70">
        <f t="shared" si="116"/>
        <v>0</v>
      </c>
      <c r="IL75" s="70">
        <f t="shared" si="117"/>
        <v>5771416</v>
      </c>
      <c r="IM75" s="70">
        <f t="shared" si="118"/>
        <v>0</v>
      </c>
      <c r="IN75" s="70">
        <f t="shared" si="119"/>
        <v>496640</v>
      </c>
      <c r="IO75" s="70">
        <f t="shared" si="120"/>
        <v>0</v>
      </c>
      <c r="IP75" s="70">
        <f t="shared" si="121"/>
        <v>4348164</v>
      </c>
      <c r="IQ75" s="70">
        <f t="shared" si="122"/>
        <v>0</v>
      </c>
      <c r="IR75" s="70">
        <f t="shared" si="107"/>
        <v>0</v>
      </c>
      <c r="IS75" s="70">
        <f t="shared" si="108"/>
        <v>0</v>
      </c>
      <c r="IT75" s="70">
        <f t="shared" si="123"/>
        <v>4006847</v>
      </c>
      <c r="IU75" s="70">
        <f t="shared" si="124"/>
        <v>0</v>
      </c>
      <c r="IV75" s="70">
        <f t="shared" si="125"/>
        <v>0</v>
      </c>
      <c r="IW75" s="70">
        <f t="shared" si="126"/>
        <v>0</v>
      </c>
      <c r="IX75" s="70">
        <f t="shared" si="127"/>
        <v>0</v>
      </c>
      <c r="IY75" s="70">
        <f t="shared" si="128"/>
        <v>0</v>
      </c>
      <c r="IZ75" s="70">
        <f t="shared" si="129"/>
        <v>618448</v>
      </c>
      <c r="JA75" s="70">
        <f t="shared" si="130"/>
        <v>0</v>
      </c>
      <c r="JB75" s="70">
        <f t="shared" si="131"/>
        <v>2099612</v>
      </c>
      <c r="JC75" s="70">
        <f t="shared" si="132"/>
        <v>0</v>
      </c>
      <c r="JD75" s="70">
        <f t="shared" si="133"/>
        <v>1250772</v>
      </c>
      <c r="JE75" s="70">
        <f t="shared" si="134"/>
        <v>0</v>
      </c>
      <c r="JF75" s="70">
        <f t="shared" si="135"/>
        <v>512102</v>
      </c>
      <c r="JG75" s="70">
        <f t="shared" si="136"/>
        <v>0</v>
      </c>
      <c r="JH75" s="70">
        <f t="shared" si="137"/>
        <v>414008</v>
      </c>
      <c r="JI75" s="70">
        <f t="shared" si="138"/>
        <v>0</v>
      </c>
      <c r="JJ75" s="70">
        <f t="shared" si="139"/>
        <v>0</v>
      </c>
      <c r="JK75" s="70">
        <f t="shared" si="140"/>
        <v>0</v>
      </c>
      <c r="JL75" s="70">
        <f t="shared" si="141"/>
        <v>1135170</v>
      </c>
      <c r="JM75" s="70">
        <f t="shared" si="142"/>
        <v>0</v>
      </c>
      <c r="JN75" s="70">
        <f t="shared" si="143"/>
        <v>251498</v>
      </c>
      <c r="JO75" s="70">
        <f t="shared" si="144"/>
        <v>0</v>
      </c>
      <c r="JP75" s="70">
        <f t="shared" si="145"/>
        <v>0</v>
      </c>
      <c r="JQ75" s="70">
        <f t="shared" si="146"/>
        <v>0</v>
      </c>
      <c r="JR75" s="70">
        <f t="shared" si="147"/>
        <v>529365</v>
      </c>
      <c r="JS75" s="70">
        <f t="shared" si="148"/>
        <v>0</v>
      </c>
      <c r="JT75" s="70">
        <f t="shared" si="149"/>
        <v>138056</v>
      </c>
      <c r="JU75" s="70">
        <f t="shared" si="150"/>
        <v>0</v>
      </c>
      <c r="JV75" s="70">
        <f t="shared" si="151"/>
        <v>1388661</v>
      </c>
      <c r="JW75" s="70">
        <f t="shared" si="152"/>
        <v>0</v>
      </c>
      <c r="JX75" s="70">
        <f t="shared" si="153"/>
        <v>22960759</v>
      </c>
      <c r="JY75" s="70">
        <f t="shared" si="154"/>
        <v>0</v>
      </c>
      <c r="JZ75" s="70">
        <f t="shared" si="155"/>
        <v>0</v>
      </c>
      <c r="KA75" s="70">
        <f t="shared" si="156"/>
        <v>0</v>
      </c>
      <c r="KB75" s="70">
        <f t="shared" si="157"/>
        <v>22960759</v>
      </c>
      <c r="KC75" s="70">
        <f t="shared" si="158"/>
        <v>0</v>
      </c>
      <c r="KE75" s="70" t="e">
        <f t="shared" si="159"/>
        <v>#REF!</v>
      </c>
      <c r="KG75" s="68" t="e">
        <f t="shared" si="160"/>
        <v>#REF!</v>
      </c>
    </row>
    <row r="76" spans="1:304">
      <c r="A76" s="81" t="s">
        <v>297</v>
      </c>
      <c r="B76" s="67" t="s">
        <v>365</v>
      </c>
      <c r="C76" s="90">
        <v>218663</v>
      </c>
      <c r="D76" s="90">
        <v>2014</v>
      </c>
      <c r="E76" s="90">
        <v>1</v>
      </c>
      <c r="F76" s="91">
        <v>5</v>
      </c>
      <c r="G76" s="92">
        <v>10171</v>
      </c>
      <c r="H76" s="92">
        <v>12362</v>
      </c>
      <c r="I76" s="93">
        <v>897738840</v>
      </c>
      <c r="J76" s="93">
        <v>835602371</v>
      </c>
      <c r="K76" s="93">
        <v>8136628</v>
      </c>
      <c r="L76" s="93">
        <v>8162102</v>
      </c>
      <c r="M76" s="93">
        <v>36093515</v>
      </c>
      <c r="N76" s="93">
        <v>35305289</v>
      </c>
      <c r="O76" s="93">
        <v>119250000</v>
      </c>
      <c r="P76" s="93">
        <v>121915000</v>
      </c>
      <c r="Q76" s="93">
        <v>432135246</v>
      </c>
      <c r="R76" s="93">
        <v>434955509</v>
      </c>
      <c r="S76" s="93">
        <v>724425391</v>
      </c>
      <c r="T76" s="93">
        <v>680008000</v>
      </c>
      <c r="U76" s="93">
        <v>20329</v>
      </c>
      <c r="V76" s="93">
        <v>19642</v>
      </c>
      <c r="W76" s="93">
        <v>38041</v>
      </c>
      <c r="X76" s="93">
        <v>36798</v>
      </c>
      <c r="Y76" s="93">
        <v>26316</v>
      </c>
      <c r="Z76" s="93">
        <v>25302</v>
      </c>
      <c r="AA76" s="93">
        <v>44055</v>
      </c>
      <c r="AB76" s="93">
        <v>42730</v>
      </c>
      <c r="AC76" s="114">
        <v>9</v>
      </c>
      <c r="AD76" s="114">
        <v>12</v>
      </c>
      <c r="AE76" s="114">
        <v>0</v>
      </c>
      <c r="AF76" s="115">
        <v>6845147</v>
      </c>
      <c r="AG76" s="115">
        <v>5120662</v>
      </c>
      <c r="AH76" s="115">
        <v>758931</v>
      </c>
      <c r="AI76" s="115">
        <v>439195</v>
      </c>
      <c r="AJ76" s="115">
        <v>527636</v>
      </c>
      <c r="AK76" s="116">
        <v>6.9</v>
      </c>
      <c r="AL76" s="115">
        <v>455086</v>
      </c>
      <c r="AM76" s="116">
        <v>8</v>
      </c>
      <c r="AN76" s="115">
        <v>229424</v>
      </c>
      <c r="AO76" s="116">
        <v>9.1</v>
      </c>
      <c r="AP76" s="115">
        <v>208776</v>
      </c>
      <c r="AQ76" s="116">
        <v>10</v>
      </c>
      <c r="AR76" s="115">
        <v>230615</v>
      </c>
      <c r="AS76" s="116">
        <v>22.5</v>
      </c>
      <c r="AT76" s="115">
        <v>185316</v>
      </c>
      <c r="AU76" s="116">
        <v>28</v>
      </c>
      <c r="AV76" s="115">
        <v>95149</v>
      </c>
      <c r="AW76" s="116">
        <v>18.5</v>
      </c>
      <c r="AX76" s="115">
        <v>73344</v>
      </c>
      <c r="AY76" s="116">
        <v>24</v>
      </c>
      <c r="AZ76" s="139">
        <v>18429618</v>
      </c>
      <c r="BA76" s="139">
        <v>300000</v>
      </c>
      <c r="BB76" s="139">
        <v>30203751</v>
      </c>
      <c r="BC76" s="139">
        <v>3143872</v>
      </c>
      <c r="BD76" s="139">
        <v>0</v>
      </c>
      <c r="BE76" s="139">
        <v>0</v>
      </c>
      <c r="BF76" s="170">
        <v>0</v>
      </c>
      <c r="BG76" s="170">
        <v>0</v>
      </c>
      <c r="BH76" s="170">
        <v>0</v>
      </c>
      <c r="BI76" s="170">
        <v>31049</v>
      </c>
      <c r="BJ76" s="170">
        <v>31049</v>
      </c>
      <c r="BK76" s="139">
        <v>0</v>
      </c>
      <c r="BL76" s="139">
        <v>0</v>
      </c>
      <c r="BM76" s="139">
        <v>0</v>
      </c>
      <c r="BN76" s="139">
        <v>0</v>
      </c>
      <c r="BO76" s="139">
        <v>405198</v>
      </c>
      <c r="BP76" s="139">
        <v>405198</v>
      </c>
      <c r="BQ76" s="139">
        <v>2263</v>
      </c>
      <c r="BR76" s="170">
        <v>0</v>
      </c>
      <c r="BS76" s="170">
        <v>12225</v>
      </c>
      <c r="BT76" s="170">
        <v>407214</v>
      </c>
      <c r="BU76" s="170">
        <v>2933031</v>
      </c>
      <c r="BV76" s="170">
        <v>3354733</v>
      </c>
      <c r="BW76" s="139">
        <v>55699770</v>
      </c>
      <c r="BX76" s="139">
        <v>8052994</v>
      </c>
      <c r="BY76" s="139">
        <v>939479</v>
      </c>
      <c r="BZ76" s="139">
        <v>5321482</v>
      </c>
      <c r="CA76" s="139">
        <v>28605754</v>
      </c>
      <c r="CB76" s="139">
        <v>98619479</v>
      </c>
      <c r="CC76" s="139">
        <v>3924715</v>
      </c>
      <c r="CD76" s="170">
        <v>638905</v>
      </c>
      <c r="CE76" s="170">
        <v>555207</v>
      </c>
      <c r="CF76" s="170">
        <v>6846982</v>
      </c>
      <c r="CG76" s="170">
        <v>464902</v>
      </c>
      <c r="CH76" s="170">
        <v>12430711</v>
      </c>
      <c r="CI76" s="139">
        <v>925000</v>
      </c>
      <c r="CJ76" s="139">
        <v>460571</v>
      </c>
      <c r="CK76" s="139">
        <v>101451</v>
      </c>
      <c r="CL76" s="139">
        <v>100821</v>
      </c>
      <c r="CM76" s="139">
        <v>0</v>
      </c>
      <c r="CN76" s="139">
        <v>1587843</v>
      </c>
      <c r="CO76" s="139">
        <v>4591353</v>
      </c>
      <c r="CP76" s="139">
        <v>2099515</v>
      </c>
      <c r="CQ76" s="139">
        <v>1323568</v>
      </c>
      <c r="CR76" s="139">
        <v>4663117</v>
      </c>
      <c r="CS76" s="139">
        <v>0</v>
      </c>
      <c r="CT76" s="139">
        <v>12677553</v>
      </c>
      <c r="CU76" s="139">
        <v>3525000</v>
      </c>
      <c r="CV76" s="139">
        <v>1400000</v>
      </c>
      <c r="CW76" s="139">
        <v>500000</v>
      </c>
      <c r="CX76" s="139">
        <v>175000</v>
      </c>
      <c r="CY76" s="139">
        <v>0</v>
      </c>
      <c r="CZ76" s="139">
        <v>5600000</v>
      </c>
      <c r="DA76" s="139">
        <v>1519847</v>
      </c>
      <c r="DB76" s="139">
        <v>437827</v>
      </c>
      <c r="DC76" s="139">
        <v>304682</v>
      </c>
      <c r="DD76" s="139">
        <v>575142</v>
      </c>
      <c r="DE76" s="139">
        <v>14622110</v>
      </c>
      <c r="DF76" s="139">
        <v>17459608</v>
      </c>
      <c r="DG76" s="139">
        <v>0</v>
      </c>
      <c r="DH76" s="139">
        <v>0</v>
      </c>
      <c r="DI76" s="139">
        <v>0</v>
      </c>
      <c r="DJ76" s="139">
        <v>0</v>
      </c>
      <c r="DK76" s="139">
        <v>150000</v>
      </c>
      <c r="DL76" s="139">
        <v>150000</v>
      </c>
      <c r="DM76" s="139">
        <v>0</v>
      </c>
      <c r="DN76" s="139">
        <v>0</v>
      </c>
      <c r="DO76" s="139">
        <v>0</v>
      </c>
      <c r="DP76" s="139">
        <v>0</v>
      </c>
      <c r="DQ76" s="139">
        <v>0</v>
      </c>
      <c r="DR76" s="139">
        <v>0</v>
      </c>
      <c r="DS76" s="139">
        <v>347081</v>
      </c>
      <c r="DT76" s="139">
        <v>213913</v>
      </c>
      <c r="DU76" s="139">
        <v>110356</v>
      </c>
      <c r="DV76" s="139">
        <v>526776</v>
      </c>
      <c r="DW76" s="139">
        <v>0</v>
      </c>
      <c r="DX76" s="139">
        <v>1198126</v>
      </c>
      <c r="DY76" s="139">
        <v>2003782</v>
      </c>
      <c r="DZ76" s="139">
        <v>780800</v>
      </c>
      <c r="EA76" s="139">
        <v>664060</v>
      </c>
      <c r="EB76" s="139">
        <v>2720263</v>
      </c>
      <c r="EC76" s="139">
        <v>0</v>
      </c>
      <c r="ED76" s="139">
        <v>6168905</v>
      </c>
      <c r="EE76" s="139">
        <v>1322179</v>
      </c>
      <c r="EF76" s="139">
        <v>232533</v>
      </c>
      <c r="EG76" s="139">
        <v>107270</v>
      </c>
      <c r="EH76" s="139">
        <v>1422163</v>
      </c>
      <c r="EI76" s="139">
        <v>98042</v>
      </c>
      <c r="EJ76" s="139">
        <v>3182187</v>
      </c>
      <c r="EK76" s="139">
        <v>3764331</v>
      </c>
      <c r="EL76" s="139">
        <v>561196</v>
      </c>
      <c r="EM76" s="139">
        <v>414211</v>
      </c>
      <c r="EN76" s="139">
        <v>1718416</v>
      </c>
      <c r="EO76" s="139">
        <v>498647</v>
      </c>
      <c r="EP76" s="139">
        <v>6956801</v>
      </c>
      <c r="EQ76" s="139">
        <v>60399</v>
      </c>
      <c r="ER76" s="139">
        <v>38762</v>
      </c>
      <c r="ES76" s="139">
        <v>72335</v>
      </c>
      <c r="ET76" s="139">
        <v>32217</v>
      </c>
      <c r="EU76" s="139">
        <v>3377604</v>
      </c>
      <c r="EV76" s="139">
        <v>3581317</v>
      </c>
      <c r="EW76" s="139">
        <v>0</v>
      </c>
      <c r="EX76" s="139">
        <v>0</v>
      </c>
      <c r="EY76" s="139">
        <v>0</v>
      </c>
      <c r="EZ76" s="139">
        <v>0</v>
      </c>
      <c r="FA76" s="139">
        <v>97637</v>
      </c>
      <c r="FB76" s="139">
        <v>97637</v>
      </c>
      <c r="FC76" s="139">
        <v>3749372</v>
      </c>
      <c r="FD76" s="139">
        <v>138258</v>
      </c>
      <c r="FE76" s="139">
        <v>251817</v>
      </c>
      <c r="FF76" s="139">
        <v>2347699</v>
      </c>
      <c r="FG76" s="139">
        <v>7766461</v>
      </c>
      <c r="FH76" s="139">
        <v>14253607</v>
      </c>
      <c r="FI76" s="139">
        <v>96552</v>
      </c>
      <c r="FJ76" s="139">
        <v>0</v>
      </c>
      <c r="FK76" s="139">
        <v>0</v>
      </c>
      <c r="FL76" s="139">
        <v>0</v>
      </c>
      <c r="FM76" s="139">
        <v>520221</v>
      </c>
      <c r="FN76" s="139">
        <v>616773</v>
      </c>
      <c r="FO76" s="139">
        <v>0</v>
      </c>
      <c r="FP76" s="139">
        <v>0</v>
      </c>
      <c r="FQ76" s="139">
        <v>0</v>
      </c>
      <c r="FR76" s="139">
        <v>0</v>
      </c>
      <c r="FS76" s="139">
        <v>0</v>
      </c>
      <c r="FT76" s="139">
        <v>0</v>
      </c>
      <c r="FU76" s="139">
        <v>0</v>
      </c>
      <c r="FV76" s="139">
        <v>0</v>
      </c>
      <c r="FW76" s="139">
        <v>0</v>
      </c>
      <c r="FX76" s="139">
        <v>0</v>
      </c>
      <c r="FY76" s="139">
        <v>931642</v>
      </c>
      <c r="FZ76" s="139">
        <v>931642</v>
      </c>
      <c r="GA76" s="139">
        <v>3304</v>
      </c>
      <c r="GB76" s="139">
        <v>896</v>
      </c>
      <c r="GC76" s="139">
        <v>2735</v>
      </c>
      <c r="GD76" s="139">
        <v>38270</v>
      </c>
      <c r="GE76" s="139">
        <v>40963</v>
      </c>
      <c r="GF76" s="139">
        <v>86168</v>
      </c>
      <c r="GG76" s="139">
        <v>354437</v>
      </c>
      <c r="GH76" s="139">
        <v>60960</v>
      </c>
      <c r="GI76" s="139">
        <v>69754</v>
      </c>
      <c r="GJ76" s="139">
        <v>358923</v>
      </c>
      <c r="GK76" s="139">
        <v>7939834</v>
      </c>
      <c r="GL76" s="139">
        <v>8783908</v>
      </c>
      <c r="GM76" s="139">
        <v>26187352</v>
      </c>
      <c r="GN76" s="139">
        <v>7064136</v>
      </c>
      <c r="GO76" s="139">
        <v>4477446</v>
      </c>
      <c r="GP76" s="139">
        <v>21525789</v>
      </c>
      <c r="GQ76" s="139">
        <v>36508063</v>
      </c>
      <c r="GR76" s="139">
        <v>95762786</v>
      </c>
      <c r="GS76" s="139">
        <v>0</v>
      </c>
      <c r="GT76" s="139">
        <v>0</v>
      </c>
      <c r="GU76" s="139">
        <v>0</v>
      </c>
      <c r="GV76" s="139">
        <v>0</v>
      </c>
      <c r="GW76" s="139">
        <v>2636306</v>
      </c>
      <c r="GX76" s="139">
        <v>2636306</v>
      </c>
      <c r="GY76" s="139">
        <v>26187352</v>
      </c>
      <c r="GZ76" s="139">
        <v>7064136</v>
      </c>
      <c r="HA76" s="139">
        <v>4477446</v>
      </c>
      <c r="HB76" s="139">
        <v>21525789</v>
      </c>
      <c r="HC76" s="139">
        <v>39144369</v>
      </c>
      <c r="HD76" s="139">
        <v>98399092</v>
      </c>
      <c r="HF76" s="70">
        <f>SUM(AZ76:AZ76)</f>
        <v>18429618</v>
      </c>
      <c r="HG76" s="70" t="e">
        <f>#REF!-HF76</f>
        <v>#REF!</v>
      </c>
      <c r="HH76" s="70" t="e">
        <f>SUM(#REF!)</f>
        <v>#REF!</v>
      </c>
      <c r="HI76" s="70" t="e">
        <f>#REF!-HH76</f>
        <v>#REF!</v>
      </c>
      <c r="HJ76" s="70">
        <f>SUM(BA76:BA76)</f>
        <v>300000</v>
      </c>
      <c r="HK76" s="70" t="e">
        <f>#REF!-HJ76</f>
        <v>#REF!</v>
      </c>
      <c r="HL76" s="70" t="e">
        <f>SUM(#REF!)</f>
        <v>#REF!</v>
      </c>
      <c r="HM76" s="70" t="e">
        <f>BB76-HL76</f>
        <v>#REF!</v>
      </c>
      <c r="HN76" s="70" t="e">
        <f>SUM(#REF!)</f>
        <v>#REF!</v>
      </c>
      <c r="HO76" s="70" t="e">
        <f>#REF!-HN76</f>
        <v>#REF!</v>
      </c>
      <c r="HP76" s="70" t="e">
        <f>SUM(#REF!)</f>
        <v>#REF!</v>
      </c>
      <c r="HQ76" s="70" t="e">
        <f>#REF!-HP76</f>
        <v>#REF!</v>
      </c>
      <c r="HR76" s="70" t="e">
        <f>SUM(#REF!)</f>
        <v>#REF!</v>
      </c>
      <c r="HS76" s="70" t="e">
        <f>#REF!-HR76</f>
        <v>#REF!</v>
      </c>
      <c r="HT76" s="70" t="e">
        <f>SUM(#REF!)</f>
        <v>#REF!</v>
      </c>
      <c r="HU76" s="70" t="e">
        <f>#REF!-HT76</f>
        <v>#REF!</v>
      </c>
      <c r="HV76" s="70" t="e">
        <f>SUM(#REF!)</f>
        <v>#REF!</v>
      </c>
      <c r="HW76" s="70" t="e">
        <f>#REF!-HV76</f>
        <v>#REF!</v>
      </c>
      <c r="HX76" s="70" t="e">
        <f>SUM(#REF!)</f>
        <v>#REF!</v>
      </c>
      <c r="HY76" s="70" t="e">
        <f>#REF!-HX76</f>
        <v>#REF!</v>
      </c>
      <c r="HZ76" s="70">
        <f>SUM(BC76:BC76)</f>
        <v>3143872</v>
      </c>
      <c r="IA76" s="70" t="e">
        <f>#REF!-HZ76</f>
        <v>#REF!</v>
      </c>
      <c r="IB76" s="70">
        <f>SUM(BD76:BD76)</f>
        <v>0</v>
      </c>
      <c r="IC76" s="70" t="e">
        <f>#REF!-IB76</f>
        <v>#REF!</v>
      </c>
      <c r="ID76" s="70">
        <f t="shared" si="109"/>
        <v>31049</v>
      </c>
      <c r="IE76" s="70">
        <f t="shared" si="110"/>
        <v>0</v>
      </c>
      <c r="IF76" s="70">
        <f t="shared" si="111"/>
        <v>405198</v>
      </c>
      <c r="IG76" s="70">
        <f t="shared" si="112"/>
        <v>0</v>
      </c>
      <c r="IH76" s="70">
        <f t="shared" si="113"/>
        <v>3354733</v>
      </c>
      <c r="II76" s="70">
        <f t="shared" si="114"/>
        <v>0</v>
      </c>
      <c r="IJ76" s="70">
        <f t="shared" si="115"/>
        <v>98619479</v>
      </c>
      <c r="IK76" s="70">
        <f t="shared" si="116"/>
        <v>0</v>
      </c>
      <c r="IL76" s="70">
        <f t="shared" si="117"/>
        <v>12430711</v>
      </c>
      <c r="IM76" s="70">
        <f t="shared" si="118"/>
        <v>0</v>
      </c>
      <c r="IN76" s="70">
        <f t="shared" si="119"/>
        <v>1587843</v>
      </c>
      <c r="IO76" s="70">
        <f t="shared" si="120"/>
        <v>0</v>
      </c>
      <c r="IP76" s="70">
        <f t="shared" si="121"/>
        <v>12677553</v>
      </c>
      <c r="IQ76" s="70">
        <f t="shared" si="122"/>
        <v>0</v>
      </c>
      <c r="IR76" s="70">
        <f t="shared" si="107"/>
        <v>5600000</v>
      </c>
      <c r="IS76" s="70">
        <f t="shared" si="108"/>
        <v>0</v>
      </c>
      <c r="IT76" s="70">
        <f t="shared" si="123"/>
        <v>17459608</v>
      </c>
      <c r="IU76" s="70">
        <f t="shared" si="124"/>
        <v>0</v>
      </c>
      <c r="IV76" s="70">
        <f t="shared" si="125"/>
        <v>150000</v>
      </c>
      <c r="IW76" s="70">
        <f t="shared" si="126"/>
        <v>0</v>
      </c>
      <c r="IX76" s="70">
        <f t="shared" si="127"/>
        <v>0</v>
      </c>
      <c r="IY76" s="70">
        <f t="shared" si="128"/>
        <v>0</v>
      </c>
      <c r="IZ76" s="70">
        <f t="shared" si="129"/>
        <v>1198126</v>
      </c>
      <c r="JA76" s="70">
        <f t="shared" si="130"/>
        <v>0</v>
      </c>
      <c r="JB76" s="70">
        <f t="shared" si="131"/>
        <v>6168905</v>
      </c>
      <c r="JC76" s="70">
        <f t="shared" si="132"/>
        <v>0</v>
      </c>
      <c r="JD76" s="70">
        <f t="shared" si="133"/>
        <v>3182187</v>
      </c>
      <c r="JE76" s="70">
        <f t="shared" si="134"/>
        <v>0</v>
      </c>
      <c r="JF76" s="70">
        <f t="shared" si="135"/>
        <v>6956801</v>
      </c>
      <c r="JG76" s="70">
        <f t="shared" si="136"/>
        <v>0</v>
      </c>
      <c r="JH76" s="70">
        <f t="shared" si="137"/>
        <v>3581317</v>
      </c>
      <c r="JI76" s="70">
        <f t="shared" si="138"/>
        <v>0</v>
      </c>
      <c r="JJ76" s="70">
        <f t="shared" si="139"/>
        <v>97637</v>
      </c>
      <c r="JK76" s="70">
        <f t="shared" si="140"/>
        <v>0</v>
      </c>
      <c r="JL76" s="70">
        <f t="shared" si="141"/>
        <v>14253607</v>
      </c>
      <c r="JM76" s="70">
        <f t="shared" si="142"/>
        <v>0</v>
      </c>
      <c r="JN76" s="70">
        <f t="shared" si="143"/>
        <v>616773</v>
      </c>
      <c r="JO76" s="70">
        <f t="shared" si="144"/>
        <v>0</v>
      </c>
      <c r="JP76" s="70">
        <f t="shared" si="145"/>
        <v>0</v>
      </c>
      <c r="JQ76" s="70">
        <f t="shared" si="146"/>
        <v>0</v>
      </c>
      <c r="JR76" s="70">
        <f t="shared" si="147"/>
        <v>931642</v>
      </c>
      <c r="JS76" s="70">
        <f t="shared" si="148"/>
        <v>0</v>
      </c>
      <c r="JT76" s="70">
        <f t="shared" si="149"/>
        <v>86168</v>
      </c>
      <c r="JU76" s="70">
        <f t="shared" si="150"/>
        <v>0</v>
      </c>
      <c r="JV76" s="70">
        <f t="shared" si="151"/>
        <v>8783908</v>
      </c>
      <c r="JW76" s="70">
        <f t="shared" si="152"/>
        <v>0</v>
      </c>
      <c r="JX76" s="70">
        <f t="shared" si="153"/>
        <v>95762786</v>
      </c>
      <c r="JY76" s="70">
        <f t="shared" si="154"/>
        <v>0</v>
      </c>
      <c r="JZ76" s="70">
        <f t="shared" si="155"/>
        <v>2636306</v>
      </c>
      <c r="KA76" s="70">
        <f t="shared" si="156"/>
        <v>0</v>
      </c>
      <c r="KB76" s="70">
        <f t="shared" si="157"/>
        <v>98399092</v>
      </c>
      <c r="KC76" s="70">
        <f t="shared" si="158"/>
        <v>0</v>
      </c>
      <c r="KE76" s="70" t="e">
        <f t="shared" si="159"/>
        <v>#REF!</v>
      </c>
      <c r="KG76" s="68" t="e">
        <f t="shared" si="160"/>
        <v>#REF!</v>
      </c>
    </row>
    <row r="77" spans="1:304">
      <c r="A77" s="180" t="s">
        <v>299</v>
      </c>
      <c r="B77" s="76" t="s">
        <v>365</v>
      </c>
      <c r="C77" s="90">
        <v>137351</v>
      </c>
      <c r="D77" s="90">
        <v>2014</v>
      </c>
      <c r="E77" s="90">
        <v>1</v>
      </c>
      <c r="F77" s="91">
        <v>6</v>
      </c>
      <c r="G77" s="92">
        <v>10282</v>
      </c>
      <c r="H77" s="92">
        <v>13158</v>
      </c>
      <c r="I77" s="93">
        <v>1125884325</v>
      </c>
      <c r="J77" s="93">
        <v>1091536716</v>
      </c>
      <c r="K77" s="93">
        <v>2656747</v>
      </c>
      <c r="L77" s="93">
        <v>2619231</v>
      </c>
      <c r="M77" s="93">
        <v>36618699</v>
      </c>
      <c r="N77" s="93">
        <v>35279572</v>
      </c>
      <c r="O77" s="93">
        <v>29302127</v>
      </c>
      <c r="P77" s="93">
        <v>30684387</v>
      </c>
      <c r="Q77" s="93">
        <v>462704504</v>
      </c>
      <c r="R77" s="93">
        <v>461828883</v>
      </c>
      <c r="S77" s="93">
        <v>891978319</v>
      </c>
      <c r="T77" s="93">
        <v>855366878</v>
      </c>
      <c r="U77" s="93">
        <v>16610</v>
      </c>
      <c r="V77" s="93">
        <v>16290</v>
      </c>
      <c r="W77" s="93">
        <v>27524</v>
      </c>
      <c r="X77" s="93">
        <v>26220</v>
      </c>
      <c r="Y77" s="93">
        <v>20910</v>
      </c>
      <c r="Z77" s="93">
        <v>20390</v>
      </c>
      <c r="AA77" s="93">
        <v>31824</v>
      </c>
      <c r="AB77" s="93">
        <v>30320</v>
      </c>
      <c r="AC77" s="114">
        <v>9</v>
      </c>
      <c r="AD77" s="114">
        <v>10</v>
      </c>
      <c r="AE77" s="114">
        <v>0</v>
      </c>
      <c r="AF77" s="115">
        <v>3345503</v>
      </c>
      <c r="AG77" s="115">
        <v>2151151</v>
      </c>
      <c r="AH77" s="115">
        <v>495495</v>
      </c>
      <c r="AI77" s="115">
        <v>259431</v>
      </c>
      <c r="AJ77" s="115">
        <v>465492</v>
      </c>
      <c r="AK77" s="116">
        <v>6.5</v>
      </c>
      <c r="AL77" s="115">
        <v>432242</v>
      </c>
      <c r="AM77" s="116">
        <v>7</v>
      </c>
      <c r="AN77" s="115">
        <v>144023</v>
      </c>
      <c r="AO77" s="116">
        <v>7.5</v>
      </c>
      <c r="AP77" s="115">
        <v>135022</v>
      </c>
      <c r="AQ77" s="116">
        <v>8</v>
      </c>
      <c r="AR77" s="115">
        <v>158389</v>
      </c>
      <c r="AS77" s="116">
        <v>20.25</v>
      </c>
      <c r="AT77" s="115">
        <v>139451</v>
      </c>
      <c r="AU77" s="116">
        <v>23</v>
      </c>
      <c r="AV77" s="115">
        <v>62535</v>
      </c>
      <c r="AW77" s="116">
        <v>13.21</v>
      </c>
      <c r="AX77" s="115">
        <v>48594</v>
      </c>
      <c r="AY77" s="116">
        <v>17</v>
      </c>
      <c r="AZ77" s="139">
        <v>4119576</v>
      </c>
      <c r="BA77" s="139">
        <v>250000</v>
      </c>
      <c r="BB77" s="139">
        <v>3719221</v>
      </c>
      <c r="BC77" s="139">
        <v>313900</v>
      </c>
      <c r="BD77" s="139">
        <v>2449283</v>
      </c>
      <c r="BE77" s="139">
        <v>0</v>
      </c>
      <c r="BF77" s="139">
        <v>0</v>
      </c>
      <c r="BG77" s="139">
        <v>0</v>
      </c>
      <c r="BH77" s="139">
        <v>0</v>
      </c>
      <c r="BI77" s="139">
        <v>0</v>
      </c>
      <c r="BJ77" s="139">
        <v>0</v>
      </c>
      <c r="BK77" s="139">
        <v>180040</v>
      </c>
      <c r="BL77" s="139">
        <v>15419</v>
      </c>
      <c r="BM77" s="139">
        <v>0</v>
      </c>
      <c r="BN77" s="139">
        <v>24104</v>
      </c>
      <c r="BO77" s="139">
        <v>12371</v>
      </c>
      <c r="BP77" s="139">
        <v>231934</v>
      </c>
      <c r="BQ77" s="139">
        <v>9355</v>
      </c>
      <c r="BR77" s="139">
        <v>0</v>
      </c>
      <c r="BS77" s="139">
        <v>0</v>
      </c>
      <c r="BT77" s="139">
        <v>72921</v>
      </c>
      <c r="BU77" s="139">
        <v>73794</v>
      </c>
      <c r="BV77" s="139">
        <v>156070</v>
      </c>
      <c r="BW77" s="139">
        <v>13890357</v>
      </c>
      <c r="BX77" s="139">
        <v>5332472</v>
      </c>
      <c r="BY77" s="139">
        <v>486023</v>
      </c>
      <c r="BZ77" s="139">
        <v>1223370</v>
      </c>
      <c r="CA77" s="139">
        <v>27451706</v>
      </c>
      <c r="CB77" s="139">
        <v>48383928</v>
      </c>
      <c r="CC77" s="139">
        <v>1869982</v>
      </c>
      <c r="CD77" s="139">
        <v>387469</v>
      </c>
      <c r="CE77" s="139">
        <v>429134</v>
      </c>
      <c r="CF77" s="139">
        <v>2810069</v>
      </c>
      <c r="CG77" s="139">
        <v>115780</v>
      </c>
      <c r="CH77" s="139">
        <v>5612434</v>
      </c>
      <c r="CI77" s="139">
        <v>850000</v>
      </c>
      <c r="CJ77" s="139">
        <v>305000</v>
      </c>
      <c r="CK77" s="139">
        <v>105000</v>
      </c>
      <c r="CL77" s="139">
        <v>134172</v>
      </c>
      <c r="CM77" s="139">
        <v>0</v>
      </c>
      <c r="CN77" s="139">
        <v>1394172</v>
      </c>
      <c r="CO77" s="139">
        <v>3403661</v>
      </c>
      <c r="CP77" s="139">
        <v>1745698</v>
      </c>
      <c r="CQ77" s="139">
        <v>702537</v>
      </c>
      <c r="CR77" s="139">
        <v>2287441</v>
      </c>
      <c r="CS77" s="139">
        <v>0</v>
      </c>
      <c r="CT77" s="139">
        <v>8139337</v>
      </c>
      <c r="CU77" s="139">
        <v>15000</v>
      </c>
      <c r="CV77" s="139">
        <v>12300</v>
      </c>
      <c r="CW77" s="139">
        <v>4200</v>
      </c>
      <c r="CX77" s="139">
        <v>16950</v>
      </c>
      <c r="CY77" s="139">
        <v>0</v>
      </c>
      <c r="CZ77" s="139">
        <v>48450</v>
      </c>
      <c r="DA77" s="139">
        <v>563523</v>
      </c>
      <c r="DB77" s="139">
        <v>233412</v>
      </c>
      <c r="DC77" s="139">
        <v>131058</v>
      </c>
      <c r="DD77" s="139">
        <v>103778</v>
      </c>
      <c r="DE77" s="139">
        <v>6780277</v>
      </c>
      <c r="DF77" s="139">
        <v>7812048</v>
      </c>
      <c r="DG77" s="139">
        <v>16200</v>
      </c>
      <c r="DH77" s="139">
        <v>0</v>
      </c>
      <c r="DI77" s="139">
        <v>0</v>
      </c>
      <c r="DJ77" s="139">
        <f>16200+0-DG77-DH77-DI77</f>
        <v>0</v>
      </c>
      <c r="DK77" s="139">
        <v>31500</v>
      </c>
      <c r="DL77" s="139">
        <v>47700</v>
      </c>
      <c r="DM77" s="139">
        <v>850424</v>
      </c>
      <c r="DN77" s="139">
        <v>141409</v>
      </c>
      <c r="DO77" s="139">
        <v>0</v>
      </c>
      <c r="DP77" s="139">
        <f>994877+0-DM77-DN77-DO77</f>
        <v>3044</v>
      </c>
      <c r="DQ77" s="139">
        <v>674755</v>
      </c>
      <c r="DR77" s="139">
        <v>1669632</v>
      </c>
      <c r="DS77" s="139">
        <v>264488</v>
      </c>
      <c r="DT77" s="139">
        <v>122773</v>
      </c>
      <c r="DU77" s="139">
        <v>197772</v>
      </c>
      <c r="DV77" s="139">
        <f>495495+259431-DS77-DT77-DU77</f>
        <v>169893</v>
      </c>
      <c r="DW77" s="139">
        <v>45000</v>
      </c>
      <c r="DX77" s="139">
        <v>799926</v>
      </c>
      <c r="DY77" s="139">
        <v>1500835</v>
      </c>
      <c r="DZ77" s="139">
        <v>604427</v>
      </c>
      <c r="EA77" s="139">
        <v>565753</v>
      </c>
      <c r="EB77" s="139">
        <f>2998419+1729421-DY77-DZ77-EA77</f>
        <v>2056825</v>
      </c>
      <c r="EC77" s="139">
        <v>0</v>
      </c>
      <c r="ED77" s="139">
        <v>4727840</v>
      </c>
      <c r="EE77" s="139">
        <v>667205</v>
      </c>
      <c r="EF77" s="139">
        <v>229144</v>
      </c>
      <c r="EG77" s="139">
        <v>161153</v>
      </c>
      <c r="EH77" s="139">
        <f>1185364+551801-EE77-EF77-EG77</f>
        <v>679663</v>
      </c>
      <c r="EI77" s="139">
        <v>0</v>
      </c>
      <c r="EJ77" s="139">
        <v>1737165</v>
      </c>
      <c r="EK77" s="139">
        <v>968745</v>
      </c>
      <c r="EL77" s="139">
        <v>266791</v>
      </c>
      <c r="EM77" s="139">
        <v>214934</v>
      </c>
      <c r="EN77" s="139">
        <f>1377212+376678-EK77-EL77-EM77</f>
        <v>303420</v>
      </c>
      <c r="EO77" s="139">
        <v>167263</v>
      </c>
      <c r="EP77" s="139">
        <v>1921153</v>
      </c>
      <c r="EQ77" s="139">
        <v>0</v>
      </c>
      <c r="ER77" s="139">
        <v>0</v>
      </c>
      <c r="ES77" s="139">
        <v>0</v>
      </c>
      <c r="ET77" s="139">
        <v>0</v>
      </c>
      <c r="EU77" s="139">
        <v>1381532</v>
      </c>
      <c r="EV77" s="139">
        <v>1381532</v>
      </c>
      <c r="EW77" s="139">
        <v>0</v>
      </c>
      <c r="EX77" s="139">
        <v>0</v>
      </c>
      <c r="EY77" s="139">
        <v>0</v>
      </c>
      <c r="EZ77" s="139">
        <v>0</v>
      </c>
      <c r="FA77" s="139">
        <v>0</v>
      </c>
      <c r="FB77" s="139">
        <v>0</v>
      </c>
      <c r="FC77" s="139">
        <v>906014</v>
      </c>
      <c r="FD77" s="139">
        <v>108210</v>
      </c>
      <c r="FE77" s="139">
        <v>96000</v>
      </c>
      <c r="FF77" s="139">
        <f>1020668+143456-FC77-FD77-FE77</f>
        <v>53900</v>
      </c>
      <c r="FG77" s="139">
        <v>4568335</v>
      </c>
      <c r="FH77" s="139">
        <v>5732459</v>
      </c>
      <c r="FI77" s="139">
        <v>0</v>
      </c>
      <c r="FJ77" s="139">
        <v>0</v>
      </c>
      <c r="FK77" s="139">
        <v>0</v>
      </c>
      <c r="FL77" s="139">
        <v>0</v>
      </c>
      <c r="FM77" s="139">
        <v>449593</v>
      </c>
      <c r="FN77" s="139">
        <v>449593</v>
      </c>
      <c r="FO77" s="139">
        <v>0</v>
      </c>
      <c r="FP77" s="139">
        <v>0</v>
      </c>
      <c r="FQ77" s="139">
        <v>0</v>
      </c>
      <c r="FR77" s="139">
        <v>0</v>
      </c>
      <c r="FS77" s="139">
        <v>0</v>
      </c>
      <c r="FT77" s="139">
        <v>0</v>
      </c>
      <c r="FU77" s="139">
        <v>0</v>
      </c>
      <c r="FV77" s="139">
        <v>0</v>
      </c>
      <c r="FW77" s="139">
        <v>0</v>
      </c>
      <c r="FX77" s="139">
        <v>0</v>
      </c>
      <c r="FY77" s="139">
        <v>1363435</v>
      </c>
      <c r="FZ77" s="139">
        <v>1363435</v>
      </c>
      <c r="GA77" s="139">
        <v>1115</v>
      </c>
      <c r="GB77" s="139">
        <v>7330</v>
      </c>
      <c r="GC77" s="139">
        <v>3449</v>
      </c>
      <c r="GD77" s="139">
        <f>10000+8418-GA77-GB77-GC77</f>
        <v>6524</v>
      </c>
      <c r="GE77" s="139">
        <v>29744</v>
      </c>
      <c r="GF77" s="139">
        <v>48162</v>
      </c>
      <c r="GG77" s="139">
        <v>254565</v>
      </c>
      <c r="GH77" s="139">
        <v>276364</v>
      </c>
      <c r="GI77" s="139">
        <v>98698</v>
      </c>
      <c r="GJ77" s="139">
        <f>610365+293353-GG77-GH77-GI77</f>
        <v>274091</v>
      </c>
      <c r="GK77" s="139">
        <v>3040891</v>
      </c>
      <c r="GL77" s="139">
        <v>3944609</v>
      </c>
      <c r="GM77" s="139">
        <v>12131757</v>
      </c>
      <c r="GN77" s="139">
        <v>4440327</v>
      </c>
      <c r="GO77" s="139">
        <v>2619688</v>
      </c>
      <c r="GP77" s="139">
        <f>20405143+7776399-GM77-GN77-GO77</f>
        <v>8989770</v>
      </c>
      <c r="GQ77" s="139">
        <v>18648105</v>
      </c>
      <c r="GR77" s="139">
        <v>46829647</v>
      </c>
      <c r="GS77" s="139">
        <v>0</v>
      </c>
      <c r="GT77" s="139">
        <v>0</v>
      </c>
      <c r="GU77" s="139">
        <v>0</v>
      </c>
      <c r="GV77" s="139">
        <v>0</v>
      </c>
      <c r="GW77" s="139">
        <v>0</v>
      </c>
      <c r="GX77" s="139">
        <v>0</v>
      </c>
      <c r="GY77" s="139">
        <v>12131757</v>
      </c>
      <c r="GZ77" s="139">
        <v>4440327</v>
      </c>
      <c r="HA77" s="139">
        <v>2619688</v>
      </c>
      <c r="HB77" s="139">
        <f>20405143+7776399-GY77-GZ77-HA77</f>
        <v>8989770</v>
      </c>
      <c r="HC77" s="139">
        <v>18648105</v>
      </c>
      <c r="HD77" s="139">
        <v>46829647</v>
      </c>
      <c r="HF77" s="70">
        <f>SUM(AZ77:AZ77)</f>
        <v>4119576</v>
      </c>
      <c r="HG77" s="70" t="e">
        <f>#REF!-HF77</f>
        <v>#REF!</v>
      </c>
      <c r="HH77" s="70" t="e">
        <f>SUM(#REF!)</f>
        <v>#REF!</v>
      </c>
      <c r="HI77" s="70" t="e">
        <f>#REF!-HH77</f>
        <v>#REF!</v>
      </c>
      <c r="HJ77" s="70">
        <f>SUM(BA77:BA77)</f>
        <v>250000</v>
      </c>
      <c r="HK77" s="70" t="e">
        <f>#REF!-HJ77</f>
        <v>#REF!</v>
      </c>
      <c r="HL77" s="70" t="e">
        <f>SUM(#REF!)</f>
        <v>#REF!</v>
      </c>
      <c r="HM77" s="70" t="e">
        <f>BB77-HL77</f>
        <v>#REF!</v>
      </c>
      <c r="HN77" s="70" t="e">
        <f>SUM(#REF!)</f>
        <v>#REF!</v>
      </c>
      <c r="HO77" s="70" t="e">
        <f>#REF!-HN77</f>
        <v>#REF!</v>
      </c>
      <c r="HP77" s="70" t="e">
        <f>SUM(#REF!)</f>
        <v>#REF!</v>
      </c>
      <c r="HQ77" s="70" t="e">
        <f>#REF!-HP77</f>
        <v>#REF!</v>
      </c>
      <c r="HR77" s="70" t="e">
        <f>SUM(#REF!)</f>
        <v>#REF!</v>
      </c>
      <c r="HS77" s="70" t="e">
        <f>#REF!-HR77</f>
        <v>#REF!</v>
      </c>
      <c r="HT77" s="70" t="e">
        <f>SUM(#REF!)</f>
        <v>#REF!</v>
      </c>
      <c r="HU77" s="70" t="e">
        <f>#REF!-HT77</f>
        <v>#REF!</v>
      </c>
      <c r="HV77" s="70" t="e">
        <f>SUM(#REF!)</f>
        <v>#REF!</v>
      </c>
      <c r="HW77" s="70" t="e">
        <f>#REF!-HV77</f>
        <v>#REF!</v>
      </c>
      <c r="HX77" s="70" t="e">
        <f>SUM(#REF!)</f>
        <v>#REF!</v>
      </c>
      <c r="HY77" s="70" t="e">
        <f>#REF!-HX77</f>
        <v>#REF!</v>
      </c>
      <c r="HZ77" s="70">
        <f>SUM(BC77:BC77)</f>
        <v>313900</v>
      </c>
      <c r="IA77" s="70" t="e">
        <f>#REF!-HZ77</f>
        <v>#REF!</v>
      </c>
      <c r="IB77" s="70">
        <f>SUM(BD77:BD77)</f>
        <v>2449283</v>
      </c>
      <c r="IC77" s="70" t="e">
        <f>#REF!-IB77</f>
        <v>#REF!</v>
      </c>
      <c r="ID77" s="70">
        <f t="shared" si="109"/>
        <v>0</v>
      </c>
      <c r="IE77" s="70">
        <f t="shared" si="110"/>
        <v>0</v>
      </c>
      <c r="IF77" s="70">
        <f t="shared" si="111"/>
        <v>231934</v>
      </c>
      <c r="IG77" s="70">
        <f t="shared" si="112"/>
        <v>0</v>
      </c>
      <c r="IH77" s="70">
        <f t="shared" si="113"/>
        <v>156070</v>
      </c>
      <c r="II77" s="70">
        <f t="shared" si="114"/>
        <v>0</v>
      </c>
      <c r="IJ77" s="70">
        <f t="shared" si="115"/>
        <v>48383928</v>
      </c>
      <c r="IK77" s="70">
        <f t="shared" si="116"/>
        <v>0</v>
      </c>
      <c r="IL77" s="70">
        <f t="shared" si="117"/>
        <v>5612434</v>
      </c>
      <c r="IM77" s="70">
        <f t="shared" si="118"/>
        <v>0</v>
      </c>
      <c r="IN77" s="70">
        <f t="shared" si="119"/>
        <v>1394172</v>
      </c>
      <c r="IO77" s="70">
        <f t="shared" si="120"/>
        <v>0</v>
      </c>
      <c r="IP77" s="70">
        <f t="shared" si="121"/>
        <v>8139337</v>
      </c>
      <c r="IQ77" s="70">
        <f t="shared" si="122"/>
        <v>0</v>
      </c>
      <c r="IR77" s="70">
        <f t="shared" si="107"/>
        <v>48450</v>
      </c>
      <c r="IS77" s="70">
        <f t="shared" si="108"/>
        <v>0</v>
      </c>
      <c r="IT77" s="70">
        <f t="shared" si="123"/>
        <v>7812048</v>
      </c>
      <c r="IU77" s="70">
        <f t="shared" si="124"/>
        <v>0</v>
      </c>
      <c r="IV77" s="70">
        <f t="shared" si="125"/>
        <v>47700</v>
      </c>
      <c r="IW77" s="70">
        <f t="shared" si="126"/>
        <v>0</v>
      </c>
      <c r="IX77" s="70">
        <f t="shared" si="127"/>
        <v>1669632</v>
      </c>
      <c r="IY77" s="70">
        <f t="shared" si="128"/>
        <v>0</v>
      </c>
      <c r="IZ77" s="70">
        <f t="shared" si="129"/>
        <v>799926</v>
      </c>
      <c r="JA77" s="70">
        <f t="shared" si="130"/>
        <v>0</v>
      </c>
      <c r="JB77" s="70">
        <f t="shared" si="131"/>
        <v>4727840</v>
      </c>
      <c r="JC77" s="70">
        <f t="shared" si="132"/>
        <v>0</v>
      </c>
      <c r="JD77" s="70">
        <f t="shared" si="133"/>
        <v>1737165</v>
      </c>
      <c r="JE77" s="70">
        <f t="shared" si="134"/>
        <v>0</v>
      </c>
      <c r="JF77" s="70">
        <f t="shared" si="135"/>
        <v>1921153</v>
      </c>
      <c r="JG77" s="70">
        <f t="shared" si="136"/>
        <v>0</v>
      </c>
      <c r="JH77" s="70">
        <f t="shared" si="137"/>
        <v>1381532</v>
      </c>
      <c r="JI77" s="70">
        <f t="shared" si="138"/>
        <v>0</v>
      </c>
      <c r="JJ77" s="70">
        <f t="shared" si="139"/>
        <v>0</v>
      </c>
      <c r="JK77" s="70">
        <f t="shared" si="140"/>
        <v>0</v>
      </c>
      <c r="JL77" s="70">
        <f t="shared" si="141"/>
        <v>5732459</v>
      </c>
      <c r="JM77" s="70">
        <f t="shared" si="142"/>
        <v>0</v>
      </c>
      <c r="JN77" s="70">
        <f t="shared" si="143"/>
        <v>449593</v>
      </c>
      <c r="JO77" s="70">
        <f t="shared" si="144"/>
        <v>0</v>
      </c>
      <c r="JP77" s="70">
        <f t="shared" si="145"/>
        <v>0</v>
      </c>
      <c r="JQ77" s="70">
        <f t="shared" si="146"/>
        <v>0</v>
      </c>
      <c r="JR77" s="70">
        <f t="shared" si="147"/>
        <v>1363435</v>
      </c>
      <c r="JS77" s="70">
        <f t="shared" si="148"/>
        <v>0</v>
      </c>
      <c r="JT77" s="70">
        <f t="shared" si="149"/>
        <v>48162</v>
      </c>
      <c r="JU77" s="70">
        <f t="shared" si="150"/>
        <v>0</v>
      </c>
      <c r="JV77" s="70">
        <f t="shared" si="151"/>
        <v>3944609</v>
      </c>
      <c r="JW77" s="70">
        <f t="shared" si="152"/>
        <v>0</v>
      </c>
      <c r="JX77" s="70">
        <f t="shared" si="153"/>
        <v>46829647</v>
      </c>
      <c r="JY77" s="70">
        <f t="shared" si="154"/>
        <v>0</v>
      </c>
      <c r="JZ77" s="70">
        <f t="shared" si="155"/>
        <v>0</v>
      </c>
      <c r="KA77" s="70">
        <f t="shared" si="156"/>
        <v>0</v>
      </c>
      <c r="KB77" s="70">
        <f t="shared" si="157"/>
        <v>46829647</v>
      </c>
      <c r="KC77" s="70">
        <f t="shared" si="158"/>
        <v>0</v>
      </c>
      <c r="KE77" s="70" t="e">
        <f t="shared" si="159"/>
        <v>#REF!</v>
      </c>
      <c r="KG77" s="68" t="e">
        <f t="shared" si="160"/>
        <v>#REF!</v>
      </c>
    </row>
    <row r="78" spans="1:304">
      <c r="A78" s="180" t="s">
        <v>298</v>
      </c>
      <c r="B78" s="76" t="s">
        <v>365</v>
      </c>
      <c r="C78" s="90">
        <v>176372</v>
      </c>
      <c r="D78" s="90">
        <v>2014</v>
      </c>
      <c r="E78" s="90">
        <v>1</v>
      </c>
      <c r="F78" s="91">
        <v>8</v>
      </c>
      <c r="G78" s="92">
        <v>3875</v>
      </c>
      <c r="H78" s="92">
        <v>6954</v>
      </c>
      <c r="I78" s="93">
        <v>319940842</v>
      </c>
      <c r="J78" s="93">
        <v>305717107</v>
      </c>
      <c r="K78" s="93">
        <v>2076357</v>
      </c>
      <c r="L78" s="93">
        <v>2099774</v>
      </c>
      <c r="M78" s="93">
        <v>11587880</v>
      </c>
      <c r="N78" s="93">
        <v>11127144</v>
      </c>
      <c r="O78" s="93">
        <v>26920944</v>
      </c>
      <c r="P78" s="93">
        <v>27763130</v>
      </c>
      <c r="Q78" s="93">
        <v>185513300</v>
      </c>
      <c r="R78" s="93">
        <v>188982442</v>
      </c>
      <c r="S78" s="93">
        <v>203016429</v>
      </c>
      <c r="T78" s="93">
        <v>195167841</v>
      </c>
      <c r="U78" s="93">
        <v>14879</v>
      </c>
      <c r="V78" s="93">
        <v>14570</v>
      </c>
      <c r="W78" s="93">
        <v>23159</v>
      </c>
      <c r="X78" s="93">
        <v>22850</v>
      </c>
      <c r="Y78" s="93">
        <v>19894</v>
      </c>
      <c r="Z78" s="93">
        <v>19016</v>
      </c>
      <c r="AA78" s="93">
        <v>28174</v>
      </c>
      <c r="AB78" s="93">
        <v>27296</v>
      </c>
      <c r="AC78" s="114">
        <v>8</v>
      </c>
      <c r="AD78" s="114">
        <v>9</v>
      </c>
      <c r="AE78" s="114">
        <v>0</v>
      </c>
      <c r="AF78" s="115">
        <v>2964014</v>
      </c>
      <c r="AG78" s="115">
        <v>1904176</v>
      </c>
      <c r="AH78" s="115">
        <v>394806</v>
      </c>
      <c r="AI78" s="115">
        <v>143626</v>
      </c>
      <c r="AJ78" s="115">
        <v>321356</v>
      </c>
      <c r="AK78" s="116">
        <v>5.5</v>
      </c>
      <c r="AL78" s="115">
        <v>294576</v>
      </c>
      <c r="AM78" s="116">
        <v>6</v>
      </c>
      <c r="AN78" s="115">
        <v>87892</v>
      </c>
      <c r="AO78" s="116">
        <v>6.5</v>
      </c>
      <c r="AP78" s="115">
        <v>81614</v>
      </c>
      <c r="AQ78" s="116">
        <v>7</v>
      </c>
      <c r="AR78" s="115">
        <v>117902</v>
      </c>
      <c r="AS78" s="116">
        <v>16.5</v>
      </c>
      <c r="AT78" s="115">
        <v>108077</v>
      </c>
      <c r="AU78" s="116">
        <v>18</v>
      </c>
      <c r="AV78" s="115">
        <v>55030</v>
      </c>
      <c r="AW78" s="116">
        <v>8.5</v>
      </c>
      <c r="AX78" s="115">
        <v>46775</v>
      </c>
      <c r="AY78" s="116">
        <v>10</v>
      </c>
      <c r="AZ78" s="139">
        <v>1498393</v>
      </c>
      <c r="BA78" s="139">
        <v>3277405</v>
      </c>
      <c r="BB78" s="139">
        <v>3373697</v>
      </c>
      <c r="BC78" s="139">
        <v>129044</v>
      </c>
      <c r="BD78" s="139">
        <v>0</v>
      </c>
      <c r="BE78" s="139">
        <v>16757</v>
      </c>
      <c r="BF78" s="139">
        <v>4225</v>
      </c>
      <c r="BG78" s="139">
        <v>21187</v>
      </c>
      <c r="BH78" s="139">
        <v>138329</v>
      </c>
      <c r="BI78" s="139">
        <v>20810</v>
      </c>
      <c r="BJ78" s="139">
        <v>201308</v>
      </c>
      <c r="BK78" s="139">
        <v>0</v>
      </c>
      <c r="BL78" s="139">
        <v>0</v>
      </c>
      <c r="BM78" s="139">
        <v>0</v>
      </c>
      <c r="BN78" s="139">
        <v>0</v>
      </c>
      <c r="BO78" s="139">
        <v>95983</v>
      </c>
      <c r="BP78" s="139">
        <v>95983</v>
      </c>
      <c r="BQ78" s="139">
        <v>0</v>
      </c>
      <c r="BR78" s="139">
        <v>0</v>
      </c>
      <c r="BS78" s="139">
        <v>0</v>
      </c>
      <c r="BT78" s="139">
        <v>0</v>
      </c>
      <c r="BU78" s="139">
        <v>244040</v>
      </c>
      <c r="BV78" s="139">
        <v>244040</v>
      </c>
      <c r="BW78" s="139">
        <v>5841995</v>
      </c>
      <c r="BX78" s="139">
        <v>1154733</v>
      </c>
      <c r="BY78" s="139">
        <v>60897</v>
      </c>
      <c r="BZ78" s="139">
        <v>606434</v>
      </c>
      <c r="CA78" s="139">
        <v>15872195</v>
      </c>
      <c r="CB78" s="139">
        <v>23536254</v>
      </c>
      <c r="CC78" s="139">
        <v>1970031</v>
      </c>
      <c r="CD78" s="139">
        <v>347103</v>
      </c>
      <c r="CE78" s="139">
        <v>348051</v>
      </c>
      <c r="CF78" s="139">
        <v>2203005</v>
      </c>
      <c r="CG78" s="139">
        <v>339136</v>
      </c>
      <c r="CH78" s="139">
        <v>5207326</v>
      </c>
      <c r="CI78" s="139">
        <v>200000</v>
      </c>
      <c r="CJ78" s="139">
        <v>36000</v>
      </c>
      <c r="CK78" s="139">
        <v>30218</v>
      </c>
      <c r="CL78" s="139">
        <v>10847</v>
      </c>
      <c r="CM78" s="139">
        <v>0</v>
      </c>
      <c r="CN78" s="139">
        <v>277065</v>
      </c>
      <c r="CO78" s="139">
        <v>2078895</v>
      </c>
      <c r="CP78" s="139">
        <v>947379</v>
      </c>
      <c r="CQ78" s="139">
        <v>408214</v>
      </c>
      <c r="CR78" s="139">
        <v>1317411</v>
      </c>
      <c r="CS78" s="139">
        <v>0</v>
      </c>
      <c r="CT78" s="139">
        <v>4751899</v>
      </c>
      <c r="CU78" s="139">
        <v>0</v>
      </c>
      <c r="CV78" s="139">
        <v>0</v>
      </c>
      <c r="CW78" s="139">
        <v>0</v>
      </c>
      <c r="CX78" s="139">
        <v>0</v>
      </c>
      <c r="CY78" s="139">
        <v>0</v>
      </c>
      <c r="CZ78" s="139">
        <v>0</v>
      </c>
      <c r="DA78" s="139">
        <v>241527</v>
      </c>
      <c r="DB78" s="139">
        <v>124245</v>
      </c>
      <c r="DC78" s="139">
        <v>72257</v>
      </c>
      <c r="DD78" s="139">
        <v>33485</v>
      </c>
      <c r="DE78" s="139">
        <v>2709603</v>
      </c>
      <c r="DF78" s="139">
        <v>3181117</v>
      </c>
      <c r="DG78" s="139">
        <v>0</v>
      </c>
      <c r="DH78" s="139">
        <v>0</v>
      </c>
      <c r="DI78" s="139">
        <v>0</v>
      </c>
      <c r="DJ78" s="139">
        <v>0</v>
      </c>
      <c r="DK78" s="139">
        <v>0</v>
      </c>
      <c r="DL78" s="139">
        <v>0</v>
      </c>
      <c r="DM78" s="139">
        <v>893288</v>
      </c>
      <c r="DN78" s="139">
        <v>0</v>
      </c>
      <c r="DO78" s="139">
        <v>0</v>
      </c>
      <c r="DP78" s="139">
        <v>0</v>
      </c>
      <c r="DQ78" s="139">
        <v>0</v>
      </c>
      <c r="DR78" s="139">
        <v>893288</v>
      </c>
      <c r="DS78" s="139">
        <v>249145</v>
      </c>
      <c r="DT78" s="139">
        <v>94993</v>
      </c>
      <c r="DU78" s="139">
        <v>67596</v>
      </c>
      <c r="DV78" s="139">
        <v>126698</v>
      </c>
      <c r="DW78" s="139">
        <v>0</v>
      </c>
      <c r="DX78" s="139">
        <v>538432</v>
      </c>
      <c r="DY78" s="139">
        <v>972453</v>
      </c>
      <c r="DZ78" s="139">
        <v>484076</v>
      </c>
      <c r="EA78" s="139">
        <v>209509</v>
      </c>
      <c r="EB78" s="139">
        <v>770095</v>
      </c>
      <c r="EC78" s="139">
        <v>0</v>
      </c>
      <c r="ED78" s="139">
        <v>2436133</v>
      </c>
      <c r="EE78" s="139">
        <v>235162</v>
      </c>
      <c r="EF78" s="139">
        <v>22316</v>
      </c>
      <c r="EG78" s="139">
        <v>21137</v>
      </c>
      <c r="EH78" s="139">
        <v>162923</v>
      </c>
      <c r="EI78" s="139">
        <v>0</v>
      </c>
      <c r="EJ78" s="139">
        <v>441538</v>
      </c>
      <c r="EK78" s="139">
        <v>297230</v>
      </c>
      <c r="EL78" s="139">
        <v>145522</v>
      </c>
      <c r="EM78" s="139">
        <v>124792</v>
      </c>
      <c r="EN78" s="139">
        <v>136930</v>
      </c>
      <c r="EO78" s="139">
        <v>0</v>
      </c>
      <c r="EP78" s="139">
        <v>704474</v>
      </c>
      <c r="EQ78" s="139">
        <v>0</v>
      </c>
      <c r="ER78" s="139">
        <v>0</v>
      </c>
      <c r="ES78" s="139">
        <v>0</v>
      </c>
      <c r="ET78" s="139">
        <v>0</v>
      </c>
      <c r="EU78" s="139">
        <v>264560</v>
      </c>
      <c r="EV78" s="139">
        <v>264560</v>
      </c>
      <c r="EW78" s="139">
        <v>20962</v>
      </c>
      <c r="EX78" s="139">
        <v>0</v>
      </c>
      <c r="EY78" s="139">
        <v>11254</v>
      </c>
      <c r="EZ78" s="139">
        <v>37590</v>
      </c>
      <c r="FA78" s="139">
        <v>15866</v>
      </c>
      <c r="FB78" s="139">
        <v>85672</v>
      </c>
      <c r="FC78" s="139">
        <v>5854</v>
      </c>
      <c r="FD78" s="139">
        <v>757</v>
      </c>
      <c r="FE78" s="139">
        <v>39</v>
      </c>
      <c r="FF78" s="139">
        <v>1850</v>
      </c>
      <c r="FG78" s="139">
        <v>2261068</v>
      </c>
      <c r="FH78" s="139">
        <v>2269568</v>
      </c>
      <c r="FI78" s="139">
        <v>0</v>
      </c>
      <c r="FJ78" s="139">
        <v>0</v>
      </c>
      <c r="FK78" s="139">
        <v>0</v>
      </c>
      <c r="FL78" s="139">
        <v>0</v>
      </c>
      <c r="FM78" s="139">
        <v>0</v>
      </c>
      <c r="FN78" s="139">
        <v>0</v>
      </c>
      <c r="FO78" s="139">
        <v>0</v>
      </c>
      <c r="FP78" s="139">
        <v>0</v>
      </c>
      <c r="FQ78" s="139">
        <v>0</v>
      </c>
      <c r="FR78" s="139">
        <v>0</v>
      </c>
      <c r="FS78" s="139">
        <v>474309</v>
      </c>
      <c r="FT78" s="139">
        <v>474309</v>
      </c>
      <c r="FU78" s="139">
        <v>0</v>
      </c>
      <c r="FV78" s="139">
        <v>0</v>
      </c>
      <c r="FW78" s="139">
        <v>0</v>
      </c>
      <c r="FX78" s="139">
        <v>0</v>
      </c>
      <c r="FY78" s="139">
        <v>276193</v>
      </c>
      <c r="FZ78" s="139">
        <v>276193</v>
      </c>
      <c r="GA78" s="139">
        <v>840</v>
      </c>
      <c r="GB78" s="139">
        <v>625</v>
      </c>
      <c r="GC78" s="139">
        <v>730</v>
      </c>
      <c r="GD78" s="139">
        <v>5276</v>
      </c>
      <c r="GE78" s="139">
        <v>281712</v>
      </c>
      <c r="GF78" s="139">
        <v>289183</v>
      </c>
      <c r="GG78" s="139">
        <v>292094</v>
      </c>
      <c r="GH78" s="139">
        <v>54351</v>
      </c>
      <c r="GI78" s="139">
        <v>41287</v>
      </c>
      <c r="GJ78" s="139">
        <v>95437</v>
      </c>
      <c r="GK78" s="139">
        <v>962328</v>
      </c>
      <c r="GL78" s="139">
        <v>1445497</v>
      </c>
      <c r="GM78" s="139">
        <v>7457481</v>
      </c>
      <c r="GN78" s="139">
        <v>2257367</v>
      </c>
      <c r="GO78" s="139">
        <v>1335084</v>
      </c>
      <c r="GP78" s="139">
        <v>4901547</v>
      </c>
      <c r="GQ78" s="139">
        <v>7584775</v>
      </c>
      <c r="GR78" s="139">
        <v>23536254</v>
      </c>
      <c r="GS78" s="139">
        <v>0</v>
      </c>
      <c r="GT78" s="139">
        <v>0</v>
      </c>
      <c r="GU78" s="139">
        <v>0</v>
      </c>
      <c r="GV78" s="139">
        <v>0</v>
      </c>
      <c r="GW78" s="139">
        <v>0</v>
      </c>
      <c r="GX78" s="139">
        <v>0</v>
      </c>
      <c r="GY78" s="139">
        <v>7457481</v>
      </c>
      <c r="GZ78" s="139">
        <v>2257367</v>
      </c>
      <c r="HA78" s="139">
        <v>1335084</v>
      </c>
      <c r="HB78" s="139">
        <v>4901547</v>
      </c>
      <c r="HC78" s="139">
        <v>7584775</v>
      </c>
      <c r="HD78" s="139">
        <v>23536254</v>
      </c>
      <c r="HF78" s="70">
        <f>SUM(AZ78:AZ78)</f>
        <v>1498393</v>
      </c>
      <c r="HG78" s="70" t="e">
        <f>#REF!-HF78</f>
        <v>#REF!</v>
      </c>
      <c r="HH78" s="70" t="e">
        <f>SUM(#REF!)</f>
        <v>#REF!</v>
      </c>
      <c r="HI78" s="70" t="e">
        <f>#REF!-HH78</f>
        <v>#REF!</v>
      </c>
      <c r="HJ78" s="70">
        <f>SUM(BA78:BA78)</f>
        <v>3277405</v>
      </c>
      <c r="HK78" s="70" t="e">
        <f>#REF!-HJ78</f>
        <v>#REF!</v>
      </c>
      <c r="HL78" s="70" t="e">
        <f>SUM(#REF!)</f>
        <v>#REF!</v>
      </c>
      <c r="HM78" s="70" t="e">
        <f>BB78-HL78</f>
        <v>#REF!</v>
      </c>
      <c r="HN78" s="70" t="e">
        <f>SUM(#REF!)</f>
        <v>#REF!</v>
      </c>
      <c r="HO78" s="70" t="e">
        <f>#REF!-HN78</f>
        <v>#REF!</v>
      </c>
      <c r="HP78" s="70" t="e">
        <f>SUM(#REF!)</f>
        <v>#REF!</v>
      </c>
      <c r="HQ78" s="70" t="e">
        <f>#REF!-HP78</f>
        <v>#REF!</v>
      </c>
      <c r="HR78" s="70" t="e">
        <f>SUM(#REF!)</f>
        <v>#REF!</v>
      </c>
      <c r="HS78" s="70" t="e">
        <f>#REF!-HR78</f>
        <v>#REF!</v>
      </c>
      <c r="HT78" s="70" t="e">
        <f>SUM(#REF!)</f>
        <v>#REF!</v>
      </c>
      <c r="HU78" s="70" t="e">
        <f>#REF!-HT78</f>
        <v>#REF!</v>
      </c>
      <c r="HV78" s="70" t="e">
        <f>SUM(#REF!)</f>
        <v>#REF!</v>
      </c>
      <c r="HW78" s="70" t="e">
        <f>#REF!-HV78</f>
        <v>#REF!</v>
      </c>
      <c r="HX78" s="70" t="e">
        <f>SUM(#REF!)</f>
        <v>#REF!</v>
      </c>
      <c r="HY78" s="70" t="e">
        <f>#REF!-HX78</f>
        <v>#REF!</v>
      </c>
      <c r="HZ78" s="70">
        <f>SUM(BC78:BC78)</f>
        <v>129044</v>
      </c>
      <c r="IA78" s="70" t="e">
        <f>#REF!-HZ78</f>
        <v>#REF!</v>
      </c>
      <c r="IB78" s="70">
        <f>SUM(BD78:BD78)</f>
        <v>0</v>
      </c>
      <c r="IC78" s="70" t="e">
        <f>#REF!-IB78</f>
        <v>#REF!</v>
      </c>
      <c r="ID78" s="70">
        <f t="shared" si="109"/>
        <v>201308</v>
      </c>
      <c r="IE78" s="70">
        <f t="shared" si="110"/>
        <v>0</v>
      </c>
      <c r="IF78" s="70">
        <f t="shared" si="111"/>
        <v>95983</v>
      </c>
      <c r="IG78" s="70">
        <f t="shared" si="112"/>
        <v>0</v>
      </c>
      <c r="IH78" s="70">
        <f t="shared" si="113"/>
        <v>244040</v>
      </c>
      <c r="II78" s="70">
        <f t="shared" si="114"/>
        <v>0</v>
      </c>
      <c r="IJ78" s="70">
        <f t="shared" si="115"/>
        <v>23536254</v>
      </c>
      <c r="IK78" s="70">
        <f t="shared" si="116"/>
        <v>0</v>
      </c>
      <c r="IL78" s="70">
        <f t="shared" si="117"/>
        <v>5207326</v>
      </c>
      <c r="IM78" s="70">
        <f t="shared" si="118"/>
        <v>0</v>
      </c>
      <c r="IN78" s="70">
        <f t="shared" si="119"/>
        <v>277065</v>
      </c>
      <c r="IO78" s="70">
        <f t="shared" si="120"/>
        <v>0</v>
      </c>
      <c r="IP78" s="70">
        <f t="shared" si="121"/>
        <v>4751899</v>
      </c>
      <c r="IQ78" s="70">
        <f t="shared" si="122"/>
        <v>0</v>
      </c>
      <c r="IR78" s="70">
        <f t="shared" si="107"/>
        <v>0</v>
      </c>
      <c r="IS78" s="70">
        <f t="shared" si="108"/>
        <v>0</v>
      </c>
      <c r="IT78" s="70">
        <f t="shared" si="123"/>
        <v>3181117</v>
      </c>
      <c r="IU78" s="70">
        <f t="shared" si="124"/>
        <v>0</v>
      </c>
      <c r="IV78" s="70">
        <f t="shared" si="125"/>
        <v>0</v>
      </c>
      <c r="IW78" s="70">
        <f t="shared" si="126"/>
        <v>0</v>
      </c>
      <c r="IX78" s="70">
        <f t="shared" si="127"/>
        <v>893288</v>
      </c>
      <c r="IY78" s="70">
        <f t="shared" si="128"/>
        <v>0</v>
      </c>
      <c r="IZ78" s="70">
        <f t="shared" si="129"/>
        <v>538432</v>
      </c>
      <c r="JA78" s="70">
        <f t="shared" si="130"/>
        <v>0</v>
      </c>
      <c r="JB78" s="70">
        <f t="shared" si="131"/>
        <v>2436133</v>
      </c>
      <c r="JC78" s="70">
        <f t="shared" si="132"/>
        <v>0</v>
      </c>
      <c r="JD78" s="70">
        <f t="shared" si="133"/>
        <v>441538</v>
      </c>
      <c r="JE78" s="70">
        <f t="shared" si="134"/>
        <v>0</v>
      </c>
      <c r="JF78" s="70">
        <f t="shared" si="135"/>
        <v>704474</v>
      </c>
      <c r="JG78" s="70">
        <f t="shared" si="136"/>
        <v>0</v>
      </c>
      <c r="JH78" s="70">
        <f t="shared" si="137"/>
        <v>264560</v>
      </c>
      <c r="JI78" s="70">
        <f t="shared" si="138"/>
        <v>0</v>
      </c>
      <c r="JJ78" s="70">
        <f t="shared" si="139"/>
        <v>85672</v>
      </c>
      <c r="JK78" s="70">
        <f t="shared" si="140"/>
        <v>0</v>
      </c>
      <c r="JL78" s="70">
        <f t="shared" si="141"/>
        <v>2269568</v>
      </c>
      <c r="JM78" s="70">
        <f t="shared" si="142"/>
        <v>0</v>
      </c>
      <c r="JN78" s="70">
        <f t="shared" si="143"/>
        <v>0</v>
      </c>
      <c r="JO78" s="70">
        <f t="shared" si="144"/>
        <v>0</v>
      </c>
      <c r="JP78" s="70">
        <f t="shared" si="145"/>
        <v>474309</v>
      </c>
      <c r="JQ78" s="70">
        <f t="shared" si="146"/>
        <v>0</v>
      </c>
      <c r="JR78" s="70">
        <f t="shared" si="147"/>
        <v>276193</v>
      </c>
      <c r="JS78" s="70">
        <f t="shared" si="148"/>
        <v>0</v>
      </c>
      <c r="JT78" s="70">
        <f t="shared" si="149"/>
        <v>289183</v>
      </c>
      <c r="JU78" s="70">
        <f t="shared" si="150"/>
        <v>0</v>
      </c>
      <c r="JV78" s="70">
        <f t="shared" si="151"/>
        <v>1445497</v>
      </c>
      <c r="JW78" s="70">
        <f t="shared" si="152"/>
        <v>0</v>
      </c>
      <c r="JX78" s="70">
        <f t="shared" si="153"/>
        <v>23536254</v>
      </c>
      <c r="JY78" s="70">
        <f t="shared" si="154"/>
        <v>0</v>
      </c>
      <c r="JZ78" s="70">
        <f t="shared" si="155"/>
        <v>0</v>
      </c>
      <c r="KA78" s="70">
        <f t="shared" si="156"/>
        <v>0</v>
      </c>
      <c r="KB78" s="70">
        <f t="shared" si="157"/>
        <v>23536254</v>
      </c>
      <c r="KC78" s="70">
        <f t="shared" si="158"/>
        <v>0</v>
      </c>
      <c r="KE78" s="70" t="e">
        <f t="shared" si="159"/>
        <v>#REF!</v>
      </c>
      <c r="KG78" s="68" t="e">
        <f t="shared" si="160"/>
        <v>#REF!</v>
      </c>
    </row>
    <row r="79" spans="1:304">
      <c r="A79" s="78" t="s">
        <v>300</v>
      </c>
      <c r="B79" s="76" t="s">
        <v>365</v>
      </c>
      <c r="C79" s="90">
        <v>228778</v>
      </c>
      <c r="D79" s="90">
        <v>2014</v>
      </c>
      <c r="E79" s="90">
        <v>1</v>
      </c>
      <c r="F79" s="91">
        <v>2</v>
      </c>
      <c r="G79" s="92"/>
      <c r="H79" s="92"/>
      <c r="I79" s="93"/>
      <c r="J79" s="93"/>
      <c r="K79" s="93">
        <f>Texas!B49</f>
        <v>18746795</v>
      </c>
      <c r="L79" s="93"/>
      <c r="M79" s="93"/>
      <c r="N79" s="93"/>
      <c r="O79" s="93">
        <f>Texas!B48</f>
        <v>233002000</v>
      </c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114">
        <v>7</v>
      </c>
      <c r="AD79" s="114">
        <v>9</v>
      </c>
      <c r="AE79" s="114">
        <v>0</v>
      </c>
      <c r="AF79" s="115">
        <f>SUM(Texas!B24,Texas!C24,Texas!F24,Texas!H24,Texas!J24,Texas!L24,Texas!P24)</f>
        <v>6318684</v>
      </c>
      <c r="AG79" s="115">
        <f>SUM(Texas!D24,Texas!E24,Texas!G24,Texas!I24,Texas!K24,Texas!M24,Texas!N24,Texas!O24,Texas!Q24)</f>
        <v>4386176</v>
      </c>
      <c r="AH79" s="115">
        <f>SUM(Texas!B31,Texas!C31,Texas!F31,Texas!H31,Texas!J31,Texas!L31,Texas!P31)</f>
        <v>978242</v>
      </c>
      <c r="AI79" s="115">
        <f>SUM(Texas!D31,Texas!E31,Texas!G31,Texas!I31,Texas!K31,Texas!M31,Texas!N31,Texas!O31,Texas!Q31)</f>
        <v>485750</v>
      </c>
      <c r="AJ79" s="115"/>
      <c r="AK79" s="116"/>
      <c r="AL79" s="115"/>
      <c r="AM79" s="116"/>
      <c r="AN79" s="115"/>
      <c r="AO79" s="116"/>
      <c r="AP79" s="115"/>
      <c r="AQ79" s="116"/>
      <c r="AR79" s="115"/>
      <c r="AS79" s="116"/>
      <c r="AT79" s="115"/>
      <c r="AU79" s="116"/>
      <c r="AV79" s="115"/>
      <c r="AW79" s="116"/>
      <c r="AX79" s="115"/>
      <c r="AY79" s="116"/>
      <c r="AZ79" s="139">
        <f>Texas!B7</f>
        <v>34089405</v>
      </c>
      <c r="BA79" s="139">
        <f>Texas!B9</f>
        <v>450000</v>
      </c>
      <c r="BB79" s="139">
        <f>Texas!T10</f>
        <v>37633030</v>
      </c>
      <c r="BC79" s="139">
        <f>Texas!B17</f>
        <v>2573665</v>
      </c>
      <c r="BD79" s="139">
        <v>25550017</v>
      </c>
      <c r="BE79" s="139">
        <f>Texas!B19</f>
        <v>290530</v>
      </c>
      <c r="BF79" s="139">
        <f>Texas!C19</f>
        <v>298808</v>
      </c>
      <c r="BG79" s="139">
        <f>Texas!D19</f>
        <v>172595</v>
      </c>
      <c r="BH79" s="139">
        <f>Texas!R19</f>
        <v>3161512</v>
      </c>
      <c r="BI79" s="139">
        <f>Texas!S19</f>
        <v>603332</v>
      </c>
      <c r="BJ79" s="139">
        <f>Texas!T19</f>
        <v>4526777</v>
      </c>
      <c r="BK79" s="139">
        <f>Texas!B20</f>
        <v>633745</v>
      </c>
      <c r="BL79" s="139">
        <f>Texas!C20</f>
        <v>141751</v>
      </c>
      <c r="BM79" s="139">
        <f>Texas!D20</f>
        <v>52686</v>
      </c>
      <c r="BN79" s="139">
        <f>Texas!R20</f>
        <v>443083</v>
      </c>
      <c r="BO79" s="139">
        <f>Texas!S20</f>
        <v>33100</v>
      </c>
      <c r="BP79" s="139">
        <f>Texas!T20</f>
        <v>1304365</v>
      </c>
      <c r="BQ79" s="139">
        <f>Texas!B21</f>
        <v>875244</v>
      </c>
      <c r="BR79" s="139">
        <f>Texas!C21</f>
        <v>0</v>
      </c>
      <c r="BS79" s="139">
        <f>Texas!D21</f>
        <v>0</v>
      </c>
      <c r="BT79" s="139">
        <f>Texas!R21</f>
        <v>126579</v>
      </c>
      <c r="BU79" s="139">
        <f>Texas!S21</f>
        <v>1735853</v>
      </c>
      <c r="BV79" s="139">
        <f>Texas!T21</f>
        <v>2737676</v>
      </c>
      <c r="BW79" s="139">
        <f>Texas!B22</f>
        <v>112508162</v>
      </c>
      <c r="BX79" s="139">
        <f>Texas!C22</f>
        <v>14962686</v>
      </c>
      <c r="BY79" s="139">
        <f>Texas!D22</f>
        <v>1655541</v>
      </c>
      <c r="BZ79" s="139">
        <f>Texas!R22</f>
        <v>11616838</v>
      </c>
      <c r="CA79" s="139">
        <f>Texas!S22</f>
        <v>20291955</v>
      </c>
      <c r="CB79" s="139">
        <f>Texas!T22</f>
        <v>161035182</v>
      </c>
      <c r="CC79" s="139">
        <f>Texas!B24</f>
        <v>4074402</v>
      </c>
      <c r="CD79" s="139">
        <f>Texas!C24</f>
        <v>662936</v>
      </c>
      <c r="CE79" s="139">
        <f>Texas!D24</f>
        <v>732572</v>
      </c>
      <c r="CF79" s="139">
        <f>Texas!R24</f>
        <v>5234950</v>
      </c>
      <c r="CG79" s="139">
        <f>Texas!S24</f>
        <v>137416</v>
      </c>
      <c r="CH79" s="139">
        <f>Texas!T24</f>
        <v>10842276</v>
      </c>
      <c r="CI79" s="139">
        <f>Texas!B25</f>
        <v>1350000</v>
      </c>
      <c r="CJ79" s="139">
        <f>Texas!C25</f>
        <v>502500</v>
      </c>
      <c r="CK79" s="139">
        <f>Texas!D25</f>
        <v>97183</v>
      </c>
      <c r="CL79" s="139">
        <f>Texas!R25</f>
        <v>106786</v>
      </c>
      <c r="CM79" s="139">
        <f>Texas!S25</f>
        <v>0</v>
      </c>
      <c r="CN79" s="139">
        <f>Texas!T25</f>
        <v>2056469</v>
      </c>
      <c r="CO79" s="139">
        <f>Texas!B26</f>
        <v>12518126</v>
      </c>
      <c r="CP79" s="139">
        <f>Texas!C26</f>
        <v>4167913</v>
      </c>
      <c r="CQ79" s="139">
        <f>Texas!D26</f>
        <v>1254535</v>
      </c>
      <c r="CR79" s="139">
        <f>Texas!R26</f>
        <v>7434520</v>
      </c>
      <c r="CS79" s="139">
        <f>Texas!S26</f>
        <v>0</v>
      </c>
      <c r="CT79" s="139">
        <f>Texas!T26</f>
        <v>25375094</v>
      </c>
      <c r="CU79" s="139">
        <v>0</v>
      </c>
      <c r="CV79" s="139">
        <v>0</v>
      </c>
      <c r="CW79" s="139">
        <v>0</v>
      </c>
      <c r="CX79" s="139">
        <v>0</v>
      </c>
      <c r="CY79" s="139">
        <v>0</v>
      </c>
      <c r="CZ79" s="139">
        <v>0</v>
      </c>
      <c r="DA79" s="139">
        <f>Texas!B28</f>
        <v>3580767</v>
      </c>
      <c r="DB79" s="139">
        <f>Texas!C28</f>
        <v>745652</v>
      </c>
      <c r="DC79" s="139">
        <f>Texas!D28</f>
        <v>518905</v>
      </c>
      <c r="DD79" s="139">
        <f>Texas!R28</f>
        <v>1454339</v>
      </c>
      <c r="DE79" s="139">
        <f>Texas!S28</f>
        <v>29415034</v>
      </c>
      <c r="DF79" s="139">
        <f>Texas!T28</f>
        <v>35714697</v>
      </c>
      <c r="DG79" s="139">
        <v>0</v>
      </c>
      <c r="DH79" s="139">
        <v>0</v>
      </c>
      <c r="DI79" s="139">
        <v>0</v>
      </c>
      <c r="DJ79" s="139">
        <v>0</v>
      </c>
      <c r="DK79" s="139">
        <v>0</v>
      </c>
      <c r="DL79" s="139">
        <v>0</v>
      </c>
      <c r="DM79" s="139">
        <f>Texas!B30</f>
        <v>687500</v>
      </c>
      <c r="DN79" s="139">
        <f>Texas!C30</f>
        <v>0</v>
      </c>
      <c r="DO79" s="139">
        <f>Texas!D30</f>
        <v>0</v>
      </c>
      <c r="DP79" s="139">
        <f>Texas!R30</f>
        <v>96900</v>
      </c>
      <c r="DQ79" s="139">
        <f>Texas!S30</f>
        <v>0</v>
      </c>
      <c r="DR79" s="139">
        <f>Texas!T30</f>
        <v>784400</v>
      </c>
      <c r="DS79" s="139">
        <f>Texas!B31</f>
        <v>594124</v>
      </c>
      <c r="DT79" s="139">
        <f>Texas!C31</f>
        <v>142031</v>
      </c>
      <c r="DU79" s="139">
        <f>Texas!D31</f>
        <v>120868</v>
      </c>
      <c r="DV79" s="139">
        <f>Texas!R31</f>
        <v>606969</v>
      </c>
      <c r="DW79" s="139">
        <f>Texas!S31</f>
        <v>0</v>
      </c>
      <c r="DX79" s="139">
        <f>Texas!T31</f>
        <v>1463992</v>
      </c>
      <c r="DY79" s="139">
        <f>Texas!B32</f>
        <v>2059521</v>
      </c>
      <c r="DZ79" s="139">
        <f>Texas!C32</f>
        <v>1394624</v>
      </c>
      <c r="EA79" s="139">
        <f>Texas!D32</f>
        <v>1029002</v>
      </c>
      <c r="EB79" s="139">
        <f>Texas!R32</f>
        <v>3714559</v>
      </c>
      <c r="EC79" s="139">
        <f>Texas!S32</f>
        <v>0</v>
      </c>
      <c r="ED79" s="139">
        <f>Texas!T32</f>
        <v>8197706</v>
      </c>
      <c r="EE79" s="139">
        <f>Texas!B33</f>
        <v>415821</v>
      </c>
      <c r="EF79" s="139">
        <f>Texas!C33</f>
        <v>36086</v>
      </c>
      <c r="EG79" s="139">
        <f>Texas!D33</f>
        <v>29429</v>
      </c>
      <c r="EH79" s="139">
        <f>Texas!R33</f>
        <v>476878</v>
      </c>
      <c r="EI79" s="139">
        <f>Texas!S33</f>
        <v>509810</v>
      </c>
      <c r="EJ79" s="139">
        <f>Texas!T33</f>
        <v>1468024</v>
      </c>
      <c r="EK79" s="139">
        <f>Texas!B34</f>
        <v>3118899</v>
      </c>
      <c r="EL79" s="139">
        <f>Texas!C34</f>
        <v>806638</v>
      </c>
      <c r="EM79" s="139">
        <f>Texas!D34</f>
        <v>631017</v>
      </c>
      <c r="EN79" s="139">
        <f>Texas!R34</f>
        <v>2436751</v>
      </c>
      <c r="EO79" s="139">
        <f>Texas!S34</f>
        <v>11771312</v>
      </c>
      <c r="EP79" s="139">
        <f>Texas!T34</f>
        <v>18764617</v>
      </c>
      <c r="EQ79" s="139">
        <f>Texas!B35</f>
        <v>0</v>
      </c>
      <c r="ER79" s="139">
        <f>Texas!C35</f>
        <v>0</v>
      </c>
      <c r="ES79" s="139">
        <f>Texas!D35</f>
        <v>0</v>
      </c>
      <c r="ET79" s="139">
        <f>Texas!R35</f>
        <v>4213</v>
      </c>
      <c r="EU79" s="139">
        <f>Texas!S35</f>
        <v>4825093</v>
      </c>
      <c r="EV79" s="139">
        <f>Texas!T35</f>
        <v>4829306</v>
      </c>
      <c r="EW79" s="139">
        <f>Texas!B36</f>
        <v>44768</v>
      </c>
      <c r="EX79" s="139">
        <f>Texas!C36</f>
        <v>167746</v>
      </c>
      <c r="EY79" s="139">
        <f>Texas!D36</f>
        <v>202215</v>
      </c>
      <c r="EZ79" s="139">
        <f>Texas!R36</f>
        <v>892835</v>
      </c>
      <c r="FA79" s="139">
        <f>Texas!S36</f>
        <v>242736</v>
      </c>
      <c r="FB79" s="139">
        <f>Texas!T36</f>
        <v>1550300</v>
      </c>
      <c r="FC79" s="139">
        <f>Texas!B37</f>
        <v>109872</v>
      </c>
      <c r="FD79" s="139">
        <f>Texas!C37</f>
        <v>45263</v>
      </c>
      <c r="FE79" s="139">
        <f>Texas!D37</f>
        <v>27001</v>
      </c>
      <c r="FF79" s="139">
        <f>Texas!R37</f>
        <v>243491</v>
      </c>
      <c r="FG79" s="139">
        <f>Texas!S37</f>
        <v>25329263</v>
      </c>
      <c r="FH79" s="139">
        <f>Texas!T37</f>
        <v>25754890</v>
      </c>
      <c r="FI79" s="139">
        <f>Texas!B38</f>
        <v>946500</v>
      </c>
      <c r="FJ79" s="139">
        <f>Texas!C38</f>
        <v>174976</v>
      </c>
      <c r="FK79" s="139">
        <f>Texas!D38</f>
        <v>15777</v>
      </c>
      <c r="FL79" s="139">
        <f>Texas!R38</f>
        <v>135587</v>
      </c>
      <c r="FM79" s="139">
        <f>Texas!S38</f>
        <v>84429</v>
      </c>
      <c r="FN79" s="139">
        <f>Texas!T38</f>
        <v>1357269</v>
      </c>
      <c r="FO79" s="139">
        <v>0</v>
      </c>
      <c r="FP79" s="139">
        <v>0</v>
      </c>
      <c r="FQ79" s="139">
        <v>0</v>
      </c>
      <c r="FR79" s="139">
        <v>0</v>
      </c>
      <c r="FS79" s="139">
        <v>0</v>
      </c>
      <c r="FT79" s="139">
        <v>0</v>
      </c>
      <c r="FU79" s="139">
        <f>Texas!B40</f>
        <v>163004</v>
      </c>
      <c r="FV79" s="139">
        <f>Texas!C40</f>
        <v>33896</v>
      </c>
      <c r="FW79" s="139">
        <f>Texas!D40</f>
        <v>50238</v>
      </c>
      <c r="FX79" s="139">
        <f>Texas!R40</f>
        <v>300059</v>
      </c>
      <c r="FY79" s="139">
        <f>Texas!S40</f>
        <v>1467479</v>
      </c>
      <c r="FZ79" s="139">
        <f>Texas!T40</f>
        <v>2014676</v>
      </c>
      <c r="GA79" s="139">
        <f>Texas!B41</f>
        <v>5260</v>
      </c>
      <c r="GB79" s="139">
        <f>Texas!C41</f>
        <v>4865</v>
      </c>
      <c r="GC79" s="139">
        <f>Texas!D41</f>
        <v>3605</v>
      </c>
      <c r="GD79" s="139">
        <f>Texas!R41</f>
        <v>40266</v>
      </c>
      <c r="GE79" s="139">
        <f>Texas!S41</f>
        <v>389549</v>
      </c>
      <c r="GF79" s="139">
        <f>Texas!T41</f>
        <v>443545</v>
      </c>
      <c r="GG79" s="139">
        <f>Texas!B42</f>
        <v>5216473</v>
      </c>
      <c r="GH79" s="139">
        <f>Texas!C42</f>
        <v>80454</v>
      </c>
      <c r="GI79" s="139">
        <f>Texas!D42</f>
        <v>102374</v>
      </c>
      <c r="GJ79" s="139">
        <f>Texas!R42</f>
        <v>1028546</v>
      </c>
      <c r="GK79" s="139">
        <f>Texas!S42</f>
        <v>7083766</v>
      </c>
      <c r="GL79" s="139">
        <f>Texas!T42</f>
        <v>13511613</v>
      </c>
      <c r="GM79" s="139">
        <f>Texas!B43</f>
        <v>34885037</v>
      </c>
      <c r="GN79" s="139">
        <f>Texas!C43</f>
        <v>8965580</v>
      </c>
      <c r="GO79" s="139">
        <f>Texas!D43</f>
        <v>4814721</v>
      </c>
      <c r="GP79" s="139">
        <f>Texas!R43</f>
        <v>24207649</v>
      </c>
      <c r="GQ79" s="139">
        <f>Texas!S43</f>
        <v>81255887</v>
      </c>
      <c r="GR79" s="139">
        <f>Texas!T43</f>
        <v>154128874</v>
      </c>
      <c r="GS79" s="139">
        <f>Texas!B44</f>
        <v>0</v>
      </c>
      <c r="GT79" s="139">
        <f>Texas!C44</f>
        <v>0</v>
      </c>
      <c r="GU79" s="139">
        <f>Texas!D44</f>
        <v>0</v>
      </c>
      <c r="GV79" s="139">
        <f>Texas!R44</f>
        <v>0</v>
      </c>
      <c r="GW79" s="139">
        <f>Texas!S44</f>
        <v>9721719</v>
      </c>
      <c r="GX79" s="139">
        <f>Texas!T44</f>
        <v>9721719</v>
      </c>
      <c r="GY79" s="139">
        <f>Texas!B45</f>
        <v>34885037</v>
      </c>
      <c r="GZ79" s="139">
        <f>Texas!C45</f>
        <v>8965580</v>
      </c>
      <c r="HA79" s="139">
        <f>Texas!D45</f>
        <v>4814721</v>
      </c>
      <c r="HB79" s="139">
        <f>Texas!R45</f>
        <v>24207649</v>
      </c>
      <c r="HC79" s="139">
        <f>Texas!S45</f>
        <v>90977606</v>
      </c>
      <c r="HD79" s="139">
        <f>Texas!T45</f>
        <v>163850593</v>
      </c>
      <c r="HF79" s="70">
        <f>SUM(AZ79:AZ79)</f>
        <v>34089405</v>
      </c>
      <c r="HG79" s="70" t="e">
        <f>#REF!-HF79</f>
        <v>#REF!</v>
      </c>
      <c r="HH79" s="70" t="e">
        <f>SUM(#REF!)</f>
        <v>#REF!</v>
      </c>
      <c r="HI79" s="70" t="e">
        <f>#REF!-HH79</f>
        <v>#REF!</v>
      </c>
      <c r="HJ79" s="70">
        <f>SUM(BA79:BA79)</f>
        <v>450000</v>
      </c>
      <c r="HK79" s="70" t="e">
        <f>#REF!-HJ79</f>
        <v>#REF!</v>
      </c>
      <c r="HL79" s="70" t="e">
        <f>SUM(#REF!)</f>
        <v>#REF!</v>
      </c>
      <c r="HM79" s="70" t="e">
        <f>BB79-HL79</f>
        <v>#REF!</v>
      </c>
      <c r="HN79" s="70" t="e">
        <f>SUM(#REF!)</f>
        <v>#REF!</v>
      </c>
      <c r="HO79" s="70" t="e">
        <f>#REF!-HN79</f>
        <v>#REF!</v>
      </c>
      <c r="HP79" s="70" t="e">
        <f>SUM(#REF!)</f>
        <v>#REF!</v>
      </c>
      <c r="HQ79" s="70" t="e">
        <f>#REF!-HP79</f>
        <v>#REF!</v>
      </c>
      <c r="HR79" s="70" t="e">
        <f>SUM(#REF!)</f>
        <v>#REF!</v>
      </c>
      <c r="HS79" s="70" t="e">
        <f>#REF!-HR79</f>
        <v>#REF!</v>
      </c>
      <c r="HT79" s="70" t="e">
        <f>SUM(#REF!)</f>
        <v>#REF!</v>
      </c>
      <c r="HU79" s="70" t="e">
        <f>#REF!-HT79</f>
        <v>#REF!</v>
      </c>
      <c r="HV79" s="70" t="e">
        <f>SUM(#REF!)</f>
        <v>#REF!</v>
      </c>
      <c r="HW79" s="70" t="e">
        <f>#REF!-HV79</f>
        <v>#REF!</v>
      </c>
      <c r="HX79" s="70" t="e">
        <f>SUM(#REF!)</f>
        <v>#REF!</v>
      </c>
      <c r="HY79" s="70" t="e">
        <f>#REF!-HX79</f>
        <v>#REF!</v>
      </c>
      <c r="HZ79" s="70">
        <f>SUM(BC79:BC79)</f>
        <v>2573665</v>
      </c>
      <c r="IA79" s="70" t="e">
        <f>#REF!-HZ79</f>
        <v>#REF!</v>
      </c>
      <c r="IB79" s="70">
        <f>SUM(BD79:BD79)</f>
        <v>25550017</v>
      </c>
      <c r="IC79" s="70" t="e">
        <f>#REF!-IB79</f>
        <v>#REF!</v>
      </c>
      <c r="ID79" s="70">
        <f t="shared" si="109"/>
        <v>4526777</v>
      </c>
      <c r="IE79" s="70">
        <f t="shared" si="110"/>
        <v>0</v>
      </c>
      <c r="IF79" s="70">
        <f t="shared" si="111"/>
        <v>1304365</v>
      </c>
      <c r="IG79" s="70">
        <f t="shared" si="112"/>
        <v>0</v>
      </c>
      <c r="IH79" s="70">
        <f t="shared" si="113"/>
        <v>2737676</v>
      </c>
      <c r="II79" s="70">
        <f t="shared" si="114"/>
        <v>0</v>
      </c>
      <c r="IJ79" s="70">
        <f t="shared" si="115"/>
        <v>161035182</v>
      </c>
      <c r="IK79" s="70">
        <f t="shared" si="116"/>
        <v>0</v>
      </c>
      <c r="IL79" s="70">
        <f t="shared" si="117"/>
        <v>10842276</v>
      </c>
      <c r="IM79" s="70">
        <f t="shared" si="118"/>
        <v>0</v>
      </c>
      <c r="IN79" s="70">
        <f t="shared" si="119"/>
        <v>2056469</v>
      </c>
      <c r="IO79" s="70">
        <f t="shared" si="120"/>
        <v>0</v>
      </c>
      <c r="IP79" s="70">
        <f t="shared" si="121"/>
        <v>25375094</v>
      </c>
      <c r="IQ79" s="70">
        <f t="shared" si="122"/>
        <v>0</v>
      </c>
      <c r="IR79" s="70">
        <f t="shared" ref="IR79:IR97" si="161">SUM(CU79:CY79)</f>
        <v>0</v>
      </c>
      <c r="IS79" s="70">
        <f t="shared" ref="IS79:IS97" si="162">CZ79-IR79</f>
        <v>0</v>
      </c>
      <c r="IT79" s="70">
        <f t="shared" si="123"/>
        <v>35714697</v>
      </c>
      <c r="IU79" s="70">
        <f t="shared" si="124"/>
        <v>0</v>
      </c>
      <c r="IV79" s="70">
        <f t="shared" si="125"/>
        <v>0</v>
      </c>
      <c r="IW79" s="70">
        <f t="shared" si="126"/>
        <v>0</v>
      </c>
      <c r="IX79" s="70">
        <f t="shared" si="127"/>
        <v>784400</v>
      </c>
      <c r="IY79" s="70">
        <f t="shared" si="128"/>
        <v>0</v>
      </c>
      <c r="IZ79" s="70">
        <f t="shared" si="129"/>
        <v>1463992</v>
      </c>
      <c r="JA79" s="70">
        <f t="shared" si="130"/>
        <v>0</v>
      </c>
      <c r="JB79" s="70">
        <f t="shared" si="131"/>
        <v>8197706</v>
      </c>
      <c r="JC79" s="70">
        <f t="shared" si="132"/>
        <v>0</v>
      </c>
      <c r="JD79" s="70">
        <f t="shared" si="133"/>
        <v>1468024</v>
      </c>
      <c r="JE79" s="70">
        <f t="shared" si="134"/>
        <v>0</v>
      </c>
      <c r="JF79" s="70">
        <f t="shared" si="135"/>
        <v>18764617</v>
      </c>
      <c r="JG79" s="70">
        <f t="shared" si="136"/>
        <v>0</v>
      </c>
      <c r="JH79" s="70">
        <f t="shared" si="137"/>
        <v>4829306</v>
      </c>
      <c r="JI79" s="70">
        <f t="shared" si="138"/>
        <v>0</v>
      </c>
      <c r="JJ79" s="70">
        <f t="shared" si="139"/>
        <v>1550300</v>
      </c>
      <c r="JK79" s="70">
        <f t="shared" si="140"/>
        <v>0</v>
      </c>
      <c r="JL79" s="70">
        <f t="shared" si="141"/>
        <v>25754890</v>
      </c>
      <c r="JM79" s="70">
        <f t="shared" si="142"/>
        <v>0</v>
      </c>
      <c r="JN79" s="70">
        <f t="shared" si="143"/>
        <v>1357269</v>
      </c>
      <c r="JO79" s="70">
        <f t="shared" si="144"/>
        <v>0</v>
      </c>
      <c r="JP79" s="70">
        <f t="shared" si="145"/>
        <v>0</v>
      </c>
      <c r="JQ79" s="70">
        <f t="shared" si="146"/>
        <v>0</v>
      </c>
      <c r="JR79" s="70">
        <f t="shared" si="147"/>
        <v>2014676</v>
      </c>
      <c r="JS79" s="70">
        <f t="shared" si="148"/>
        <v>0</v>
      </c>
      <c r="JT79" s="70">
        <f t="shared" si="149"/>
        <v>443545</v>
      </c>
      <c r="JU79" s="70">
        <f t="shared" si="150"/>
        <v>0</v>
      </c>
      <c r="JV79" s="70">
        <f t="shared" si="151"/>
        <v>13511613</v>
      </c>
      <c r="JW79" s="70">
        <f t="shared" si="152"/>
        <v>0</v>
      </c>
      <c r="JX79" s="70">
        <f t="shared" si="153"/>
        <v>154128874</v>
      </c>
      <c r="JY79" s="70">
        <f t="shared" si="154"/>
        <v>0</v>
      </c>
      <c r="JZ79" s="70">
        <f t="shared" si="155"/>
        <v>9721719</v>
      </c>
      <c r="KA79" s="70">
        <f t="shared" si="156"/>
        <v>0</v>
      </c>
      <c r="KB79" s="70">
        <f t="shared" si="157"/>
        <v>163850593</v>
      </c>
      <c r="KC79" s="70">
        <f t="shared" si="158"/>
        <v>0</v>
      </c>
      <c r="KE79" s="70" t="e">
        <f t="shared" si="159"/>
        <v>#REF!</v>
      </c>
      <c r="KG79" s="68" t="e">
        <f t="shared" si="160"/>
        <v>#REF!</v>
      </c>
    </row>
    <row r="80" spans="1:304">
      <c r="A80" s="78" t="s">
        <v>301</v>
      </c>
      <c r="B80" s="76" t="s">
        <v>365</v>
      </c>
      <c r="C80" s="90">
        <v>228723</v>
      </c>
      <c r="D80" s="90">
        <v>2014</v>
      </c>
      <c r="E80" s="90">
        <v>1</v>
      </c>
      <c r="F80" s="91">
        <v>5</v>
      </c>
      <c r="G80" s="92">
        <v>18736</v>
      </c>
      <c r="H80" s="92">
        <v>17367</v>
      </c>
      <c r="I80" s="93">
        <v>1367957134</v>
      </c>
      <c r="J80" s="93"/>
      <c r="K80" s="93">
        <v>5473123</v>
      </c>
      <c r="L80" s="93"/>
      <c r="M80" s="93">
        <v>52826006</v>
      </c>
      <c r="N80" s="93"/>
      <c r="O80" s="93">
        <v>41556950</v>
      </c>
      <c r="P80" s="93"/>
      <c r="Q80" s="93">
        <v>606958912</v>
      </c>
      <c r="R80" s="93"/>
      <c r="S80" s="93">
        <v>962564231</v>
      </c>
      <c r="T80" s="93"/>
      <c r="U80" s="93">
        <v>18706</v>
      </c>
      <c r="V80" s="93"/>
      <c r="W80" s="93">
        <v>35236</v>
      </c>
      <c r="X80" s="93"/>
      <c r="Y80" s="93">
        <v>20886</v>
      </c>
      <c r="Z80" s="93"/>
      <c r="AA80" s="93">
        <v>37916</v>
      </c>
      <c r="AB80" s="93"/>
      <c r="AC80" s="114">
        <v>9</v>
      </c>
      <c r="AD80" s="114">
        <v>11</v>
      </c>
      <c r="AE80" s="114">
        <v>0</v>
      </c>
      <c r="AF80" s="115">
        <v>4000537</v>
      </c>
      <c r="AG80" s="115">
        <v>3499677</v>
      </c>
      <c r="AH80" s="115">
        <v>918226</v>
      </c>
      <c r="AI80" s="115">
        <v>377089</v>
      </c>
      <c r="AJ80" s="115">
        <v>856938.46</v>
      </c>
      <c r="AK80" s="116">
        <v>6.5</v>
      </c>
      <c r="AL80" s="115">
        <v>795728.57</v>
      </c>
      <c r="AM80" s="116">
        <v>7</v>
      </c>
      <c r="AN80" s="115">
        <v>323168</v>
      </c>
      <c r="AO80" s="116">
        <v>8.5</v>
      </c>
      <c r="AP80" s="115">
        <v>305214.21999999997</v>
      </c>
      <c r="AQ80" s="116">
        <v>9</v>
      </c>
      <c r="AR80" s="115">
        <v>264462.59999999998</v>
      </c>
      <c r="AS80" s="116">
        <v>20</v>
      </c>
      <c r="AT80" s="115">
        <v>229967.48</v>
      </c>
      <c r="AU80" s="116">
        <v>23</v>
      </c>
      <c r="AV80" s="115">
        <v>128946.82</v>
      </c>
      <c r="AW80" s="116">
        <v>17</v>
      </c>
      <c r="AX80" s="115">
        <v>109604.8</v>
      </c>
      <c r="AY80" s="116">
        <v>20</v>
      </c>
      <c r="AZ80" s="139">
        <v>30122030</v>
      </c>
      <c r="BA80" s="139">
        <v>425000</v>
      </c>
      <c r="BB80" s="139">
        <v>15291423</v>
      </c>
      <c r="BC80" s="139">
        <v>2116329</v>
      </c>
      <c r="BD80" s="139">
        <v>500000</v>
      </c>
      <c r="BE80" s="139">
        <v>420717</v>
      </c>
      <c r="BF80" s="139">
        <v>373516</v>
      </c>
      <c r="BG80" s="139">
        <v>342168</v>
      </c>
      <c r="BH80" s="139">
        <v>4158477</v>
      </c>
      <c r="BI80" s="139">
        <v>32162</v>
      </c>
      <c r="BJ80" s="139">
        <v>5327040</v>
      </c>
      <c r="BK80" s="139">
        <v>0</v>
      </c>
      <c r="BL80" s="139">
        <v>0</v>
      </c>
      <c r="BM80" s="139">
        <v>0</v>
      </c>
      <c r="BN80" s="139">
        <v>0</v>
      </c>
      <c r="BO80" s="139">
        <v>262472</v>
      </c>
      <c r="BP80" s="139">
        <v>262472</v>
      </c>
      <c r="BQ80" s="139">
        <v>428767</v>
      </c>
      <c r="BR80" s="139">
        <v>1351</v>
      </c>
      <c r="BS80" s="139">
        <v>996</v>
      </c>
      <c r="BT80" s="139">
        <v>209323</v>
      </c>
      <c r="BU80" s="139">
        <v>533453</v>
      </c>
      <c r="BV80" s="139">
        <v>1173890</v>
      </c>
      <c r="BW80" s="139">
        <v>53800925</v>
      </c>
      <c r="BX80" s="139">
        <v>9104818</v>
      </c>
      <c r="BY80" s="139">
        <v>1415202</v>
      </c>
      <c r="BZ80" s="139">
        <v>8896144</v>
      </c>
      <c r="CA80" s="139">
        <v>20740817</v>
      </c>
      <c r="CB80" s="139">
        <v>93957906</v>
      </c>
      <c r="CC80" s="139">
        <v>2270994</v>
      </c>
      <c r="CD80" s="139">
        <v>378631</v>
      </c>
      <c r="CE80" s="139">
        <v>377791</v>
      </c>
      <c r="CF80" s="139">
        <v>4472798</v>
      </c>
      <c r="CG80" s="139">
        <v>0</v>
      </c>
      <c r="CH80" s="139">
        <v>7500214</v>
      </c>
      <c r="CI80" s="139">
        <v>1201682</v>
      </c>
      <c r="CJ80" s="139">
        <v>634959</v>
      </c>
      <c r="CK80" s="139">
        <v>158596</v>
      </c>
      <c r="CL80" s="139">
        <v>74930</v>
      </c>
      <c r="CM80" s="139">
        <v>0</v>
      </c>
      <c r="CN80" s="139">
        <v>2070167</v>
      </c>
      <c r="CO80" s="139">
        <v>6235114</v>
      </c>
      <c r="CP80" s="139">
        <v>2033579</v>
      </c>
      <c r="CQ80" s="139">
        <v>1550340</v>
      </c>
      <c r="CR80" s="139">
        <v>5979343</v>
      </c>
      <c r="CS80" s="139">
        <v>0</v>
      </c>
      <c r="CT80" s="139">
        <v>15798376</v>
      </c>
      <c r="CU80" s="139">
        <v>0</v>
      </c>
      <c r="CV80" s="139">
        <v>0</v>
      </c>
      <c r="CW80" s="139">
        <v>0</v>
      </c>
      <c r="CX80" s="139">
        <v>0</v>
      </c>
      <c r="CY80" s="139">
        <v>0</v>
      </c>
      <c r="CZ80" s="139">
        <v>0</v>
      </c>
      <c r="DA80" s="139">
        <v>1972106</v>
      </c>
      <c r="DB80" s="139">
        <v>511931</v>
      </c>
      <c r="DC80" s="139">
        <v>407470</v>
      </c>
      <c r="DD80" s="139">
        <v>1733494</v>
      </c>
      <c r="DE80" s="139">
        <v>11211783</v>
      </c>
      <c r="DF80" s="139">
        <v>15836784</v>
      </c>
      <c r="DG80" s="139">
        <v>0</v>
      </c>
      <c r="DH80" s="139">
        <v>0</v>
      </c>
      <c r="DI80" s="139">
        <v>0</v>
      </c>
      <c r="DJ80" s="139">
        <v>0</v>
      </c>
      <c r="DK80" s="139">
        <v>0</v>
      </c>
      <c r="DL80" s="139">
        <v>0</v>
      </c>
      <c r="DM80" s="139">
        <v>0</v>
      </c>
      <c r="DN80" s="139">
        <v>0</v>
      </c>
      <c r="DO80" s="139">
        <v>0</v>
      </c>
      <c r="DP80" s="139">
        <v>0</v>
      </c>
      <c r="DQ80" s="139">
        <v>984061</v>
      </c>
      <c r="DR80" s="139">
        <v>984061</v>
      </c>
      <c r="DS80" s="139">
        <v>401167</v>
      </c>
      <c r="DT80" s="139">
        <v>370072</v>
      </c>
      <c r="DU80" s="139">
        <v>110983</v>
      </c>
      <c r="DV80" s="139">
        <v>413093</v>
      </c>
      <c r="DW80" s="139">
        <v>0</v>
      </c>
      <c r="DX80" s="139">
        <v>1295315</v>
      </c>
      <c r="DY80" s="139">
        <v>1430126</v>
      </c>
      <c r="DZ80" s="139">
        <v>820635</v>
      </c>
      <c r="EA80" s="139">
        <v>776172</v>
      </c>
      <c r="EB80" s="139">
        <v>4154343</v>
      </c>
      <c r="EC80" s="139">
        <v>0</v>
      </c>
      <c r="ED80" s="139">
        <v>7181276</v>
      </c>
      <c r="EE80" s="139">
        <v>1042214</v>
      </c>
      <c r="EF80" s="139">
        <v>92199</v>
      </c>
      <c r="EG80" s="139">
        <v>57330</v>
      </c>
      <c r="EH80" s="139">
        <v>913965</v>
      </c>
      <c r="EI80" s="139">
        <v>312366</v>
      </c>
      <c r="EJ80" s="139">
        <v>2418074</v>
      </c>
      <c r="EK80" s="139">
        <v>911821</v>
      </c>
      <c r="EL80" s="139">
        <v>305378</v>
      </c>
      <c r="EM80" s="139">
        <v>178706</v>
      </c>
      <c r="EN80" s="139">
        <v>546141</v>
      </c>
      <c r="EO80" s="139">
        <v>7337</v>
      </c>
      <c r="EP80" s="139">
        <v>1949383</v>
      </c>
      <c r="EQ80" s="139">
        <v>30388</v>
      </c>
      <c r="ER80" s="139">
        <v>12382</v>
      </c>
      <c r="ES80" s="139">
        <v>4439</v>
      </c>
      <c r="ET80" s="139">
        <v>9710</v>
      </c>
      <c r="EU80" s="139">
        <v>12925</v>
      </c>
      <c r="EV80" s="139">
        <v>69844</v>
      </c>
      <c r="EW80" s="139">
        <v>241655</v>
      </c>
      <c r="EX80" s="139">
        <v>248710</v>
      </c>
      <c r="EY80" s="139">
        <v>172577</v>
      </c>
      <c r="EZ80" s="139">
        <v>2346913</v>
      </c>
      <c r="FA80" s="139">
        <v>24768</v>
      </c>
      <c r="FB80" s="139">
        <v>3034623</v>
      </c>
      <c r="FC80" s="139">
        <v>34673</v>
      </c>
      <c r="FD80" s="139">
        <v>443607</v>
      </c>
      <c r="FE80" s="139">
        <v>316559</v>
      </c>
      <c r="FF80" s="139">
        <v>1108409</v>
      </c>
      <c r="FG80" s="139">
        <v>11171666</v>
      </c>
      <c r="FH80" s="139">
        <v>13074914</v>
      </c>
      <c r="FI80" s="139">
        <v>50000</v>
      </c>
      <c r="FJ80" s="139">
        <v>0</v>
      </c>
      <c r="FK80" s="139">
        <v>0</v>
      </c>
      <c r="FL80" s="139">
        <v>0</v>
      </c>
      <c r="FM80" s="139">
        <v>93691</v>
      </c>
      <c r="FN80" s="139">
        <v>143691</v>
      </c>
      <c r="FO80" s="139">
        <v>0</v>
      </c>
      <c r="FP80" s="139">
        <v>0</v>
      </c>
      <c r="FQ80" s="139">
        <v>0</v>
      </c>
      <c r="FR80" s="139">
        <v>0</v>
      </c>
      <c r="FS80" s="139">
        <v>0</v>
      </c>
      <c r="FT80" s="139">
        <v>0</v>
      </c>
      <c r="FU80" s="139">
        <v>101170</v>
      </c>
      <c r="FV80" s="139">
        <v>27472</v>
      </c>
      <c r="FW80" s="139">
        <v>9257</v>
      </c>
      <c r="FX80" s="139">
        <v>143844</v>
      </c>
      <c r="FY80" s="139">
        <v>271014</v>
      </c>
      <c r="FZ80" s="139">
        <v>552757</v>
      </c>
      <c r="GA80" s="139">
        <v>18760</v>
      </c>
      <c r="GB80" s="139">
        <v>3520</v>
      </c>
      <c r="GC80" s="139">
        <v>1323</v>
      </c>
      <c r="GD80" s="139">
        <v>38728</v>
      </c>
      <c r="GE80" s="139">
        <v>55345</v>
      </c>
      <c r="GF80" s="139">
        <v>117676</v>
      </c>
      <c r="GG80" s="139">
        <v>2124734</v>
      </c>
      <c r="GH80" s="139">
        <v>490718</v>
      </c>
      <c r="GI80" s="139">
        <v>531400</v>
      </c>
      <c r="GJ80" s="139">
        <v>1689404</v>
      </c>
      <c r="GK80" s="139">
        <v>8251177</v>
      </c>
      <c r="GL80" s="139">
        <v>13087433</v>
      </c>
      <c r="GM80" s="139">
        <v>18066604</v>
      </c>
      <c r="GN80" s="139">
        <v>6373793</v>
      </c>
      <c r="GO80" s="139">
        <v>4652943</v>
      </c>
      <c r="GP80" s="139">
        <v>23625115</v>
      </c>
      <c r="GQ80" s="139">
        <v>32396133</v>
      </c>
      <c r="GR80" s="139">
        <v>85114588</v>
      </c>
      <c r="GS80" s="139">
        <v>0</v>
      </c>
      <c r="GT80" s="139">
        <v>0</v>
      </c>
      <c r="GU80" s="139">
        <v>0</v>
      </c>
      <c r="GV80" s="139">
        <v>0</v>
      </c>
      <c r="GW80" s="139">
        <v>0</v>
      </c>
      <c r="GX80" s="139">
        <v>0</v>
      </c>
      <c r="GY80" s="139">
        <v>18066604</v>
      </c>
      <c r="GZ80" s="139">
        <v>6373793</v>
      </c>
      <c r="HA80" s="139">
        <v>4652943</v>
      </c>
      <c r="HB80" s="139">
        <v>23625115</v>
      </c>
      <c r="HC80" s="139">
        <v>32396133</v>
      </c>
      <c r="HD80" s="139">
        <v>85114588</v>
      </c>
      <c r="HF80" s="70">
        <f>SUM(AZ80:AZ80)</f>
        <v>30122030</v>
      </c>
      <c r="HG80" s="70" t="e">
        <f>#REF!-HF80</f>
        <v>#REF!</v>
      </c>
      <c r="HH80" s="70" t="e">
        <f>SUM(#REF!)</f>
        <v>#REF!</v>
      </c>
      <c r="HI80" s="70" t="e">
        <f>#REF!-HH80</f>
        <v>#REF!</v>
      </c>
      <c r="HJ80" s="70">
        <f>SUM(BA80:BA80)</f>
        <v>425000</v>
      </c>
      <c r="HK80" s="70" t="e">
        <f>#REF!-HJ80</f>
        <v>#REF!</v>
      </c>
      <c r="HL80" s="70" t="e">
        <f>SUM(#REF!)</f>
        <v>#REF!</v>
      </c>
      <c r="HM80" s="70" t="e">
        <f>BB80-HL80</f>
        <v>#REF!</v>
      </c>
      <c r="HN80" s="70" t="e">
        <f>SUM(#REF!)</f>
        <v>#REF!</v>
      </c>
      <c r="HO80" s="70" t="e">
        <f>#REF!-HN80</f>
        <v>#REF!</v>
      </c>
      <c r="HP80" s="70" t="e">
        <f>SUM(#REF!)</f>
        <v>#REF!</v>
      </c>
      <c r="HQ80" s="70" t="e">
        <f>#REF!-HP80</f>
        <v>#REF!</v>
      </c>
      <c r="HR80" s="70" t="e">
        <f>SUM(#REF!)</f>
        <v>#REF!</v>
      </c>
      <c r="HS80" s="70" t="e">
        <f>#REF!-HR80</f>
        <v>#REF!</v>
      </c>
      <c r="HT80" s="70" t="e">
        <f>SUM(#REF!)</f>
        <v>#REF!</v>
      </c>
      <c r="HU80" s="70" t="e">
        <f>#REF!-HT80</f>
        <v>#REF!</v>
      </c>
      <c r="HV80" s="70" t="e">
        <f>SUM(#REF!)</f>
        <v>#REF!</v>
      </c>
      <c r="HW80" s="70" t="e">
        <f>#REF!-HV80</f>
        <v>#REF!</v>
      </c>
      <c r="HX80" s="70" t="e">
        <f>SUM(#REF!)</f>
        <v>#REF!</v>
      </c>
      <c r="HY80" s="70" t="e">
        <f>#REF!-HX80</f>
        <v>#REF!</v>
      </c>
      <c r="HZ80" s="70">
        <f>SUM(BC80:BC80)</f>
        <v>2116329</v>
      </c>
      <c r="IA80" s="70" t="e">
        <f>#REF!-HZ80</f>
        <v>#REF!</v>
      </c>
      <c r="IB80" s="70">
        <f>SUM(BD80:BD80)</f>
        <v>500000</v>
      </c>
      <c r="IC80" s="70" t="e">
        <f>#REF!-IB80</f>
        <v>#REF!</v>
      </c>
      <c r="ID80" s="70">
        <f t="shared" si="109"/>
        <v>5327040</v>
      </c>
      <c r="IE80" s="70">
        <f t="shared" si="110"/>
        <v>0</v>
      </c>
      <c r="IF80" s="70">
        <f t="shared" si="111"/>
        <v>262472</v>
      </c>
      <c r="IG80" s="70">
        <f t="shared" si="112"/>
        <v>0</v>
      </c>
      <c r="IH80" s="70">
        <f t="shared" si="113"/>
        <v>1173890</v>
      </c>
      <c r="II80" s="70">
        <f t="shared" si="114"/>
        <v>0</v>
      </c>
      <c r="IJ80" s="70">
        <f t="shared" si="115"/>
        <v>93957906</v>
      </c>
      <c r="IK80" s="70">
        <f t="shared" si="116"/>
        <v>0</v>
      </c>
      <c r="IL80" s="70">
        <f t="shared" si="117"/>
        <v>7500214</v>
      </c>
      <c r="IM80" s="70">
        <f t="shared" si="118"/>
        <v>0</v>
      </c>
      <c r="IN80" s="70">
        <f t="shared" si="119"/>
        <v>2070167</v>
      </c>
      <c r="IO80" s="70">
        <f t="shared" si="120"/>
        <v>0</v>
      </c>
      <c r="IP80" s="70">
        <f t="shared" si="121"/>
        <v>15798376</v>
      </c>
      <c r="IQ80" s="70">
        <f t="shared" si="122"/>
        <v>0</v>
      </c>
      <c r="IR80" s="70">
        <f t="shared" si="161"/>
        <v>0</v>
      </c>
      <c r="IS80" s="70">
        <f t="shared" si="162"/>
        <v>0</v>
      </c>
      <c r="IT80" s="70">
        <f t="shared" si="123"/>
        <v>15836784</v>
      </c>
      <c r="IU80" s="70">
        <f t="shared" si="124"/>
        <v>0</v>
      </c>
      <c r="IV80" s="70">
        <f t="shared" si="125"/>
        <v>0</v>
      </c>
      <c r="IW80" s="70">
        <f t="shared" si="126"/>
        <v>0</v>
      </c>
      <c r="IX80" s="70">
        <f t="shared" si="127"/>
        <v>984061</v>
      </c>
      <c r="IY80" s="70">
        <f t="shared" si="128"/>
        <v>0</v>
      </c>
      <c r="IZ80" s="70">
        <f t="shared" si="129"/>
        <v>1295315</v>
      </c>
      <c r="JA80" s="70">
        <f t="shared" si="130"/>
        <v>0</v>
      </c>
      <c r="JB80" s="70">
        <f t="shared" si="131"/>
        <v>7181276</v>
      </c>
      <c r="JC80" s="70">
        <f t="shared" si="132"/>
        <v>0</v>
      </c>
      <c r="JD80" s="70">
        <f t="shared" si="133"/>
        <v>2418074</v>
      </c>
      <c r="JE80" s="70">
        <f t="shared" si="134"/>
        <v>0</v>
      </c>
      <c r="JF80" s="70">
        <f t="shared" si="135"/>
        <v>1949383</v>
      </c>
      <c r="JG80" s="70">
        <f t="shared" si="136"/>
        <v>0</v>
      </c>
      <c r="JH80" s="70">
        <f t="shared" si="137"/>
        <v>69844</v>
      </c>
      <c r="JI80" s="70">
        <f t="shared" si="138"/>
        <v>0</v>
      </c>
      <c r="JJ80" s="70">
        <f t="shared" si="139"/>
        <v>3034623</v>
      </c>
      <c r="JK80" s="70">
        <f t="shared" si="140"/>
        <v>0</v>
      </c>
      <c r="JL80" s="70">
        <f t="shared" si="141"/>
        <v>13074914</v>
      </c>
      <c r="JM80" s="70">
        <f t="shared" si="142"/>
        <v>0</v>
      </c>
      <c r="JN80" s="70">
        <f t="shared" si="143"/>
        <v>143691</v>
      </c>
      <c r="JO80" s="70">
        <f t="shared" si="144"/>
        <v>0</v>
      </c>
      <c r="JP80" s="70">
        <f t="shared" si="145"/>
        <v>0</v>
      </c>
      <c r="JQ80" s="70">
        <f t="shared" si="146"/>
        <v>0</v>
      </c>
      <c r="JR80" s="70">
        <f t="shared" si="147"/>
        <v>552757</v>
      </c>
      <c r="JS80" s="70">
        <f t="shared" si="148"/>
        <v>0</v>
      </c>
      <c r="JT80" s="70">
        <f t="shared" si="149"/>
        <v>117676</v>
      </c>
      <c r="JU80" s="70">
        <f t="shared" si="150"/>
        <v>0</v>
      </c>
      <c r="JV80" s="70">
        <f t="shared" si="151"/>
        <v>13087433</v>
      </c>
      <c r="JW80" s="70">
        <f t="shared" si="152"/>
        <v>0</v>
      </c>
      <c r="JX80" s="70">
        <f t="shared" si="153"/>
        <v>85114588</v>
      </c>
      <c r="JY80" s="70">
        <f t="shared" si="154"/>
        <v>0</v>
      </c>
      <c r="JZ80" s="70">
        <f t="shared" si="155"/>
        <v>0</v>
      </c>
      <c r="KA80" s="70">
        <f t="shared" si="156"/>
        <v>0</v>
      </c>
      <c r="KB80" s="70">
        <f t="shared" si="157"/>
        <v>85114588</v>
      </c>
      <c r="KC80" s="70">
        <f t="shared" si="158"/>
        <v>0</v>
      </c>
      <c r="KE80" s="70" t="e">
        <f t="shared" si="159"/>
        <v>#REF!</v>
      </c>
      <c r="KG80" s="68" t="e">
        <f t="shared" si="160"/>
        <v>#REF!</v>
      </c>
    </row>
    <row r="81" spans="1:294">
      <c r="A81" s="180" t="s">
        <v>302</v>
      </c>
      <c r="B81" s="76" t="s">
        <v>365</v>
      </c>
      <c r="C81" s="90">
        <v>228459</v>
      </c>
      <c r="D81" s="90">
        <v>2014</v>
      </c>
      <c r="E81" s="90">
        <v>1</v>
      </c>
      <c r="F81" s="91">
        <v>11</v>
      </c>
      <c r="G81" s="92">
        <v>11207</v>
      </c>
      <c r="H81" s="92">
        <v>14476</v>
      </c>
      <c r="I81" s="93">
        <v>512715657</v>
      </c>
      <c r="J81" s="93">
        <v>468960363</v>
      </c>
      <c r="K81" s="93">
        <v>4425561</v>
      </c>
      <c r="L81" s="93">
        <v>4602300</v>
      </c>
      <c r="M81" s="93">
        <v>31087186</v>
      </c>
      <c r="N81" s="93">
        <v>28122869</v>
      </c>
      <c r="O81" s="93">
        <v>74752665</v>
      </c>
      <c r="P81" s="93">
        <v>81768939</v>
      </c>
      <c r="Q81" s="93">
        <v>484086372</v>
      </c>
      <c r="R81" s="93">
        <v>493016638</v>
      </c>
      <c r="S81" s="93">
        <v>440985314</v>
      </c>
      <c r="T81" s="93">
        <v>402262127</v>
      </c>
      <c r="U81" s="93">
        <v>17750</v>
      </c>
      <c r="V81" s="93">
        <v>17252</v>
      </c>
      <c r="W81" s="93">
        <v>28370</v>
      </c>
      <c r="X81" s="93">
        <v>27782</v>
      </c>
      <c r="Y81" s="93">
        <v>20710</v>
      </c>
      <c r="Z81" s="93">
        <v>21130</v>
      </c>
      <c r="AA81" s="93">
        <v>31330</v>
      </c>
      <c r="AB81" s="93">
        <v>31660</v>
      </c>
      <c r="AC81" s="114">
        <v>7</v>
      </c>
      <c r="AD81" s="114">
        <v>9</v>
      </c>
      <c r="AE81" s="114">
        <v>0</v>
      </c>
      <c r="AF81" s="115">
        <v>3005516</v>
      </c>
      <c r="AG81" s="115">
        <v>1803362</v>
      </c>
      <c r="AH81" s="115">
        <v>309296</v>
      </c>
      <c r="AI81" s="115">
        <v>92722</v>
      </c>
      <c r="AJ81" s="115">
        <f>(987324+46500)/AK81</f>
        <v>229738.66666666666</v>
      </c>
      <c r="AK81" s="116">
        <v>4.5</v>
      </c>
      <c r="AL81" s="115">
        <f>(987324+46500)/AM81</f>
        <v>206764.79999999999</v>
      </c>
      <c r="AM81" s="116">
        <v>5</v>
      </c>
      <c r="AN81" s="115">
        <f>(621587+50642)/AO81</f>
        <v>103419.84615384616</v>
      </c>
      <c r="AO81" s="116">
        <v>6.5</v>
      </c>
      <c r="AP81" s="115">
        <f>(621587+50642)/AQ81</f>
        <v>96032.71428571429</v>
      </c>
      <c r="AQ81" s="116">
        <v>7</v>
      </c>
      <c r="AR81" s="115">
        <f>(1572114+95900)/AS81</f>
        <v>102647.01538461538</v>
      </c>
      <c r="AS81" s="116">
        <v>16.25</v>
      </c>
      <c r="AT81" s="115">
        <f>(1572114+95900)/AU81</f>
        <v>87790.210526315786</v>
      </c>
      <c r="AU81" s="116">
        <v>19</v>
      </c>
      <c r="AV81" s="115">
        <f>(604179+49275)/AW81</f>
        <v>58084.800000000003</v>
      </c>
      <c r="AW81" s="116">
        <v>11.25</v>
      </c>
      <c r="AX81" s="115">
        <f>(604179+49275)/AY81</f>
        <v>46675.285714285717</v>
      </c>
      <c r="AY81" s="116">
        <v>14</v>
      </c>
      <c r="AZ81" s="139">
        <v>707863</v>
      </c>
      <c r="BA81" s="139">
        <v>750000</v>
      </c>
      <c r="BB81" s="139">
        <v>2776018</v>
      </c>
      <c r="BC81" s="139">
        <v>29910</v>
      </c>
      <c r="BD81" s="139">
        <v>0</v>
      </c>
      <c r="BE81" s="139">
        <v>0</v>
      </c>
      <c r="BF81" s="139">
        <v>0</v>
      </c>
      <c r="BG81" s="139">
        <v>0</v>
      </c>
      <c r="BH81" s="139">
        <v>0</v>
      </c>
      <c r="BI81" s="139">
        <v>342567</v>
      </c>
      <c r="BJ81" s="139">
        <v>342567</v>
      </c>
      <c r="BK81" s="139">
        <v>4800</v>
      </c>
      <c r="BL81" s="139">
        <v>5600</v>
      </c>
      <c r="BM81" s="139">
        <v>0</v>
      </c>
      <c r="BN81" s="139">
        <v>1968</v>
      </c>
      <c r="BO81" s="139">
        <v>49248</v>
      </c>
      <c r="BP81" s="139">
        <v>61616</v>
      </c>
      <c r="BQ81" s="139">
        <v>537</v>
      </c>
      <c r="BR81" s="139">
        <v>39</v>
      </c>
      <c r="BS81" s="139">
        <v>838</v>
      </c>
      <c r="BT81" s="139">
        <v>195466</v>
      </c>
      <c r="BU81" s="139">
        <v>559784</v>
      </c>
      <c r="BV81" s="139">
        <v>756664</v>
      </c>
      <c r="BW81" s="139">
        <v>1960081</v>
      </c>
      <c r="BX81" s="139">
        <v>388325</v>
      </c>
      <c r="BY81" s="139">
        <v>115251</v>
      </c>
      <c r="BZ81" s="139">
        <v>1053936</v>
      </c>
      <c r="CA81" s="139">
        <v>28672598</v>
      </c>
      <c r="CB81" s="139">
        <v>32190191</v>
      </c>
      <c r="CC81" s="139">
        <v>2073625</v>
      </c>
      <c r="CD81" s="139">
        <v>413522</v>
      </c>
      <c r="CE81" s="139">
        <v>333394</v>
      </c>
      <c r="CF81" s="139">
        <v>1988337</v>
      </c>
      <c r="CG81" s="139">
        <v>89066</v>
      </c>
      <c r="CH81" s="139">
        <v>4897944</v>
      </c>
      <c r="CI81" s="139">
        <v>508184</v>
      </c>
      <c r="CJ81" s="139">
        <v>29528</v>
      </c>
      <c r="CK81" s="139">
        <v>4000</v>
      </c>
      <c r="CL81" s="139">
        <v>41848</v>
      </c>
      <c r="CM81" s="139">
        <v>0</v>
      </c>
      <c r="CN81" s="139">
        <v>583560</v>
      </c>
      <c r="CO81" s="139">
        <v>1418570</v>
      </c>
      <c r="CP81" s="139">
        <v>639046</v>
      </c>
      <c r="CQ81" s="139">
        <v>371507</v>
      </c>
      <c r="CR81" s="139">
        <v>1356081</v>
      </c>
      <c r="CS81" s="139">
        <v>0</v>
      </c>
      <c r="CT81" s="139">
        <v>3785204</v>
      </c>
      <c r="CU81" s="139">
        <v>65000</v>
      </c>
      <c r="CV81" s="139">
        <v>17600</v>
      </c>
      <c r="CW81" s="139">
        <v>875</v>
      </c>
      <c r="CX81" s="139">
        <v>158842</v>
      </c>
      <c r="CY81" s="139">
        <v>0</v>
      </c>
      <c r="CZ81" s="139">
        <v>242317</v>
      </c>
      <c r="DA81" s="139">
        <v>554943</v>
      </c>
      <c r="DB81" s="139">
        <v>168090</v>
      </c>
      <c r="DC81" s="139">
        <v>128170</v>
      </c>
      <c r="DD81" s="139">
        <v>171823</v>
      </c>
      <c r="DE81" s="139">
        <v>2886507</v>
      </c>
      <c r="DF81" s="139">
        <v>3909533</v>
      </c>
      <c r="DG81" s="139">
        <v>4810</v>
      </c>
      <c r="DH81" s="139">
        <v>2000</v>
      </c>
      <c r="DI81" s="139">
        <v>1000</v>
      </c>
      <c r="DJ81" s="139">
        <v>1500</v>
      </c>
      <c r="DK81" s="139">
        <v>13000</v>
      </c>
      <c r="DL81" s="139">
        <v>22310</v>
      </c>
      <c r="DM81" s="139">
        <v>21694</v>
      </c>
      <c r="DN81" s="139">
        <v>9017</v>
      </c>
      <c r="DO81" s="139">
        <v>13690</v>
      </c>
      <c r="DP81" s="139">
        <v>6708</v>
      </c>
      <c r="DQ81" s="139">
        <v>32997</v>
      </c>
      <c r="DR81" s="139">
        <v>84106</v>
      </c>
      <c r="DS81" s="139">
        <v>174742</v>
      </c>
      <c r="DT81" s="139">
        <v>98878</v>
      </c>
      <c r="DU81" s="139">
        <v>40608</v>
      </c>
      <c r="DV81" s="139">
        <v>87790</v>
      </c>
      <c r="DW81" s="139">
        <v>0</v>
      </c>
      <c r="DX81" s="139">
        <v>402018</v>
      </c>
      <c r="DY81" s="139">
        <v>754014</v>
      </c>
      <c r="DZ81" s="139">
        <v>221194</v>
      </c>
      <c r="EA81" s="139">
        <v>255346</v>
      </c>
      <c r="EB81" s="139">
        <v>964211</v>
      </c>
      <c r="EC81" s="139">
        <v>0</v>
      </c>
      <c r="ED81" s="139">
        <v>2194765</v>
      </c>
      <c r="EE81" s="139">
        <v>124776</v>
      </c>
      <c r="EF81" s="139">
        <v>21739</v>
      </c>
      <c r="EG81" s="139">
        <v>38100</v>
      </c>
      <c r="EH81" s="139">
        <v>243182</v>
      </c>
      <c r="EI81" s="139">
        <v>0</v>
      </c>
      <c r="EJ81" s="139">
        <v>427797</v>
      </c>
      <c r="EK81" s="139">
        <v>400201</v>
      </c>
      <c r="EL81" s="139">
        <v>107866</v>
      </c>
      <c r="EM81" s="139">
        <v>88322</v>
      </c>
      <c r="EN81" s="139">
        <v>155861</v>
      </c>
      <c r="EO81" s="139">
        <v>0</v>
      </c>
      <c r="EP81" s="139">
        <v>752250</v>
      </c>
      <c r="EQ81" s="139">
        <v>6351</v>
      </c>
      <c r="ER81" s="139">
        <v>5289</v>
      </c>
      <c r="ES81" s="139">
        <v>1573</v>
      </c>
      <c r="ET81" s="139">
        <v>148553</v>
      </c>
      <c r="EU81" s="139">
        <v>641683</v>
      </c>
      <c r="EV81" s="139">
        <v>803449</v>
      </c>
      <c r="EW81" s="139">
        <v>0</v>
      </c>
      <c r="EX81" s="139">
        <v>0</v>
      </c>
      <c r="EY81" s="139">
        <v>0</v>
      </c>
      <c r="EZ81" s="139">
        <v>0</v>
      </c>
      <c r="FA81" s="139">
        <v>0</v>
      </c>
      <c r="FB81" s="139">
        <v>0</v>
      </c>
      <c r="FC81" s="139">
        <v>0</v>
      </c>
      <c r="FD81" s="139">
        <v>0</v>
      </c>
      <c r="FE81" s="139">
        <v>0</v>
      </c>
      <c r="FF81" s="139">
        <v>0</v>
      </c>
      <c r="FG81" s="139">
        <v>8004148</v>
      </c>
      <c r="FH81" s="139">
        <v>8004148</v>
      </c>
      <c r="FI81" s="139">
        <v>0</v>
      </c>
      <c r="FJ81" s="139">
        <v>0</v>
      </c>
      <c r="FK81" s="139">
        <v>0</v>
      </c>
      <c r="FL81" s="139">
        <v>0</v>
      </c>
      <c r="FM81" s="139">
        <v>147452</v>
      </c>
      <c r="FN81" s="139">
        <v>147452</v>
      </c>
      <c r="FO81" s="139">
        <v>0</v>
      </c>
      <c r="FP81" s="139">
        <v>0</v>
      </c>
      <c r="FQ81" s="139">
        <v>0</v>
      </c>
      <c r="FR81" s="139">
        <v>0</v>
      </c>
      <c r="FS81" s="139">
        <v>0</v>
      </c>
      <c r="FT81" s="139">
        <v>0</v>
      </c>
      <c r="FU81" s="139">
        <v>132013</v>
      </c>
      <c r="FV81" s="139">
        <v>4656</v>
      </c>
      <c r="FW81" s="139">
        <v>4265</v>
      </c>
      <c r="FX81" s="139">
        <v>39401</v>
      </c>
      <c r="FY81" s="139">
        <v>115602</v>
      </c>
      <c r="FZ81" s="139">
        <v>295937</v>
      </c>
      <c r="GA81" s="139">
        <v>2070</v>
      </c>
      <c r="GB81" s="139">
        <v>965</v>
      </c>
      <c r="GC81" s="139">
        <v>750</v>
      </c>
      <c r="GD81" s="139">
        <v>3361</v>
      </c>
      <c r="GE81" s="139">
        <v>89600</v>
      </c>
      <c r="GF81" s="139">
        <v>96746</v>
      </c>
      <c r="GG81" s="139">
        <v>264090</v>
      </c>
      <c r="GH81" s="139">
        <v>61040</v>
      </c>
      <c r="GI81" s="139">
        <v>60815</v>
      </c>
      <c r="GJ81" s="139">
        <v>193309</v>
      </c>
      <c r="GK81" s="139">
        <v>1149259</v>
      </c>
      <c r="GL81" s="139">
        <v>1728513</v>
      </c>
      <c r="GM81" s="139">
        <v>6505083</v>
      </c>
      <c r="GN81" s="139">
        <v>1800430</v>
      </c>
      <c r="GO81" s="139">
        <v>1342415</v>
      </c>
      <c r="GP81" s="139">
        <v>5560807</v>
      </c>
      <c r="GQ81" s="139">
        <v>13169314</v>
      </c>
      <c r="GR81" s="139">
        <v>28378049</v>
      </c>
      <c r="GS81" s="139">
        <v>0</v>
      </c>
      <c r="GT81" s="139">
        <v>0</v>
      </c>
      <c r="GU81" s="139">
        <v>0</v>
      </c>
      <c r="GV81" s="139">
        <v>0</v>
      </c>
      <c r="GW81" s="139">
        <v>0</v>
      </c>
      <c r="GX81" s="139">
        <v>0</v>
      </c>
      <c r="GY81" s="139">
        <v>6505083</v>
      </c>
      <c r="GZ81" s="139">
        <v>1800430</v>
      </c>
      <c r="HA81" s="139">
        <v>1342415</v>
      </c>
      <c r="HB81" s="139">
        <v>5560807</v>
      </c>
      <c r="HC81" s="139">
        <v>13169314</v>
      </c>
      <c r="HD81" s="139">
        <v>28378049</v>
      </c>
      <c r="HF81" s="70">
        <f>SUM(AZ81:AZ81)</f>
        <v>707863</v>
      </c>
      <c r="HG81" s="70" t="e">
        <f>#REF!-HF81</f>
        <v>#REF!</v>
      </c>
      <c r="HH81" s="70" t="e">
        <f>SUM(#REF!)</f>
        <v>#REF!</v>
      </c>
      <c r="HI81" s="70" t="e">
        <f>#REF!-HH81</f>
        <v>#REF!</v>
      </c>
      <c r="HJ81" s="70">
        <f>SUM(BA81:BA81)</f>
        <v>750000</v>
      </c>
      <c r="HK81" s="70" t="e">
        <f>#REF!-HJ81</f>
        <v>#REF!</v>
      </c>
      <c r="HL81" s="70" t="e">
        <f>SUM(#REF!)</f>
        <v>#REF!</v>
      </c>
      <c r="HM81" s="70" t="e">
        <f>BB81-HL81</f>
        <v>#REF!</v>
      </c>
      <c r="HN81" s="70" t="e">
        <f>SUM(#REF!)</f>
        <v>#REF!</v>
      </c>
      <c r="HO81" s="70" t="e">
        <f>#REF!-HN81</f>
        <v>#REF!</v>
      </c>
      <c r="HP81" s="70" t="e">
        <f>SUM(#REF!)</f>
        <v>#REF!</v>
      </c>
      <c r="HQ81" s="70" t="e">
        <f>#REF!-HP81</f>
        <v>#REF!</v>
      </c>
      <c r="HR81" s="70" t="e">
        <f>SUM(#REF!)</f>
        <v>#REF!</v>
      </c>
      <c r="HS81" s="70" t="e">
        <f>#REF!-HR81</f>
        <v>#REF!</v>
      </c>
      <c r="HT81" s="70" t="e">
        <f>SUM(#REF!)</f>
        <v>#REF!</v>
      </c>
      <c r="HU81" s="70" t="e">
        <f>#REF!-HT81</f>
        <v>#REF!</v>
      </c>
      <c r="HV81" s="70" t="e">
        <f>SUM(#REF!)</f>
        <v>#REF!</v>
      </c>
      <c r="HW81" s="70" t="e">
        <f>#REF!-HV81</f>
        <v>#REF!</v>
      </c>
      <c r="HX81" s="70" t="e">
        <f>SUM(#REF!)</f>
        <v>#REF!</v>
      </c>
      <c r="HY81" s="70" t="e">
        <f>#REF!-HX81</f>
        <v>#REF!</v>
      </c>
      <c r="HZ81" s="70">
        <f>SUM(BC81:BC81)</f>
        <v>29910</v>
      </c>
      <c r="IA81" s="70" t="e">
        <f>#REF!-HZ81</f>
        <v>#REF!</v>
      </c>
      <c r="IB81" s="70">
        <f>SUM(BD81:BD81)</f>
        <v>0</v>
      </c>
      <c r="IC81" s="70" t="e">
        <f>#REF!-IB81</f>
        <v>#REF!</v>
      </c>
      <c r="ID81" s="70">
        <f t="shared" si="109"/>
        <v>342567</v>
      </c>
      <c r="IE81" s="70">
        <f t="shared" si="110"/>
        <v>0</v>
      </c>
      <c r="IF81" s="70">
        <f t="shared" si="111"/>
        <v>61616</v>
      </c>
      <c r="IG81" s="70">
        <f t="shared" si="112"/>
        <v>0</v>
      </c>
      <c r="IH81" s="70">
        <f t="shared" si="113"/>
        <v>756664</v>
      </c>
      <c r="II81" s="70">
        <f t="shared" si="114"/>
        <v>0</v>
      </c>
      <c r="IJ81" s="70">
        <f t="shared" si="115"/>
        <v>32190191</v>
      </c>
      <c r="IK81" s="70">
        <f t="shared" si="116"/>
        <v>0</v>
      </c>
      <c r="IL81" s="70">
        <f t="shared" si="117"/>
        <v>4897944</v>
      </c>
      <c r="IM81" s="70">
        <f t="shared" si="118"/>
        <v>0</v>
      </c>
      <c r="IN81" s="70">
        <f t="shared" si="119"/>
        <v>583560</v>
      </c>
      <c r="IO81" s="70">
        <f t="shared" si="120"/>
        <v>0</v>
      </c>
      <c r="IP81" s="70">
        <f t="shared" si="121"/>
        <v>3785204</v>
      </c>
      <c r="IQ81" s="70">
        <f t="shared" si="122"/>
        <v>0</v>
      </c>
      <c r="IR81" s="70">
        <f t="shared" si="161"/>
        <v>242317</v>
      </c>
      <c r="IS81" s="70">
        <f t="shared" si="162"/>
        <v>0</v>
      </c>
      <c r="IT81" s="70">
        <f t="shared" si="123"/>
        <v>3909533</v>
      </c>
      <c r="IU81" s="70">
        <f t="shared" si="124"/>
        <v>0</v>
      </c>
      <c r="IV81" s="70">
        <f t="shared" si="125"/>
        <v>22310</v>
      </c>
      <c r="IW81" s="70">
        <f t="shared" si="126"/>
        <v>0</v>
      </c>
      <c r="IX81" s="70">
        <f t="shared" si="127"/>
        <v>84106</v>
      </c>
      <c r="IY81" s="70">
        <f t="shared" si="128"/>
        <v>0</v>
      </c>
      <c r="IZ81" s="70">
        <f t="shared" si="129"/>
        <v>402018</v>
      </c>
      <c r="JA81" s="70">
        <f t="shared" si="130"/>
        <v>0</v>
      </c>
      <c r="JB81" s="70">
        <f t="shared" si="131"/>
        <v>2194765</v>
      </c>
      <c r="JC81" s="70">
        <f t="shared" si="132"/>
        <v>0</v>
      </c>
      <c r="JD81" s="70">
        <f t="shared" si="133"/>
        <v>427797</v>
      </c>
      <c r="JE81" s="70">
        <f t="shared" si="134"/>
        <v>0</v>
      </c>
      <c r="JF81" s="70">
        <f t="shared" si="135"/>
        <v>752250</v>
      </c>
      <c r="JG81" s="70">
        <f t="shared" si="136"/>
        <v>0</v>
      </c>
      <c r="JH81" s="70">
        <f t="shared" si="137"/>
        <v>803449</v>
      </c>
      <c r="JI81" s="70">
        <f t="shared" si="138"/>
        <v>0</v>
      </c>
      <c r="JJ81" s="70">
        <f t="shared" si="139"/>
        <v>0</v>
      </c>
      <c r="JK81" s="70">
        <f t="shared" si="140"/>
        <v>0</v>
      </c>
      <c r="JL81" s="70">
        <f t="shared" si="141"/>
        <v>8004148</v>
      </c>
      <c r="JM81" s="70">
        <f t="shared" si="142"/>
        <v>0</v>
      </c>
      <c r="JN81" s="70">
        <f t="shared" si="143"/>
        <v>147452</v>
      </c>
      <c r="JO81" s="70">
        <f t="shared" si="144"/>
        <v>0</v>
      </c>
      <c r="JP81" s="70">
        <f t="shared" si="145"/>
        <v>0</v>
      </c>
      <c r="JQ81" s="70">
        <f t="shared" si="146"/>
        <v>0</v>
      </c>
      <c r="JR81" s="70">
        <f t="shared" si="147"/>
        <v>295937</v>
      </c>
      <c r="JS81" s="70">
        <f t="shared" si="148"/>
        <v>0</v>
      </c>
      <c r="JT81" s="70">
        <f t="shared" si="149"/>
        <v>96746</v>
      </c>
      <c r="JU81" s="70">
        <f t="shared" si="150"/>
        <v>0</v>
      </c>
      <c r="JV81" s="70">
        <f t="shared" si="151"/>
        <v>1728513</v>
      </c>
      <c r="JW81" s="70">
        <f t="shared" si="152"/>
        <v>0</v>
      </c>
      <c r="JX81" s="70">
        <f t="shared" si="153"/>
        <v>28378049</v>
      </c>
      <c r="JY81" s="70">
        <f t="shared" si="154"/>
        <v>0</v>
      </c>
      <c r="JZ81" s="70">
        <f t="shared" si="155"/>
        <v>0</v>
      </c>
      <c r="KA81" s="70">
        <f t="shared" si="156"/>
        <v>0</v>
      </c>
      <c r="KB81" s="70">
        <f t="shared" si="157"/>
        <v>28378049</v>
      </c>
      <c r="KC81" s="70">
        <f t="shared" si="158"/>
        <v>0</v>
      </c>
      <c r="KE81" s="70" t="e">
        <f t="shared" si="159"/>
        <v>#REF!</v>
      </c>
      <c r="KG81" s="68" t="e">
        <f t="shared" si="160"/>
        <v>#REF!</v>
      </c>
    </row>
    <row r="82" spans="1:294">
      <c r="A82" s="76" t="s">
        <v>303</v>
      </c>
      <c r="B82" s="76" t="s">
        <v>365</v>
      </c>
      <c r="C82" s="90">
        <v>229115</v>
      </c>
      <c r="D82" s="90">
        <v>2014</v>
      </c>
      <c r="E82" s="90">
        <v>1</v>
      </c>
      <c r="F82" s="91">
        <v>2</v>
      </c>
      <c r="G82" s="92">
        <v>13449</v>
      </c>
      <c r="H82" s="92">
        <v>10853</v>
      </c>
      <c r="I82" s="93">
        <v>731319979</v>
      </c>
      <c r="J82" s="93">
        <v>652204710</v>
      </c>
      <c r="K82" s="93">
        <v>12501180</v>
      </c>
      <c r="L82" s="93">
        <v>12657469</v>
      </c>
      <c r="M82" s="93">
        <v>53584826</v>
      </c>
      <c r="N82" s="93">
        <v>24611913</v>
      </c>
      <c r="O82" s="93">
        <v>115891307</v>
      </c>
      <c r="P82" s="93">
        <v>115218622</v>
      </c>
      <c r="Q82" s="93">
        <v>405810704</v>
      </c>
      <c r="R82" s="93">
        <v>372384580</v>
      </c>
      <c r="S82" s="93">
        <v>494984868</v>
      </c>
      <c r="T82" s="93">
        <v>440208052</v>
      </c>
      <c r="U82" s="93">
        <v>19758</v>
      </c>
      <c r="V82" s="93">
        <v>19610</v>
      </c>
      <c r="W82" s="93">
        <v>30387</v>
      </c>
      <c r="X82" s="93">
        <v>30140</v>
      </c>
      <c r="Y82" s="93">
        <v>23326</v>
      </c>
      <c r="Z82" s="93">
        <v>23326</v>
      </c>
      <c r="AA82" s="93">
        <v>33946</v>
      </c>
      <c r="AB82" s="93">
        <v>33856</v>
      </c>
      <c r="AC82" s="114">
        <v>8</v>
      </c>
      <c r="AD82" s="114">
        <v>9</v>
      </c>
      <c r="AE82" s="114">
        <v>0</v>
      </c>
      <c r="AF82" s="115">
        <v>3283260</v>
      </c>
      <c r="AG82" s="115">
        <v>2253351</v>
      </c>
      <c r="AH82" s="115">
        <v>1292400</v>
      </c>
      <c r="AI82" s="115">
        <v>562788</v>
      </c>
      <c r="AJ82" s="115">
        <v>908884</v>
      </c>
      <c r="AK82" s="116">
        <v>5.5</v>
      </c>
      <c r="AL82" s="115">
        <v>833144</v>
      </c>
      <c r="AM82" s="116">
        <v>6</v>
      </c>
      <c r="AN82" s="115">
        <v>232210</v>
      </c>
      <c r="AO82" s="116">
        <v>6.5</v>
      </c>
      <c r="AP82" s="115">
        <v>215623</v>
      </c>
      <c r="AQ82" s="116">
        <v>7</v>
      </c>
      <c r="AR82" s="115">
        <v>208741</v>
      </c>
      <c r="AS82" s="116">
        <v>18.5</v>
      </c>
      <c r="AT82" s="115">
        <v>183891</v>
      </c>
      <c r="AU82" s="116">
        <v>21</v>
      </c>
      <c r="AV82" s="115">
        <v>95698</v>
      </c>
      <c r="AW82" s="116">
        <v>13.5</v>
      </c>
      <c r="AX82" s="115">
        <v>80746</v>
      </c>
      <c r="AY82" s="116">
        <v>16</v>
      </c>
      <c r="AZ82" s="139">
        <v>9434804</v>
      </c>
      <c r="BA82" s="139">
        <v>200000</v>
      </c>
      <c r="BB82" s="139">
        <v>27627158</v>
      </c>
      <c r="BC82" s="139">
        <v>913809</v>
      </c>
      <c r="BD82" s="139">
        <v>9800</v>
      </c>
      <c r="BE82" s="139">
        <v>0</v>
      </c>
      <c r="BF82" s="139">
        <v>0</v>
      </c>
      <c r="BG82" s="139">
        <v>0</v>
      </c>
      <c r="BH82" s="139">
        <v>0</v>
      </c>
      <c r="BI82" s="139">
        <v>0</v>
      </c>
      <c r="BJ82" s="139">
        <v>0</v>
      </c>
      <c r="BK82" s="139">
        <v>140680</v>
      </c>
      <c r="BL82" s="139">
        <v>41110</v>
      </c>
      <c r="BM82" s="139">
        <v>35270</v>
      </c>
      <c r="BN82" s="139">
        <v>196372</v>
      </c>
      <c r="BO82" s="139">
        <v>116406</v>
      </c>
      <c r="BP82" s="139">
        <v>529838</v>
      </c>
      <c r="BQ82" s="139">
        <v>27710</v>
      </c>
      <c r="BR82" s="139">
        <v>-24120</v>
      </c>
      <c r="BS82" s="139">
        <v>17505</v>
      </c>
      <c r="BT82" s="139">
        <v>115591</v>
      </c>
      <c r="BU82" s="139">
        <v>1151019</v>
      </c>
      <c r="BV82" s="139">
        <v>1287705</v>
      </c>
      <c r="BW82" s="139">
        <v>44791301</v>
      </c>
      <c r="BX82" s="139">
        <v>7758903</v>
      </c>
      <c r="BY82" s="139">
        <v>2454388</v>
      </c>
      <c r="BZ82" s="139">
        <v>3332295</v>
      </c>
      <c r="CA82" s="139">
        <v>18386526</v>
      </c>
      <c r="CB82" s="139">
        <v>76723413</v>
      </c>
      <c r="CC82" s="139">
        <v>2140420</v>
      </c>
      <c r="CD82" s="139">
        <v>330248</v>
      </c>
      <c r="CE82" s="139">
        <v>398270</v>
      </c>
      <c r="CF82" s="139">
        <v>2667673</v>
      </c>
      <c r="CG82" s="139">
        <v>112706</v>
      </c>
      <c r="CH82" s="139">
        <v>5649317</v>
      </c>
      <c r="CI82" s="139">
        <v>587500</v>
      </c>
      <c r="CJ82" s="139">
        <v>566694</v>
      </c>
      <c r="CK82" s="139">
        <v>171959</v>
      </c>
      <c r="CL82" s="139">
        <v>102112</v>
      </c>
      <c r="CM82" s="139">
        <v>0</v>
      </c>
      <c r="CN82" s="139">
        <v>1428265</v>
      </c>
      <c r="CO82" s="139">
        <v>4947932</v>
      </c>
      <c r="CP82" s="139">
        <v>2365077</v>
      </c>
      <c r="CQ82" s="139">
        <v>942105</v>
      </c>
      <c r="CR82" s="139">
        <v>3406741</v>
      </c>
      <c r="CS82" s="139">
        <v>0</v>
      </c>
      <c r="CT82" s="139">
        <v>11661855</v>
      </c>
      <c r="CU82" s="139">
        <v>0</v>
      </c>
      <c r="CV82" s="139">
        <v>0</v>
      </c>
      <c r="CW82" s="139">
        <v>0</v>
      </c>
      <c r="CX82" s="139">
        <v>0</v>
      </c>
      <c r="CY82" s="139">
        <v>0</v>
      </c>
      <c r="CZ82" s="139">
        <v>0</v>
      </c>
      <c r="DA82" s="139">
        <v>1756852</v>
      </c>
      <c r="DB82" s="139">
        <v>486889</v>
      </c>
      <c r="DC82" s="139">
        <v>236430</v>
      </c>
      <c r="DD82" s="139">
        <v>435274</v>
      </c>
      <c r="DE82" s="139">
        <v>10446339</v>
      </c>
      <c r="DF82" s="139">
        <v>13361784</v>
      </c>
      <c r="DG82" s="139">
        <v>0</v>
      </c>
      <c r="DH82" s="139">
        <v>0</v>
      </c>
      <c r="DI82" s="139">
        <v>0</v>
      </c>
      <c r="DJ82" s="139">
        <v>0</v>
      </c>
      <c r="DK82" s="139">
        <v>0</v>
      </c>
      <c r="DL82" s="139">
        <v>0</v>
      </c>
      <c r="DM82" s="139">
        <v>0</v>
      </c>
      <c r="DN82" s="139">
        <v>0</v>
      </c>
      <c r="DO82" s="139">
        <v>0</v>
      </c>
      <c r="DP82" s="139">
        <v>0</v>
      </c>
      <c r="DQ82" s="139">
        <v>0</v>
      </c>
      <c r="DR82" s="139">
        <v>0</v>
      </c>
      <c r="DS82" s="139">
        <v>751027</v>
      </c>
      <c r="DT82" s="139">
        <v>282187</v>
      </c>
      <c r="DU82" s="139">
        <v>237082</v>
      </c>
      <c r="DV82" s="139">
        <v>584892</v>
      </c>
      <c r="DW82" s="139">
        <v>0</v>
      </c>
      <c r="DX82" s="139">
        <v>1855188</v>
      </c>
      <c r="DY82" s="139">
        <v>1730501</v>
      </c>
      <c r="DZ82" s="139">
        <v>853897</v>
      </c>
      <c r="EA82" s="139">
        <v>569259</v>
      </c>
      <c r="EB82" s="139">
        <v>2198439</v>
      </c>
      <c r="EC82" s="139">
        <v>0</v>
      </c>
      <c r="ED82" s="139">
        <v>5352096</v>
      </c>
      <c r="EE82" s="139">
        <v>971981</v>
      </c>
      <c r="EF82" s="139">
        <v>81241</v>
      </c>
      <c r="EG82" s="139">
        <v>103001</v>
      </c>
      <c r="EH82" s="139">
        <v>703471</v>
      </c>
      <c r="EI82" s="139">
        <v>30824</v>
      </c>
      <c r="EJ82" s="139">
        <v>1890518</v>
      </c>
      <c r="EK82" s="139">
        <v>1515891</v>
      </c>
      <c r="EL82" s="139">
        <v>330276</v>
      </c>
      <c r="EM82" s="139">
        <v>273752</v>
      </c>
      <c r="EN82" s="139">
        <v>647109</v>
      </c>
      <c r="EO82" s="139">
        <v>114410</v>
      </c>
      <c r="EP82" s="139">
        <v>2881438</v>
      </c>
      <c r="EQ82" s="139">
        <v>24959</v>
      </c>
      <c r="ER82" s="139">
        <v>26894</v>
      </c>
      <c r="ES82" s="139">
        <v>14477</v>
      </c>
      <c r="ET82" s="139">
        <v>57777</v>
      </c>
      <c r="EU82" s="139">
        <v>1980575</v>
      </c>
      <c r="EV82" s="139">
        <v>2104682</v>
      </c>
      <c r="EW82" s="139">
        <v>0</v>
      </c>
      <c r="EX82" s="139">
        <v>0</v>
      </c>
      <c r="EY82" s="139">
        <v>0</v>
      </c>
      <c r="EZ82" s="139">
        <v>0</v>
      </c>
      <c r="FA82" s="139">
        <v>0</v>
      </c>
      <c r="FB82" s="139">
        <v>0</v>
      </c>
      <c r="FC82" s="139">
        <v>9257464</v>
      </c>
      <c r="FD82" s="139">
        <v>1469255</v>
      </c>
      <c r="FE82" s="139">
        <v>1391903</v>
      </c>
      <c r="FF82" s="139">
        <v>3893129</v>
      </c>
      <c r="FG82" s="139">
        <v>3944511</v>
      </c>
      <c r="FH82" s="139">
        <v>19956262</v>
      </c>
      <c r="FI82" s="139">
        <v>199766</v>
      </c>
      <c r="FJ82" s="139">
        <v>0</v>
      </c>
      <c r="FK82" s="139">
        <v>0</v>
      </c>
      <c r="FL82" s="139">
        <v>0</v>
      </c>
      <c r="FM82" s="139">
        <v>61717</v>
      </c>
      <c r="FN82" s="139">
        <v>261483</v>
      </c>
      <c r="FO82" s="139">
        <v>0</v>
      </c>
      <c r="FP82" s="139">
        <v>0</v>
      </c>
      <c r="FQ82" s="139">
        <v>0</v>
      </c>
      <c r="FR82" s="139">
        <v>0</v>
      </c>
      <c r="FS82" s="139">
        <v>0</v>
      </c>
      <c r="FT82" s="139">
        <v>0</v>
      </c>
      <c r="FU82" s="139">
        <v>45613</v>
      </c>
      <c r="FV82" s="139">
        <v>3327</v>
      </c>
      <c r="FW82" s="139">
        <v>7241</v>
      </c>
      <c r="FX82" s="139">
        <v>87785</v>
      </c>
      <c r="FY82" s="139">
        <v>697745</v>
      </c>
      <c r="FZ82" s="139">
        <v>841711</v>
      </c>
      <c r="GA82" s="139">
        <v>9273</v>
      </c>
      <c r="GB82" s="139">
        <v>4375</v>
      </c>
      <c r="GC82" s="139">
        <v>9688</v>
      </c>
      <c r="GD82" s="139">
        <v>19677</v>
      </c>
      <c r="GE82" s="139">
        <v>53357</v>
      </c>
      <c r="GF82" s="139">
        <v>96370</v>
      </c>
      <c r="GG82" s="139">
        <v>280607</v>
      </c>
      <c r="GH82" s="139">
        <v>123974</v>
      </c>
      <c r="GI82" s="139">
        <v>90293</v>
      </c>
      <c r="GJ82" s="139">
        <v>247225</v>
      </c>
      <c r="GK82" s="139">
        <v>1576540</v>
      </c>
      <c r="GL82" s="139">
        <v>2318639</v>
      </c>
      <c r="GM82" s="139">
        <v>24219786</v>
      </c>
      <c r="GN82" s="139">
        <v>6924334</v>
      </c>
      <c r="GO82" s="139">
        <v>4445460</v>
      </c>
      <c r="GP82" s="139">
        <v>15051304</v>
      </c>
      <c r="GQ82" s="139">
        <v>19018724</v>
      </c>
      <c r="GR82" s="139">
        <v>69659608</v>
      </c>
      <c r="GS82" s="139">
        <v>0</v>
      </c>
      <c r="GT82" s="139">
        <v>0</v>
      </c>
      <c r="GU82" s="139">
        <v>0</v>
      </c>
      <c r="GV82" s="139">
        <v>0</v>
      </c>
      <c r="GW82" s="139">
        <v>0</v>
      </c>
      <c r="GX82" s="139">
        <v>0</v>
      </c>
      <c r="GY82" s="139">
        <v>24219786</v>
      </c>
      <c r="GZ82" s="139">
        <v>6924334</v>
      </c>
      <c r="HA82" s="139">
        <v>4445460</v>
      </c>
      <c r="HB82" s="139">
        <v>15051304</v>
      </c>
      <c r="HC82" s="139">
        <v>19018724</v>
      </c>
      <c r="HD82" s="139">
        <v>69659608</v>
      </c>
      <c r="HF82" s="70">
        <f>SUM(AZ82:AZ82)</f>
        <v>9434804</v>
      </c>
      <c r="HG82" s="70" t="e">
        <f>#REF!-HF82</f>
        <v>#REF!</v>
      </c>
      <c r="HH82" s="70" t="e">
        <f>SUM(#REF!)</f>
        <v>#REF!</v>
      </c>
      <c r="HI82" s="70" t="e">
        <f>#REF!-HH82</f>
        <v>#REF!</v>
      </c>
      <c r="HJ82" s="70">
        <f>SUM(BA82:BA82)</f>
        <v>200000</v>
      </c>
      <c r="HK82" s="70" t="e">
        <f>#REF!-HJ82</f>
        <v>#REF!</v>
      </c>
      <c r="HL82" s="70" t="e">
        <f>SUM(#REF!)</f>
        <v>#REF!</v>
      </c>
      <c r="HM82" s="70" t="e">
        <f>BB82-HL82</f>
        <v>#REF!</v>
      </c>
      <c r="HN82" s="70" t="e">
        <f>SUM(#REF!)</f>
        <v>#REF!</v>
      </c>
      <c r="HO82" s="70" t="e">
        <f>#REF!-HN82</f>
        <v>#REF!</v>
      </c>
      <c r="HP82" s="70" t="e">
        <f>SUM(#REF!)</f>
        <v>#REF!</v>
      </c>
      <c r="HQ82" s="70" t="e">
        <f>#REF!-HP82</f>
        <v>#REF!</v>
      </c>
      <c r="HR82" s="70" t="e">
        <f>SUM(#REF!)</f>
        <v>#REF!</v>
      </c>
      <c r="HS82" s="70" t="e">
        <f>#REF!-HR82</f>
        <v>#REF!</v>
      </c>
      <c r="HT82" s="70" t="e">
        <f>SUM(#REF!)</f>
        <v>#REF!</v>
      </c>
      <c r="HU82" s="70" t="e">
        <f>#REF!-HT82</f>
        <v>#REF!</v>
      </c>
      <c r="HV82" s="70" t="e">
        <f>SUM(#REF!)</f>
        <v>#REF!</v>
      </c>
      <c r="HW82" s="70" t="e">
        <f>#REF!-HV82</f>
        <v>#REF!</v>
      </c>
      <c r="HX82" s="70" t="e">
        <f>SUM(#REF!)</f>
        <v>#REF!</v>
      </c>
      <c r="HY82" s="70" t="e">
        <f>#REF!-HX82</f>
        <v>#REF!</v>
      </c>
      <c r="HZ82" s="70">
        <f>SUM(BC82:BC82)</f>
        <v>913809</v>
      </c>
      <c r="IA82" s="70" t="e">
        <f>#REF!-HZ82</f>
        <v>#REF!</v>
      </c>
      <c r="IB82" s="70">
        <f>SUM(BD82:BD82)</f>
        <v>9800</v>
      </c>
      <c r="IC82" s="70" t="e">
        <f>#REF!-IB82</f>
        <v>#REF!</v>
      </c>
      <c r="ID82" s="70">
        <f t="shared" si="109"/>
        <v>0</v>
      </c>
      <c r="IE82" s="70">
        <f t="shared" si="110"/>
        <v>0</v>
      </c>
      <c r="IF82" s="70">
        <f t="shared" si="111"/>
        <v>529838</v>
      </c>
      <c r="IG82" s="70">
        <f t="shared" si="112"/>
        <v>0</v>
      </c>
      <c r="IH82" s="70">
        <f t="shared" si="113"/>
        <v>1287705</v>
      </c>
      <c r="II82" s="70">
        <f t="shared" si="114"/>
        <v>0</v>
      </c>
      <c r="IJ82" s="70">
        <f t="shared" si="115"/>
        <v>76723413</v>
      </c>
      <c r="IK82" s="70">
        <f t="shared" si="116"/>
        <v>0</v>
      </c>
      <c r="IL82" s="70">
        <f t="shared" si="117"/>
        <v>5649317</v>
      </c>
      <c r="IM82" s="70">
        <f t="shared" si="118"/>
        <v>0</v>
      </c>
      <c r="IN82" s="70">
        <f t="shared" si="119"/>
        <v>1428265</v>
      </c>
      <c r="IO82" s="70">
        <f t="shared" si="120"/>
        <v>0</v>
      </c>
      <c r="IP82" s="70">
        <f t="shared" si="121"/>
        <v>11661855</v>
      </c>
      <c r="IQ82" s="70">
        <f t="shared" si="122"/>
        <v>0</v>
      </c>
      <c r="IR82" s="70">
        <f t="shared" si="161"/>
        <v>0</v>
      </c>
      <c r="IS82" s="70">
        <f t="shared" si="162"/>
        <v>0</v>
      </c>
      <c r="IT82" s="70">
        <f t="shared" si="123"/>
        <v>13361784</v>
      </c>
      <c r="IU82" s="70">
        <f t="shared" si="124"/>
        <v>0</v>
      </c>
      <c r="IV82" s="70">
        <f t="shared" si="125"/>
        <v>0</v>
      </c>
      <c r="IW82" s="70">
        <f t="shared" si="126"/>
        <v>0</v>
      </c>
      <c r="IX82" s="70">
        <f t="shared" si="127"/>
        <v>0</v>
      </c>
      <c r="IY82" s="70">
        <f t="shared" si="128"/>
        <v>0</v>
      </c>
      <c r="IZ82" s="70">
        <f t="shared" si="129"/>
        <v>1855188</v>
      </c>
      <c r="JA82" s="70">
        <f t="shared" si="130"/>
        <v>0</v>
      </c>
      <c r="JB82" s="70">
        <f t="shared" si="131"/>
        <v>5352096</v>
      </c>
      <c r="JC82" s="70">
        <f t="shared" si="132"/>
        <v>0</v>
      </c>
      <c r="JD82" s="70">
        <f t="shared" si="133"/>
        <v>1890518</v>
      </c>
      <c r="JE82" s="70">
        <f t="shared" si="134"/>
        <v>0</v>
      </c>
      <c r="JF82" s="70">
        <f t="shared" si="135"/>
        <v>2881438</v>
      </c>
      <c r="JG82" s="70">
        <f t="shared" si="136"/>
        <v>0</v>
      </c>
      <c r="JH82" s="70">
        <f t="shared" si="137"/>
        <v>2104682</v>
      </c>
      <c r="JI82" s="70">
        <f t="shared" si="138"/>
        <v>0</v>
      </c>
      <c r="JJ82" s="70">
        <f t="shared" si="139"/>
        <v>0</v>
      </c>
      <c r="JK82" s="70">
        <f t="shared" si="140"/>
        <v>0</v>
      </c>
      <c r="JL82" s="70">
        <f t="shared" si="141"/>
        <v>19956262</v>
      </c>
      <c r="JM82" s="70">
        <f t="shared" si="142"/>
        <v>0</v>
      </c>
      <c r="JN82" s="70">
        <f t="shared" si="143"/>
        <v>261483</v>
      </c>
      <c r="JO82" s="70">
        <f t="shared" si="144"/>
        <v>0</v>
      </c>
      <c r="JP82" s="70">
        <f t="shared" si="145"/>
        <v>0</v>
      </c>
      <c r="JQ82" s="70">
        <f t="shared" si="146"/>
        <v>0</v>
      </c>
      <c r="JR82" s="70">
        <f t="shared" si="147"/>
        <v>841711</v>
      </c>
      <c r="JS82" s="70">
        <f t="shared" si="148"/>
        <v>0</v>
      </c>
      <c r="JT82" s="70">
        <f t="shared" si="149"/>
        <v>96370</v>
      </c>
      <c r="JU82" s="70">
        <f t="shared" si="150"/>
        <v>0</v>
      </c>
      <c r="JV82" s="70">
        <f t="shared" si="151"/>
        <v>2318639</v>
      </c>
      <c r="JW82" s="70">
        <f t="shared" si="152"/>
        <v>0</v>
      </c>
      <c r="JX82" s="70">
        <f t="shared" si="153"/>
        <v>69659608</v>
      </c>
      <c r="JY82" s="70">
        <f t="shared" si="154"/>
        <v>0</v>
      </c>
      <c r="JZ82" s="70">
        <f t="shared" si="155"/>
        <v>0</v>
      </c>
      <c r="KA82" s="70">
        <f t="shared" si="156"/>
        <v>0</v>
      </c>
      <c r="KB82" s="70">
        <f t="shared" si="157"/>
        <v>69659608</v>
      </c>
      <c r="KC82" s="70">
        <f t="shared" si="158"/>
        <v>0</v>
      </c>
      <c r="KE82" s="70" t="e">
        <f t="shared" si="159"/>
        <v>#REF!</v>
      </c>
      <c r="KG82" s="68" t="e">
        <f t="shared" si="160"/>
        <v>#REF!</v>
      </c>
    </row>
    <row r="83" spans="1:294">
      <c r="A83" s="180" t="s">
        <v>304</v>
      </c>
      <c r="B83" s="76" t="s">
        <v>365</v>
      </c>
      <c r="C83" s="90">
        <v>206084</v>
      </c>
      <c r="D83" s="90">
        <v>2014</v>
      </c>
      <c r="E83" s="90">
        <v>1</v>
      </c>
      <c r="F83" s="91">
        <v>9</v>
      </c>
      <c r="G83" s="92">
        <v>7250</v>
      </c>
      <c r="H83" s="92">
        <v>6800</v>
      </c>
      <c r="I83" s="93">
        <v>843685000</v>
      </c>
      <c r="J83" s="93">
        <v>838337000</v>
      </c>
      <c r="K83" s="93">
        <v>1779334</v>
      </c>
      <c r="L83" s="93">
        <v>1803738</v>
      </c>
      <c r="M83" s="93">
        <v>30146000</v>
      </c>
      <c r="N83" s="93">
        <v>38996000</v>
      </c>
      <c r="O83" s="93">
        <v>44287974</v>
      </c>
      <c r="P83" s="93">
        <v>46091711</v>
      </c>
      <c r="Q83" s="93">
        <v>483660000</v>
      </c>
      <c r="R83" s="93">
        <v>360225000</v>
      </c>
      <c r="S83" s="93">
        <v>356340000</v>
      </c>
      <c r="T83" s="93">
        <v>370606000</v>
      </c>
      <c r="U83" s="93">
        <v>21338</v>
      </c>
      <c r="V83" s="93">
        <v>20904</v>
      </c>
      <c r="W83" s="93">
        <v>30676</v>
      </c>
      <c r="X83" s="93">
        <v>30024</v>
      </c>
      <c r="Y83" s="93">
        <v>24921</v>
      </c>
      <c r="Z83" s="93">
        <v>24487</v>
      </c>
      <c r="AA83" s="93">
        <v>34259</v>
      </c>
      <c r="AB83" s="93">
        <v>33607</v>
      </c>
      <c r="AC83" s="114">
        <v>6</v>
      </c>
      <c r="AD83" s="114">
        <v>10</v>
      </c>
      <c r="AE83" s="114">
        <v>0</v>
      </c>
      <c r="AF83" s="115">
        <v>3276614</v>
      </c>
      <c r="AG83" s="115">
        <v>2891455</v>
      </c>
      <c r="AH83" s="115">
        <v>394603</v>
      </c>
      <c r="AI83" s="115">
        <v>128593</v>
      </c>
      <c r="AJ83" s="115" t="s">
        <v>353</v>
      </c>
      <c r="AK83" s="116">
        <v>5.25</v>
      </c>
      <c r="AL83" s="115">
        <v>257678</v>
      </c>
      <c r="AM83" s="116">
        <v>6</v>
      </c>
      <c r="AN83" s="115" t="s">
        <v>354</v>
      </c>
      <c r="AO83" s="116">
        <v>7.75</v>
      </c>
      <c r="AP83" s="115">
        <v>125079</v>
      </c>
      <c r="AQ83" s="116">
        <v>8</v>
      </c>
      <c r="AR83" s="115">
        <v>117420</v>
      </c>
      <c r="AS83" s="116">
        <v>14.25</v>
      </c>
      <c r="AT83" s="115">
        <v>111549</v>
      </c>
      <c r="AU83" s="116">
        <v>15</v>
      </c>
      <c r="AV83" s="115">
        <v>63750</v>
      </c>
      <c r="AW83" s="116">
        <v>11.75</v>
      </c>
      <c r="AX83" s="115">
        <v>57458</v>
      </c>
      <c r="AY83" s="116">
        <v>13</v>
      </c>
      <c r="AZ83" s="139">
        <v>824965</v>
      </c>
      <c r="BA83" s="139">
        <v>1100000</v>
      </c>
      <c r="BB83" s="139">
        <v>2581272</v>
      </c>
      <c r="BC83" s="139">
        <v>131106</v>
      </c>
      <c r="BD83" s="139">
        <v>0</v>
      </c>
      <c r="BE83" s="139">
        <v>54297</v>
      </c>
      <c r="BF83" s="139">
        <v>49855</v>
      </c>
      <c r="BG83" s="139">
        <v>51826</v>
      </c>
      <c r="BH83" s="139">
        <v>94002</v>
      </c>
      <c r="BI83" s="139">
        <v>0</v>
      </c>
      <c r="BJ83" s="139">
        <v>249980</v>
      </c>
      <c r="BK83" s="139">
        <v>0</v>
      </c>
      <c r="BL83" s="139">
        <v>0</v>
      </c>
      <c r="BM83" s="139">
        <v>0</v>
      </c>
      <c r="BN83" s="139">
        <v>0</v>
      </c>
      <c r="BO83" s="139">
        <v>0</v>
      </c>
      <c r="BP83" s="139">
        <v>0</v>
      </c>
      <c r="BQ83" s="139">
        <v>0</v>
      </c>
      <c r="BR83" s="139">
        <v>0</v>
      </c>
      <c r="BS83" s="139">
        <v>0</v>
      </c>
      <c r="BT83" s="139">
        <v>0</v>
      </c>
      <c r="BU83" s="139">
        <v>830033</v>
      </c>
      <c r="BV83" s="139">
        <v>830033</v>
      </c>
      <c r="BW83" s="139">
        <v>2210316</v>
      </c>
      <c r="BX83" s="139">
        <v>977501</v>
      </c>
      <c r="BY83" s="139">
        <v>372397</v>
      </c>
      <c r="BZ83" s="139">
        <v>129753</v>
      </c>
      <c r="CA83" s="139">
        <v>18869208</v>
      </c>
      <c r="CB83" s="139">
        <v>22559175</v>
      </c>
      <c r="CC83" s="139">
        <v>2230246</v>
      </c>
      <c r="CD83" s="139">
        <v>354656</v>
      </c>
      <c r="CE83" s="139">
        <v>415745</v>
      </c>
      <c r="CF83" s="139">
        <v>3167422</v>
      </c>
      <c r="CG83" s="139">
        <v>1453241</v>
      </c>
      <c r="CH83" s="139">
        <v>7621310</v>
      </c>
      <c r="CI83" s="139">
        <v>600000</v>
      </c>
      <c r="CJ83" s="139">
        <v>78000</v>
      </c>
      <c r="CK83" s="139">
        <v>39305</v>
      </c>
      <c r="CL83" s="139">
        <v>700</v>
      </c>
      <c r="CM83" s="139">
        <v>0</v>
      </c>
      <c r="CN83" s="139">
        <v>718005</v>
      </c>
      <c r="CO83" s="139">
        <v>1808660</v>
      </c>
      <c r="CP83" s="139">
        <v>1024796</v>
      </c>
      <c r="CQ83" s="139">
        <v>772275</v>
      </c>
      <c r="CR83" s="139">
        <v>1361161</v>
      </c>
      <c r="CS83" s="139">
        <v>0</v>
      </c>
      <c r="CT83" s="139">
        <v>4966892</v>
      </c>
      <c r="CU83" s="139">
        <v>0</v>
      </c>
      <c r="CV83" s="139">
        <v>0</v>
      </c>
      <c r="CW83" s="139">
        <v>0</v>
      </c>
      <c r="CX83" s="139">
        <v>0</v>
      </c>
      <c r="CY83" s="139">
        <v>0</v>
      </c>
      <c r="CZ83" s="139">
        <v>0</v>
      </c>
      <c r="DA83" s="139">
        <v>339338</v>
      </c>
      <c r="DB83" s="139">
        <v>52920</v>
      </c>
      <c r="DC83" s="139">
        <v>84328</v>
      </c>
      <c r="DD83" s="139">
        <v>0</v>
      </c>
      <c r="DE83" s="139">
        <v>2805439</v>
      </c>
      <c r="DF83" s="139">
        <v>3282025</v>
      </c>
      <c r="DG83" s="139">
        <v>0</v>
      </c>
      <c r="DH83" s="139">
        <v>0</v>
      </c>
      <c r="DI83" s="139">
        <v>0</v>
      </c>
      <c r="DJ83" s="139">
        <v>0</v>
      </c>
      <c r="DK83" s="139">
        <v>0</v>
      </c>
      <c r="DL83" s="139">
        <v>0</v>
      </c>
      <c r="DM83" s="139">
        <v>0</v>
      </c>
      <c r="DN83" s="139">
        <v>0</v>
      </c>
      <c r="DO83" s="139">
        <v>0</v>
      </c>
      <c r="DP83" s="139">
        <v>18522</v>
      </c>
      <c r="DQ83" s="139">
        <v>0</v>
      </c>
      <c r="DR83" s="139">
        <v>18522</v>
      </c>
      <c r="DS83" s="139">
        <v>242496</v>
      </c>
      <c r="DT83" s="139">
        <v>136126</v>
      </c>
      <c r="DU83" s="139">
        <v>69615</v>
      </c>
      <c r="DV83" s="139">
        <v>74959</v>
      </c>
      <c r="DW83" s="139">
        <v>0</v>
      </c>
      <c r="DX83" s="139">
        <v>523196</v>
      </c>
      <c r="DY83" s="139">
        <v>510619</v>
      </c>
      <c r="DZ83" s="139">
        <v>172713</v>
      </c>
      <c r="EA83" s="139">
        <v>131942</v>
      </c>
      <c r="EB83" s="139">
        <v>668916</v>
      </c>
      <c r="EC83" s="139">
        <v>171959</v>
      </c>
      <c r="ED83" s="139">
        <v>1656149</v>
      </c>
      <c r="EE83" s="139">
        <v>289034</v>
      </c>
      <c r="EF83" s="139">
        <v>49974</v>
      </c>
      <c r="EG83" s="139">
        <v>32849</v>
      </c>
      <c r="EH83" s="139">
        <v>235810</v>
      </c>
      <c r="EI83" s="139">
        <v>0</v>
      </c>
      <c r="EJ83" s="139">
        <v>607667</v>
      </c>
      <c r="EK83" s="139">
        <v>411603</v>
      </c>
      <c r="EL83" s="139">
        <v>286182</v>
      </c>
      <c r="EM83" s="139">
        <v>190928</v>
      </c>
      <c r="EN83" s="139">
        <v>59494</v>
      </c>
      <c r="EO83" s="139">
        <v>0</v>
      </c>
      <c r="EP83" s="139">
        <v>948207</v>
      </c>
      <c r="EQ83" s="139">
        <v>0</v>
      </c>
      <c r="ER83" s="139">
        <v>11570</v>
      </c>
      <c r="ES83" s="139">
        <v>0</v>
      </c>
      <c r="ET83" s="139">
        <v>0</v>
      </c>
      <c r="EU83" s="139">
        <v>756086</v>
      </c>
      <c r="EV83" s="139">
        <v>767656</v>
      </c>
      <c r="EW83" s="139">
        <v>46748</v>
      </c>
      <c r="EX83" s="139">
        <v>41693</v>
      </c>
      <c r="EY83" s="139">
        <v>42485</v>
      </c>
      <c r="EZ83" s="139">
        <v>98626</v>
      </c>
      <c r="FA83" s="139">
        <v>0</v>
      </c>
      <c r="FB83" s="139">
        <v>229552</v>
      </c>
      <c r="FC83" s="139">
        <v>0</v>
      </c>
      <c r="FD83" s="139">
        <v>0</v>
      </c>
      <c r="FE83" s="139">
        <v>0</v>
      </c>
      <c r="FF83" s="139">
        <v>0</v>
      </c>
      <c r="FG83" s="139">
        <v>584623</v>
      </c>
      <c r="FH83" s="139">
        <v>584623</v>
      </c>
      <c r="FI83" s="139">
        <v>0</v>
      </c>
      <c r="FJ83" s="139">
        <v>0</v>
      </c>
      <c r="FK83" s="139">
        <v>0</v>
      </c>
      <c r="FL83" s="139">
        <v>0</v>
      </c>
      <c r="FM83" s="139">
        <v>44873</v>
      </c>
      <c r="FN83" s="139">
        <v>44873</v>
      </c>
      <c r="FO83" s="139">
        <v>0</v>
      </c>
      <c r="FP83" s="139">
        <v>0</v>
      </c>
      <c r="FQ83" s="139">
        <v>0</v>
      </c>
      <c r="FR83" s="139">
        <v>0</v>
      </c>
      <c r="FS83" s="139">
        <v>2435894</v>
      </c>
      <c r="FT83" s="139">
        <v>2435894</v>
      </c>
      <c r="FU83" s="139">
        <v>0</v>
      </c>
      <c r="FV83" s="139">
        <v>0</v>
      </c>
      <c r="FW83" s="139">
        <v>0</v>
      </c>
      <c r="FX83" s="139">
        <v>0</v>
      </c>
      <c r="FY83" s="139">
        <v>285696</v>
      </c>
      <c r="FZ83" s="139">
        <v>285696</v>
      </c>
      <c r="GA83" s="139">
        <v>136000</v>
      </c>
      <c r="GB83" s="139">
        <v>2400</v>
      </c>
      <c r="GC83" s="139">
        <v>1175</v>
      </c>
      <c r="GD83" s="139">
        <v>17495</v>
      </c>
      <c r="GE83" s="139">
        <v>29375</v>
      </c>
      <c r="GF83" s="139">
        <v>186445</v>
      </c>
      <c r="GG83" s="139">
        <v>63158</v>
      </c>
      <c r="GH83" s="139">
        <v>15466</v>
      </c>
      <c r="GI83" s="139">
        <v>22889</v>
      </c>
      <c r="GJ83" s="139">
        <v>11461</v>
      </c>
      <c r="GK83" s="139">
        <v>1314645</v>
      </c>
      <c r="GL83" s="139">
        <v>1427619</v>
      </c>
      <c r="GM83" s="139">
        <v>6677902</v>
      </c>
      <c r="GN83" s="139">
        <v>2226496</v>
      </c>
      <c r="GO83" s="139">
        <v>1803536</v>
      </c>
      <c r="GP83" s="139">
        <v>5714566</v>
      </c>
      <c r="GQ83" s="139">
        <v>9881831</v>
      </c>
      <c r="GR83" s="139">
        <v>26304331</v>
      </c>
      <c r="GS83" s="139">
        <v>0</v>
      </c>
      <c r="GT83" s="139">
        <v>0</v>
      </c>
      <c r="GU83" s="139">
        <v>0</v>
      </c>
      <c r="GV83" s="139">
        <v>0</v>
      </c>
      <c r="GW83" s="139">
        <v>0</v>
      </c>
      <c r="GX83" s="139">
        <v>0</v>
      </c>
      <c r="GY83" s="139">
        <v>6677902</v>
      </c>
      <c r="GZ83" s="139">
        <v>2226496</v>
      </c>
      <c r="HA83" s="139">
        <v>1803536</v>
      </c>
      <c r="HB83" s="139">
        <v>5714566</v>
      </c>
      <c r="HC83" s="139">
        <v>9881831</v>
      </c>
      <c r="HD83" s="139">
        <v>26304331</v>
      </c>
      <c r="HF83" s="70">
        <f>SUM(AZ83:AZ83)</f>
        <v>824965</v>
      </c>
      <c r="HG83" s="70" t="e">
        <f>#REF!-HF83</f>
        <v>#REF!</v>
      </c>
      <c r="HH83" s="70" t="e">
        <f>SUM(#REF!)</f>
        <v>#REF!</v>
      </c>
      <c r="HI83" s="70" t="e">
        <f>#REF!-HH83</f>
        <v>#REF!</v>
      </c>
      <c r="HJ83" s="70">
        <f>SUM(BA83:BA83)</f>
        <v>1100000</v>
      </c>
      <c r="HK83" s="70" t="e">
        <f>#REF!-HJ83</f>
        <v>#REF!</v>
      </c>
      <c r="HL83" s="70" t="e">
        <f>SUM(#REF!)</f>
        <v>#REF!</v>
      </c>
      <c r="HM83" s="70" t="e">
        <f>BB83-HL83</f>
        <v>#REF!</v>
      </c>
      <c r="HN83" s="70" t="e">
        <f>SUM(#REF!)</f>
        <v>#REF!</v>
      </c>
      <c r="HO83" s="70" t="e">
        <f>#REF!-HN83</f>
        <v>#REF!</v>
      </c>
      <c r="HP83" s="70" t="e">
        <f>SUM(#REF!)</f>
        <v>#REF!</v>
      </c>
      <c r="HQ83" s="70" t="e">
        <f>#REF!-HP83</f>
        <v>#REF!</v>
      </c>
      <c r="HR83" s="70" t="e">
        <f>SUM(#REF!)</f>
        <v>#REF!</v>
      </c>
      <c r="HS83" s="70" t="e">
        <f>#REF!-HR83</f>
        <v>#REF!</v>
      </c>
      <c r="HT83" s="70" t="e">
        <f>SUM(#REF!)</f>
        <v>#REF!</v>
      </c>
      <c r="HU83" s="70" t="e">
        <f>#REF!-HT83</f>
        <v>#REF!</v>
      </c>
      <c r="HV83" s="70" t="e">
        <f>SUM(#REF!)</f>
        <v>#REF!</v>
      </c>
      <c r="HW83" s="70" t="e">
        <f>#REF!-HV83</f>
        <v>#REF!</v>
      </c>
      <c r="HX83" s="70" t="e">
        <f>SUM(#REF!)</f>
        <v>#REF!</v>
      </c>
      <c r="HY83" s="70" t="e">
        <f>#REF!-HX83</f>
        <v>#REF!</v>
      </c>
      <c r="HZ83" s="70">
        <f>SUM(BC83:BC83)</f>
        <v>131106</v>
      </c>
      <c r="IA83" s="70" t="e">
        <f>#REF!-HZ83</f>
        <v>#REF!</v>
      </c>
      <c r="IB83" s="70">
        <f>SUM(BD83:BD83)</f>
        <v>0</v>
      </c>
      <c r="IC83" s="70" t="e">
        <f>#REF!-IB83</f>
        <v>#REF!</v>
      </c>
      <c r="ID83" s="70">
        <f t="shared" si="109"/>
        <v>249980</v>
      </c>
      <c r="IE83" s="70">
        <f t="shared" si="110"/>
        <v>0</v>
      </c>
      <c r="IF83" s="70">
        <f t="shared" si="111"/>
        <v>0</v>
      </c>
      <c r="IG83" s="70">
        <f t="shared" si="112"/>
        <v>0</v>
      </c>
      <c r="IH83" s="70">
        <f t="shared" si="113"/>
        <v>830033</v>
      </c>
      <c r="II83" s="70">
        <f t="shared" si="114"/>
        <v>0</v>
      </c>
      <c r="IJ83" s="70">
        <f t="shared" si="115"/>
        <v>22559175</v>
      </c>
      <c r="IK83" s="70">
        <f t="shared" si="116"/>
        <v>0</v>
      </c>
      <c r="IL83" s="70">
        <f t="shared" si="117"/>
        <v>7621310</v>
      </c>
      <c r="IM83" s="70">
        <f t="shared" si="118"/>
        <v>0</v>
      </c>
      <c r="IN83" s="70">
        <f t="shared" si="119"/>
        <v>718005</v>
      </c>
      <c r="IO83" s="70">
        <f t="shared" si="120"/>
        <v>0</v>
      </c>
      <c r="IP83" s="70">
        <f t="shared" si="121"/>
        <v>4966892</v>
      </c>
      <c r="IQ83" s="70">
        <f t="shared" si="122"/>
        <v>0</v>
      </c>
      <c r="IR83" s="70">
        <f t="shared" si="161"/>
        <v>0</v>
      </c>
      <c r="IS83" s="70">
        <f t="shared" si="162"/>
        <v>0</v>
      </c>
      <c r="IT83" s="70">
        <f t="shared" si="123"/>
        <v>3282025</v>
      </c>
      <c r="IU83" s="70">
        <f t="shared" si="124"/>
        <v>0</v>
      </c>
      <c r="IV83" s="70">
        <f t="shared" si="125"/>
        <v>0</v>
      </c>
      <c r="IW83" s="70">
        <f t="shared" si="126"/>
        <v>0</v>
      </c>
      <c r="IX83" s="70">
        <f t="shared" si="127"/>
        <v>18522</v>
      </c>
      <c r="IY83" s="70">
        <f t="shared" si="128"/>
        <v>0</v>
      </c>
      <c r="IZ83" s="70">
        <f t="shared" si="129"/>
        <v>523196</v>
      </c>
      <c r="JA83" s="70">
        <f t="shared" si="130"/>
        <v>0</v>
      </c>
      <c r="JB83" s="70">
        <f t="shared" si="131"/>
        <v>1656149</v>
      </c>
      <c r="JC83" s="70">
        <f t="shared" si="132"/>
        <v>0</v>
      </c>
      <c r="JD83" s="70">
        <f t="shared" si="133"/>
        <v>607667</v>
      </c>
      <c r="JE83" s="70">
        <f t="shared" si="134"/>
        <v>0</v>
      </c>
      <c r="JF83" s="70">
        <f t="shared" si="135"/>
        <v>948207</v>
      </c>
      <c r="JG83" s="70">
        <f t="shared" si="136"/>
        <v>0</v>
      </c>
      <c r="JH83" s="70">
        <f t="shared" si="137"/>
        <v>767656</v>
      </c>
      <c r="JI83" s="70">
        <f t="shared" si="138"/>
        <v>0</v>
      </c>
      <c r="JJ83" s="70">
        <f t="shared" si="139"/>
        <v>229552</v>
      </c>
      <c r="JK83" s="70">
        <f t="shared" si="140"/>
        <v>0</v>
      </c>
      <c r="JL83" s="70">
        <f t="shared" si="141"/>
        <v>584623</v>
      </c>
      <c r="JM83" s="70">
        <f t="shared" si="142"/>
        <v>0</v>
      </c>
      <c r="JN83" s="70">
        <f t="shared" si="143"/>
        <v>44873</v>
      </c>
      <c r="JO83" s="70">
        <f t="shared" si="144"/>
        <v>0</v>
      </c>
      <c r="JP83" s="70">
        <f t="shared" si="145"/>
        <v>2435894</v>
      </c>
      <c r="JQ83" s="70">
        <f t="shared" si="146"/>
        <v>0</v>
      </c>
      <c r="JR83" s="70">
        <f t="shared" si="147"/>
        <v>285696</v>
      </c>
      <c r="JS83" s="70">
        <f t="shared" si="148"/>
        <v>0</v>
      </c>
      <c r="JT83" s="70">
        <f t="shared" si="149"/>
        <v>186445</v>
      </c>
      <c r="JU83" s="70">
        <f t="shared" si="150"/>
        <v>0</v>
      </c>
      <c r="JV83" s="70">
        <f t="shared" si="151"/>
        <v>1427619</v>
      </c>
      <c r="JW83" s="70">
        <f t="shared" si="152"/>
        <v>0</v>
      </c>
      <c r="JX83" s="70">
        <f t="shared" si="153"/>
        <v>26304331</v>
      </c>
      <c r="JY83" s="70">
        <f t="shared" si="154"/>
        <v>0</v>
      </c>
      <c r="JZ83" s="70">
        <f t="shared" si="155"/>
        <v>0</v>
      </c>
      <c r="KA83" s="70">
        <f t="shared" si="156"/>
        <v>0</v>
      </c>
      <c r="KB83" s="70">
        <f t="shared" si="157"/>
        <v>26304331</v>
      </c>
      <c r="KC83" s="70">
        <f t="shared" si="158"/>
        <v>0</v>
      </c>
      <c r="KE83" s="70" t="e">
        <f t="shared" si="159"/>
        <v>#REF!</v>
      </c>
      <c r="KG83" s="68" t="e">
        <f t="shared" si="160"/>
        <v>#REF!</v>
      </c>
    </row>
    <row r="84" spans="1:294">
      <c r="A84" s="180" t="s">
        <v>305</v>
      </c>
      <c r="B84" s="76" t="s">
        <v>365</v>
      </c>
      <c r="C84" s="90">
        <v>102368</v>
      </c>
      <c r="D84" s="90">
        <v>2014</v>
      </c>
      <c r="E84" s="90">
        <v>1</v>
      </c>
      <c r="F84" s="91">
        <v>11</v>
      </c>
      <c r="G84" s="92">
        <v>6221</v>
      </c>
      <c r="H84" s="92">
        <v>10095</v>
      </c>
      <c r="I84" s="93">
        <v>241861462</v>
      </c>
      <c r="J84" s="93">
        <v>242192755</v>
      </c>
      <c r="K84" s="93">
        <v>2588592</v>
      </c>
      <c r="L84" s="93">
        <v>2588592</v>
      </c>
      <c r="M84" s="93">
        <v>9887233</v>
      </c>
      <c r="N84" s="93">
        <v>9894361</v>
      </c>
      <c r="O84" s="93">
        <v>61217294</v>
      </c>
      <c r="P84" s="93">
        <v>61217294</v>
      </c>
      <c r="Q84" s="93">
        <v>103095000</v>
      </c>
      <c r="R84" s="93">
        <v>107540000</v>
      </c>
      <c r="S84" s="93">
        <v>238440326</v>
      </c>
      <c r="T84" s="93">
        <v>238961462</v>
      </c>
      <c r="U84" s="93">
        <v>16832</v>
      </c>
      <c r="V84" s="93">
        <v>16443</v>
      </c>
      <c r="W84" s="93">
        <v>24224</v>
      </c>
      <c r="X84" s="93">
        <v>23415</v>
      </c>
      <c r="Y84" s="93">
        <v>21200</v>
      </c>
      <c r="Z84" s="93">
        <v>20732</v>
      </c>
      <c r="AA84" s="93">
        <v>29120</v>
      </c>
      <c r="AB84" s="93">
        <v>28202</v>
      </c>
      <c r="AC84" s="114">
        <v>7</v>
      </c>
      <c r="AD84" s="114">
        <v>9</v>
      </c>
      <c r="AE84" s="114">
        <v>1</v>
      </c>
      <c r="AF84" s="115">
        <v>3027690</v>
      </c>
      <c r="AG84" s="115">
        <v>1856346</v>
      </c>
      <c r="AH84" s="115">
        <v>225428</v>
      </c>
      <c r="AI84" s="115">
        <v>119846</v>
      </c>
      <c r="AJ84" s="115">
        <v>171920</v>
      </c>
      <c r="AK84" s="116">
        <v>6.4</v>
      </c>
      <c r="AL84" s="115">
        <v>157184</v>
      </c>
      <c r="AM84" s="116">
        <v>7</v>
      </c>
      <c r="AN84" s="115">
        <v>69472</v>
      </c>
      <c r="AO84" s="116">
        <v>7.6</v>
      </c>
      <c r="AP84" s="115">
        <v>65998</v>
      </c>
      <c r="AQ84" s="116">
        <v>8</v>
      </c>
      <c r="AR84" s="115">
        <v>125923</v>
      </c>
      <c r="AS84" s="116">
        <v>15.9</v>
      </c>
      <c r="AT84" s="115">
        <v>105378</v>
      </c>
      <c r="AU84" s="116">
        <v>19</v>
      </c>
      <c r="AV84" s="115">
        <v>59581</v>
      </c>
      <c r="AW84" s="116">
        <v>8.6</v>
      </c>
      <c r="AX84" s="115">
        <v>56933</v>
      </c>
      <c r="AY84" s="116">
        <v>9</v>
      </c>
      <c r="AZ84" s="139">
        <v>399394</v>
      </c>
      <c r="BA84" s="139">
        <v>2125000</v>
      </c>
      <c r="BB84" s="139">
        <v>2268841</v>
      </c>
      <c r="BC84" s="139">
        <v>4279</v>
      </c>
      <c r="BD84" s="139">
        <v>0</v>
      </c>
      <c r="BE84" s="139">
        <v>20945</v>
      </c>
      <c r="BF84" s="139">
        <v>0</v>
      </c>
      <c r="BG84" s="139">
        <v>17499</v>
      </c>
      <c r="BH84" s="139">
        <v>109012</v>
      </c>
      <c r="BI84" s="139">
        <v>0</v>
      </c>
      <c r="BJ84" s="139">
        <v>147456</v>
      </c>
      <c r="BK84" s="139">
        <v>0</v>
      </c>
      <c r="BL84" s="139">
        <v>0</v>
      </c>
      <c r="BM84" s="139">
        <v>0</v>
      </c>
      <c r="BN84" s="139">
        <v>0</v>
      </c>
      <c r="BO84" s="139">
        <v>0</v>
      </c>
      <c r="BP84" s="139">
        <v>0</v>
      </c>
      <c r="BQ84" s="139">
        <v>0</v>
      </c>
      <c r="BR84" s="139">
        <v>0</v>
      </c>
      <c r="BS84" s="139">
        <v>0</v>
      </c>
      <c r="BT84" s="139">
        <v>0</v>
      </c>
      <c r="BU84" s="139">
        <v>0</v>
      </c>
      <c r="BV84" s="139">
        <v>0</v>
      </c>
      <c r="BW84" s="139">
        <v>6303814</v>
      </c>
      <c r="BX84" s="139">
        <v>2494725</v>
      </c>
      <c r="BY84" s="139">
        <v>1982267</v>
      </c>
      <c r="BZ84" s="139">
        <v>6641063</v>
      </c>
      <c r="CA84" s="139">
        <v>7206872</v>
      </c>
      <c r="CB84" s="139">
        <v>24628741</v>
      </c>
      <c r="CC84" s="139">
        <v>1967728</v>
      </c>
      <c r="CD84" s="139">
        <v>329882</v>
      </c>
      <c r="CE84" s="139">
        <v>336410</v>
      </c>
      <c r="CF84" s="139">
        <v>2285900</v>
      </c>
      <c r="CG84" s="139">
        <v>251741</v>
      </c>
      <c r="CH84" s="139">
        <v>5171661</v>
      </c>
      <c r="CI84" s="139">
        <v>610000</v>
      </c>
      <c r="CJ84" s="139">
        <v>0</v>
      </c>
      <c r="CK84" s="139">
        <v>0</v>
      </c>
      <c r="CL84" s="139">
        <v>43782</v>
      </c>
      <c r="CM84" s="139">
        <v>0</v>
      </c>
      <c r="CN84" s="139">
        <v>653782</v>
      </c>
      <c r="CO84" s="139">
        <v>1728471</v>
      </c>
      <c r="CP84" s="139">
        <v>816681</v>
      </c>
      <c r="CQ84" s="139">
        <v>362665</v>
      </c>
      <c r="CR84" s="139">
        <v>1235024</v>
      </c>
      <c r="CS84" s="139">
        <v>0</v>
      </c>
      <c r="CT84" s="139">
        <v>4142841</v>
      </c>
      <c r="CU84" s="139">
        <v>0</v>
      </c>
      <c r="CV84" s="139">
        <v>0</v>
      </c>
      <c r="CW84" s="139">
        <v>0</v>
      </c>
      <c r="CX84" s="139">
        <v>0</v>
      </c>
      <c r="CY84" s="139">
        <v>0</v>
      </c>
      <c r="CZ84" s="139">
        <v>0</v>
      </c>
      <c r="DA84" s="139">
        <v>36292</v>
      </c>
      <c r="DB84" s="139">
        <v>10982</v>
      </c>
      <c r="DC84" s="139">
        <v>10982</v>
      </c>
      <c r="DD84" s="139">
        <v>30507</v>
      </c>
      <c r="DE84" s="139">
        <v>1907178</v>
      </c>
      <c r="DF84" s="139">
        <v>1995941</v>
      </c>
      <c r="DG84" s="139">
        <v>0</v>
      </c>
      <c r="DH84" s="139">
        <v>0</v>
      </c>
      <c r="DI84" s="139">
        <v>0</v>
      </c>
      <c r="DJ84" s="139">
        <v>0</v>
      </c>
      <c r="DK84" s="139">
        <v>0</v>
      </c>
      <c r="DL84" s="139">
        <v>0</v>
      </c>
      <c r="DM84" s="139">
        <v>0</v>
      </c>
      <c r="DN84" s="139">
        <v>0</v>
      </c>
      <c r="DO84" s="139">
        <v>0</v>
      </c>
      <c r="DP84" s="139">
        <v>0</v>
      </c>
      <c r="DQ84" s="139">
        <v>0</v>
      </c>
      <c r="DR84" s="139">
        <v>0</v>
      </c>
      <c r="DS84" s="139">
        <v>125849</v>
      </c>
      <c r="DT84" s="139">
        <v>55912</v>
      </c>
      <c r="DU84" s="139">
        <v>61174</v>
      </c>
      <c r="DV84" s="139">
        <v>102339</v>
      </c>
      <c r="DW84" s="139">
        <v>0</v>
      </c>
      <c r="DX84" s="139">
        <v>345274</v>
      </c>
      <c r="DY84" s="139">
        <v>441388</v>
      </c>
      <c r="DZ84" s="139">
        <v>159673</v>
      </c>
      <c r="EA84" s="139">
        <v>111729</v>
      </c>
      <c r="EB84" s="139">
        <v>662879</v>
      </c>
      <c r="EC84" s="139">
        <v>186454</v>
      </c>
      <c r="ED84" s="139">
        <v>1562123</v>
      </c>
      <c r="EE84" s="139">
        <v>367490</v>
      </c>
      <c r="EF84" s="139">
        <v>44399</v>
      </c>
      <c r="EG84" s="139">
        <v>43518</v>
      </c>
      <c r="EH84" s="139">
        <v>364186</v>
      </c>
      <c r="EI84" s="139">
        <v>440330</v>
      </c>
      <c r="EJ84" s="139">
        <v>1259923</v>
      </c>
      <c r="EK84" s="139">
        <v>0</v>
      </c>
      <c r="EL84" s="139">
        <v>0</v>
      </c>
      <c r="EM84" s="139">
        <v>0</v>
      </c>
      <c r="EN84" s="139">
        <v>0</v>
      </c>
      <c r="EO84" s="139">
        <v>219926</v>
      </c>
      <c r="EP84" s="139">
        <v>219926</v>
      </c>
      <c r="EQ84" s="139">
        <v>0</v>
      </c>
      <c r="ER84" s="139">
        <v>0</v>
      </c>
      <c r="ES84" s="139">
        <v>0</v>
      </c>
      <c r="ET84" s="139">
        <v>0</v>
      </c>
      <c r="EU84" s="139">
        <v>392225</v>
      </c>
      <c r="EV84" s="139">
        <v>392225</v>
      </c>
      <c r="EW84" s="139">
        <v>19417</v>
      </c>
      <c r="EX84" s="139">
        <v>0</v>
      </c>
      <c r="EY84" s="139">
        <v>13760</v>
      </c>
      <c r="EZ84" s="139">
        <v>114120</v>
      </c>
      <c r="FA84" s="139">
        <v>0</v>
      </c>
      <c r="FB84" s="139">
        <v>147297</v>
      </c>
      <c r="FC84" s="139">
        <v>400000</v>
      </c>
      <c r="FD84" s="139">
        <v>0</v>
      </c>
      <c r="FE84" s="139">
        <v>0</v>
      </c>
      <c r="FF84" s="139">
        <v>28774</v>
      </c>
      <c r="FG84" s="139">
        <v>264163</v>
      </c>
      <c r="FH84" s="139">
        <v>692937</v>
      </c>
      <c r="FI84" s="139">
        <v>0</v>
      </c>
      <c r="FJ84" s="139">
        <v>0</v>
      </c>
      <c r="FK84" s="139">
        <v>0</v>
      </c>
      <c r="FL84" s="139">
        <v>0</v>
      </c>
      <c r="FM84" s="139">
        <v>54045</v>
      </c>
      <c r="FN84" s="139">
        <v>54045</v>
      </c>
      <c r="FO84" s="139">
        <v>445183</v>
      </c>
      <c r="FP84" s="139">
        <v>1028506</v>
      </c>
      <c r="FQ84" s="139">
        <v>1027121</v>
      </c>
      <c r="FR84" s="139">
        <v>1720778</v>
      </c>
      <c r="FS84" s="139">
        <v>1696546</v>
      </c>
      <c r="FT84" s="139">
        <v>5918134</v>
      </c>
      <c r="FU84" s="139">
        <v>0</v>
      </c>
      <c r="FV84" s="139">
        <v>0</v>
      </c>
      <c r="FW84" s="139">
        <v>0</v>
      </c>
      <c r="FX84" s="139">
        <v>0</v>
      </c>
      <c r="FY84" s="139">
        <v>181343</v>
      </c>
      <c r="FZ84" s="139">
        <v>181343</v>
      </c>
      <c r="GA84" s="139">
        <v>0</v>
      </c>
      <c r="GB84" s="139">
        <v>0</v>
      </c>
      <c r="GC84" s="139">
        <v>0</v>
      </c>
      <c r="GD84" s="139">
        <v>0</v>
      </c>
      <c r="GE84" s="139">
        <v>33188</v>
      </c>
      <c r="GF84" s="139">
        <v>33188</v>
      </c>
      <c r="GG84" s="139">
        <v>161996</v>
      </c>
      <c r="GH84" s="139">
        <v>48690</v>
      </c>
      <c r="GI84" s="139">
        <v>14908</v>
      </c>
      <c r="GJ84" s="139">
        <v>96556</v>
      </c>
      <c r="GK84" s="139">
        <v>1535951</v>
      </c>
      <c r="GL84" s="139">
        <v>1858101</v>
      </c>
      <c r="GM84" s="139">
        <v>6303814</v>
      </c>
      <c r="GN84" s="139">
        <v>2494725</v>
      </c>
      <c r="GO84" s="139">
        <v>1982267</v>
      </c>
      <c r="GP84" s="139">
        <v>6684845</v>
      </c>
      <c r="GQ84" s="139">
        <v>7163090</v>
      </c>
      <c r="GR84" s="139">
        <v>24628741</v>
      </c>
      <c r="GS84" s="139">
        <v>0</v>
      </c>
      <c r="GT84" s="139">
        <v>0</v>
      </c>
      <c r="GU84" s="139">
        <v>0</v>
      </c>
      <c r="GV84" s="139">
        <v>0</v>
      </c>
      <c r="GW84" s="139">
        <v>0</v>
      </c>
      <c r="GX84" s="139">
        <v>0</v>
      </c>
      <c r="GY84" s="139">
        <v>6303814</v>
      </c>
      <c r="GZ84" s="139">
        <v>2494725</v>
      </c>
      <c r="HA84" s="139">
        <v>1982267</v>
      </c>
      <c r="HB84" s="139">
        <v>6684845</v>
      </c>
      <c r="HC84" s="139">
        <v>7163090</v>
      </c>
      <c r="HD84" s="139">
        <v>24628741</v>
      </c>
      <c r="HF84" s="70">
        <f>SUM(AZ84:AZ84)</f>
        <v>399394</v>
      </c>
      <c r="HG84" s="70" t="e">
        <f>#REF!-HF84</f>
        <v>#REF!</v>
      </c>
      <c r="HH84" s="70" t="e">
        <f>SUM(#REF!)</f>
        <v>#REF!</v>
      </c>
      <c r="HI84" s="70" t="e">
        <f>#REF!-HH84</f>
        <v>#REF!</v>
      </c>
      <c r="HJ84" s="70">
        <f>SUM(BA84:BA84)</f>
        <v>2125000</v>
      </c>
      <c r="HK84" s="70" t="e">
        <f>#REF!-HJ84</f>
        <v>#REF!</v>
      </c>
      <c r="HL84" s="70" t="e">
        <f>SUM(#REF!)</f>
        <v>#REF!</v>
      </c>
      <c r="HM84" s="70" t="e">
        <f>BB84-HL84</f>
        <v>#REF!</v>
      </c>
      <c r="HN84" s="70" t="e">
        <f>SUM(#REF!)</f>
        <v>#REF!</v>
      </c>
      <c r="HO84" s="70" t="e">
        <f>#REF!-HN84</f>
        <v>#REF!</v>
      </c>
      <c r="HP84" s="70" t="e">
        <f>SUM(#REF!)</f>
        <v>#REF!</v>
      </c>
      <c r="HQ84" s="70" t="e">
        <f>#REF!-HP84</f>
        <v>#REF!</v>
      </c>
      <c r="HR84" s="70" t="e">
        <f>SUM(#REF!)</f>
        <v>#REF!</v>
      </c>
      <c r="HS84" s="70" t="e">
        <f>#REF!-HR84</f>
        <v>#REF!</v>
      </c>
      <c r="HT84" s="70" t="e">
        <f>SUM(#REF!)</f>
        <v>#REF!</v>
      </c>
      <c r="HU84" s="70" t="e">
        <f>#REF!-HT84</f>
        <v>#REF!</v>
      </c>
      <c r="HV84" s="70" t="e">
        <f>SUM(#REF!)</f>
        <v>#REF!</v>
      </c>
      <c r="HW84" s="70" t="e">
        <f>#REF!-HV84</f>
        <v>#REF!</v>
      </c>
      <c r="HX84" s="70" t="e">
        <f>SUM(#REF!)</f>
        <v>#REF!</v>
      </c>
      <c r="HY84" s="70" t="e">
        <f>#REF!-HX84</f>
        <v>#REF!</v>
      </c>
      <c r="HZ84" s="70">
        <f>SUM(BC84:BC84)</f>
        <v>4279</v>
      </c>
      <c r="IA84" s="70" t="e">
        <f>#REF!-HZ84</f>
        <v>#REF!</v>
      </c>
      <c r="IB84" s="70">
        <f>SUM(BD84:BD84)</f>
        <v>0</v>
      </c>
      <c r="IC84" s="70" t="e">
        <f>#REF!-IB84</f>
        <v>#REF!</v>
      </c>
      <c r="ID84" s="70">
        <f t="shared" si="109"/>
        <v>147456</v>
      </c>
      <c r="IE84" s="70">
        <f t="shared" si="110"/>
        <v>0</v>
      </c>
      <c r="IF84" s="70">
        <f t="shared" si="111"/>
        <v>0</v>
      </c>
      <c r="IG84" s="70">
        <f t="shared" si="112"/>
        <v>0</v>
      </c>
      <c r="IH84" s="70">
        <f t="shared" si="113"/>
        <v>0</v>
      </c>
      <c r="II84" s="70">
        <f t="shared" si="114"/>
        <v>0</v>
      </c>
      <c r="IJ84" s="70">
        <f t="shared" si="115"/>
        <v>24628741</v>
      </c>
      <c r="IK84" s="70">
        <f t="shared" si="116"/>
        <v>0</v>
      </c>
      <c r="IL84" s="70">
        <f t="shared" si="117"/>
        <v>5171661</v>
      </c>
      <c r="IM84" s="70">
        <f t="shared" si="118"/>
        <v>0</v>
      </c>
      <c r="IN84" s="70">
        <f t="shared" si="119"/>
        <v>653782</v>
      </c>
      <c r="IO84" s="70">
        <f t="shared" si="120"/>
        <v>0</v>
      </c>
      <c r="IP84" s="70">
        <f t="shared" si="121"/>
        <v>4142841</v>
      </c>
      <c r="IQ84" s="70">
        <f t="shared" si="122"/>
        <v>0</v>
      </c>
      <c r="IR84" s="70">
        <f t="shared" si="161"/>
        <v>0</v>
      </c>
      <c r="IS84" s="70">
        <f t="shared" si="162"/>
        <v>0</v>
      </c>
      <c r="IT84" s="70">
        <f t="shared" si="123"/>
        <v>1995941</v>
      </c>
      <c r="IU84" s="70">
        <f t="shared" si="124"/>
        <v>0</v>
      </c>
      <c r="IV84" s="70">
        <f t="shared" si="125"/>
        <v>0</v>
      </c>
      <c r="IW84" s="70">
        <f t="shared" si="126"/>
        <v>0</v>
      </c>
      <c r="IX84" s="70">
        <f t="shared" si="127"/>
        <v>0</v>
      </c>
      <c r="IY84" s="70">
        <f t="shared" si="128"/>
        <v>0</v>
      </c>
      <c r="IZ84" s="70">
        <f t="shared" si="129"/>
        <v>345274</v>
      </c>
      <c r="JA84" s="70">
        <f t="shared" si="130"/>
        <v>0</v>
      </c>
      <c r="JB84" s="70">
        <f t="shared" si="131"/>
        <v>1562123</v>
      </c>
      <c r="JC84" s="70">
        <f t="shared" si="132"/>
        <v>0</v>
      </c>
      <c r="JD84" s="70">
        <f t="shared" si="133"/>
        <v>1259923</v>
      </c>
      <c r="JE84" s="70">
        <f t="shared" si="134"/>
        <v>0</v>
      </c>
      <c r="JF84" s="70">
        <f t="shared" si="135"/>
        <v>219926</v>
      </c>
      <c r="JG84" s="70">
        <f t="shared" si="136"/>
        <v>0</v>
      </c>
      <c r="JH84" s="70">
        <f t="shared" si="137"/>
        <v>392225</v>
      </c>
      <c r="JI84" s="70">
        <f t="shared" si="138"/>
        <v>0</v>
      </c>
      <c r="JJ84" s="70">
        <f t="shared" si="139"/>
        <v>147297</v>
      </c>
      <c r="JK84" s="70">
        <f t="shared" si="140"/>
        <v>0</v>
      </c>
      <c r="JL84" s="70">
        <f t="shared" si="141"/>
        <v>692937</v>
      </c>
      <c r="JM84" s="70">
        <f t="shared" si="142"/>
        <v>0</v>
      </c>
      <c r="JN84" s="70">
        <f t="shared" si="143"/>
        <v>54045</v>
      </c>
      <c r="JO84" s="70">
        <f t="shared" si="144"/>
        <v>0</v>
      </c>
      <c r="JP84" s="70">
        <f t="shared" si="145"/>
        <v>5918134</v>
      </c>
      <c r="JQ84" s="70">
        <f t="shared" si="146"/>
        <v>0</v>
      </c>
      <c r="JR84" s="70">
        <f t="shared" si="147"/>
        <v>181343</v>
      </c>
      <c r="JS84" s="70">
        <f t="shared" si="148"/>
        <v>0</v>
      </c>
      <c r="JT84" s="70">
        <f t="shared" si="149"/>
        <v>33188</v>
      </c>
      <c r="JU84" s="70">
        <f t="shared" si="150"/>
        <v>0</v>
      </c>
      <c r="JV84" s="70">
        <f t="shared" si="151"/>
        <v>1858101</v>
      </c>
      <c r="JW84" s="70">
        <f t="shared" si="152"/>
        <v>0</v>
      </c>
      <c r="JX84" s="70">
        <f t="shared" si="153"/>
        <v>24628741</v>
      </c>
      <c r="JY84" s="70">
        <f t="shared" si="154"/>
        <v>0</v>
      </c>
      <c r="JZ84" s="70">
        <f t="shared" si="155"/>
        <v>0</v>
      </c>
      <c r="KA84" s="70">
        <f t="shared" si="156"/>
        <v>0</v>
      </c>
      <c r="KB84" s="70">
        <f t="shared" si="157"/>
        <v>24628741</v>
      </c>
      <c r="KC84" s="70">
        <f t="shared" si="158"/>
        <v>0</v>
      </c>
      <c r="KE84" s="70" t="e">
        <f t="shared" si="159"/>
        <v>#REF!</v>
      </c>
      <c r="KG84" s="68" t="e">
        <f t="shared" si="160"/>
        <v>#REF!</v>
      </c>
    </row>
    <row r="85" spans="1:294">
      <c r="A85" s="180" t="s">
        <v>306</v>
      </c>
      <c r="B85" s="76" t="s">
        <v>365</v>
      </c>
      <c r="C85" s="90">
        <v>110662</v>
      </c>
      <c r="D85" s="90">
        <v>2014</v>
      </c>
      <c r="E85" s="90">
        <v>1</v>
      </c>
      <c r="F85" s="91">
        <v>4</v>
      </c>
      <c r="G85" s="92">
        <v>12514</v>
      </c>
      <c r="H85" s="92">
        <v>15557</v>
      </c>
      <c r="I85" s="93">
        <v>5742842000</v>
      </c>
      <c r="J85" s="93">
        <v>5361458000</v>
      </c>
      <c r="K85" s="93">
        <v>2900499</v>
      </c>
      <c r="L85" s="93">
        <v>2244729</v>
      </c>
      <c r="M85" s="93">
        <v>204886000</v>
      </c>
      <c r="N85" s="93">
        <v>381202000</v>
      </c>
      <c r="O85" s="93">
        <v>107049209</v>
      </c>
      <c r="P85" s="93">
        <v>111575977</v>
      </c>
      <c r="Q85" s="93">
        <v>3320121000</v>
      </c>
      <c r="R85" s="93">
        <v>3310456000</v>
      </c>
      <c r="S85" s="93">
        <v>3309450000</v>
      </c>
      <c r="T85" s="93">
        <v>3125807000</v>
      </c>
      <c r="U85" s="93">
        <v>26671</v>
      </c>
      <c r="V85" s="93">
        <v>26477</v>
      </c>
      <c r="W85" s="93">
        <v>49549</v>
      </c>
      <c r="X85" s="93">
        <v>49355</v>
      </c>
      <c r="Y85" s="93">
        <v>31003</v>
      </c>
      <c r="Z85" s="93">
        <v>30506</v>
      </c>
      <c r="AA85" s="93">
        <v>53881</v>
      </c>
      <c r="AB85" s="93">
        <v>53384</v>
      </c>
      <c r="AC85" s="114">
        <v>11</v>
      </c>
      <c r="AD85" s="114">
        <v>14</v>
      </c>
      <c r="AE85" s="114">
        <v>0</v>
      </c>
      <c r="AF85" s="115">
        <v>6383028</v>
      </c>
      <c r="AG85" s="115">
        <v>5637064</v>
      </c>
      <c r="AH85" s="115">
        <v>826517</v>
      </c>
      <c r="AI85" s="115">
        <v>428569</v>
      </c>
      <c r="AJ85" s="115">
        <v>906764</v>
      </c>
      <c r="AK85" s="116">
        <v>8.5</v>
      </c>
      <c r="AL85" s="115">
        <v>856388</v>
      </c>
      <c r="AM85" s="116">
        <v>9</v>
      </c>
      <c r="AN85" s="115">
        <v>242821</v>
      </c>
      <c r="AO85" s="116">
        <v>9.75</v>
      </c>
      <c r="AP85" s="115">
        <v>197292</v>
      </c>
      <c r="AQ85" s="116">
        <v>12</v>
      </c>
      <c r="AR85" s="115">
        <v>269121</v>
      </c>
      <c r="AS85" s="116">
        <v>23.5</v>
      </c>
      <c r="AT85" s="115">
        <v>243244</v>
      </c>
      <c r="AU85" s="116">
        <v>26</v>
      </c>
      <c r="AV85" s="115">
        <v>113989</v>
      </c>
      <c r="AW85" s="116">
        <v>20.75</v>
      </c>
      <c r="AX85" s="115">
        <v>98553</v>
      </c>
      <c r="AY85" s="116">
        <v>24</v>
      </c>
      <c r="AZ85" s="139">
        <v>10631721</v>
      </c>
      <c r="BA85" s="139">
        <v>318600</v>
      </c>
      <c r="BB85" s="139">
        <v>16229179</v>
      </c>
      <c r="BC85" s="139">
        <v>372042</v>
      </c>
      <c r="BD85" s="139">
        <v>0</v>
      </c>
      <c r="BE85" s="139">
        <v>89681</v>
      </c>
      <c r="BF85" s="139">
        <v>471674</v>
      </c>
      <c r="BG85" s="139">
        <v>60713</v>
      </c>
      <c r="BH85" s="139">
        <v>2295364</v>
      </c>
      <c r="BI85" s="139">
        <v>132752</v>
      </c>
      <c r="BJ85" s="139">
        <v>3050184</v>
      </c>
      <c r="BK85" s="139">
        <v>692804</v>
      </c>
      <c r="BL85" s="139">
        <v>239128</v>
      </c>
      <c r="BM85" s="139">
        <v>68195</v>
      </c>
      <c r="BN85" s="139">
        <v>557767</v>
      </c>
      <c r="BO85" s="139">
        <v>2390457</v>
      </c>
      <c r="BP85" s="139">
        <v>3948351</v>
      </c>
      <c r="BQ85" s="139">
        <v>43529</v>
      </c>
      <c r="BR85" s="139">
        <v>42765</v>
      </c>
      <c r="BS85" s="139">
        <v>6680</v>
      </c>
      <c r="BT85" s="139">
        <v>230672</v>
      </c>
      <c r="BU85" s="139">
        <v>3997693</v>
      </c>
      <c r="BV85" s="139">
        <v>4321339</v>
      </c>
      <c r="BW85" s="139">
        <v>30348286</v>
      </c>
      <c r="BX85" s="139">
        <v>12168231</v>
      </c>
      <c r="BY85" s="139">
        <v>1426501</v>
      </c>
      <c r="BZ85" s="139">
        <v>7454155</v>
      </c>
      <c r="CA85" s="139">
        <v>35029607</v>
      </c>
      <c r="CB85" s="139">
        <v>86426780</v>
      </c>
      <c r="CC85" s="139">
        <v>3710110</v>
      </c>
      <c r="CD85" s="139">
        <v>517832</v>
      </c>
      <c r="CE85" s="139">
        <v>605308</v>
      </c>
      <c r="CF85" s="139">
        <v>7186842</v>
      </c>
      <c r="CG85" s="139">
        <v>118271</v>
      </c>
      <c r="CH85" s="139">
        <v>12138363</v>
      </c>
      <c r="CI85" s="139">
        <v>1050000</v>
      </c>
      <c r="CJ85" s="139">
        <v>665500</v>
      </c>
      <c r="CK85" s="139">
        <v>14500</v>
      </c>
      <c r="CL85" s="139">
        <v>11000</v>
      </c>
      <c r="CM85" s="139">
        <v>0</v>
      </c>
      <c r="CN85" s="139">
        <v>1741000</v>
      </c>
      <c r="CO85" s="139">
        <v>7210234</v>
      </c>
      <c r="CP85" s="139">
        <v>3309411</v>
      </c>
      <c r="CQ85" s="139">
        <v>1050209</v>
      </c>
      <c r="CR85" s="139">
        <v>7194746</v>
      </c>
      <c r="CS85" s="139">
        <v>0</v>
      </c>
      <c r="CT85" s="139">
        <v>18764600</v>
      </c>
      <c r="CU85" s="139">
        <v>0</v>
      </c>
      <c r="CV85" s="139">
        <v>0</v>
      </c>
      <c r="CW85" s="139">
        <v>0</v>
      </c>
      <c r="CX85" s="139">
        <v>0</v>
      </c>
      <c r="CY85" s="139"/>
      <c r="CZ85" s="139">
        <v>0</v>
      </c>
      <c r="DA85" s="139">
        <v>1110698</v>
      </c>
      <c r="DB85" s="139">
        <v>369165</v>
      </c>
      <c r="DC85" s="139">
        <v>284125</v>
      </c>
      <c r="DD85" s="139">
        <v>285760</v>
      </c>
      <c r="DE85" s="139">
        <v>13940961</v>
      </c>
      <c r="DF85" s="139">
        <v>15990709</v>
      </c>
      <c r="DG85" s="139">
        <v>0</v>
      </c>
      <c r="DH85" s="139">
        <v>0</v>
      </c>
      <c r="DI85" s="139">
        <v>0</v>
      </c>
      <c r="DJ85" s="139">
        <v>0</v>
      </c>
      <c r="DK85" s="139">
        <v>0</v>
      </c>
      <c r="DL85" s="139">
        <v>0</v>
      </c>
      <c r="DM85" s="139">
        <v>157719</v>
      </c>
      <c r="DN85" s="139">
        <v>0</v>
      </c>
      <c r="DO85" s="139">
        <v>0</v>
      </c>
      <c r="DP85" s="139">
        <v>0</v>
      </c>
      <c r="DQ85" s="139">
        <v>0</v>
      </c>
      <c r="DR85" s="139">
        <v>157719</v>
      </c>
      <c r="DS85" s="139">
        <v>501391</v>
      </c>
      <c r="DT85" s="139">
        <v>178186</v>
      </c>
      <c r="DU85" s="139">
        <v>151073</v>
      </c>
      <c r="DV85" s="139">
        <v>424436</v>
      </c>
      <c r="DW85" s="139">
        <v>52007</v>
      </c>
      <c r="DX85" s="139">
        <v>1307093</v>
      </c>
      <c r="DY85" s="139">
        <v>2894611</v>
      </c>
      <c r="DZ85" s="139">
        <v>833948</v>
      </c>
      <c r="EA85" s="139">
        <v>310776</v>
      </c>
      <c r="EB85" s="139">
        <v>2949081</v>
      </c>
      <c r="EC85" s="139">
        <v>0</v>
      </c>
      <c r="ED85" s="139">
        <v>6988416</v>
      </c>
      <c r="EE85" s="139">
        <v>1016551</v>
      </c>
      <c r="EF85" s="139">
        <v>195767</v>
      </c>
      <c r="EG85" s="139">
        <v>117050</v>
      </c>
      <c r="EH85" s="139">
        <v>1246711</v>
      </c>
      <c r="EI85" s="139">
        <v>406531</v>
      </c>
      <c r="EJ85" s="139">
        <v>2982610</v>
      </c>
      <c r="EK85" s="139">
        <v>3260055</v>
      </c>
      <c r="EL85" s="139">
        <v>1378852</v>
      </c>
      <c r="EM85" s="139">
        <v>432980</v>
      </c>
      <c r="EN85" s="139">
        <v>980452</v>
      </c>
      <c r="EO85" s="139">
        <v>0</v>
      </c>
      <c r="EP85" s="139">
        <v>6052339</v>
      </c>
      <c r="EQ85" s="139">
        <v>314120</v>
      </c>
      <c r="ER85" s="139">
        <v>95899</v>
      </c>
      <c r="ES85" s="139">
        <v>0</v>
      </c>
      <c r="ET85" s="139">
        <v>0</v>
      </c>
      <c r="EU85" s="139">
        <v>1552575</v>
      </c>
      <c r="EV85" s="139">
        <v>1962594</v>
      </c>
      <c r="EW85" s="139">
        <v>89486</v>
      </c>
      <c r="EX85" s="139">
        <v>345523</v>
      </c>
      <c r="EY85" s="139">
        <v>42052</v>
      </c>
      <c r="EZ85" s="139">
        <v>1120177</v>
      </c>
      <c r="FA85" s="139">
        <v>45260</v>
      </c>
      <c r="FB85" s="139">
        <v>1642498</v>
      </c>
      <c r="FC85" s="139">
        <v>698082</v>
      </c>
      <c r="FD85" s="139">
        <v>837</v>
      </c>
      <c r="FE85" s="139">
        <v>420</v>
      </c>
      <c r="FF85" s="139">
        <v>158117</v>
      </c>
      <c r="FG85" s="139">
        <v>8225485</v>
      </c>
      <c r="FH85" s="139">
        <v>9082941</v>
      </c>
      <c r="FI85" s="139">
        <v>0</v>
      </c>
      <c r="FJ85" s="139">
        <v>0</v>
      </c>
      <c r="FK85" s="139">
        <v>0</v>
      </c>
      <c r="FL85" s="139">
        <v>0</v>
      </c>
      <c r="FM85" s="139">
        <v>0</v>
      </c>
      <c r="FN85" s="139">
        <v>0</v>
      </c>
      <c r="FO85" s="139">
        <v>0</v>
      </c>
      <c r="FP85" s="139">
        <v>0</v>
      </c>
      <c r="FQ85" s="139">
        <v>0</v>
      </c>
      <c r="FR85" s="139">
        <v>0</v>
      </c>
      <c r="FS85" s="139">
        <v>0</v>
      </c>
      <c r="FT85" s="139">
        <v>0</v>
      </c>
      <c r="FU85" s="139">
        <v>0</v>
      </c>
      <c r="FV85" s="139">
        <v>0</v>
      </c>
      <c r="FW85" s="139">
        <v>0</v>
      </c>
      <c r="FX85" s="139">
        <v>0</v>
      </c>
      <c r="FY85" s="139">
        <v>404201</v>
      </c>
      <c r="FZ85" s="139">
        <v>404201</v>
      </c>
      <c r="GA85" s="139">
        <v>19622</v>
      </c>
      <c r="GB85" s="139">
        <v>11146</v>
      </c>
      <c r="GC85" s="139">
        <v>11618</v>
      </c>
      <c r="GD85" s="139">
        <v>40639</v>
      </c>
      <c r="GE85" s="139">
        <v>16341</v>
      </c>
      <c r="GF85" s="139">
        <v>99366</v>
      </c>
      <c r="GG85" s="139">
        <v>2059534</v>
      </c>
      <c r="GH85" s="139">
        <v>474915</v>
      </c>
      <c r="GI85" s="139">
        <v>338169</v>
      </c>
      <c r="GJ85" s="139">
        <v>1767982</v>
      </c>
      <c r="GK85" s="139">
        <v>2471731</v>
      </c>
      <c r="GL85" s="139">
        <v>7112331</v>
      </c>
      <c r="GM85" s="139">
        <v>24092213</v>
      </c>
      <c r="GN85" s="139">
        <v>8376981</v>
      </c>
      <c r="GO85" s="139">
        <v>3358280</v>
      </c>
      <c r="GP85" s="139">
        <v>23365943</v>
      </c>
      <c r="GQ85" s="139">
        <v>27233363</v>
      </c>
      <c r="GR85" s="139">
        <v>86426780</v>
      </c>
      <c r="GS85" s="139">
        <v>0</v>
      </c>
      <c r="GT85" s="139">
        <v>0</v>
      </c>
      <c r="GU85" s="139">
        <v>0</v>
      </c>
      <c r="GV85" s="139">
        <v>0</v>
      </c>
      <c r="GW85" s="139">
        <v>0</v>
      </c>
      <c r="GX85" s="139">
        <v>0</v>
      </c>
      <c r="GY85" s="139">
        <v>24092213</v>
      </c>
      <c r="GZ85" s="139">
        <v>8376981</v>
      </c>
      <c r="HA85" s="139">
        <v>3358280</v>
      </c>
      <c r="HB85" s="139">
        <v>23365943</v>
      </c>
      <c r="HC85" s="139">
        <v>27233363</v>
      </c>
      <c r="HD85" s="139">
        <v>86426780</v>
      </c>
      <c r="HF85" s="70">
        <f>SUM(AZ85:AZ85)</f>
        <v>10631721</v>
      </c>
      <c r="HG85" s="70" t="e">
        <f>#REF!-HF85</f>
        <v>#REF!</v>
      </c>
      <c r="HH85" s="70" t="e">
        <f>SUM(#REF!)</f>
        <v>#REF!</v>
      </c>
      <c r="HI85" s="70" t="e">
        <f>#REF!-HH85</f>
        <v>#REF!</v>
      </c>
      <c r="HJ85" s="70">
        <f>SUM(BA85:BA85)</f>
        <v>318600</v>
      </c>
      <c r="HK85" s="70" t="e">
        <f>#REF!-HJ85</f>
        <v>#REF!</v>
      </c>
      <c r="HL85" s="70" t="e">
        <f>SUM(#REF!)</f>
        <v>#REF!</v>
      </c>
      <c r="HM85" s="70" t="e">
        <f>BB85-HL85</f>
        <v>#REF!</v>
      </c>
      <c r="HN85" s="70" t="e">
        <f>SUM(#REF!)</f>
        <v>#REF!</v>
      </c>
      <c r="HO85" s="70" t="e">
        <f>#REF!-HN85</f>
        <v>#REF!</v>
      </c>
      <c r="HP85" s="70" t="e">
        <f>SUM(#REF!)</f>
        <v>#REF!</v>
      </c>
      <c r="HQ85" s="70" t="e">
        <f>#REF!-HP85</f>
        <v>#REF!</v>
      </c>
      <c r="HR85" s="70" t="e">
        <f>SUM(#REF!)</f>
        <v>#REF!</v>
      </c>
      <c r="HS85" s="70" t="e">
        <f>#REF!-HR85</f>
        <v>#REF!</v>
      </c>
      <c r="HT85" s="70" t="e">
        <f>SUM(#REF!)</f>
        <v>#REF!</v>
      </c>
      <c r="HU85" s="70" t="e">
        <f>#REF!-HT85</f>
        <v>#REF!</v>
      </c>
      <c r="HV85" s="70" t="e">
        <f>SUM(#REF!)</f>
        <v>#REF!</v>
      </c>
      <c r="HW85" s="70" t="e">
        <f>#REF!-HV85</f>
        <v>#REF!</v>
      </c>
      <c r="HX85" s="70" t="e">
        <f>SUM(#REF!)</f>
        <v>#REF!</v>
      </c>
      <c r="HY85" s="70" t="e">
        <f>#REF!-HX85</f>
        <v>#REF!</v>
      </c>
      <c r="HZ85" s="70">
        <f>SUM(BC85:BC85)</f>
        <v>372042</v>
      </c>
      <c r="IA85" s="70" t="e">
        <f>#REF!-HZ85</f>
        <v>#REF!</v>
      </c>
      <c r="IB85" s="70">
        <f>SUM(BD85:BD85)</f>
        <v>0</v>
      </c>
      <c r="IC85" s="70" t="e">
        <f>#REF!-IB85</f>
        <v>#REF!</v>
      </c>
      <c r="ID85" s="70">
        <f t="shared" si="109"/>
        <v>3050184</v>
      </c>
      <c r="IE85" s="70">
        <f t="shared" si="110"/>
        <v>0</v>
      </c>
      <c r="IF85" s="70">
        <f t="shared" si="111"/>
        <v>3948351</v>
      </c>
      <c r="IG85" s="70">
        <f t="shared" si="112"/>
        <v>0</v>
      </c>
      <c r="IH85" s="70">
        <f t="shared" si="113"/>
        <v>4321339</v>
      </c>
      <c r="II85" s="70">
        <f t="shared" si="114"/>
        <v>0</v>
      </c>
      <c r="IJ85" s="70">
        <f t="shared" si="115"/>
        <v>86426780</v>
      </c>
      <c r="IK85" s="70">
        <f t="shared" si="116"/>
        <v>0</v>
      </c>
      <c r="IL85" s="70">
        <f t="shared" si="117"/>
        <v>12138363</v>
      </c>
      <c r="IM85" s="70">
        <f t="shared" si="118"/>
        <v>0</v>
      </c>
      <c r="IN85" s="70">
        <f t="shared" si="119"/>
        <v>1741000</v>
      </c>
      <c r="IO85" s="70">
        <f t="shared" si="120"/>
        <v>0</v>
      </c>
      <c r="IP85" s="70">
        <f t="shared" si="121"/>
        <v>18764600</v>
      </c>
      <c r="IQ85" s="70">
        <f t="shared" si="122"/>
        <v>0</v>
      </c>
      <c r="IR85" s="70">
        <f t="shared" si="161"/>
        <v>0</v>
      </c>
      <c r="IS85" s="70">
        <f t="shared" si="162"/>
        <v>0</v>
      </c>
      <c r="IT85" s="70">
        <f t="shared" si="123"/>
        <v>15990709</v>
      </c>
      <c r="IU85" s="70">
        <f t="shared" si="124"/>
        <v>0</v>
      </c>
      <c r="IV85" s="70">
        <f t="shared" si="125"/>
        <v>0</v>
      </c>
      <c r="IW85" s="70">
        <f t="shared" si="126"/>
        <v>0</v>
      </c>
      <c r="IX85" s="70">
        <f t="shared" si="127"/>
        <v>157719</v>
      </c>
      <c r="IY85" s="70">
        <f t="shared" si="128"/>
        <v>0</v>
      </c>
      <c r="IZ85" s="70">
        <f t="shared" si="129"/>
        <v>1307093</v>
      </c>
      <c r="JA85" s="70">
        <f t="shared" si="130"/>
        <v>0</v>
      </c>
      <c r="JB85" s="70">
        <f t="shared" si="131"/>
        <v>6988416</v>
      </c>
      <c r="JC85" s="70">
        <f t="shared" si="132"/>
        <v>0</v>
      </c>
      <c r="JD85" s="70">
        <f t="shared" si="133"/>
        <v>2982610</v>
      </c>
      <c r="JE85" s="70">
        <f t="shared" si="134"/>
        <v>0</v>
      </c>
      <c r="JF85" s="70">
        <f t="shared" si="135"/>
        <v>6052339</v>
      </c>
      <c r="JG85" s="70">
        <f t="shared" si="136"/>
        <v>0</v>
      </c>
      <c r="JH85" s="70">
        <f t="shared" si="137"/>
        <v>1962594</v>
      </c>
      <c r="JI85" s="70">
        <f t="shared" si="138"/>
        <v>0</v>
      </c>
      <c r="JJ85" s="70">
        <f t="shared" si="139"/>
        <v>1642498</v>
      </c>
      <c r="JK85" s="70">
        <f t="shared" si="140"/>
        <v>0</v>
      </c>
      <c r="JL85" s="70">
        <f t="shared" si="141"/>
        <v>9082941</v>
      </c>
      <c r="JM85" s="70">
        <f t="shared" si="142"/>
        <v>0</v>
      </c>
      <c r="JN85" s="70">
        <f t="shared" si="143"/>
        <v>0</v>
      </c>
      <c r="JO85" s="70">
        <f t="shared" si="144"/>
        <v>0</v>
      </c>
      <c r="JP85" s="70">
        <f t="shared" si="145"/>
        <v>0</v>
      </c>
      <c r="JQ85" s="70">
        <f t="shared" si="146"/>
        <v>0</v>
      </c>
      <c r="JR85" s="70">
        <f t="shared" si="147"/>
        <v>404201</v>
      </c>
      <c r="JS85" s="70">
        <f t="shared" si="148"/>
        <v>0</v>
      </c>
      <c r="JT85" s="70">
        <f t="shared" si="149"/>
        <v>99366</v>
      </c>
      <c r="JU85" s="70">
        <f t="shared" si="150"/>
        <v>0</v>
      </c>
      <c r="JV85" s="70">
        <f t="shared" si="151"/>
        <v>7112331</v>
      </c>
      <c r="JW85" s="70">
        <f t="shared" si="152"/>
        <v>0</v>
      </c>
      <c r="JX85" s="70">
        <f t="shared" si="153"/>
        <v>86426780</v>
      </c>
      <c r="JY85" s="70">
        <f t="shared" si="154"/>
        <v>0</v>
      </c>
      <c r="JZ85" s="70">
        <f t="shared" si="155"/>
        <v>0</v>
      </c>
      <c r="KA85" s="70">
        <f t="shared" si="156"/>
        <v>0</v>
      </c>
      <c r="KB85" s="70">
        <f t="shared" si="157"/>
        <v>86426780</v>
      </c>
      <c r="KC85" s="70">
        <f t="shared" si="158"/>
        <v>0</v>
      </c>
      <c r="KE85" s="70" t="e">
        <f t="shared" si="159"/>
        <v>#REF!</v>
      </c>
      <c r="KG85" s="68" t="e">
        <f t="shared" si="160"/>
        <v>#REF!</v>
      </c>
    </row>
    <row r="86" spans="1:294">
      <c r="A86" s="180" t="s">
        <v>307</v>
      </c>
      <c r="B86" s="76" t="s">
        <v>365</v>
      </c>
      <c r="C86" s="90">
        <v>182281</v>
      </c>
      <c r="D86" s="90">
        <v>2014</v>
      </c>
      <c r="E86" s="90">
        <v>1</v>
      </c>
      <c r="F86" s="91">
        <v>10</v>
      </c>
      <c r="G86" s="92">
        <v>7245</v>
      </c>
      <c r="H86" s="92">
        <v>9263</v>
      </c>
      <c r="I86" s="93">
        <v>503479000</v>
      </c>
      <c r="J86" s="93">
        <v>481541000</v>
      </c>
      <c r="K86" s="93">
        <v>2102304</v>
      </c>
      <c r="L86" s="93">
        <v>2022393</v>
      </c>
      <c r="M86" s="93">
        <v>12550281</v>
      </c>
      <c r="N86" s="93">
        <v>11747000</v>
      </c>
      <c r="O86" s="93">
        <v>18711516</v>
      </c>
      <c r="P86" s="93">
        <v>20733909</v>
      </c>
      <c r="Q86" s="93">
        <v>218782735</v>
      </c>
      <c r="R86" s="93">
        <v>209094000</v>
      </c>
      <c r="S86" s="93">
        <v>331780000</v>
      </c>
      <c r="T86" s="93">
        <v>338620000</v>
      </c>
      <c r="U86" s="93">
        <v>18255</v>
      </c>
      <c r="V86" s="93">
        <v>17910</v>
      </c>
      <c r="W86" s="93">
        <v>32859</v>
      </c>
      <c r="X86" s="93">
        <v>31820</v>
      </c>
      <c r="Y86" s="93">
        <v>21614</v>
      </c>
      <c r="Z86" s="93">
        <v>23150</v>
      </c>
      <c r="AA86" s="93">
        <v>36946</v>
      </c>
      <c r="AB86" s="93">
        <v>38338</v>
      </c>
      <c r="AC86" s="114">
        <v>7</v>
      </c>
      <c r="AD86" s="114">
        <v>10</v>
      </c>
      <c r="AE86" s="114">
        <v>0</v>
      </c>
      <c r="AF86" s="115">
        <v>4222630</v>
      </c>
      <c r="AG86" s="115">
        <v>2988766</v>
      </c>
      <c r="AH86" s="115">
        <v>605271</v>
      </c>
      <c r="AI86" s="115">
        <v>238498</v>
      </c>
      <c r="AJ86" s="115">
        <v>354797</v>
      </c>
      <c r="AK86" s="116">
        <v>6.5</v>
      </c>
      <c r="AL86" s="115">
        <v>329454</v>
      </c>
      <c r="AM86" s="116">
        <v>7</v>
      </c>
      <c r="AN86" s="115">
        <v>111243</v>
      </c>
      <c r="AO86" s="116">
        <v>7.5</v>
      </c>
      <c r="AP86" s="115">
        <v>104291</v>
      </c>
      <c r="AQ86" s="116">
        <v>8</v>
      </c>
      <c r="AR86" s="115">
        <v>134691</v>
      </c>
      <c r="AS86" s="116">
        <v>19</v>
      </c>
      <c r="AT86" s="115">
        <v>121863</v>
      </c>
      <c r="AU86" s="116">
        <v>21</v>
      </c>
      <c r="AV86" s="115">
        <v>59551</v>
      </c>
      <c r="AW86" s="116">
        <v>13</v>
      </c>
      <c r="AX86" s="115">
        <v>51611</v>
      </c>
      <c r="AY86" s="116">
        <v>15</v>
      </c>
      <c r="AZ86" s="139">
        <v>1515785</v>
      </c>
      <c r="BA86" s="139">
        <v>250000</v>
      </c>
      <c r="BB86" s="139">
        <v>7940514</v>
      </c>
      <c r="BC86" s="139">
        <v>877731</v>
      </c>
      <c r="BD86" s="139">
        <v>866935</v>
      </c>
      <c r="BE86" s="139">
        <v>0</v>
      </c>
      <c r="BF86" s="139">
        <v>0</v>
      </c>
      <c r="BG86" s="139">
        <v>0</v>
      </c>
      <c r="BH86" s="139">
        <v>0</v>
      </c>
      <c r="BI86" s="139">
        <v>0</v>
      </c>
      <c r="BJ86" s="139">
        <v>0</v>
      </c>
      <c r="BK86" s="139">
        <v>0</v>
      </c>
      <c r="BL86" s="139">
        <v>0</v>
      </c>
      <c r="BM86" s="139">
        <v>0</v>
      </c>
      <c r="BN86" s="139">
        <v>10934</v>
      </c>
      <c r="BO86" s="139">
        <v>192289</v>
      </c>
      <c r="BP86" s="139">
        <v>203223</v>
      </c>
      <c r="BQ86" s="139">
        <v>0</v>
      </c>
      <c r="BR86" s="139">
        <v>6430</v>
      </c>
      <c r="BS86" s="139">
        <v>170</v>
      </c>
      <c r="BT86" s="139">
        <v>101850</v>
      </c>
      <c r="BU86" s="139">
        <v>957532</v>
      </c>
      <c r="BV86" s="139">
        <v>1065982</v>
      </c>
      <c r="BW86" s="139">
        <v>4824274</v>
      </c>
      <c r="BX86" s="139">
        <v>8078207</v>
      </c>
      <c r="BY86" s="139">
        <v>83520</v>
      </c>
      <c r="BZ86" s="139">
        <v>1117519</v>
      </c>
      <c r="CA86" s="139">
        <v>29954040</v>
      </c>
      <c r="CB86" s="139">
        <v>44057560</v>
      </c>
      <c r="CC86" s="139">
        <v>2631752</v>
      </c>
      <c r="CD86" s="139">
        <v>363714</v>
      </c>
      <c r="CE86" s="139">
        <v>377787</v>
      </c>
      <c r="CF86" s="139">
        <v>3838143</v>
      </c>
      <c r="CG86" s="139">
        <v>23400</v>
      </c>
      <c r="CH86" s="139">
        <v>7234796</v>
      </c>
      <c r="CI86" s="139">
        <v>725000</v>
      </c>
      <c r="CJ86" s="139">
        <v>491330</v>
      </c>
      <c r="CK86" s="139">
        <v>15705</v>
      </c>
      <c r="CL86" s="139">
        <v>20912</v>
      </c>
      <c r="CM86" s="139">
        <v>0</v>
      </c>
      <c r="CN86" s="139">
        <v>1252947</v>
      </c>
      <c r="CO86" s="139">
        <v>2383904</v>
      </c>
      <c r="CP86" s="139">
        <v>1445120</v>
      </c>
      <c r="CQ86" s="139">
        <v>462174</v>
      </c>
      <c r="CR86" s="139">
        <v>2182590</v>
      </c>
      <c r="CS86" s="139">
        <v>0</v>
      </c>
      <c r="CT86" s="139">
        <v>6473788</v>
      </c>
      <c r="CU86" s="139">
        <v>0</v>
      </c>
      <c r="CV86" s="139">
        <v>0</v>
      </c>
      <c r="CW86" s="139">
        <v>0</v>
      </c>
      <c r="CX86" s="139">
        <v>66198</v>
      </c>
      <c r="CY86" s="139">
        <v>0</v>
      </c>
      <c r="CZ86" s="139">
        <v>66198</v>
      </c>
      <c r="DA86" s="139">
        <v>270968</v>
      </c>
      <c r="DB86" s="139">
        <v>356656</v>
      </c>
      <c r="DC86" s="139">
        <v>115860</v>
      </c>
      <c r="DD86" s="139">
        <v>128854</v>
      </c>
      <c r="DE86" s="139">
        <v>4888658</v>
      </c>
      <c r="DF86" s="139">
        <v>5760996</v>
      </c>
      <c r="DG86" s="139">
        <v>0</v>
      </c>
      <c r="DH86" s="139">
        <v>0</v>
      </c>
      <c r="DI86" s="139">
        <v>0</v>
      </c>
      <c r="DJ86" s="139">
        <v>0</v>
      </c>
      <c r="DK86" s="139">
        <v>0</v>
      </c>
      <c r="DL86" s="139">
        <v>0</v>
      </c>
      <c r="DM86" s="139">
        <v>0</v>
      </c>
      <c r="DN86" s="139">
        <v>0</v>
      </c>
      <c r="DO86" s="139">
        <v>0</v>
      </c>
      <c r="DP86" s="139">
        <v>0</v>
      </c>
      <c r="DQ86" s="139">
        <v>0</v>
      </c>
      <c r="DR86" s="139">
        <v>0</v>
      </c>
      <c r="DS86" s="139">
        <v>288590</v>
      </c>
      <c r="DT86" s="139">
        <v>194702</v>
      </c>
      <c r="DU86" s="139">
        <v>87404</v>
      </c>
      <c r="DV86" s="139">
        <v>273073</v>
      </c>
      <c r="DW86" s="139">
        <v>0</v>
      </c>
      <c r="DX86" s="139">
        <v>843769</v>
      </c>
      <c r="DY86" s="139">
        <v>837028</v>
      </c>
      <c r="DZ86" s="139">
        <v>180816</v>
      </c>
      <c r="EA86" s="139">
        <v>157119</v>
      </c>
      <c r="EB86" s="139">
        <v>1163649</v>
      </c>
      <c r="EC86" s="139">
        <v>0</v>
      </c>
      <c r="ED86" s="139">
        <v>2338612</v>
      </c>
      <c r="EE86" s="139">
        <v>329657</v>
      </c>
      <c r="EF86" s="139">
        <v>133000</v>
      </c>
      <c r="EG86" s="139">
        <v>46513</v>
      </c>
      <c r="EH86" s="139">
        <v>611189</v>
      </c>
      <c r="EI86" s="139">
        <v>257582</v>
      </c>
      <c r="EJ86" s="139">
        <v>1377941</v>
      </c>
      <c r="EK86" s="139">
        <v>380199</v>
      </c>
      <c r="EL86" s="139">
        <v>236757</v>
      </c>
      <c r="EM86" s="139">
        <v>176934</v>
      </c>
      <c r="EN86" s="139">
        <v>248283</v>
      </c>
      <c r="EO86" s="139">
        <v>368487</v>
      </c>
      <c r="EP86" s="139">
        <v>1410660</v>
      </c>
      <c r="EQ86" s="139">
        <v>7453</v>
      </c>
      <c r="ER86" s="139">
        <v>266</v>
      </c>
      <c r="ES86" s="139">
        <v>782</v>
      </c>
      <c r="ET86" s="139">
        <v>11033</v>
      </c>
      <c r="EU86" s="139">
        <v>954755</v>
      </c>
      <c r="EV86" s="139">
        <v>974289</v>
      </c>
      <c r="EW86" s="139">
        <v>0</v>
      </c>
      <c r="EX86" s="139">
        <v>0</v>
      </c>
      <c r="EY86" s="139">
        <v>0</v>
      </c>
      <c r="EZ86" s="139">
        <v>0</v>
      </c>
      <c r="FA86" s="139">
        <v>0</v>
      </c>
      <c r="FB86" s="139">
        <v>0</v>
      </c>
      <c r="FC86" s="139">
        <v>11527</v>
      </c>
      <c r="FD86" s="139">
        <v>546</v>
      </c>
      <c r="FE86" s="139">
        <v>1625</v>
      </c>
      <c r="FF86" s="139">
        <v>82841</v>
      </c>
      <c r="FG86" s="139">
        <v>3908291</v>
      </c>
      <c r="FH86" s="139">
        <v>4004830</v>
      </c>
      <c r="FI86" s="139">
        <v>0</v>
      </c>
      <c r="FJ86" s="139">
        <v>0</v>
      </c>
      <c r="FK86" s="139">
        <v>0</v>
      </c>
      <c r="FL86" s="139">
        <v>0</v>
      </c>
      <c r="FM86" s="139">
        <v>233713</v>
      </c>
      <c r="FN86" s="139">
        <v>233713</v>
      </c>
      <c r="FO86" s="139">
        <v>0</v>
      </c>
      <c r="FP86" s="139">
        <v>0</v>
      </c>
      <c r="FQ86" s="139">
        <v>0</v>
      </c>
      <c r="FR86" s="139">
        <v>0</v>
      </c>
      <c r="FS86" s="139">
        <v>7826035</v>
      </c>
      <c r="FT86" s="139">
        <v>7826035</v>
      </c>
      <c r="FU86" s="139">
        <v>12153</v>
      </c>
      <c r="FV86" s="139">
        <v>0</v>
      </c>
      <c r="FW86" s="139">
        <v>0</v>
      </c>
      <c r="FX86" s="139">
        <v>0</v>
      </c>
      <c r="FY86" s="139">
        <v>594314</v>
      </c>
      <c r="FZ86" s="139">
        <v>606467</v>
      </c>
      <c r="GA86" s="139">
        <v>0</v>
      </c>
      <c r="GB86" s="139">
        <v>1025</v>
      </c>
      <c r="GC86" s="139">
        <v>640</v>
      </c>
      <c r="GD86" s="139">
        <v>13385</v>
      </c>
      <c r="GE86" s="139">
        <v>388532</v>
      </c>
      <c r="GF86" s="139">
        <v>403582</v>
      </c>
      <c r="GG86" s="139">
        <v>1154314</v>
      </c>
      <c r="GH86" s="139">
        <v>1299420</v>
      </c>
      <c r="GI86" s="139">
        <v>61822</v>
      </c>
      <c r="GJ86" s="139">
        <v>158813</v>
      </c>
      <c r="GK86" s="139">
        <v>984350</v>
      </c>
      <c r="GL86" s="139">
        <v>3658719</v>
      </c>
      <c r="GM86" s="139">
        <v>9032545</v>
      </c>
      <c r="GN86" s="139">
        <v>4703352</v>
      </c>
      <c r="GO86" s="139">
        <v>1504365</v>
      </c>
      <c r="GP86" s="139">
        <v>8798963</v>
      </c>
      <c r="GQ86" s="139">
        <v>20428117</v>
      </c>
      <c r="GR86" s="139">
        <v>44467342</v>
      </c>
      <c r="GS86" s="139">
        <v>0</v>
      </c>
      <c r="GT86" s="139">
        <v>0</v>
      </c>
      <c r="GU86" s="139">
        <v>0</v>
      </c>
      <c r="GV86" s="139">
        <v>0</v>
      </c>
      <c r="GW86" s="139">
        <v>0</v>
      </c>
      <c r="GX86" s="139">
        <v>0</v>
      </c>
      <c r="GY86" s="139">
        <v>9032545</v>
      </c>
      <c r="GZ86" s="139">
        <v>4703352</v>
      </c>
      <c r="HA86" s="139">
        <v>1504365</v>
      </c>
      <c r="HB86" s="139">
        <v>8798963</v>
      </c>
      <c r="HC86" s="139">
        <v>20428117</v>
      </c>
      <c r="HD86" s="139">
        <v>44467342</v>
      </c>
      <c r="HF86" s="70">
        <f>SUM(AZ86:AZ86)</f>
        <v>1515785</v>
      </c>
      <c r="HG86" s="70" t="e">
        <f>#REF!-HF86</f>
        <v>#REF!</v>
      </c>
      <c r="HH86" s="70" t="e">
        <f>SUM(#REF!)</f>
        <v>#REF!</v>
      </c>
      <c r="HI86" s="70" t="e">
        <f>#REF!-HH86</f>
        <v>#REF!</v>
      </c>
      <c r="HJ86" s="70">
        <f>SUM(BA86:BA86)</f>
        <v>250000</v>
      </c>
      <c r="HK86" s="70" t="e">
        <f>#REF!-HJ86</f>
        <v>#REF!</v>
      </c>
      <c r="HL86" s="70" t="e">
        <f>SUM(#REF!)</f>
        <v>#REF!</v>
      </c>
      <c r="HM86" s="70" t="e">
        <f>BB86-HL86</f>
        <v>#REF!</v>
      </c>
      <c r="HN86" s="70" t="e">
        <f>SUM(#REF!)</f>
        <v>#REF!</v>
      </c>
      <c r="HO86" s="70" t="e">
        <f>#REF!-HN86</f>
        <v>#REF!</v>
      </c>
      <c r="HP86" s="70" t="e">
        <f>SUM(#REF!)</f>
        <v>#REF!</v>
      </c>
      <c r="HQ86" s="70" t="e">
        <f>#REF!-HP86</f>
        <v>#REF!</v>
      </c>
      <c r="HR86" s="70" t="e">
        <f>SUM(#REF!)</f>
        <v>#REF!</v>
      </c>
      <c r="HS86" s="70" t="e">
        <f>#REF!-HR86</f>
        <v>#REF!</v>
      </c>
      <c r="HT86" s="70" t="e">
        <f>SUM(#REF!)</f>
        <v>#REF!</v>
      </c>
      <c r="HU86" s="70" t="e">
        <f>#REF!-HT86</f>
        <v>#REF!</v>
      </c>
      <c r="HV86" s="70" t="e">
        <f>SUM(#REF!)</f>
        <v>#REF!</v>
      </c>
      <c r="HW86" s="70" t="e">
        <f>#REF!-HV86</f>
        <v>#REF!</v>
      </c>
      <c r="HX86" s="70" t="e">
        <f>SUM(#REF!)</f>
        <v>#REF!</v>
      </c>
      <c r="HY86" s="70" t="e">
        <f>#REF!-HX86</f>
        <v>#REF!</v>
      </c>
      <c r="HZ86" s="70">
        <f>SUM(BC86:BC86)</f>
        <v>877731</v>
      </c>
      <c r="IA86" s="70" t="e">
        <f>#REF!-HZ86</f>
        <v>#REF!</v>
      </c>
      <c r="IB86" s="70">
        <f>SUM(BD86:BD86)</f>
        <v>866935</v>
      </c>
      <c r="IC86" s="70" t="e">
        <f>#REF!-IB86</f>
        <v>#REF!</v>
      </c>
      <c r="ID86" s="70">
        <f t="shared" si="109"/>
        <v>0</v>
      </c>
      <c r="IE86" s="70">
        <f t="shared" si="110"/>
        <v>0</v>
      </c>
      <c r="IF86" s="70">
        <f t="shared" si="111"/>
        <v>203223</v>
      </c>
      <c r="IG86" s="70">
        <f t="shared" si="112"/>
        <v>0</v>
      </c>
      <c r="IH86" s="70">
        <f t="shared" si="113"/>
        <v>1065982</v>
      </c>
      <c r="II86" s="70">
        <f t="shared" si="114"/>
        <v>0</v>
      </c>
      <c r="IJ86" s="70">
        <f t="shared" si="115"/>
        <v>44057560</v>
      </c>
      <c r="IK86" s="70">
        <f t="shared" si="116"/>
        <v>0</v>
      </c>
      <c r="IL86" s="70">
        <f t="shared" si="117"/>
        <v>7234796</v>
      </c>
      <c r="IM86" s="70">
        <f t="shared" si="118"/>
        <v>0</v>
      </c>
      <c r="IN86" s="70">
        <f t="shared" si="119"/>
        <v>1252947</v>
      </c>
      <c r="IO86" s="70">
        <f t="shared" si="120"/>
        <v>0</v>
      </c>
      <c r="IP86" s="70">
        <f t="shared" si="121"/>
        <v>6473788</v>
      </c>
      <c r="IQ86" s="70">
        <f t="shared" si="122"/>
        <v>0</v>
      </c>
      <c r="IR86" s="70">
        <f t="shared" si="161"/>
        <v>66198</v>
      </c>
      <c r="IS86" s="70">
        <f t="shared" si="162"/>
        <v>0</v>
      </c>
      <c r="IT86" s="70">
        <f t="shared" si="123"/>
        <v>5760996</v>
      </c>
      <c r="IU86" s="70">
        <f t="shared" si="124"/>
        <v>0</v>
      </c>
      <c r="IV86" s="70">
        <f t="shared" si="125"/>
        <v>0</v>
      </c>
      <c r="IW86" s="70">
        <f t="shared" si="126"/>
        <v>0</v>
      </c>
      <c r="IX86" s="70">
        <f t="shared" si="127"/>
        <v>0</v>
      </c>
      <c r="IY86" s="70">
        <f t="shared" si="128"/>
        <v>0</v>
      </c>
      <c r="IZ86" s="70">
        <f t="shared" si="129"/>
        <v>843769</v>
      </c>
      <c r="JA86" s="70">
        <f t="shared" si="130"/>
        <v>0</v>
      </c>
      <c r="JB86" s="70">
        <f t="shared" si="131"/>
        <v>2338612</v>
      </c>
      <c r="JC86" s="70">
        <f t="shared" si="132"/>
        <v>0</v>
      </c>
      <c r="JD86" s="70">
        <f t="shared" si="133"/>
        <v>1377941</v>
      </c>
      <c r="JE86" s="70">
        <f t="shared" si="134"/>
        <v>0</v>
      </c>
      <c r="JF86" s="70">
        <f t="shared" si="135"/>
        <v>1410660</v>
      </c>
      <c r="JG86" s="70">
        <f t="shared" si="136"/>
        <v>0</v>
      </c>
      <c r="JH86" s="70">
        <f t="shared" si="137"/>
        <v>974289</v>
      </c>
      <c r="JI86" s="70">
        <f t="shared" si="138"/>
        <v>0</v>
      </c>
      <c r="JJ86" s="70">
        <f t="shared" si="139"/>
        <v>0</v>
      </c>
      <c r="JK86" s="70">
        <f t="shared" si="140"/>
        <v>0</v>
      </c>
      <c r="JL86" s="70">
        <f t="shared" si="141"/>
        <v>4004830</v>
      </c>
      <c r="JM86" s="70">
        <f t="shared" si="142"/>
        <v>0</v>
      </c>
      <c r="JN86" s="70">
        <f t="shared" si="143"/>
        <v>233713</v>
      </c>
      <c r="JO86" s="70">
        <f t="shared" si="144"/>
        <v>0</v>
      </c>
      <c r="JP86" s="70">
        <f t="shared" si="145"/>
        <v>7826035</v>
      </c>
      <c r="JQ86" s="70">
        <f t="shared" si="146"/>
        <v>0</v>
      </c>
      <c r="JR86" s="70">
        <f t="shared" si="147"/>
        <v>606467</v>
      </c>
      <c r="JS86" s="70">
        <f t="shared" si="148"/>
        <v>0</v>
      </c>
      <c r="JT86" s="70">
        <f t="shared" si="149"/>
        <v>403582</v>
      </c>
      <c r="JU86" s="70">
        <f t="shared" si="150"/>
        <v>0</v>
      </c>
      <c r="JV86" s="70">
        <f t="shared" si="151"/>
        <v>3658719</v>
      </c>
      <c r="JW86" s="70">
        <f t="shared" si="152"/>
        <v>0</v>
      </c>
      <c r="JX86" s="70">
        <f t="shared" si="153"/>
        <v>44467342</v>
      </c>
      <c r="JY86" s="70">
        <f t="shared" si="154"/>
        <v>0</v>
      </c>
      <c r="JZ86" s="70">
        <f t="shared" si="155"/>
        <v>0</v>
      </c>
      <c r="KA86" s="70">
        <f t="shared" si="156"/>
        <v>0</v>
      </c>
      <c r="KB86" s="70">
        <f t="shared" si="157"/>
        <v>44467342</v>
      </c>
      <c r="KC86" s="70">
        <f t="shared" si="158"/>
        <v>0</v>
      </c>
      <c r="KE86" s="70" t="e">
        <f t="shared" si="159"/>
        <v>#REF!</v>
      </c>
      <c r="KG86" s="68" t="e">
        <f t="shared" si="160"/>
        <v>#REF!</v>
      </c>
      <c r="KH86" s="67"/>
    </row>
    <row r="87" spans="1:294">
      <c r="A87" s="180" t="s">
        <v>239</v>
      </c>
      <c r="B87" s="76" t="s">
        <v>366</v>
      </c>
      <c r="C87" s="110">
        <v>230764</v>
      </c>
      <c r="D87" s="90">
        <v>2014</v>
      </c>
      <c r="E87" s="90">
        <v>1</v>
      </c>
      <c r="F87" s="91">
        <v>4</v>
      </c>
      <c r="G87" s="92">
        <v>13221</v>
      </c>
      <c r="H87" s="92">
        <v>10686</v>
      </c>
      <c r="I87" s="93">
        <v>3386191000</v>
      </c>
      <c r="J87" s="93">
        <v>3201911000</v>
      </c>
      <c r="K87" s="93">
        <v>2049525</v>
      </c>
      <c r="L87" s="93">
        <v>1988488</v>
      </c>
      <c r="M87" s="93">
        <v>177254623</v>
      </c>
      <c r="N87" s="93">
        <v>47932077</v>
      </c>
      <c r="O87" s="93">
        <v>50212538</v>
      </c>
      <c r="P87" s="93">
        <v>25195000</v>
      </c>
      <c r="Q87" s="93">
        <v>891246155</v>
      </c>
      <c r="R87" s="93">
        <v>759190787</v>
      </c>
      <c r="S87" s="93">
        <v>1535438000</v>
      </c>
      <c r="T87" s="93">
        <v>1510100000</v>
      </c>
      <c r="U87" s="93">
        <v>18504</v>
      </c>
      <c r="V87" s="93">
        <v>16672</v>
      </c>
      <c r="W87" s="93">
        <v>33988</v>
      </c>
      <c r="X87" s="93">
        <v>31418</v>
      </c>
      <c r="Y87" s="93">
        <v>23554</v>
      </c>
      <c r="Z87" s="93">
        <v>22966</v>
      </c>
      <c r="AA87" s="93">
        <v>38862</v>
      </c>
      <c r="AB87" s="93">
        <v>37578</v>
      </c>
      <c r="AC87" s="114">
        <v>7</v>
      </c>
      <c r="AD87" s="114">
        <v>11</v>
      </c>
      <c r="AE87" s="114">
        <v>0</v>
      </c>
      <c r="AF87" s="115">
        <v>4221730</v>
      </c>
      <c r="AG87" s="115">
        <v>3321826</v>
      </c>
      <c r="AH87" s="115">
        <v>698106</v>
      </c>
      <c r="AI87" s="115">
        <v>365446</v>
      </c>
      <c r="AJ87" s="115">
        <v>691379</v>
      </c>
      <c r="AK87" s="116">
        <v>6</v>
      </c>
      <c r="AL87" s="115">
        <v>592611</v>
      </c>
      <c r="AM87" s="116">
        <v>7</v>
      </c>
      <c r="AN87" s="115">
        <v>168896</v>
      </c>
      <c r="AO87" s="116">
        <v>8</v>
      </c>
      <c r="AP87" s="115">
        <v>150130</v>
      </c>
      <c r="AQ87" s="116">
        <v>9</v>
      </c>
      <c r="AR87" s="115">
        <v>211924</v>
      </c>
      <c r="AS87" s="116">
        <v>19.25</v>
      </c>
      <c r="AT87" s="115">
        <v>169980</v>
      </c>
      <c r="AU87" s="116">
        <v>24</v>
      </c>
      <c r="AV87" s="115">
        <v>97727</v>
      </c>
      <c r="AW87" s="116">
        <v>17.75</v>
      </c>
      <c r="AX87" s="115">
        <v>78848</v>
      </c>
      <c r="AY87" s="116">
        <v>22</v>
      </c>
      <c r="AZ87" s="139">
        <v>11159146</v>
      </c>
      <c r="BA87" s="139">
        <v>250000</v>
      </c>
      <c r="BB87" s="139">
        <v>9967838</v>
      </c>
      <c r="BC87" s="139">
        <v>272650</v>
      </c>
      <c r="BD87" s="139">
        <v>2918487</v>
      </c>
      <c r="BE87" s="139">
        <v>191940</v>
      </c>
      <c r="BF87" s="139">
        <v>57088</v>
      </c>
      <c r="BG87" s="139">
        <v>106800</v>
      </c>
      <c r="BH87" s="139">
        <v>435494</v>
      </c>
      <c r="BI87" s="139">
        <v>0</v>
      </c>
      <c r="BJ87" s="139">
        <v>791322</v>
      </c>
      <c r="BK87" s="139">
        <v>0</v>
      </c>
      <c r="BL87" s="139">
        <v>0</v>
      </c>
      <c r="BM87" s="139">
        <v>0</v>
      </c>
      <c r="BN87" s="139">
        <v>0</v>
      </c>
      <c r="BO87" s="139">
        <v>-21408</v>
      </c>
      <c r="BP87" s="139">
        <v>-21408</v>
      </c>
      <c r="BQ87" s="139">
        <v>1009</v>
      </c>
      <c r="BR87" s="139">
        <v>0</v>
      </c>
      <c r="BS87" s="139">
        <v>1933</v>
      </c>
      <c r="BT87" s="139">
        <v>52208</v>
      </c>
      <c r="BU87" s="139">
        <v>447061</v>
      </c>
      <c r="BV87" s="139">
        <v>502211</v>
      </c>
      <c r="BW87" s="139">
        <v>37392165</v>
      </c>
      <c r="BX87" s="139">
        <v>6778832</v>
      </c>
      <c r="BY87" s="139">
        <v>272073</v>
      </c>
      <c r="BZ87" s="139">
        <v>2356184</v>
      </c>
      <c r="CA87" s="140">
        <v>9671056</v>
      </c>
      <c r="CB87" s="139">
        <v>56470310</v>
      </c>
      <c r="CC87" s="139">
        <v>2588235</v>
      </c>
      <c r="CD87" s="139">
        <v>457124</v>
      </c>
      <c r="CE87" s="139">
        <v>501378</v>
      </c>
      <c r="CF87" s="139">
        <v>3996819</v>
      </c>
      <c r="CG87" s="139">
        <v>549901</v>
      </c>
      <c r="CH87" s="139">
        <v>8093457</v>
      </c>
      <c r="CI87" s="139">
        <v>400000</v>
      </c>
      <c r="CJ87" s="139">
        <v>419000</v>
      </c>
      <c r="CK87" s="139">
        <v>65000</v>
      </c>
      <c r="CL87" s="139">
        <v>27016</v>
      </c>
      <c r="CM87" s="139">
        <v>0</v>
      </c>
      <c r="CN87" s="139">
        <v>911016</v>
      </c>
      <c r="CO87" s="139">
        <v>5638864</v>
      </c>
      <c r="CP87" s="139">
        <v>1612065</v>
      </c>
      <c r="CQ87" s="139">
        <v>659668</v>
      </c>
      <c r="CR87" s="139">
        <v>3403038</v>
      </c>
      <c r="CS87" s="139">
        <v>0</v>
      </c>
      <c r="CT87" s="139">
        <v>11313635</v>
      </c>
      <c r="CU87" s="139">
        <v>0</v>
      </c>
      <c r="CV87" s="139">
        <v>0</v>
      </c>
      <c r="CW87" s="139">
        <v>0</v>
      </c>
      <c r="CX87" s="139">
        <v>0</v>
      </c>
      <c r="CY87" s="139">
        <v>0</v>
      </c>
      <c r="CZ87" s="139">
        <v>0</v>
      </c>
      <c r="DA87" s="139">
        <v>824357</v>
      </c>
      <c r="DB87" s="139">
        <v>290516</v>
      </c>
      <c r="DC87" s="139">
        <v>156635</v>
      </c>
      <c r="DD87" s="139">
        <v>158660</v>
      </c>
      <c r="DE87" s="139">
        <v>8890584</v>
      </c>
      <c r="DF87" s="139">
        <v>10320752</v>
      </c>
      <c r="DG87" s="139">
        <v>0</v>
      </c>
      <c r="DH87" s="139">
        <v>0</v>
      </c>
      <c r="DI87" s="139">
        <v>0</v>
      </c>
      <c r="DJ87" s="139">
        <v>0</v>
      </c>
      <c r="DK87" s="139">
        <v>0</v>
      </c>
      <c r="DL87" s="139">
        <v>0</v>
      </c>
      <c r="DM87" s="139">
        <v>0</v>
      </c>
      <c r="DN87" s="139">
        <v>83419</v>
      </c>
      <c r="DO87" s="139">
        <v>0</v>
      </c>
      <c r="DP87" s="139">
        <v>0</v>
      </c>
      <c r="DQ87" s="139">
        <v>0</v>
      </c>
      <c r="DR87" s="139">
        <v>83419</v>
      </c>
      <c r="DS87" s="139">
        <v>434009</v>
      </c>
      <c r="DT87" s="139">
        <v>154700</v>
      </c>
      <c r="DU87" s="139">
        <v>135100</v>
      </c>
      <c r="DV87" s="139">
        <v>339743</v>
      </c>
      <c r="DW87" s="139">
        <v>0</v>
      </c>
      <c r="DX87" s="139">
        <v>1063552</v>
      </c>
      <c r="DY87" s="139">
        <v>1210752</v>
      </c>
      <c r="DZ87" s="139">
        <v>355000</v>
      </c>
      <c r="EA87" s="139">
        <v>320339</v>
      </c>
      <c r="EB87" s="139">
        <v>1953221</v>
      </c>
      <c r="EC87" s="139">
        <v>55321</v>
      </c>
      <c r="ED87" s="139">
        <v>3894633</v>
      </c>
      <c r="EE87" s="139">
        <v>549862</v>
      </c>
      <c r="EF87" s="139">
        <v>56684</v>
      </c>
      <c r="EG87" s="139">
        <v>4964</v>
      </c>
      <c r="EH87" s="139">
        <v>717490</v>
      </c>
      <c r="EI87" s="139">
        <v>807667</v>
      </c>
      <c r="EJ87" s="139">
        <v>2136667</v>
      </c>
      <c r="EK87" s="139">
        <v>890083</v>
      </c>
      <c r="EL87" s="139">
        <v>372087</v>
      </c>
      <c r="EM87" s="139">
        <v>139003</v>
      </c>
      <c r="EN87" s="139">
        <v>341864</v>
      </c>
      <c r="EO87" s="139">
        <v>153051</v>
      </c>
      <c r="EP87" s="139">
        <v>1896088</v>
      </c>
      <c r="EQ87" s="139">
        <v>490173</v>
      </c>
      <c r="ER87" s="139">
        <v>178632</v>
      </c>
      <c r="ES87" s="139">
        <v>11981</v>
      </c>
      <c r="ET87" s="139">
        <v>164904</v>
      </c>
      <c r="EU87" s="139">
        <v>924813</v>
      </c>
      <c r="EV87" s="139">
        <v>1770503</v>
      </c>
      <c r="EW87" s="139">
        <v>53380</v>
      </c>
      <c r="EX87" s="139">
        <v>34382</v>
      </c>
      <c r="EY87" s="139">
        <v>55709</v>
      </c>
      <c r="EZ87" s="139">
        <v>143140</v>
      </c>
      <c r="FA87" s="139">
        <v>0</v>
      </c>
      <c r="FB87" s="139">
        <v>286611</v>
      </c>
      <c r="FC87" s="139">
        <v>1580550</v>
      </c>
      <c r="FD87" s="139">
        <v>39833</v>
      </c>
      <c r="FE87" s="139">
        <v>16000</v>
      </c>
      <c r="FF87" s="139">
        <v>70181</v>
      </c>
      <c r="FG87" s="139">
        <v>454313</v>
      </c>
      <c r="FH87" s="139">
        <v>2160877</v>
      </c>
      <c r="FI87" s="139">
        <v>0</v>
      </c>
      <c r="FJ87" s="139">
        <v>0</v>
      </c>
      <c r="FK87" s="139">
        <v>0</v>
      </c>
      <c r="FL87" s="139">
        <v>0</v>
      </c>
      <c r="FM87" s="139">
        <v>315931</v>
      </c>
      <c r="FN87" s="139">
        <v>315931</v>
      </c>
      <c r="FO87" s="139">
        <v>0</v>
      </c>
      <c r="FP87" s="139">
        <v>0</v>
      </c>
      <c r="FQ87" s="139">
        <v>0</v>
      </c>
      <c r="FR87" s="139">
        <v>0</v>
      </c>
      <c r="FS87" s="139">
        <v>0</v>
      </c>
      <c r="FT87" s="139">
        <v>0</v>
      </c>
      <c r="FU87" s="139">
        <v>421094</v>
      </c>
      <c r="FV87" s="139">
        <v>23652</v>
      </c>
      <c r="FW87" s="139">
        <v>74705</v>
      </c>
      <c r="FX87" s="139">
        <v>474243</v>
      </c>
      <c r="FY87" s="139">
        <v>0</v>
      </c>
      <c r="FZ87" s="139">
        <v>993694</v>
      </c>
      <c r="GA87" s="139">
        <v>2380</v>
      </c>
      <c r="GB87" s="139">
        <v>3970</v>
      </c>
      <c r="GC87" s="139">
        <v>630</v>
      </c>
      <c r="GD87" s="139">
        <v>14714</v>
      </c>
      <c r="GE87" s="139">
        <v>64287</v>
      </c>
      <c r="GF87" s="139">
        <v>85981</v>
      </c>
      <c r="GG87" s="139">
        <v>978332</v>
      </c>
      <c r="GH87" s="139">
        <v>312111</v>
      </c>
      <c r="GI87" s="139">
        <v>120954</v>
      </c>
      <c r="GJ87" s="139">
        <v>346638</v>
      </c>
      <c r="GK87" s="139">
        <v>3446755</v>
      </c>
      <c r="GL87" s="139">
        <v>5204790</v>
      </c>
      <c r="GM87" s="139">
        <v>978332</v>
      </c>
      <c r="GN87" s="139">
        <v>312111</v>
      </c>
      <c r="GO87" s="139">
        <v>120954</v>
      </c>
      <c r="GP87" s="139">
        <v>346638</v>
      </c>
      <c r="GQ87" s="139">
        <v>3446755</v>
      </c>
      <c r="GR87" s="139">
        <v>5204790</v>
      </c>
      <c r="GS87" s="139">
        <v>0</v>
      </c>
      <c r="GT87" s="139">
        <v>-175000</v>
      </c>
      <c r="GU87" s="139">
        <v>0</v>
      </c>
      <c r="GV87" s="139">
        <v>-19848</v>
      </c>
      <c r="GW87" s="139">
        <v>4715147</v>
      </c>
      <c r="GX87" s="139">
        <v>4520299</v>
      </c>
      <c r="GY87" s="139">
        <v>16062071</v>
      </c>
      <c r="GZ87" s="139">
        <v>4218175</v>
      </c>
      <c r="HA87" s="139">
        <v>2262066</v>
      </c>
      <c r="HB87" s="139">
        <v>12131823</v>
      </c>
      <c r="HC87" s="139">
        <v>20377770</v>
      </c>
      <c r="HD87" s="139">
        <v>55051905</v>
      </c>
      <c r="HF87" s="70">
        <f>SUM(AZ87:AZ87)</f>
        <v>11159146</v>
      </c>
      <c r="HG87" s="70" t="e">
        <f>#REF!-HF87</f>
        <v>#REF!</v>
      </c>
      <c r="HH87" s="70" t="e">
        <f>SUM(#REF!)</f>
        <v>#REF!</v>
      </c>
      <c r="HI87" s="70" t="e">
        <f>#REF!-HH87</f>
        <v>#REF!</v>
      </c>
      <c r="HJ87" s="70">
        <f>SUM(BA87:BA87)</f>
        <v>250000</v>
      </c>
      <c r="HK87" s="70" t="e">
        <f>#REF!-HJ87</f>
        <v>#REF!</v>
      </c>
      <c r="HL87" s="70" t="e">
        <f>SUM(#REF!)</f>
        <v>#REF!</v>
      </c>
      <c r="HM87" s="70" t="e">
        <f>BB87-HL87</f>
        <v>#REF!</v>
      </c>
      <c r="HN87" s="70" t="e">
        <f>SUM(#REF!)</f>
        <v>#REF!</v>
      </c>
      <c r="HO87" s="70" t="e">
        <f>#REF!-HN87</f>
        <v>#REF!</v>
      </c>
      <c r="HP87" s="70" t="e">
        <f>SUM(#REF!)</f>
        <v>#REF!</v>
      </c>
      <c r="HQ87" s="70" t="e">
        <f>#REF!-HP87</f>
        <v>#REF!</v>
      </c>
      <c r="HR87" s="70" t="e">
        <f>SUM(#REF!)</f>
        <v>#REF!</v>
      </c>
      <c r="HS87" s="70" t="e">
        <f>#REF!-HR87</f>
        <v>#REF!</v>
      </c>
      <c r="HT87" s="70" t="e">
        <f>SUM(#REF!)</f>
        <v>#REF!</v>
      </c>
      <c r="HU87" s="70" t="e">
        <f>#REF!-HT87</f>
        <v>#REF!</v>
      </c>
      <c r="HV87" s="70" t="e">
        <f>SUM(#REF!)</f>
        <v>#REF!</v>
      </c>
      <c r="HW87" s="70" t="e">
        <f>#REF!-HV87</f>
        <v>#REF!</v>
      </c>
      <c r="HX87" s="70" t="e">
        <f>SUM(#REF!)</f>
        <v>#REF!</v>
      </c>
      <c r="HY87" s="70" t="e">
        <f>#REF!-HX87</f>
        <v>#REF!</v>
      </c>
      <c r="HZ87" s="70">
        <f>SUM(BC87:BC87)</f>
        <v>272650</v>
      </c>
      <c r="IA87" s="70" t="e">
        <f>#REF!-HZ87</f>
        <v>#REF!</v>
      </c>
      <c r="IB87" s="70">
        <f>SUM(BD87:BD87)</f>
        <v>2918487</v>
      </c>
      <c r="IC87" s="70" t="e">
        <f>#REF!-IB87</f>
        <v>#REF!</v>
      </c>
      <c r="ID87" s="70">
        <f t="shared" si="109"/>
        <v>791322</v>
      </c>
      <c r="IE87" s="70">
        <f t="shared" si="110"/>
        <v>0</v>
      </c>
      <c r="IF87" s="70">
        <f t="shared" si="111"/>
        <v>-21408</v>
      </c>
      <c r="IG87" s="70">
        <f t="shared" si="112"/>
        <v>0</v>
      </c>
      <c r="IH87" s="70">
        <f t="shared" si="113"/>
        <v>502211</v>
      </c>
      <c r="II87" s="70">
        <f t="shared" si="114"/>
        <v>0</v>
      </c>
      <c r="IJ87" s="70">
        <f t="shared" si="115"/>
        <v>56470310</v>
      </c>
      <c r="IK87" s="70">
        <f t="shared" si="116"/>
        <v>0</v>
      </c>
      <c r="IL87" s="70">
        <f t="shared" si="117"/>
        <v>8093457</v>
      </c>
      <c r="IM87" s="70">
        <f t="shared" si="118"/>
        <v>0</v>
      </c>
      <c r="IN87" s="70">
        <f t="shared" si="119"/>
        <v>911016</v>
      </c>
      <c r="IO87" s="70">
        <f t="shared" si="120"/>
        <v>0</v>
      </c>
      <c r="IP87" s="70">
        <f t="shared" si="121"/>
        <v>11313635</v>
      </c>
      <c r="IQ87" s="70">
        <f t="shared" si="122"/>
        <v>0</v>
      </c>
      <c r="IR87" s="70">
        <f t="shared" si="161"/>
        <v>0</v>
      </c>
      <c r="IS87" s="70">
        <f t="shared" si="162"/>
        <v>0</v>
      </c>
      <c r="IT87" s="70">
        <f t="shared" si="123"/>
        <v>10320752</v>
      </c>
      <c r="IU87" s="70">
        <f t="shared" si="124"/>
        <v>0</v>
      </c>
      <c r="IV87" s="70">
        <f t="shared" si="125"/>
        <v>0</v>
      </c>
      <c r="IW87" s="70">
        <f t="shared" si="126"/>
        <v>0</v>
      </c>
      <c r="IX87" s="70">
        <f t="shared" si="127"/>
        <v>83419</v>
      </c>
      <c r="IY87" s="70">
        <f t="shared" si="128"/>
        <v>0</v>
      </c>
      <c r="IZ87" s="70">
        <f t="shared" si="129"/>
        <v>1063552</v>
      </c>
      <c r="JA87" s="70">
        <f t="shared" si="130"/>
        <v>0</v>
      </c>
      <c r="JB87" s="70">
        <f t="shared" si="131"/>
        <v>3894633</v>
      </c>
      <c r="JC87" s="70">
        <f t="shared" si="132"/>
        <v>0</v>
      </c>
      <c r="JD87" s="70">
        <f t="shared" si="133"/>
        <v>2136667</v>
      </c>
      <c r="JE87" s="70">
        <f t="shared" si="134"/>
        <v>0</v>
      </c>
      <c r="JF87" s="70">
        <f t="shared" si="135"/>
        <v>1896088</v>
      </c>
      <c r="JG87" s="70">
        <f t="shared" si="136"/>
        <v>0</v>
      </c>
      <c r="JH87" s="70">
        <f t="shared" si="137"/>
        <v>1770503</v>
      </c>
      <c r="JI87" s="70">
        <f t="shared" si="138"/>
        <v>0</v>
      </c>
      <c r="JJ87" s="70">
        <f t="shared" si="139"/>
        <v>286611</v>
      </c>
      <c r="JK87" s="70">
        <f t="shared" si="140"/>
        <v>0</v>
      </c>
      <c r="JL87" s="70">
        <f t="shared" si="141"/>
        <v>2160877</v>
      </c>
      <c r="JM87" s="70">
        <f t="shared" si="142"/>
        <v>0</v>
      </c>
      <c r="JN87" s="70">
        <f t="shared" si="143"/>
        <v>315931</v>
      </c>
      <c r="JO87" s="70">
        <f t="shared" si="144"/>
        <v>0</v>
      </c>
      <c r="JP87" s="70">
        <f t="shared" si="145"/>
        <v>0</v>
      </c>
      <c r="JQ87" s="70">
        <f t="shared" si="146"/>
        <v>0</v>
      </c>
      <c r="JR87" s="70">
        <f t="shared" si="147"/>
        <v>993694</v>
      </c>
      <c r="JS87" s="70">
        <f t="shared" si="148"/>
        <v>0</v>
      </c>
      <c r="JT87" s="70">
        <f t="shared" si="149"/>
        <v>85981</v>
      </c>
      <c r="JU87" s="70">
        <f t="shared" si="150"/>
        <v>0</v>
      </c>
      <c r="JV87" s="70">
        <f t="shared" si="151"/>
        <v>5204790</v>
      </c>
      <c r="JW87" s="70">
        <f t="shared" si="152"/>
        <v>0</v>
      </c>
      <c r="JX87" s="70">
        <f t="shared" si="153"/>
        <v>5204790</v>
      </c>
      <c r="JY87" s="70">
        <f t="shared" si="154"/>
        <v>0</v>
      </c>
      <c r="JZ87" s="70">
        <f t="shared" si="155"/>
        <v>4520299</v>
      </c>
      <c r="KA87" s="70">
        <f t="shared" si="156"/>
        <v>0</v>
      </c>
      <c r="KB87" s="70">
        <f t="shared" si="157"/>
        <v>55051905</v>
      </c>
      <c r="KC87" s="70">
        <f t="shared" si="158"/>
        <v>0</v>
      </c>
      <c r="KE87" s="70" t="e">
        <f t="shared" si="159"/>
        <v>#REF!</v>
      </c>
      <c r="KG87" s="68" t="e">
        <f t="shared" si="160"/>
        <v>#REF!</v>
      </c>
      <c r="KH87" s="67"/>
    </row>
    <row r="88" spans="1:294">
      <c r="A88" s="180" t="s">
        <v>240</v>
      </c>
      <c r="B88" s="76" t="s">
        <v>366</v>
      </c>
      <c r="C88" s="90">
        <v>230728</v>
      </c>
      <c r="D88" s="90">
        <v>2014</v>
      </c>
      <c r="E88" s="90">
        <v>1</v>
      </c>
      <c r="F88" s="91">
        <v>10</v>
      </c>
      <c r="G88" s="92">
        <v>7378</v>
      </c>
      <c r="H88" s="92">
        <v>7774</v>
      </c>
      <c r="I88" s="93">
        <v>592481551</v>
      </c>
      <c r="J88" s="93">
        <v>575651653</v>
      </c>
      <c r="K88" s="93">
        <v>1134270</v>
      </c>
      <c r="L88" s="93">
        <v>796044</v>
      </c>
      <c r="M88" s="93">
        <v>11707085</v>
      </c>
      <c r="N88" s="93">
        <v>9965620</v>
      </c>
      <c r="O88" s="93">
        <v>16977000</v>
      </c>
      <c r="P88" s="93">
        <v>8845000</v>
      </c>
      <c r="Q88" s="93">
        <v>132391279</v>
      </c>
      <c r="R88" s="93">
        <v>93040476</v>
      </c>
      <c r="S88" s="93">
        <v>550163689</v>
      </c>
      <c r="T88" s="93">
        <v>533279748</v>
      </c>
      <c r="U88" s="93">
        <v>13614</v>
      </c>
      <c r="V88" s="93">
        <v>13251</v>
      </c>
      <c r="W88" s="93">
        <v>25318</v>
      </c>
      <c r="X88" s="93">
        <v>24398</v>
      </c>
      <c r="Y88" s="93">
        <v>17720</v>
      </c>
      <c r="Z88" s="93">
        <v>17430</v>
      </c>
      <c r="AA88" s="93">
        <v>29240</v>
      </c>
      <c r="AB88" s="93">
        <v>27690</v>
      </c>
      <c r="AC88" s="114">
        <v>7</v>
      </c>
      <c r="AD88" s="114">
        <v>9</v>
      </c>
      <c r="AE88" s="114">
        <v>0</v>
      </c>
      <c r="AF88" s="115">
        <v>2479896</v>
      </c>
      <c r="AG88" s="115">
        <v>1707038</v>
      </c>
      <c r="AH88" s="115">
        <v>344843</v>
      </c>
      <c r="AI88" s="115">
        <v>202889</v>
      </c>
      <c r="AJ88" s="115">
        <v>314825</v>
      </c>
      <c r="AK88" s="116">
        <v>4.25</v>
      </c>
      <c r="AL88" s="115">
        <v>267601</v>
      </c>
      <c r="AM88" s="116">
        <v>5</v>
      </c>
      <c r="AN88" s="115">
        <v>115004</v>
      </c>
      <c r="AO88" s="116">
        <v>6.5</v>
      </c>
      <c r="AP88" s="115">
        <v>106790</v>
      </c>
      <c r="AQ88" s="116">
        <v>7</v>
      </c>
      <c r="AR88" s="115">
        <v>643545</v>
      </c>
      <c r="AS88" s="116">
        <v>3.5</v>
      </c>
      <c r="AT88" s="115">
        <v>187701</v>
      </c>
      <c r="AU88" s="116">
        <v>12</v>
      </c>
      <c r="AV88" s="115">
        <v>71902</v>
      </c>
      <c r="AW88" s="116">
        <v>11.5</v>
      </c>
      <c r="AX88" s="115">
        <v>41344</v>
      </c>
      <c r="AY88" s="116">
        <v>20</v>
      </c>
      <c r="AZ88" s="139">
        <v>1468098</v>
      </c>
      <c r="BA88" s="139">
        <v>850000</v>
      </c>
      <c r="BB88" s="139">
        <v>3089556</v>
      </c>
      <c r="BC88" s="139">
        <v>0</v>
      </c>
      <c r="BD88" s="139">
        <v>5000</v>
      </c>
      <c r="BE88" s="139">
        <v>0</v>
      </c>
      <c r="BF88" s="139">
        <v>0</v>
      </c>
      <c r="BG88" s="139">
        <v>0</v>
      </c>
      <c r="BH88" s="139">
        <v>0</v>
      </c>
      <c r="BI88" s="139">
        <v>0</v>
      </c>
      <c r="BJ88" s="139">
        <v>0</v>
      </c>
      <c r="BK88" s="139">
        <v>61583</v>
      </c>
      <c r="BL88" s="139">
        <v>13447</v>
      </c>
      <c r="BM88" s="139">
        <v>4927</v>
      </c>
      <c r="BN88" s="139">
        <v>79287</v>
      </c>
      <c r="BO88" s="139">
        <v>15608</v>
      </c>
      <c r="BP88" s="139">
        <v>174852</v>
      </c>
      <c r="BQ88" s="139">
        <v>2770</v>
      </c>
      <c r="BR88" s="139">
        <v>503</v>
      </c>
      <c r="BS88" s="139">
        <v>247</v>
      </c>
      <c r="BT88" s="139">
        <v>21537</v>
      </c>
      <c r="BU88" s="139">
        <v>121790</v>
      </c>
      <c r="BV88" s="139">
        <v>146847</v>
      </c>
      <c r="BW88" s="139">
        <v>5312394</v>
      </c>
      <c r="BX88" s="139">
        <v>2408684</v>
      </c>
      <c r="BY88" s="139">
        <v>728995</v>
      </c>
      <c r="BZ88" s="139">
        <v>1894118</v>
      </c>
      <c r="CA88" s="139">
        <v>14808728</v>
      </c>
      <c r="CB88" s="139">
        <v>25152919</v>
      </c>
      <c r="CC88" s="139">
        <v>1754512</v>
      </c>
      <c r="CD88" s="139">
        <v>281676</v>
      </c>
      <c r="CE88" s="139">
        <v>351690</v>
      </c>
      <c r="CF88" s="139">
        <v>1799056</v>
      </c>
      <c r="CG88" s="139">
        <v>236721</v>
      </c>
      <c r="CH88" s="139">
        <v>4423655</v>
      </c>
      <c r="CI88" s="139">
        <v>250000</v>
      </c>
      <c r="CJ88" s="139">
        <v>245000</v>
      </c>
      <c r="CK88" s="139">
        <v>10000</v>
      </c>
      <c r="CL88" s="139">
        <v>2950</v>
      </c>
      <c r="CM88" s="139">
        <v>0</v>
      </c>
      <c r="CN88" s="139">
        <v>507950</v>
      </c>
      <c r="CO88" s="139">
        <v>2036763</v>
      </c>
      <c r="CP88" s="139">
        <v>1265630</v>
      </c>
      <c r="CQ88" s="139">
        <v>489588</v>
      </c>
      <c r="CR88" s="139">
        <v>1372831</v>
      </c>
      <c r="CS88" s="139">
        <v>152317</v>
      </c>
      <c r="CT88" s="139">
        <v>5317129</v>
      </c>
      <c r="CU88" s="139">
        <v>374391</v>
      </c>
      <c r="CV88" s="139">
        <v>120000</v>
      </c>
      <c r="CW88" s="139">
        <v>0</v>
      </c>
      <c r="CX88" s="139">
        <v>0</v>
      </c>
      <c r="CY88" s="139">
        <v>0</v>
      </c>
      <c r="CZ88" s="139">
        <v>494391</v>
      </c>
      <c r="DA88" s="139">
        <v>41417</v>
      </c>
      <c r="DB88" s="139">
        <v>0</v>
      </c>
      <c r="DC88" s="139">
        <v>0</v>
      </c>
      <c r="DD88" s="139">
        <v>33251</v>
      </c>
      <c r="DE88" s="139">
        <v>3118170</v>
      </c>
      <c r="DF88" s="139">
        <v>3192838</v>
      </c>
      <c r="DG88" s="139">
        <v>0</v>
      </c>
      <c r="DH88" s="139">
        <v>0</v>
      </c>
      <c r="DI88" s="139">
        <v>0</v>
      </c>
      <c r="DJ88" s="139">
        <v>0</v>
      </c>
      <c r="DK88" s="139">
        <v>0</v>
      </c>
      <c r="DL88" s="139">
        <v>0</v>
      </c>
      <c r="DM88" s="139">
        <v>0</v>
      </c>
      <c r="DN88" s="139">
        <v>0</v>
      </c>
      <c r="DO88" s="139">
        <v>0</v>
      </c>
      <c r="DP88" s="139">
        <v>0</v>
      </c>
      <c r="DQ88" s="139">
        <v>0</v>
      </c>
      <c r="DR88" s="139">
        <v>0</v>
      </c>
      <c r="DS88" s="139">
        <v>183235</v>
      </c>
      <c r="DT88" s="139">
        <v>145308</v>
      </c>
      <c r="DU88" s="139">
        <v>81748</v>
      </c>
      <c r="DV88" s="139">
        <v>137441</v>
      </c>
      <c r="DW88" s="139">
        <v>1188</v>
      </c>
      <c r="DX88" s="139">
        <v>548920</v>
      </c>
      <c r="DY88" s="139">
        <v>1222228</v>
      </c>
      <c r="DZ88" s="139">
        <v>236247</v>
      </c>
      <c r="EA88" s="139">
        <v>207125</v>
      </c>
      <c r="EB88" s="139">
        <v>1466556</v>
      </c>
      <c r="EC88" s="139">
        <v>2135</v>
      </c>
      <c r="ED88" s="139">
        <v>3134291</v>
      </c>
      <c r="EE88" s="139">
        <v>636497</v>
      </c>
      <c r="EF88" s="139">
        <v>72212</v>
      </c>
      <c r="EG88" s="139">
        <v>36517</v>
      </c>
      <c r="EH88" s="139">
        <v>420603</v>
      </c>
      <c r="EI88" s="139">
        <v>365995</v>
      </c>
      <c r="EJ88" s="139">
        <v>1531824</v>
      </c>
      <c r="EK88" s="139">
        <v>233885</v>
      </c>
      <c r="EL88" s="139">
        <v>175328</v>
      </c>
      <c r="EM88" s="139">
        <v>76900</v>
      </c>
      <c r="EN88" s="139">
        <v>70580</v>
      </c>
      <c r="EO88" s="139">
        <v>0</v>
      </c>
      <c r="EP88" s="139">
        <v>556693</v>
      </c>
      <c r="EQ88" s="139">
        <v>922</v>
      </c>
      <c r="ER88" s="139">
        <v>63</v>
      </c>
      <c r="ES88" s="139">
        <v>0</v>
      </c>
      <c r="ET88" s="139">
        <v>3331</v>
      </c>
      <c r="EU88" s="139">
        <v>259054</v>
      </c>
      <c r="EV88" s="139">
        <v>263370</v>
      </c>
      <c r="EW88" s="139">
        <v>0</v>
      </c>
      <c r="EX88" s="139">
        <v>0</v>
      </c>
      <c r="EY88" s="139">
        <v>0</v>
      </c>
      <c r="EZ88" s="139">
        <v>0</v>
      </c>
      <c r="FA88" s="139">
        <v>0</v>
      </c>
      <c r="FB88" s="139">
        <v>0</v>
      </c>
      <c r="FC88" s="139">
        <v>400116</v>
      </c>
      <c r="FD88" s="139">
        <v>102090</v>
      </c>
      <c r="FE88" s="139">
        <v>2418</v>
      </c>
      <c r="FF88" s="139">
        <v>42060</v>
      </c>
      <c r="FG88" s="139">
        <v>854313</v>
      </c>
      <c r="FH88" s="139">
        <v>1400997</v>
      </c>
      <c r="FI88" s="139">
        <v>0</v>
      </c>
      <c r="FJ88" s="139">
        <v>0</v>
      </c>
      <c r="FK88" s="139">
        <v>0</v>
      </c>
      <c r="FL88" s="139">
        <v>0</v>
      </c>
      <c r="FM88" s="139">
        <v>36097</v>
      </c>
      <c r="FN88" s="139">
        <v>36097</v>
      </c>
      <c r="FO88" s="139">
        <v>296606</v>
      </c>
      <c r="FP88" s="139">
        <v>116873</v>
      </c>
      <c r="FQ88" s="139">
        <v>0</v>
      </c>
      <c r="FR88" s="139">
        <v>0</v>
      </c>
      <c r="FS88" s="139">
        <v>1347365</v>
      </c>
      <c r="FT88" s="139">
        <v>1760844</v>
      </c>
      <c r="FU88" s="139">
        <v>202</v>
      </c>
      <c r="FV88" s="139">
        <v>-114</v>
      </c>
      <c r="FW88" s="139">
        <v>160</v>
      </c>
      <c r="FX88" s="139">
        <v>631</v>
      </c>
      <c r="FY88" s="139">
        <v>397922</v>
      </c>
      <c r="FZ88" s="139">
        <v>398801</v>
      </c>
      <c r="GA88" s="139">
        <v>680</v>
      </c>
      <c r="GB88" s="139">
        <v>20</v>
      </c>
      <c r="GC88" s="139">
        <v>593</v>
      </c>
      <c r="GD88" s="139">
        <v>8568</v>
      </c>
      <c r="GE88" s="139">
        <v>390797</v>
      </c>
      <c r="GF88" s="139">
        <v>400658</v>
      </c>
      <c r="GG88" s="139">
        <v>206512</v>
      </c>
      <c r="GH88" s="139">
        <v>46287</v>
      </c>
      <c r="GI88" s="139">
        <v>30150</v>
      </c>
      <c r="GJ88" s="139">
        <v>52627</v>
      </c>
      <c r="GK88" s="139">
        <v>1403291</v>
      </c>
      <c r="GL88" s="139">
        <v>1738867</v>
      </c>
      <c r="GM88" s="139">
        <v>7637966</v>
      </c>
      <c r="GN88" s="139">
        <v>2806620</v>
      </c>
      <c r="GO88" s="139">
        <v>1286889</v>
      </c>
      <c r="GP88" s="139">
        <v>5410485</v>
      </c>
      <c r="GQ88" s="139">
        <v>8565365</v>
      </c>
      <c r="GR88" s="139">
        <v>25707325</v>
      </c>
      <c r="GS88" s="139">
        <v>0</v>
      </c>
      <c r="GT88" s="139">
        <v>0</v>
      </c>
      <c r="GU88" s="139">
        <v>0</v>
      </c>
      <c r="GV88" s="139">
        <v>0</v>
      </c>
      <c r="GW88" s="139">
        <v>0</v>
      </c>
      <c r="GX88" s="139">
        <v>0</v>
      </c>
      <c r="GY88" s="139">
        <v>7637966</v>
      </c>
      <c r="GZ88" s="139">
        <v>2806620</v>
      </c>
      <c r="HA88" s="139">
        <v>1286889</v>
      </c>
      <c r="HB88" s="139">
        <v>5410485</v>
      </c>
      <c r="HC88" s="139">
        <v>8565365</v>
      </c>
      <c r="HD88" s="139">
        <v>25707325</v>
      </c>
      <c r="HF88" s="70">
        <f>SUM(AZ88:AZ88)</f>
        <v>1468098</v>
      </c>
      <c r="HG88" s="70" t="e">
        <f>#REF!-HF88</f>
        <v>#REF!</v>
      </c>
      <c r="HH88" s="70" t="e">
        <f>SUM(#REF!)</f>
        <v>#REF!</v>
      </c>
      <c r="HI88" s="70" t="e">
        <f>#REF!-HH88</f>
        <v>#REF!</v>
      </c>
      <c r="HJ88" s="70">
        <f>SUM(BA88:BA88)</f>
        <v>850000</v>
      </c>
      <c r="HK88" s="70" t="e">
        <f>#REF!-HJ88</f>
        <v>#REF!</v>
      </c>
      <c r="HL88" s="70" t="e">
        <f>SUM(#REF!)</f>
        <v>#REF!</v>
      </c>
      <c r="HM88" s="70" t="e">
        <f>BB88-HL88</f>
        <v>#REF!</v>
      </c>
      <c r="HN88" s="70" t="e">
        <f>SUM(#REF!)</f>
        <v>#REF!</v>
      </c>
      <c r="HO88" s="70" t="e">
        <f>#REF!-HN88</f>
        <v>#REF!</v>
      </c>
      <c r="HP88" s="70" t="e">
        <f>SUM(#REF!)</f>
        <v>#REF!</v>
      </c>
      <c r="HQ88" s="70" t="e">
        <f>#REF!-HP88</f>
        <v>#REF!</v>
      </c>
      <c r="HR88" s="70" t="e">
        <f>SUM(#REF!)</f>
        <v>#REF!</v>
      </c>
      <c r="HS88" s="70" t="e">
        <f>#REF!-HR88</f>
        <v>#REF!</v>
      </c>
      <c r="HT88" s="70" t="e">
        <f>SUM(#REF!)</f>
        <v>#REF!</v>
      </c>
      <c r="HU88" s="70" t="e">
        <f>#REF!-HT88</f>
        <v>#REF!</v>
      </c>
      <c r="HV88" s="70" t="e">
        <f>SUM(#REF!)</f>
        <v>#REF!</v>
      </c>
      <c r="HW88" s="70" t="e">
        <f>#REF!-HV88</f>
        <v>#REF!</v>
      </c>
      <c r="HX88" s="70" t="e">
        <f>SUM(#REF!)</f>
        <v>#REF!</v>
      </c>
      <c r="HY88" s="70" t="e">
        <f>#REF!-HX88</f>
        <v>#REF!</v>
      </c>
      <c r="HZ88" s="70">
        <f>SUM(BC88:BC88)</f>
        <v>0</v>
      </c>
      <c r="IA88" s="70" t="e">
        <f>#REF!-HZ88</f>
        <v>#REF!</v>
      </c>
      <c r="IB88" s="70">
        <f>SUM(BD88:BD88)</f>
        <v>5000</v>
      </c>
      <c r="IC88" s="70" t="e">
        <f>#REF!-IB88</f>
        <v>#REF!</v>
      </c>
      <c r="ID88" s="70">
        <f t="shared" si="109"/>
        <v>0</v>
      </c>
      <c r="IE88" s="70">
        <f t="shared" si="110"/>
        <v>0</v>
      </c>
      <c r="IF88" s="70">
        <f t="shared" si="111"/>
        <v>174852</v>
      </c>
      <c r="IG88" s="70">
        <f t="shared" si="112"/>
        <v>0</v>
      </c>
      <c r="IH88" s="70">
        <f t="shared" si="113"/>
        <v>146847</v>
      </c>
      <c r="II88" s="70">
        <f t="shared" si="114"/>
        <v>0</v>
      </c>
      <c r="IJ88" s="70">
        <f t="shared" si="115"/>
        <v>25152919</v>
      </c>
      <c r="IK88" s="70">
        <f t="shared" si="116"/>
        <v>0</v>
      </c>
      <c r="IL88" s="70">
        <f t="shared" si="117"/>
        <v>4423655</v>
      </c>
      <c r="IM88" s="70">
        <f t="shared" si="118"/>
        <v>0</v>
      </c>
      <c r="IN88" s="70">
        <f t="shared" si="119"/>
        <v>507950</v>
      </c>
      <c r="IO88" s="70">
        <f t="shared" si="120"/>
        <v>0</v>
      </c>
      <c r="IP88" s="70">
        <f t="shared" si="121"/>
        <v>5317129</v>
      </c>
      <c r="IQ88" s="70">
        <f t="shared" si="122"/>
        <v>0</v>
      </c>
      <c r="IR88" s="70">
        <f t="shared" si="161"/>
        <v>494391</v>
      </c>
      <c r="IS88" s="70">
        <f t="shared" si="162"/>
        <v>0</v>
      </c>
      <c r="IT88" s="70">
        <f t="shared" si="123"/>
        <v>3192838</v>
      </c>
      <c r="IU88" s="70">
        <f t="shared" si="124"/>
        <v>0</v>
      </c>
      <c r="IV88" s="70">
        <f t="shared" si="125"/>
        <v>0</v>
      </c>
      <c r="IW88" s="70">
        <f t="shared" si="126"/>
        <v>0</v>
      </c>
      <c r="IX88" s="70">
        <f t="shared" si="127"/>
        <v>0</v>
      </c>
      <c r="IY88" s="70">
        <f t="shared" si="128"/>
        <v>0</v>
      </c>
      <c r="IZ88" s="70">
        <f t="shared" si="129"/>
        <v>548920</v>
      </c>
      <c r="JA88" s="70">
        <f t="shared" si="130"/>
        <v>0</v>
      </c>
      <c r="JB88" s="70">
        <f t="shared" si="131"/>
        <v>3134291</v>
      </c>
      <c r="JC88" s="70">
        <f t="shared" si="132"/>
        <v>0</v>
      </c>
      <c r="JD88" s="70">
        <f t="shared" si="133"/>
        <v>1531824</v>
      </c>
      <c r="JE88" s="70">
        <f t="shared" si="134"/>
        <v>0</v>
      </c>
      <c r="JF88" s="70">
        <f t="shared" si="135"/>
        <v>556693</v>
      </c>
      <c r="JG88" s="70">
        <f t="shared" si="136"/>
        <v>0</v>
      </c>
      <c r="JH88" s="70">
        <f t="shared" si="137"/>
        <v>263370</v>
      </c>
      <c r="JI88" s="70">
        <f t="shared" si="138"/>
        <v>0</v>
      </c>
      <c r="JJ88" s="70">
        <f t="shared" si="139"/>
        <v>0</v>
      </c>
      <c r="JK88" s="70">
        <f t="shared" si="140"/>
        <v>0</v>
      </c>
      <c r="JL88" s="70">
        <f t="shared" si="141"/>
        <v>1400997</v>
      </c>
      <c r="JM88" s="70">
        <f t="shared" si="142"/>
        <v>0</v>
      </c>
      <c r="JN88" s="70">
        <f t="shared" si="143"/>
        <v>36097</v>
      </c>
      <c r="JO88" s="70">
        <f t="shared" si="144"/>
        <v>0</v>
      </c>
      <c r="JP88" s="70">
        <f t="shared" si="145"/>
        <v>1760844</v>
      </c>
      <c r="JQ88" s="70">
        <f t="shared" si="146"/>
        <v>0</v>
      </c>
      <c r="JR88" s="70">
        <f t="shared" si="147"/>
        <v>398801</v>
      </c>
      <c r="JS88" s="70">
        <f t="shared" si="148"/>
        <v>0</v>
      </c>
      <c r="JT88" s="70">
        <f t="shared" si="149"/>
        <v>400658</v>
      </c>
      <c r="JU88" s="70">
        <f t="shared" si="150"/>
        <v>0</v>
      </c>
      <c r="JV88" s="70">
        <f t="shared" si="151"/>
        <v>1738867</v>
      </c>
      <c r="JW88" s="70">
        <f t="shared" si="152"/>
        <v>0</v>
      </c>
      <c r="JX88" s="70">
        <f t="shared" si="153"/>
        <v>25707325</v>
      </c>
      <c r="JY88" s="70">
        <f t="shared" si="154"/>
        <v>0</v>
      </c>
      <c r="JZ88" s="70">
        <f t="shared" si="155"/>
        <v>0</v>
      </c>
      <c r="KA88" s="70">
        <f t="shared" si="156"/>
        <v>0</v>
      </c>
      <c r="KB88" s="70">
        <f t="shared" si="157"/>
        <v>25707325</v>
      </c>
      <c r="KC88" s="70">
        <f t="shared" si="158"/>
        <v>0</v>
      </c>
      <c r="KE88" s="70" t="e">
        <f t="shared" si="159"/>
        <v>#REF!</v>
      </c>
      <c r="KG88" s="68" t="e">
        <f t="shared" si="160"/>
        <v>#REF!</v>
      </c>
    </row>
    <row r="89" spans="1:294">
      <c r="A89" s="180" t="s">
        <v>241</v>
      </c>
      <c r="B89" s="76" t="s">
        <v>366</v>
      </c>
      <c r="C89" s="90">
        <v>228796</v>
      </c>
      <c r="D89" s="90">
        <v>2014</v>
      </c>
      <c r="E89" s="90">
        <v>1</v>
      </c>
      <c r="F89" s="91">
        <v>8</v>
      </c>
      <c r="G89" s="92">
        <v>6161</v>
      </c>
      <c r="H89" s="92">
        <v>6781</v>
      </c>
      <c r="I89" s="93">
        <v>384789986</v>
      </c>
      <c r="J89" s="93">
        <v>380688163</v>
      </c>
      <c r="K89" s="93">
        <v>1444146</v>
      </c>
      <c r="L89" s="93">
        <v>1444554</v>
      </c>
      <c r="M89" s="93">
        <v>21419043</v>
      </c>
      <c r="N89" s="93">
        <v>18956649</v>
      </c>
      <c r="O89" s="93">
        <v>15237000</v>
      </c>
      <c r="P89" s="93">
        <v>15108000</v>
      </c>
      <c r="Q89" s="93">
        <v>222083000</v>
      </c>
      <c r="R89" s="93">
        <v>226535000</v>
      </c>
      <c r="S89" s="93">
        <v>290324816</v>
      </c>
      <c r="T89" s="93">
        <v>289352881</v>
      </c>
      <c r="U89" s="93">
        <v>16897</v>
      </c>
      <c r="V89" s="93">
        <v>16742</v>
      </c>
      <c r="W89" s="93">
        <v>27517</v>
      </c>
      <c r="X89" s="93">
        <v>27272</v>
      </c>
      <c r="Y89" s="93">
        <v>20775</v>
      </c>
      <c r="Z89" s="93">
        <v>20564</v>
      </c>
      <c r="AA89" s="93">
        <v>31395</v>
      </c>
      <c r="AB89" s="93">
        <v>31094</v>
      </c>
      <c r="AC89" s="114">
        <v>6</v>
      </c>
      <c r="AD89" s="114">
        <v>10</v>
      </c>
      <c r="AE89" s="114">
        <v>0</v>
      </c>
      <c r="AF89" s="115">
        <v>2664518</v>
      </c>
      <c r="AG89" s="115">
        <v>2512146</v>
      </c>
      <c r="AH89" s="115">
        <v>392668</v>
      </c>
      <c r="AI89" s="115">
        <v>176285</v>
      </c>
      <c r="AJ89" s="115">
        <v>412897</v>
      </c>
      <c r="AK89" s="116">
        <v>3.75</v>
      </c>
      <c r="AL89" s="115">
        <v>309672</v>
      </c>
      <c r="AM89" s="116">
        <v>5</v>
      </c>
      <c r="AN89" s="115">
        <v>126825</v>
      </c>
      <c r="AO89" s="116">
        <v>7.75</v>
      </c>
      <c r="AP89" s="115">
        <v>109211</v>
      </c>
      <c r="AQ89" s="116">
        <v>9</v>
      </c>
      <c r="AR89" s="115">
        <v>151733</v>
      </c>
      <c r="AS89" s="116">
        <v>13.75</v>
      </c>
      <c r="AT89" s="115">
        <v>130396</v>
      </c>
      <c r="AU89" s="116">
        <v>16</v>
      </c>
      <c r="AV89" s="115">
        <v>67018</v>
      </c>
      <c r="AW89" s="116">
        <v>9.75</v>
      </c>
      <c r="AX89" s="115">
        <v>54452</v>
      </c>
      <c r="AY89" s="116">
        <v>12</v>
      </c>
      <c r="AZ89" s="139">
        <v>929354</v>
      </c>
      <c r="BA89" s="139">
        <v>1050000</v>
      </c>
      <c r="BB89" s="139">
        <v>3382825</v>
      </c>
      <c r="BC89" s="139">
        <v>296738</v>
      </c>
      <c r="BD89" s="139">
        <v>885011</v>
      </c>
      <c r="BE89" s="139">
        <v>10977</v>
      </c>
      <c r="BF89" s="139">
        <v>35840</v>
      </c>
      <c r="BG89" s="139">
        <v>0</v>
      </c>
      <c r="BH89" s="139">
        <v>71906</v>
      </c>
      <c r="BI89" s="139">
        <v>26825</v>
      </c>
      <c r="BJ89" s="139">
        <v>145548</v>
      </c>
      <c r="BK89" s="139">
        <v>48321</v>
      </c>
      <c r="BL89" s="139">
        <v>23830</v>
      </c>
      <c r="BM89" s="139">
        <v>6428</v>
      </c>
      <c r="BN89" s="139">
        <v>44711</v>
      </c>
      <c r="BO89" s="139">
        <v>0</v>
      </c>
      <c r="BP89" s="139">
        <v>123290</v>
      </c>
      <c r="BQ89" s="139">
        <v>168328</v>
      </c>
      <c r="BR89" s="139">
        <v>37423</v>
      </c>
      <c r="BS89" s="139">
        <v>36700</v>
      </c>
      <c r="BT89" s="139">
        <v>220484</v>
      </c>
      <c r="BU89" s="139">
        <v>64017</v>
      </c>
      <c r="BV89" s="139">
        <v>526952</v>
      </c>
      <c r="BW89" s="139">
        <v>11760112</v>
      </c>
      <c r="BX89" s="139">
        <v>3954607</v>
      </c>
      <c r="BY89" s="139">
        <v>1967703</v>
      </c>
      <c r="BZ89" s="139">
        <v>9954301</v>
      </c>
      <c r="CA89" s="139">
        <v>1008938</v>
      </c>
      <c r="CB89" s="139">
        <v>28645661</v>
      </c>
      <c r="CC89" s="139">
        <v>1814132</v>
      </c>
      <c r="CD89" s="139">
        <v>340114</v>
      </c>
      <c r="CE89" s="139">
        <v>428134</v>
      </c>
      <c r="CF89" s="139">
        <v>2594284</v>
      </c>
      <c r="CG89" s="139">
        <v>1208674</v>
      </c>
      <c r="CH89" s="139">
        <v>6385338</v>
      </c>
      <c r="CI89" s="139">
        <v>0</v>
      </c>
      <c r="CJ89" s="139">
        <v>414000</v>
      </c>
      <c r="CK89" s="139">
        <v>104500</v>
      </c>
      <c r="CL89" s="139">
        <v>20000</v>
      </c>
      <c r="CM89" s="139">
        <v>0</v>
      </c>
      <c r="CN89" s="139">
        <v>538500</v>
      </c>
      <c r="CO89" s="139">
        <v>2094045</v>
      </c>
      <c r="CP89" s="139">
        <v>1219043</v>
      </c>
      <c r="CQ89" s="139">
        <v>525369</v>
      </c>
      <c r="CR89" s="139">
        <v>1432558</v>
      </c>
      <c r="CS89" s="139">
        <v>0</v>
      </c>
      <c r="CT89" s="139">
        <v>5271015</v>
      </c>
      <c r="CU89" s="139">
        <v>64801</v>
      </c>
      <c r="CV89" s="139">
        <v>43104</v>
      </c>
      <c r="CW89" s="139">
        <v>10668</v>
      </c>
      <c r="CX89" s="139">
        <v>30414</v>
      </c>
      <c r="CY89" s="139">
        <v>0</v>
      </c>
      <c r="CZ89" s="139">
        <v>148987</v>
      </c>
      <c r="DA89" s="139">
        <v>405682</v>
      </c>
      <c r="DB89" s="139">
        <v>175534</v>
      </c>
      <c r="DC89" s="139">
        <v>65952</v>
      </c>
      <c r="DD89" s="139">
        <v>105918</v>
      </c>
      <c r="DE89" s="139">
        <v>2472099</v>
      </c>
      <c r="DF89" s="139">
        <v>3225185</v>
      </c>
      <c r="DG89" s="139">
        <v>4168</v>
      </c>
      <c r="DH89" s="139">
        <v>0</v>
      </c>
      <c r="DI89" s="139">
        <v>0</v>
      </c>
      <c r="DJ89" s="139">
        <f>4168+0-DG89-DH89-DI89</f>
        <v>0</v>
      </c>
      <c r="DK89" s="139">
        <v>30118</v>
      </c>
      <c r="DL89" s="139">
        <v>34286</v>
      </c>
      <c r="DM89" s="139">
        <v>0</v>
      </c>
      <c r="DN89" s="139">
        <v>0</v>
      </c>
      <c r="DO89" s="139">
        <v>0</v>
      </c>
      <c r="DP89" s="139">
        <v>0</v>
      </c>
      <c r="DQ89" s="139">
        <v>0</v>
      </c>
      <c r="DR89" s="139">
        <v>0</v>
      </c>
      <c r="DS89" s="139">
        <v>229107</v>
      </c>
      <c r="DT89" s="139">
        <v>147993</v>
      </c>
      <c r="DU89" s="139">
        <v>65033</v>
      </c>
      <c r="DV89" s="139">
        <f>392668+176285-DS89-DT89-DU89</f>
        <v>126820</v>
      </c>
      <c r="DW89" s="139">
        <v>0</v>
      </c>
      <c r="DX89" s="139">
        <v>568953</v>
      </c>
      <c r="DY89" s="139">
        <v>1165395</v>
      </c>
      <c r="DZ89" s="139">
        <v>347200</v>
      </c>
      <c r="EA89" s="139">
        <v>277673</v>
      </c>
      <c r="EB89" s="139">
        <f>1759791+1155355-DY89-DZ89-EA89</f>
        <v>1124878</v>
      </c>
      <c r="EC89" s="139">
        <v>0</v>
      </c>
      <c r="ED89" s="139">
        <v>2915146</v>
      </c>
      <c r="EE89" s="139">
        <v>185162</v>
      </c>
      <c r="EF89" s="139">
        <v>56463</v>
      </c>
      <c r="EG89" s="139">
        <v>34043</v>
      </c>
      <c r="EH89" s="139">
        <f>277203+219615-EE89-EF89-EG89</f>
        <v>221150</v>
      </c>
      <c r="EI89" s="139">
        <v>0</v>
      </c>
      <c r="EJ89" s="139">
        <v>496818</v>
      </c>
      <c r="EK89" s="139">
        <v>615683</v>
      </c>
      <c r="EL89" s="139">
        <v>391597</v>
      </c>
      <c r="EM89" s="139">
        <v>401282</v>
      </c>
      <c r="EN89" s="139">
        <f>1036424+574230-EK89-EL89-EM89</f>
        <v>202092</v>
      </c>
      <c r="EO89" s="139">
        <v>0</v>
      </c>
      <c r="EP89" s="139">
        <v>1610654</v>
      </c>
      <c r="EQ89" s="139">
        <v>243530</v>
      </c>
      <c r="ER89" s="139">
        <v>56242</v>
      </c>
      <c r="ES89" s="139">
        <v>38410</v>
      </c>
      <c r="ET89" s="139">
        <f>343609+237700-EQ89-ER89-ES89</f>
        <v>243127</v>
      </c>
      <c r="EU89" s="139">
        <v>398482</v>
      </c>
      <c r="EV89" s="139">
        <v>979791</v>
      </c>
      <c r="EW89" s="139">
        <v>33050</v>
      </c>
      <c r="EX89" s="139">
        <v>26534</v>
      </c>
      <c r="EY89" s="139">
        <v>0</v>
      </c>
      <c r="EZ89" s="139">
        <f>60417+46464-EW89-EX89-EY89</f>
        <v>47297</v>
      </c>
      <c r="FA89" s="139">
        <v>11464</v>
      </c>
      <c r="FB89" s="139">
        <v>118345</v>
      </c>
      <c r="FC89" s="148">
        <v>150242</v>
      </c>
      <c r="FD89" s="139">
        <v>29851</v>
      </c>
      <c r="FE89" s="139">
        <v>32446</v>
      </c>
      <c r="FF89" s="139">
        <f>210457+213513-FC89-FD89-FE89</f>
        <v>211431</v>
      </c>
      <c r="FG89" s="139">
        <v>0</v>
      </c>
      <c r="FH89" s="139">
        <v>423970</v>
      </c>
      <c r="FI89" s="139">
        <v>24403</v>
      </c>
      <c r="FJ89" s="139">
        <v>3732</v>
      </c>
      <c r="FK89" s="139">
        <v>4307</v>
      </c>
      <c r="FL89" s="139">
        <f>33044+25438-FI89-FJ89-FK89</f>
        <v>26040</v>
      </c>
      <c r="FM89" s="139">
        <v>39746</v>
      </c>
      <c r="FN89" s="139">
        <v>98228</v>
      </c>
      <c r="FO89" s="139">
        <v>1290660</v>
      </c>
      <c r="FP89" s="139">
        <v>197395</v>
      </c>
      <c r="FQ89" s="139">
        <v>227764</v>
      </c>
      <c r="FR89" s="139">
        <f>1747706+1345326-FO89-FP89-FQ89</f>
        <v>1377213</v>
      </c>
      <c r="FS89" s="139">
        <v>0</v>
      </c>
      <c r="FT89" s="139">
        <v>3093032</v>
      </c>
      <c r="FU89" s="139">
        <v>359914</v>
      </c>
      <c r="FV89" s="139">
        <v>55002</v>
      </c>
      <c r="FW89" s="139">
        <v>63499</v>
      </c>
      <c r="FX89" s="139">
        <f>487340+375167-FU89-FV89-FW89</f>
        <v>384092</v>
      </c>
      <c r="FY89" s="139">
        <v>5000</v>
      </c>
      <c r="FZ89" s="139">
        <v>867507</v>
      </c>
      <c r="GA89" s="139">
        <v>118865</v>
      </c>
      <c r="GB89" s="139">
        <v>18151</v>
      </c>
      <c r="GC89" s="139">
        <v>20730</v>
      </c>
      <c r="GD89" s="139">
        <f>161428+125213-GA89-GB89-GC89</f>
        <v>128895</v>
      </c>
      <c r="GE89" s="139">
        <v>480</v>
      </c>
      <c r="GF89" s="139">
        <v>287121</v>
      </c>
      <c r="GG89" s="139">
        <v>316960</v>
      </c>
      <c r="GH89" s="139">
        <v>151602</v>
      </c>
      <c r="GI89" s="139">
        <v>68182</v>
      </c>
      <c r="GJ89" s="139">
        <f>641192+234433-GG89-GH89-GI89</f>
        <v>338881</v>
      </c>
      <c r="GK89" s="139">
        <v>583386</v>
      </c>
      <c r="GL89" s="139">
        <v>1459011</v>
      </c>
      <c r="GM89" s="139">
        <v>9115799</v>
      </c>
      <c r="GN89" s="139">
        <v>3673497</v>
      </c>
      <c r="GO89" s="139">
        <v>2367992</v>
      </c>
      <c r="GP89" s="139">
        <f>14579647+9192791-GM89-GN89-GO89</f>
        <v>8615150</v>
      </c>
      <c r="GQ89" s="139">
        <v>4749449</v>
      </c>
      <c r="GR89" s="139">
        <v>28521887</v>
      </c>
      <c r="GS89" s="139">
        <v>0</v>
      </c>
      <c r="GT89" s="139">
        <v>0</v>
      </c>
      <c r="GU89" s="139">
        <v>0</v>
      </c>
      <c r="GV89" s="139">
        <v>0</v>
      </c>
      <c r="GW89" s="139">
        <v>0</v>
      </c>
      <c r="GX89" s="139">
        <v>0</v>
      </c>
      <c r="GY89" s="139">
        <v>9115799</v>
      </c>
      <c r="GZ89" s="139">
        <v>3673497</v>
      </c>
      <c r="HA89" s="139">
        <v>2367992</v>
      </c>
      <c r="HB89" s="139">
        <f>14579647+9192791-GY89-GZ89-HA89</f>
        <v>8615150</v>
      </c>
      <c r="HC89" s="139">
        <v>4749449</v>
      </c>
      <c r="HD89" s="139">
        <v>28521887</v>
      </c>
      <c r="HF89" s="70">
        <f>SUM(AZ89:AZ89)</f>
        <v>929354</v>
      </c>
      <c r="HG89" s="70" t="e">
        <f>#REF!-HF89</f>
        <v>#REF!</v>
      </c>
      <c r="HH89" s="70" t="e">
        <f>SUM(#REF!)</f>
        <v>#REF!</v>
      </c>
      <c r="HI89" s="70" t="e">
        <f>#REF!-HH89</f>
        <v>#REF!</v>
      </c>
      <c r="HJ89" s="70">
        <f>SUM(BA89:BA89)</f>
        <v>1050000</v>
      </c>
      <c r="HK89" s="70" t="e">
        <f>#REF!-HJ89</f>
        <v>#REF!</v>
      </c>
      <c r="HL89" s="70" t="e">
        <f>SUM(#REF!)</f>
        <v>#REF!</v>
      </c>
      <c r="HM89" s="70" t="e">
        <f>BB89-HL89</f>
        <v>#REF!</v>
      </c>
      <c r="HN89" s="70" t="e">
        <f>SUM(#REF!)</f>
        <v>#REF!</v>
      </c>
      <c r="HO89" s="70" t="e">
        <f>#REF!-HN89</f>
        <v>#REF!</v>
      </c>
      <c r="HP89" s="70" t="e">
        <f>SUM(#REF!)</f>
        <v>#REF!</v>
      </c>
      <c r="HQ89" s="70" t="e">
        <f>#REF!-HP89</f>
        <v>#REF!</v>
      </c>
      <c r="HR89" s="70" t="e">
        <f>SUM(#REF!)</f>
        <v>#REF!</v>
      </c>
      <c r="HS89" s="70" t="e">
        <f>#REF!-HR89</f>
        <v>#REF!</v>
      </c>
      <c r="HT89" s="70" t="e">
        <f>SUM(#REF!)</f>
        <v>#REF!</v>
      </c>
      <c r="HU89" s="70" t="e">
        <f>#REF!-HT89</f>
        <v>#REF!</v>
      </c>
      <c r="HV89" s="70" t="e">
        <f>SUM(#REF!)</f>
        <v>#REF!</v>
      </c>
      <c r="HW89" s="70" t="e">
        <f>#REF!-HV89</f>
        <v>#REF!</v>
      </c>
      <c r="HX89" s="70" t="e">
        <f>SUM(#REF!)</f>
        <v>#REF!</v>
      </c>
      <c r="HY89" s="70" t="e">
        <f>#REF!-HX89</f>
        <v>#REF!</v>
      </c>
      <c r="HZ89" s="70">
        <f>SUM(BC89:BC89)</f>
        <v>296738</v>
      </c>
      <c r="IA89" s="70" t="e">
        <f>#REF!-HZ89</f>
        <v>#REF!</v>
      </c>
      <c r="IB89" s="70">
        <f>SUM(BD89:BD89)</f>
        <v>885011</v>
      </c>
      <c r="IC89" s="70" t="e">
        <f>#REF!-IB89</f>
        <v>#REF!</v>
      </c>
      <c r="ID89" s="70">
        <f t="shared" si="109"/>
        <v>145548</v>
      </c>
      <c r="IE89" s="70">
        <f t="shared" si="110"/>
        <v>0</v>
      </c>
      <c r="IF89" s="70">
        <f t="shared" si="111"/>
        <v>123290</v>
      </c>
      <c r="IG89" s="70">
        <f t="shared" si="112"/>
        <v>0</v>
      </c>
      <c r="IH89" s="70">
        <f t="shared" si="113"/>
        <v>526952</v>
      </c>
      <c r="II89" s="70">
        <f t="shared" si="114"/>
        <v>0</v>
      </c>
      <c r="IJ89" s="70">
        <f t="shared" si="115"/>
        <v>28645661</v>
      </c>
      <c r="IK89" s="70">
        <f t="shared" si="116"/>
        <v>0</v>
      </c>
      <c r="IL89" s="70">
        <f t="shared" si="117"/>
        <v>6385338</v>
      </c>
      <c r="IM89" s="70">
        <f t="shared" si="118"/>
        <v>0</v>
      </c>
      <c r="IN89" s="70">
        <f t="shared" si="119"/>
        <v>538500</v>
      </c>
      <c r="IO89" s="70">
        <f t="shared" si="120"/>
        <v>0</v>
      </c>
      <c r="IP89" s="70">
        <f t="shared" si="121"/>
        <v>5271015</v>
      </c>
      <c r="IQ89" s="70">
        <f t="shared" si="122"/>
        <v>0</v>
      </c>
      <c r="IR89" s="70">
        <f t="shared" si="161"/>
        <v>148987</v>
      </c>
      <c r="IS89" s="70">
        <f t="shared" si="162"/>
        <v>0</v>
      </c>
      <c r="IT89" s="70">
        <f t="shared" si="123"/>
        <v>3225185</v>
      </c>
      <c r="IU89" s="70">
        <f t="shared" si="124"/>
        <v>0</v>
      </c>
      <c r="IV89" s="70">
        <f t="shared" si="125"/>
        <v>34286</v>
      </c>
      <c r="IW89" s="70">
        <f t="shared" si="126"/>
        <v>0</v>
      </c>
      <c r="IX89" s="70">
        <f t="shared" si="127"/>
        <v>0</v>
      </c>
      <c r="IY89" s="70">
        <f t="shared" si="128"/>
        <v>0</v>
      </c>
      <c r="IZ89" s="70">
        <f t="shared" si="129"/>
        <v>568953</v>
      </c>
      <c r="JA89" s="70">
        <f t="shared" si="130"/>
        <v>0</v>
      </c>
      <c r="JB89" s="70">
        <f t="shared" si="131"/>
        <v>2915146</v>
      </c>
      <c r="JC89" s="70">
        <f t="shared" si="132"/>
        <v>0</v>
      </c>
      <c r="JD89" s="70">
        <f t="shared" si="133"/>
        <v>496818</v>
      </c>
      <c r="JE89" s="70">
        <f t="shared" si="134"/>
        <v>0</v>
      </c>
      <c r="JF89" s="70">
        <f t="shared" si="135"/>
        <v>1610654</v>
      </c>
      <c r="JG89" s="70">
        <f t="shared" si="136"/>
        <v>0</v>
      </c>
      <c r="JH89" s="70">
        <f t="shared" si="137"/>
        <v>979791</v>
      </c>
      <c r="JI89" s="70">
        <f t="shared" si="138"/>
        <v>0</v>
      </c>
      <c r="JJ89" s="70">
        <f t="shared" si="139"/>
        <v>118345</v>
      </c>
      <c r="JK89" s="70">
        <f t="shared" si="140"/>
        <v>0</v>
      </c>
      <c r="JL89" s="70">
        <f t="shared" si="141"/>
        <v>423970</v>
      </c>
      <c r="JM89" s="70">
        <f t="shared" si="142"/>
        <v>0</v>
      </c>
      <c r="JN89" s="70">
        <f t="shared" si="143"/>
        <v>98228</v>
      </c>
      <c r="JO89" s="70">
        <f t="shared" si="144"/>
        <v>0</v>
      </c>
      <c r="JP89" s="70">
        <f t="shared" si="145"/>
        <v>3093032</v>
      </c>
      <c r="JQ89" s="70">
        <f t="shared" si="146"/>
        <v>0</v>
      </c>
      <c r="JR89" s="70">
        <f t="shared" si="147"/>
        <v>867507</v>
      </c>
      <c r="JS89" s="70">
        <f t="shared" si="148"/>
        <v>0</v>
      </c>
      <c r="JT89" s="70">
        <f t="shared" si="149"/>
        <v>287121</v>
      </c>
      <c r="JU89" s="70">
        <f t="shared" si="150"/>
        <v>0</v>
      </c>
      <c r="JV89" s="70">
        <f t="shared" si="151"/>
        <v>1459011</v>
      </c>
      <c r="JW89" s="70">
        <f t="shared" si="152"/>
        <v>0</v>
      </c>
      <c r="JX89" s="70">
        <f t="shared" si="153"/>
        <v>28521887</v>
      </c>
      <c r="JY89" s="70">
        <f t="shared" si="154"/>
        <v>0</v>
      </c>
      <c r="JZ89" s="70">
        <f t="shared" si="155"/>
        <v>0</v>
      </c>
      <c r="KA89" s="70">
        <f t="shared" si="156"/>
        <v>0</v>
      </c>
      <c r="KB89" s="70">
        <f t="shared" si="157"/>
        <v>28521887</v>
      </c>
      <c r="KC89" s="70">
        <f t="shared" si="158"/>
        <v>0</v>
      </c>
      <c r="KE89" s="70" t="e">
        <f t="shared" si="159"/>
        <v>#REF!</v>
      </c>
      <c r="KG89" s="68" t="e">
        <f t="shared" si="160"/>
        <v>#REF!</v>
      </c>
    </row>
    <row r="90" spans="1:294">
      <c r="A90" s="180" t="s">
        <v>242</v>
      </c>
      <c r="B90" s="76" t="s">
        <v>366</v>
      </c>
      <c r="C90" s="110">
        <v>234076</v>
      </c>
      <c r="D90" s="90">
        <v>2014</v>
      </c>
      <c r="E90" s="90">
        <v>1</v>
      </c>
      <c r="F90" s="91">
        <v>1</v>
      </c>
      <c r="G90" s="92">
        <v>6704</v>
      </c>
      <c r="H90" s="92">
        <v>8194</v>
      </c>
      <c r="I90" s="93">
        <v>2521303401</v>
      </c>
      <c r="J90" s="93">
        <v>2433251185</v>
      </c>
      <c r="K90" s="93">
        <v>9542384</v>
      </c>
      <c r="L90" s="93">
        <v>9542384</v>
      </c>
      <c r="M90" s="93">
        <v>60394922</v>
      </c>
      <c r="N90" s="93">
        <v>55883810</v>
      </c>
      <c r="O90" s="93">
        <v>83807229</v>
      </c>
      <c r="P90" s="93">
        <v>91096703</v>
      </c>
      <c r="Q90" s="93">
        <v>1397408920</v>
      </c>
      <c r="R90" s="93">
        <v>1283449019</v>
      </c>
      <c r="S90" s="93">
        <v>996143273</v>
      </c>
      <c r="T90" s="93">
        <v>999952188</v>
      </c>
      <c r="U90" s="93">
        <v>24311</v>
      </c>
      <c r="V90" s="93">
        <v>22336</v>
      </c>
      <c r="W90" s="93">
        <v>51697</v>
      </c>
      <c r="X90" s="93">
        <v>48348</v>
      </c>
      <c r="Y90" s="93">
        <v>28823</v>
      </c>
      <c r="Z90" s="93">
        <v>25464</v>
      </c>
      <c r="AA90" s="93">
        <v>56729</v>
      </c>
      <c r="AB90" s="93">
        <v>51696</v>
      </c>
      <c r="AC90" s="114">
        <v>12</v>
      </c>
      <c r="AD90" s="114">
        <v>13</v>
      </c>
      <c r="AE90" s="114">
        <v>0</v>
      </c>
      <c r="AF90" s="115">
        <v>7651004</v>
      </c>
      <c r="AG90" s="115">
        <v>6666877</v>
      </c>
      <c r="AH90" s="115">
        <v>821258</v>
      </c>
      <c r="AI90" s="115">
        <v>394628</v>
      </c>
      <c r="AJ90" s="115">
        <v>842751</v>
      </c>
      <c r="AK90" s="116">
        <v>9</v>
      </c>
      <c r="AL90" s="115">
        <v>758476</v>
      </c>
      <c r="AM90" s="116">
        <v>10</v>
      </c>
      <c r="AN90" s="115">
        <v>255527</v>
      </c>
      <c r="AO90" s="116">
        <v>10</v>
      </c>
      <c r="AP90" s="115">
        <v>232297</v>
      </c>
      <c r="AQ90" s="116">
        <v>11</v>
      </c>
      <c r="AR90" s="115">
        <v>210636</v>
      </c>
      <c r="AS90" s="116">
        <v>28.5</v>
      </c>
      <c r="AT90" s="115">
        <v>171518</v>
      </c>
      <c r="AU90" s="116">
        <v>35</v>
      </c>
      <c r="AV90" s="115">
        <v>82827</v>
      </c>
      <c r="AW90" s="116">
        <v>23.5</v>
      </c>
      <c r="AX90" s="115">
        <v>64881</v>
      </c>
      <c r="AY90" s="116">
        <v>30</v>
      </c>
      <c r="AZ90" s="139">
        <v>11558466</v>
      </c>
      <c r="BA90" s="139">
        <v>0</v>
      </c>
      <c r="BB90" s="139">
        <v>25125724</v>
      </c>
      <c r="BC90" s="139">
        <v>755328</v>
      </c>
      <c r="BD90" s="139">
        <v>0</v>
      </c>
      <c r="BE90" s="139">
        <v>16905</v>
      </c>
      <c r="BF90" s="139">
        <v>5722</v>
      </c>
      <c r="BG90" s="139">
        <v>6568</v>
      </c>
      <c r="BH90" s="139">
        <v>111674</v>
      </c>
      <c r="BI90" s="139">
        <v>0</v>
      </c>
      <c r="BJ90" s="139">
        <v>140869</v>
      </c>
      <c r="BK90" s="139">
        <v>0</v>
      </c>
      <c r="BL90" s="139">
        <v>0</v>
      </c>
      <c r="BM90" s="139">
        <v>0</v>
      </c>
      <c r="BN90" s="139">
        <v>0</v>
      </c>
      <c r="BO90" s="139">
        <v>4062869</v>
      </c>
      <c r="BP90" s="139">
        <v>4062869</v>
      </c>
      <c r="BQ90" s="139">
        <v>9235</v>
      </c>
      <c r="BR90" s="139">
        <v>1594</v>
      </c>
      <c r="BS90" s="139">
        <v>0</v>
      </c>
      <c r="BT90" s="139">
        <v>21957</v>
      </c>
      <c r="BU90" s="139">
        <v>631668</v>
      </c>
      <c r="BV90" s="139">
        <v>664454</v>
      </c>
      <c r="BW90" s="139">
        <v>28220819</v>
      </c>
      <c r="BX90" s="139">
        <v>8056316</v>
      </c>
      <c r="BY90" s="139">
        <v>829243</v>
      </c>
      <c r="BZ90" s="139">
        <v>15859696</v>
      </c>
      <c r="CA90" s="139">
        <v>30731897</v>
      </c>
      <c r="CB90" s="139">
        <v>83697971</v>
      </c>
      <c r="CC90" s="139">
        <v>3709580</v>
      </c>
      <c r="CD90" s="139">
        <v>618402</v>
      </c>
      <c r="CE90" s="139">
        <v>669205</v>
      </c>
      <c r="CF90" s="139">
        <v>9320694</v>
      </c>
      <c r="CG90" s="139">
        <v>0</v>
      </c>
      <c r="CH90" s="139">
        <v>14317881</v>
      </c>
      <c r="CI90" s="139">
        <v>1675000</v>
      </c>
      <c r="CJ90" s="139">
        <v>390000</v>
      </c>
      <c r="CK90" s="139">
        <v>79000</v>
      </c>
      <c r="CL90" s="139">
        <v>46250</v>
      </c>
      <c r="CM90" s="139">
        <v>0</v>
      </c>
      <c r="CN90" s="139">
        <v>2190250</v>
      </c>
      <c r="CO90" s="139">
        <v>6027781</v>
      </c>
      <c r="CP90" s="139">
        <v>3805693</v>
      </c>
      <c r="CQ90" s="139">
        <v>1467830</v>
      </c>
      <c r="CR90" s="139">
        <v>6788265</v>
      </c>
      <c r="CS90" s="139">
        <v>0</v>
      </c>
      <c r="CT90" s="139">
        <v>18089569</v>
      </c>
      <c r="CU90" s="139">
        <v>0</v>
      </c>
      <c r="CV90" s="139">
        <v>0</v>
      </c>
      <c r="CW90" s="139">
        <v>0</v>
      </c>
      <c r="CX90" s="139">
        <v>0</v>
      </c>
      <c r="CY90" s="139">
        <v>0</v>
      </c>
      <c r="CZ90" s="139">
        <v>0</v>
      </c>
      <c r="DA90" s="139">
        <v>1200916</v>
      </c>
      <c r="DB90" s="139">
        <v>670723</v>
      </c>
      <c r="DC90" s="139">
        <v>337686</v>
      </c>
      <c r="DD90" s="139">
        <v>291365</v>
      </c>
      <c r="DE90" s="139">
        <v>11886220</v>
      </c>
      <c r="DF90" s="139">
        <v>14386910</v>
      </c>
      <c r="DG90" s="139">
        <v>0</v>
      </c>
      <c r="DH90" s="139">
        <v>0</v>
      </c>
      <c r="DI90" s="139">
        <v>0</v>
      </c>
      <c r="DJ90" s="139">
        <v>0</v>
      </c>
      <c r="DK90" s="139">
        <v>0</v>
      </c>
      <c r="DL90" s="139">
        <v>0</v>
      </c>
      <c r="DM90" s="139">
        <v>235662</v>
      </c>
      <c r="DN90" s="139">
        <v>0</v>
      </c>
      <c r="DO90" s="139">
        <v>0</v>
      </c>
      <c r="DP90" s="139">
        <v>273019</v>
      </c>
      <c r="DQ90" s="139">
        <v>0</v>
      </c>
      <c r="DR90" s="139">
        <v>508681</v>
      </c>
      <c r="DS90" s="139">
        <v>355480</v>
      </c>
      <c r="DT90" s="139">
        <v>212220</v>
      </c>
      <c r="DU90" s="139">
        <v>116230</v>
      </c>
      <c r="DV90" s="139">
        <v>531956</v>
      </c>
      <c r="DW90" s="139">
        <v>0</v>
      </c>
      <c r="DX90" s="139">
        <v>1215886</v>
      </c>
      <c r="DY90" s="139">
        <v>883978</v>
      </c>
      <c r="DZ90" s="139">
        <v>910706</v>
      </c>
      <c r="EA90" s="139">
        <v>630986</v>
      </c>
      <c r="EB90" s="139">
        <v>2855633</v>
      </c>
      <c r="EC90" s="139">
        <v>350028</v>
      </c>
      <c r="ED90" s="139">
        <v>5631331</v>
      </c>
      <c r="EE90" s="139">
        <v>554084</v>
      </c>
      <c r="EF90" s="139">
        <v>15890</v>
      </c>
      <c r="EG90" s="139">
        <v>5788</v>
      </c>
      <c r="EH90" s="139">
        <v>414081</v>
      </c>
      <c r="EI90" s="139">
        <v>147910</v>
      </c>
      <c r="EJ90" s="139">
        <v>1137753</v>
      </c>
      <c r="EK90" s="139">
        <v>1803131</v>
      </c>
      <c r="EL90" s="139">
        <v>795949</v>
      </c>
      <c r="EM90" s="139">
        <v>390518</v>
      </c>
      <c r="EN90" s="139">
        <v>1143002</v>
      </c>
      <c r="EO90" s="139">
        <v>193449</v>
      </c>
      <c r="EP90" s="139">
        <v>4326049</v>
      </c>
      <c r="EQ90" s="139">
        <v>286039</v>
      </c>
      <c r="ER90" s="139">
        <v>40814</v>
      </c>
      <c r="ES90" s="139">
        <v>43435</v>
      </c>
      <c r="ET90" s="139">
        <v>63041</v>
      </c>
      <c r="EU90" s="139">
        <v>223861</v>
      </c>
      <c r="EV90" s="139">
        <v>657190</v>
      </c>
      <c r="EW90" s="139">
        <v>0</v>
      </c>
      <c r="EX90" s="139">
        <v>0</v>
      </c>
      <c r="EY90" s="139">
        <v>0</v>
      </c>
      <c r="EZ90" s="139">
        <v>0</v>
      </c>
      <c r="FA90" s="139">
        <v>0</v>
      </c>
      <c r="FB90" s="139">
        <v>0</v>
      </c>
      <c r="FC90" s="139">
        <v>4636799</v>
      </c>
      <c r="FD90" s="139">
        <v>367</v>
      </c>
      <c r="FE90" s="139">
        <v>929</v>
      </c>
      <c r="FF90" s="139">
        <v>683428</v>
      </c>
      <c r="FG90" s="139">
        <v>9907312</v>
      </c>
      <c r="FH90" s="139">
        <v>15228835</v>
      </c>
      <c r="FI90" s="139">
        <v>0</v>
      </c>
      <c r="FJ90" s="139">
        <v>0</v>
      </c>
      <c r="FK90" s="139">
        <v>0</v>
      </c>
      <c r="FL90" s="139">
        <v>0</v>
      </c>
      <c r="FM90" s="139">
        <v>141741</v>
      </c>
      <c r="FN90" s="139">
        <v>141741</v>
      </c>
      <c r="FO90" s="139">
        <v>0</v>
      </c>
      <c r="FP90" s="139">
        <v>0</v>
      </c>
      <c r="FQ90" s="139">
        <v>0</v>
      </c>
      <c r="FR90" s="139">
        <v>0</v>
      </c>
      <c r="FS90" s="139">
        <v>0</v>
      </c>
      <c r="FT90" s="139">
        <v>0</v>
      </c>
      <c r="FU90" s="139">
        <v>101828</v>
      </c>
      <c r="FV90" s="139">
        <v>10942</v>
      </c>
      <c r="FW90" s="139">
        <v>2312</v>
      </c>
      <c r="FX90" s="139">
        <v>158304</v>
      </c>
      <c r="FY90" s="139">
        <v>916724</v>
      </c>
      <c r="FZ90" s="139">
        <v>1190110</v>
      </c>
      <c r="GA90" s="139">
        <v>4573</v>
      </c>
      <c r="GB90" s="139">
        <v>2300</v>
      </c>
      <c r="GC90" s="139">
        <v>1685</v>
      </c>
      <c r="GD90" s="139">
        <v>17015</v>
      </c>
      <c r="GE90" s="139">
        <v>47175</v>
      </c>
      <c r="GF90" s="139">
        <v>72748</v>
      </c>
      <c r="GG90" s="139">
        <v>984984</v>
      </c>
      <c r="GH90" s="139">
        <v>150341</v>
      </c>
      <c r="GI90" s="139">
        <v>122421</v>
      </c>
      <c r="GJ90" s="139">
        <v>889281</v>
      </c>
      <c r="GK90" s="139">
        <v>6184144</v>
      </c>
      <c r="GL90" s="139">
        <v>8331171</v>
      </c>
      <c r="GM90" s="139">
        <v>22459835</v>
      </c>
      <c r="GN90" s="139">
        <v>7624347</v>
      </c>
      <c r="GO90" s="139">
        <v>3868025</v>
      </c>
      <c r="GP90" s="139">
        <v>23475334</v>
      </c>
      <c r="GQ90" s="139">
        <v>29998564</v>
      </c>
      <c r="GR90" s="139">
        <v>87426105</v>
      </c>
      <c r="GS90" s="139">
        <v>0</v>
      </c>
      <c r="GT90" s="139">
        <v>0</v>
      </c>
      <c r="GU90" s="139">
        <v>0</v>
      </c>
      <c r="GV90" s="139">
        <v>0</v>
      </c>
      <c r="GW90" s="139">
        <v>0</v>
      </c>
      <c r="GX90" s="139">
        <v>0</v>
      </c>
      <c r="GY90" s="139">
        <v>22459835</v>
      </c>
      <c r="GZ90" s="139">
        <v>7624347</v>
      </c>
      <c r="HA90" s="139">
        <v>3868025</v>
      </c>
      <c r="HB90" s="139">
        <v>23475334</v>
      </c>
      <c r="HC90" s="139">
        <v>29998564</v>
      </c>
      <c r="HD90" s="139">
        <v>87426105</v>
      </c>
      <c r="HF90" s="70">
        <f>SUM(AZ90:AZ90)</f>
        <v>11558466</v>
      </c>
      <c r="HG90" s="70" t="e">
        <f>#REF!-HF90</f>
        <v>#REF!</v>
      </c>
      <c r="HH90" s="70" t="e">
        <f>SUM(#REF!)</f>
        <v>#REF!</v>
      </c>
      <c r="HI90" s="70" t="e">
        <f>#REF!-HH90</f>
        <v>#REF!</v>
      </c>
      <c r="HJ90" s="70">
        <f>SUM(BA90:BA90)</f>
        <v>0</v>
      </c>
      <c r="HK90" s="70" t="e">
        <f>#REF!-HJ90</f>
        <v>#REF!</v>
      </c>
      <c r="HL90" s="70" t="e">
        <f>SUM(#REF!)</f>
        <v>#REF!</v>
      </c>
      <c r="HM90" s="70" t="e">
        <f>BB90-HL90</f>
        <v>#REF!</v>
      </c>
      <c r="HN90" s="70" t="e">
        <f>SUM(#REF!)</f>
        <v>#REF!</v>
      </c>
      <c r="HO90" s="70" t="e">
        <f>#REF!-HN90</f>
        <v>#REF!</v>
      </c>
      <c r="HP90" s="70" t="e">
        <f>SUM(#REF!)</f>
        <v>#REF!</v>
      </c>
      <c r="HQ90" s="70" t="e">
        <f>#REF!-HP90</f>
        <v>#REF!</v>
      </c>
      <c r="HR90" s="70" t="e">
        <f>SUM(#REF!)</f>
        <v>#REF!</v>
      </c>
      <c r="HS90" s="70" t="e">
        <f>#REF!-HR90</f>
        <v>#REF!</v>
      </c>
      <c r="HT90" s="70" t="e">
        <f>SUM(#REF!)</f>
        <v>#REF!</v>
      </c>
      <c r="HU90" s="70" t="e">
        <f>#REF!-HT90</f>
        <v>#REF!</v>
      </c>
      <c r="HV90" s="70" t="e">
        <f>SUM(#REF!)</f>
        <v>#REF!</v>
      </c>
      <c r="HW90" s="70" t="e">
        <f>#REF!-HV90</f>
        <v>#REF!</v>
      </c>
      <c r="HX90" s="70" t="e">
        <f>SUM(#REF!)</f>
        <v>#REF!</v>
      </c>
      <c r="HY90" s="70" t="e">
        <f>#REF!-HX90</f>
        <v>#REF!</v>
      </c>
      <c r="HZ90" s="70">
        <f>SUM(BC90:BC90)</f>
        <v>755328</v>
      </c>
      <c r="IA90" s="70" t="e">
        <f>#REF!-HZ90</f>
        <v>#REF!</v>
      </c>
      <c r="IB90" s="70">
        <f>SUM(BD90:BD90)</f>
        <v>0</v>
      </c>
      <c r="IC90" s="70" t="e">
        <f>#REF!-IB90</f>
        <v>#REF!</v>
      </c>
      <c r="ID90" s="70">
        <f t="shared" si="109"/>
        <v>140869</v>
      </c>
      <c r="IE90" s="70">
        <f t="shared" si="110"/>
        <v>0</v>
      </c>
      <c r="IF90" s="70">
        <f t="shared" si="111"/>
        <v>4062869</v>
      </c>
      <c r="IG90" s="70">
        <f t="shared" si="112"/>
        <v>0</v>
      </c>
      <c r="IH90" s="70">
        <f t="shared" si="113"/>
        <v>664454</v>
      </c>
      <c r="II90" s="70">
        <f t="shared" si="114"/>
        <v>0</v>
      </c>
      <c r="IJ90" s="70">
        <f t="shared" si="115"/>
        <v>83697971</v>
      </c>
      <c r="IK90" s="70">
        <f t="shared" si="116"/>
        <v>0</v>
      </c>
      <c r="IL90" s="70">
        <f t="shared" si="117"/>
        <v>14317881</v>
      </c>
      <c r="IM90" s="70">
        <f t="shared" si="118"/>
        <v>0</v>
      </c>
      <c r="IN90" s="70">
        <f t="shared" si="119"/>
        <v>2190250</v>
      </c>
      <c r="IO90" s="70">
        <f t="shared" si="120"/>
        <v>0</v>
      </c>
      <c r="IP90" s="70">
        <f t="shared" si="121"/>
        <v>18089569</v>
      </c>
      <c r="IQ90" s="70">
        <f t="shared" si="122"/>
        <v>0</v>
      </c>
      <c r="IR90" s="70">
        <f t="shared" si="161"/>
        <v>0</v>
      </c>
      <c r="IS90" s="70">
        <f t="shared" si="162"/>
        <v>0</v>
      </c>
      <c r="IT90" s="70">
        <f t="shared" si="123"/>
        <v>14386910</v>
      </c>
      <c r="IU90" s="70">
        <f t="shared" si="124"/>
        <v>0</v>
      </c>
      <c r="IV90" s="70">
        <f t="shared" si="125"/>
        <v>0</v>
      </c>
      <c r="IW90" s="70">
        <f t="shared" si="126"/>
        <v>0</v>
      </c>
      <c r="IX90" s="70">
        <f t="shared" si="127"/>
        <v>508681</v>
      </c>
      <c r="IY90" s="70">
        <f t="shared" si="128"/>
        <v>0</v>
      </c>
      <c r="IZ90" s="70">
        <f t="shared" si="129"/>
        <v>1215886</v>
      </c>
      <c r="JA90" s="70">
        <f t="shared" si="130"/>
        <v>0</v>
      </c>
      <c r="JB90" s="70">
        <f t="shared" si="131"/>
        <v>5631331</v>
      </c>
      <c r="JC90" s="70">
        <f t="shared" si="132"/>
        <v>0</v>
      </c>
      <c r="JD90" s="70">
        <f t="shared" si="133"/>
        <v>1137753</v>
      </c>
      <c r="JE90" s="70">
        <f t="shared" si="134"/>
        <v>0</v>
      </c>
      <c r="JF90" s="70">
        <f t="shared" si="135"/>
        <v>4326049</v>
      </c>
      <c r="JG90" s="70">
        <f t="shared" si="136"/>
        <v>0</v>
      </c>
      <c r="JH90" s="70">
        <f t="shared" si="137"/>
        <v>657190</v>
      </c>
      <c r="JI90" s="70">
        <f t="shared" si="138"/>
        <v>0</v>
      </c>
      <c r="JJ90" s="70">
        <f t="shared" si="139"/>
        <v>0</v>
      </c>
      <c r="JK90" s="70">
        <f t="shared" si="140"/>
        <v>0</v>
      </c>
      <c r="JL90" s="70">
        <f t="shared" si="141"/>
        <v>15228835</v>
      </c>
      <c r="JM90" s="70">
        <f t="shared" si="142"/>
        <v>0</v>
      </c>
      <c r="JN90" s="70">
        <f t="shared" si="143"/>
        <v>141741</v>
      </c>
      <c r="JO90" s="70">
        <f t="shared" si="144"/>
        <v>0</v>
      </c>
      <c r="JP90" s="70">
        <f t="shared" si="145"/>
        <v>0</v>
      </c>
      <c r="JQ90" s="70">
        <f t="shared" si="146"/>
        <v>0</v>
      </c>
      <c r="JR90" s="70">
        <f t="shared" si="147"/>
        <v>1190110</v>
      </c>
      <c r="JS90" s="70">
        <f t="shared" si="148"/>
        <v>0</v>
      </c>
      <c r="JT90" s="70">
        <f t="shared" si="149"/>
        <v>72748</v>
      </c>
      <c r="JU90" s="70">
        <f t="shared" si="150"/>
        <v>0</v>
      </c>
      <c r="JV90" s="70">
        <f t="shared" si="151"/>
        <v>8331171</v>
      </c>
      <c r="JW90" s="70">
        <f t="shared" si="152"/>
        <v>0</v>
      </c>
      <c r="JX90" s="70">
        <f t="shared" si="153"/>
        <v>87426105</v>
      </c>
      <c r="JY90" s="70">
        <f t="shared" si="154"/>
        <v>0</v>
      </c>
      <c r="JZ90" s="70">
        <f t="shared" si="155"/>
        <v>0</v>
      </c>
      <c r="KA90" s="70">
        <f t="shared" si="156"/>
        <v>0</v>
      </c>
      <c r="KB90" s="70">
        <f t="shared" si="157"/>
        <v>87426105</v>
      </c>
      <c r="KC90" s="70">
        <f t="shared" si="158"/>
        <v>0</v>
      </c>
      <c r="KE90" s="70" t="e">
        <f t="shared" si="159"/>
        <v>#REF!</v>
      </c>
      <c r="KG90" s="68" t="e">
        <f t="shared" si="160"/>
        <v>#REF!</v>
      </c>
    </row>
    <row r="91" spans="1:294">
      <c r="A91" s="180" t="s">
        <v>244</v>
      </c>
      <c r="B91" s="76" t="s">
        <v>366</v>
      </c>
      <c r="C91" s="90">
        <v>233921</v>
      </c>
      <c r="D91" s="90">
        <v>2014</v>
      </c>
      <c r="E91" s="90">
        <v>1</v>
      </c>
      <c r="F91" s="91">
        <v>1</v>
      </c>
      <c r="G91" s="92">
        <v>14069</v>
      </c>
      <c r="H91" s="92">
        <v>9909</v>
      </c>
      <c r="I91" s="93">
        <v>1229150000</v>
      </c>
      <c r="J91" s="93">
        <v>1155521000</v>
      </c>
      <c r="K91" s="93">
        <v>5443000</v>
      </c>
      <c r="L91" s="93">
        <v>5445000</v>
      </c>
      <c r="M91" s="93">
        <v>44726000</v>
      </c>
      <c r="N91" s="93">
        <v>41330000</v>
      </c>
      <c r="O91" s="93">
        <v>52800000</v>
      </c>
      <c r="P91" s="93">
        <v>55805000</v>
      </c>
      <c r="Q91" s="93">
        <v>434566000</v>
      </c>
      <c r="R91" s="93">
        <v>461919000</v>
      </c>
      <c r="S91" s="93">
        <v>874410000</v>
      </c>
      <c r="T91" s="93">
        <v>828523000</v>
      </c>
      <c r="U91" s="93">
        <v>20861</v>
      </c>
      <c r="V91" s="93">
        <v>20407</v>
      </c>
      <c r="W91" s="93">
        <v>36617</v>
      </c>
      <c r="X91" s="93">
        <v>35399</v>
      </c>
      <c r="Y91" s="93">
        <v>23670</v>
      </c>
      <c r="Z91" s="93">
        <v>23020</v>
      </c>
      <c r="AA91" s="93">
        <v>39520</v>
      </c>
      <c r="AB91" s="93">
        <v>38120</v>
      </c>
      <c r="AC91" s="114">
        <v>11</v>
      </c>
      <c r="AD91" s="114">
        <v>11</v>
      </c>
      <c r="AE91" s="114">
        <v>0</v>
      </c>
      <c r="AF91" s="115">
        <v>6075954</v>
      </c>
      <c r="AG91" s="115">
        <v>4044505</v>
      </c>
      <c r="AH91" s="115">
        <v>845536</v>
      </c>
      <c r="AI91" s="115">
        <v>845536</v>
      </c>
      <c r="AJ91" s="115">
        <v>591958</v>
      </c>
      <c r="AK91" s="116">
        <v>7.75</v>
      </c>
      <c r="AL91" s="115">
        <v>509742</v>
      </c>
      <c r="AM91" s="116">
        <v>9</v>
      </c>
      <c r="AN91" s="115">
        <v>179337</v>
      </c>
      <c r="AO91" s="116">
        <v>8</v>
      </c>
      <c r="AP91" s="115">
        <v>159411</v>
      </c>
      <c r="AQ91" s="116">
        <v>9</v>
      </c>
      <c r="AR91" s="115">
        <v>219026</v>
      </c>
      <c r="AS91" s="116">
        <v>24</v>
      </c>
      <c r="AT91" s="115">
        <v>187737</v>
      </c>
      <c r="AU91" s="116">
        <v>28</v>
      </c>
      <c r="AV91" s="115">
        <v>76575</v>
      </c>
      <c r="AW91" s="116">
        <v>17</v>
      </c>
      <c r="AX91" s="115">
        <v>61989</v>
      </c>
      <c r="AY91" s="116">
        <v>21</v>
      </c>
      <c r="AZ91" s="139">
        <v>12862447</v>
      </c>
      <c r="BA91" s="139">
        <v>2717534</v>
      </c>
      <c r="BB91" s="139">
        <v>16333821</v>
      </c>
      <c r="BC91" s="139">
        <v>1259439</v>
      </c>
      <c r="BD91" s="139">
        <v>969921</v>
      </c>
      <c r="BE91" s="139">
        <v>0</v>
      </c>
      <c r="BF91" s="139">
        <v>0</v>
      </c>
      <c r="BG91" s="139">
        <v>0</v>
      </c>
      <c r="BH91" s="139">
        <v>0</v>
      </c>
      <c r="BI91" s="139">
        <v>0</v>
      </c>
      <c r="BJ91" s="139">
        <v>0</v>
      </c>
      <c r="BK91" s="139">
        <v>700797</v>
      </c>
      <c r="BL91" s="139">
        <v>95226</v>
      </c>
      <c r="BM91" s="139">
        <v>141720</v>
      </c>
      <c r="BN91" s="139">
        <v>1451685</v>
      </c>
      <c r="BO91" s="139">
        <v>55790</v>
      </c>
      <c r="BP91" s="139">
        <v>2445218</v>
      </c>
      <c r="BQ91" s="139">
        <v>4910</v>
      </c>
      <c r="BR91" s="139">
        <v>0</v>
      </c>
      <c r="BS91" s="139">
        <v>0</v>
      </c>
      <c r="BT91" s="139">
        <v>218160</v>
      </c>
      <c r="BU91" s="139">
        <v>105403</v>
      </c>
      <c r="BV91" s="139">
        <v>328473</v>
      </c>
      <c r="BW91" s="139">
        <v>43556485</v>
      </c>
      <c r="BX91" s="139">
        <v>8127451</v>
      </c>
      <c r="BY91" s="139">
        <v>1330541</v>
      </c>
      <c r="BZ91" s="139">
        <v>7336080</v>
      </c>
      <c r="CA91" s="139">
        <v>12714629</v>
      </c>
      <c r="CB91" s="139">
        <v>73065186</v>
      </c>
      <c r="CC91" s="139">
        <v>3114561</v>
      </c>
      <c r="CD91" s="139">
        <v>540988</v>
      </c>
      <c r="CE91" s="139">
        <v>554814</v>
      </c>
      <c r="CF91" s="139">
        <v>5910096</v>
      </c>
      <c r="CG91" s="139">
        <v>994577</v>
      </c>
      <c r="CH91" s="139">
        <v>11115036</v>
      </c>
      <c r="CI91" s="139">
        <v>635938</v>
      </c>
      <c r="CJ91" s="139">
        <v>490000</v>
      </c>
      <c r="CK91" s="139">
        <v>81601</v>
      </c>
      <c r="CL91" s="139">
        <v>48123</v>
      </c>
      <c r="CM91" s="139">
        <v>0</v>
      </c>
      <c r="CN91" s="139">
        <v>1255662</v>
      </c>
      <c r="CO91" s="139">
        <v>5859623</v>
      </c>
      <c r="CP91" s="139">
        <v>2103649</v>
      </c>
      <c r="CQ91" s="139">
        <v>899687</v>
      </c>
      <c r="CR91" s="139">
        <v>3717819</v>
      </c>
      <c r="CS91" s="139">
        <v>0</v>
      </c>
      <c r="CT91" s="139">
        <v>12580778</v>
      </c>
      <c r="CU91" s="139">
        <v>185000</v>
      </c>
      <c r="CV91" s="139">
        <v>0</v>
      </c>
      <c r="CW91" s="139">
        <v>0</v>
      </c>
      <c r="CX91" s="139">
        <v>0</v>
      </c>
      <c r="CY91" s="139">
        <v>0</v>
      </c>
      <c r="CZ91" s="139">
        <v>185000</v>
      </c>
      <c r="DA91" s="139">
        <v>1443051</v>
      </c>
      <c r="DB91" s="139">
        <v>660201</v>
      </c>
      <c r="DC91" s="139">
        <v>168835</v>
      </c>
      <c r="DD91" s="139">
        <v>0</v>
      </c>
      <c r="DE91" s="139">
        <v>8727256</v>
      </c>
      <c r="DF91" s="139">
        <v>10999343</v>
      </c>
      <c r="DG91" s="139">
        <v>0</v>
      </c>
      <c r="DH91" s="139">
        <v>0</v>
      </c>
      <c r="DI91" s="139">
        <v>0</v>
      </c>
      <c r="DJ91" s="139">
        <v>0</v>
      </c>
      <c r="DK91" s="139">
        <v>0</v>
      </c>
      <c r="DL91" s="139">
        <v>0</v>
      </c>
      <c r="DM91" s="139">
        <v>67256</v>
      </c>
      <c r="DN91" s="139">
        <v>455569</v>
      </c>
      <c r="DO91" s="139">
        <v>7673</v>
      </c>
      <c r="DP91" s="139">
        <v>42138</v>
      </c>
      <c r="DQ91" s="139">
        <v>284024</v>
      </c>
      <c r="DR91" s="139">
        <v>856660</v>
      </c>
      <c r="DS91" s="139">
        <v>369351</v>
      </c>
      <c r="DT91" s="139">
        <v>274673</v>
      </c>
      <c r="DU91" s="139">
        <v>199900</v>
      </c>
      <c r="DV91" s="139">
        <v>409216</v>
      </c>
      <c r="DW91" s="139">
        <v>37715</v>
      </c>
      <c r="DX91" s="139">
        <v>1290855</v>
      </c>
      <c r="DY91" s="139">
        <v>1844313</v>
      </c>
      <c r="DZ91" s="139">
        <v>524078</v>
      </c>
      <c r="EA91" s="139">
        <v>565162</v>
      </c>
      <c r="EB91" s="139">
        <v>1812554</v>
      </c>
      <c r="EC91" s="139">
        <v>84287</v>
      </c>
      <c r="ED91" s="139">
        <v>4830394</v>
      </c>
      <c r="EE91" s="139">
        <v>389848</v>
      </c>
      <c r="EF91" s="139">
        <v>101910</v>
      </c>
      <c r="EG91" s="139">
        <v>82894</v>
      </c>
      <c r="EH91" s="139">
        <v>620616</v>
      </c>
      <c r="EI91" s="139">
        <v>146685</v>
      </c>
      <c r="EJ91" s="139">
        <v>1341953</v>
      </c>
      <c r="EK91" s="139">
        <v>1722215</v>
      </c>
      <c r="EL91" s="139">
        <v>413346</v>
      </c>
      <c r="EM91" s="139">
        <v>186480</v>
      </c>
      <c r="EN91" s="139">
        <v>465803</v>
      </c>
      <c r="EO91" s="139">
        <v>372078</v>
      </c>
      <c r="EP91" s="139">
        <v>3159922</v>
      </c>
      <c r="EQ91" s="139">
        <v>246291</v>
      </c>
      <c r="ER91" s="139">
        <v>352209</v>
      </c>
      <c r="ES91" s="139">
        <v>96433</v>
      </c>
      <c r="ET91" s="139">
        <v>92701</v>
      </c>
      <c r="EU91" s="139">
        <v>484427</v>
      </c>
      <c r="EV91" s="139">
        <v>1272061</v>
      </c>
      <c r="EW91" s="139">
        <v>0</v>
      </c>
      <c r="EX91" s="139">
        <v>0</v>
      </c>
      <c r="EY91" s="139">
        <v>0</v>
      </c>
      <c r="EZ91" s="139">
        <v>0</v>
      </c>
      <c r="FA91" s="139">
        <v>0</v>
      </c>
      <c r="FB91" s="139">
        <v>0</v>
      </c>
      <c r="FC91" s="139">
        <v>6634557</v>
      </c>
      <c r="FD91" s="139">
        <v>483995</v>
      </c>
      <c r="FE91" s="139">
        <v>450036</v>
      </c>
      <c r="FF91" s="139">
        <v>730177</v>
      </c>
      <c r="FG91" s="139">
        <v>8224254</v>
      </c>
      <c r="FH91" s="139">
        <v>16523019</v>
      </c>
      <c r="FI91" s="139">
        <v>453653</v>
      </c>
      <c r="FJ91" s="139">
        <v>13982</v>
      </c>
      <c r="FK91" s="139">
        <v>5350</v>
      </c>
      <c r="FL91" s="139">
        <v>0</v>
      </c>
      <c r="FM91" s="139">
        <v>121726</v>
      </c>
      <c r="FN91" s="139">
        <v>594711</v>
      </c>
      <c r="FO91" s="139">
        <v>0</v>
      </c>
      <c r="FP91" s="139">
        <v>0</v>
      </c>
      <c r="FQ91" s="139">
        <v>0</v>
      </c>
      <c r="FR91" s="139">
        <v>0</v>
      </c>
      <c r="FS91" s="139">
        <v>0</v>
      </c>
      <c r="FT91" s="139">
        <v>0</v>
      </c>
      <c r="FU91" s="139">
        <v>171241</v>
      </c>
      <c r="FV91" s="139">
        <v>29936</v>
      </c>
      <c r="FW91" s="139">
        <v>29289</v>
      </c>
      <c r="FX91" s="139">
        <v>386004</v>
      </c>
      <c r="FY91" s="139">
        <v>301303</v>
      </c>
      <c r="FZ91" s="139">
        <v>917773</v>
      </c>
      <c r="GA91" s="139">
        <v>1781</v>
      </c>
      <c r="GB91" s="139">
        <v>940</v>
      </c>
      <c r="GC91" s="139">
        <v>738</v>
      </c>
      <c r="GD91" s="139">
        <v>7724</v>
      </c>
      <c r="GE91" s="139">
        <v>22694</v>
      </c>
      <c r="GF91" s="139">
        <v>33877</v>
      </c>
      <c r="GG91" s="139">
        <v>884237</v>
      </c>
      <c r="GH91" s="139">
        <v>374093</v>
      </c>
      <c r="GI91" s="139">
        <v>79926</v>
      </c>
      <c r="GJ91" s="139">
        <v>405277</v>
      </c>
      <c r="GK91" s="139">
        <v>897202</v>
      </c>
      <c r="GL91" s="139">
        <v>2640735</v>
      </c>
      <c r="GM91" s="139">
        <v>24022916</v>
      </c>
      <c r="GN91" s="139">
        <v>6819569</v>
      </c>
      <c r="GO91" s="139">
        <v>3408818</v>
      </c>
      <c r="GP91" s="139">
        <v>14648248</v>
      </c>
      <c r="GQ91" s="139">
        <v>20698228</v>
      </c>
      <c r="GR91" s="139">
        <v>69597779</v>
      </c>
      <c r="GS91" s="139">
        <v>0</v>
      </c>
      <c r="GT91" s="139">
        <v>0</v>
      </c>
      <c r="GU91" s="139">
        <v>0</v>
      </c>
      <c r="GV91" s="139">
        <v>0</v>
      </c>
      <c r="GW91" s="139">
        <v>0</v>
      </c>
      <c r="GX91" s="139">
        <v>0</v>
      </c>
      <c r="GY91" s="139">
        <v>24022916</v>
      </c>
      <c r="GZ91" s="139">
        <v>6819569</v>
      </c>
      <c r="HA91" s="139">
        <v>3408818</v>
      </c>
      <c r="HB91" s="139">
        <v>14648248</v>
      </c>
      <c r="HC91" s="139">
        <v>20698228</v>
      </c>
      <c r="HD91" s="139">
        <v>69597779</v>
      </c>
      <c r="HF91" s="70">
        <f>SUM(AZ91:AZ91)</f>
        <v>12862447</v>
      </c>
      <c r="HG91" s="70" t="e">
        <f>#REF!-HF91</f>
        <v>#REF!</v>
      </c>
      <c r="HH91" s="70" t="e">
        <f>SUM(#REF!)</f>
        <v>#REF!</v>
      </c>
      <c r="HI91" s="70" t="e">
        <f>#REF!-HH91</f>
        <v>#REF!</v>
      </c>
      <c r="HJ91" s="70">
        <f>SUM(BA91:BA91)</f>
        <v>2717534</v>
      </c>
      <c r="HK91" s="70" t="e">
        <f>#REF!-HJ91</f>
        <v>#REF!</v>
      </c>
      <c r="HL91" s="70" t="e">
        <f>SUM(#REF!)</f>
        <v>#REF!</v>
      </c>
      <c r="HM91" s="70" t="e">
        <f>BB91-HL91</f>
        <v>#REF!</v>
      </c>
      <c r="HN91" s="70" t="e">
        <f>SUM(#REF!)</f>
        <v>#REF!</v>
      </c>
      <c r="HO91" s="70" t="e">
        <f>#REF!-HN91</f>
        <v>#REF!</v>
      </c>
      <c r="HP91" s="70" t="e">
        <f>SUM(#REF!)</f>
        <v>#REF!</v>
      </c>
      <c r="HQ91" s="70" t="e">
        <f>#REF!-HP91</f>
        <v>#REF!</v>
      </c>
      <c r="HR91" s="70" t="e">
        <f>SUM(#REF!)</f>
        <v>#REF!</v>
      </c>
      <c r="HS91" s="70" t="e">
        <f>#REF!-HR91</f>
        <v>#REF!</v>
      </c>
      <c r="HT91" s="70" t="e">
        <f>SUM(#REF!)</f>
        <v>#REF!</v>
      </c>
      <c r="HU91" s="70" t="e">
        <f>#REF!-HT91</f>
        <v>#REF!</v>
      </c>
      <c r="HV91" s="70" t="e">
        <f>SUM(#REF!)</f>
        <v>#REF!</v>
      </c>
      <c r="HW91" s="70" t="e">
        <f>#REF!-HV91</f>
        <v>#REF!</v>
      </c>
      <c r="HX91" s="70" t="e">
        <f>SUM(#REF!)</f>
        <v>#REF!</v>
      </c>
      <c r="HY91" s="70" t="e">
        <f>#REF!-HX91</f>
        <v>#REF!</v>
      </c>
      <c r="HZ91" s="70">
        <f>SUM(BC91:BC91)</f>
        <v>1259439</v>
      </c>
      <c r="IA91" s="70" t="e">
        <f>#REF!-HZ91</f>
        <v>#REF!</v>
      </c>
      <c r="IB91" s="70">
        <f>SUM(BD91:BD91)</f>
        <v>969921</v>
      </c>
      <c r="IC91" s="70" t="e">
        <f>#REF!-IB91</f>
        <v>#REF!</v>
      </c>
      <c r="ID91" s="70">
        <f t="shared" si="109"/>
        <v>0</v>
      </c>
      <c r="IE91" s="70">
        <f t="shared" si="110"/>
        <v>0</v>
      </c>
      <c r="IF91" s="70">
        <f t="shared" si="111"/>
        <v>2445218</v>
      </c>
      <c r="IG91" s="70">
        <f t="shared" si="112"/>
        <v>0</v>
      </c>
      <c r="IH91" s="70">
        <f t="shared" si="113"/>
        <v>328473</v>
      </c>
      <c r="II91" s="70">
        <f t="shared" si="114"/>
        <v>0</v>
      </c>
      <c r="IJ91" s="70">
        <f t="shared" si="115"/>
        <v>73065186</v>
      </c>
      <c r="IK91" s="70">
        <f t="shared" si="116"/>
        <v>0</v>
      </c>
      <c r="IL91" s="70">
        <f t="shared" si="117"/>
        <v>11115036</v>
      </c>
      <c r="IM91" s="70">
        <f t="shared" si="118"/>
        <v>0</v>
      </c>
      <c r="IN91" s="70">
        <f t="shared" si="119"/>
        <v>1255662</v>
      </c>
      <c r="IO91" s="70">
        <f t="shared" si="120"/>
        <v>0</v>
      </c>
      <c r="IP91" s="70">
        <f t="shared" si="121"/>
        <v>12580778</v>
      </c>
      <c r="IQ91" s="70">
        <f t="shared" si="122"/>
        <v>0</v>
      </c>
      <c r="IR91" s="70">
        <f t="shared" si="161"/>
        <v>185000</v>
      </c>
      <c r="IS91" s="70">
        <f t="shared" si="162"/>
        <v>0</v>
      </c>
      <c r="IT91" s="70">
        <f t="shared" si="123"/>
        <v>10999343</v>
      </c>
      <c r="IU91" s="70">
        <f t="shared" si="124"/>
        <v>0</v>
      </c>
      <c r="IV91" s="70">
        <f t="shared" si="125"/>
        <v>0</v>
      </c>
      <c r="IW91" s="70">
        <f t="shared" si="126"/>
        <v>0</v>
      </c>
      <c r="IX91" s="70">
        <f t="shared" si="127"/>
        <v>856660</v>
      </c>
      <c r="IY91" s="70">
        <f t="shared" si="128"/>
        <v>0</v>
      </c>
      <c r="IZ91" s="70">
        <f t="shared" si="129"/>
        <v>1290855</v>
      </c>
      <c r="JA91" s="70">
        <f t="shared" si="130"/>
        <v>0</v>
      </c>
      <c r="JB91" s="70">
        <f t="shared" si="131"/>
        <v>4830394</v>
      </c>
      <c r="JC91" s="70">
        <f t="shared" si="132"/>
        <v>0</v>
      </c>
      <c r="JD91" s="70">
        <f t="shared" si="133"/>
        <v>1341953</v>
      </c>
      <c r="JE91" s="70">
        <f t="shared" si="134"/>
        <v>0</v>
      </c>
      <c r="JF91" s="70">
        <f t="shared" si="135"/>
        <v>3159922</v>
      </c>
      <c r="JG91" s="70">
        <f t="shared" si="136"/>
        <v>0</v>
      </c>
      <c r="JH91" s="70">
        <f t="shared" si="137"/>
        <v>1272061</v>
      </c>
      <c r="JI91" s="70">
        <f t="shared" si="138"/>
        <v>0</v>
      </c>
      <c r="JJ91" s="70">
        <f t="shared" si="139"/>
        <v>0</v>
      </c>
      <c r="JK91" s="70">
        <f t="shared" si="140"/>
        <v>0</v>
      </c>
      <c r="JL91" s="70">
        <f t="shared" si="141"/>
        <v>16523019</v>
      </c>
      <c r="JM91" s="70">
        <f t="shared" si="142"/>
        <v>0</v>
      </c>
      <c r="JN91" s="70">
        <f t="shared" si="143"/>
        <v>594711</v>
      </c>
      <c r="JO91" s="70">
        <f t="shared" si="144"/>
        <v>0</v>
      </c>
      <c r="JP91" s="70">
        <f t="shared" si="145"/>
        <v>0</v>
      </c>
      <c r="JQ91" s="70">
        <f t="shared" si="146"/>
        <v>0</v>
      </c>
      <c r="JR91" s="70">
        <f t="shared" si="147"/>
        <v>917773</v>
      </c>
      <c r="JS91" s="70">
        <f t="shared" si="148"/>
        <v>0</v>
      </c>
      <c r="JT91" s="70">
        <f t="shared" si="149"/>
        <v>33877</v>
      </c>
      <c r="JU91" s="70">
        <f t="shared" si="150"/>
        <v>0</v>
      </c>
      <c r="JV91" s="70">
        <f t="shared" si="151"/>
        <v>2640735</v>
      </c>
      <c r="JW91" s="70">
        <f t="shared" si="152"/>
        <v>0</v>
      </c>
      <c r="JX91" s="70">
        <f t="shared" si="153"/>
        <v>69597779</v>
      </c>
      <c r="JY91" s="70">
        <f t="shared" si="154"/>
        <v>0</v>
      </c>
      <c r="JZ91" s="70">
        <f t="shared" si="155"/>
        <v>0</v>
      </c>
      <c r="KA91" s="70">
        <f t="shared" si="156"/>
        <v>0</v>
      </c>
      <c r="KB91" s="70">
        <f t="shared" si="157"/>
        <v>69597779</v>
      </c>
      <c r="KC91" s="70">
        <f t="shared" si="158"/>
        <v>0</v>
      </c>
      <c r="KE91" s="70" t="e">
        <f t="shared" si="159"/>
        <v>#REF!</v>
      </c>
      <c r="KG91" s="68" t="e">
        <f t="shared" si="160"/>
        <v>#REF!</v>
      </c>
    </row>
    <row r="92" spans="1:294">
      <c r="A92" s="180" t="s">
        <v>245</v>
      </c>
      <c r="B92" s="76" t="s">
        <v>366</v>
      </c>
      <c r="C92" s="90">
        <v>236948</v>
      </c>
      <c r="D92" s="90">
        <v>2014</v>
      </c>
      <c r="E92" s="90">
        <v>1</v>
      </c>
      <c r="F92" s="91">
        <v>4</v>
      </c>
      <c r="G92" s="92">
        <v>12817</v>
      </c>
      <c r="H92" s="92">
        <v>14198</v>
      </c>
      <c r="I92" s="93">
        <v>4384376000</v>
      </c>
      <c r="J92" s="93">
        <v>4121149000</v>
      </c>
      <c r="K92" s="93">
        <v>1200000</v>
      </c>
      <c r="L92" s="93">
        <v>1100000</v>
      </c>
      <c r="M92" s="93">
        <v>148522000</v>
      </c>
      <c r="N92" s="93">
        <v>120828000</v>
      </c>
      <c r="O92" s="93">
        <v>263000000</v>
      </c>
      <c r="P92" s="93">
        <v>229000000</v>
      </c>
      <c r="Q92" s="93">
        <v>2077642000</v>
      </c>
      <c r="R92" s="93">
        <v>1991033000</v>
      </c>
      <c r="S92" s="93">
        <v>2748302000</v>
      </c>
      <c r="T92" s="93">
        <v>2637748000</v>
      </c>
      <c r="U92" s="93">
        <v>24288</v>
      </c>
      <c r="V92" s="93">
        <v>23872</v>
      </c>
      <c r="W92" s="93">
        <v>43862</v>
      </c>
      <c r="X92" s="93">
        <v>41427</v>
      </c>
      <c r="Y92" s="93">
        <v>27034</v>
      </c>
      <c r="Z92" s="93">
        <v>24059</v>
      </c>
      <c r="AA92" s="93">
        <v>46608</v>
      </c>
      <c r="AB92" s="93">
        <v>41543</v>
      </c>
      <c r="AC92" s="114">
        <v>10</v>
      </c>
      <c r="AD92" s="114">
        <v>12</v>
      </c>
      <c r="AE92" s="114">
        <v>0</v>
      </c>
      <c r="AF92" s="115">
        <v>6903250</v>
      </c>
      <c r="AG92" s="115">
        <v>4687367</v>
      </c>
      <c r="AH92" s="115">
        <v>842724</v>
      </c>
      <c r="AI92" s="115">
        <v>464741</v>
      </c>
      <c r="AJ92" s="115">
        <v>960425</v>
      </c>
      <c r="AK92" s="116">
        <v>7.5</v>
      </c>
      <c r="AL92" s="115">
        <v>900398</v>
      </c>
      <c r="AM92" s="116">
        <v>8</v>
      </c>
      <c r="AN92" s="115">
        <v>249838</v>
      </c>
      <c r="AO92" s="116">
        <v>8.75</v>
      </c>
      <c r="AP92" s="115">
        <v>218608</v>
      </c>
      <c r="AQ92" s="116">
        <v>10</v>
      </c>
      <c r="AR92" s="115">
        <v>249656</v>
      </c>
      <c r="AS92" s="116">
        <v>22.5</v>
      </c>
      <c r="AT92" s="115">
        <v>224691</v>
      </c>
      <c r="AU92" s="116">
        <v>25</v>
      </c>
      <c r="AV92" s="115">
        <v>104694</v>
      </c>
      <c r="AW92" s="116">
        <v>17.25</v>
      </c>
      <c r="AX92" s="115">
        <v>90299</v>
      </c>
      <c r="AY92" s="116">
        <v>20</v>
      </c>
      <c r="AZ92" s="139">
        <v>24733983</v>
      </c>
      <c r="BA92" s="139">
        <v>275000</v>
      </c>
      <c r="BB92" s="139">
        <v>24031168</v>
      </c>
      <c r="BC92" s="139">
        <v>2912035</v>
      </c>
      <c r="BD92" s="139">
        <v>865000</v>
      </c>
      <c r="BE92" s="139">
        <v>67639</v>
      </c>
      <c r="BF92" s="139">
        <v>0</v>
      </c>
      <c r="BG92" s="139">
        <v>0</v>
      </c>
      <c r="BH92" s="139">
        <v>0</v>
      </c>
      <c r="BI92" s="139">
        <v>0</v>
      </c>
      <c r="BJ92" s="139">
        <v>67639</v>
      </c>
      <c r="BK92" s="139">
        <v>614337</v>
      </c>
      <c r="BL92" s="139">
        <v>156551</v>
      </c>
      <c r="BM92" s="139">
        <v>14624</v>
      </c>
      <c r="BN92" s="139">
        <v>569691</v>
      </c>
      <c r="BO92" s="139">
        <v>562536</v>
      </c>
      <c r="BP92" s="139">
        <v>1917739</v>
      </c>
      <c r="BQ92" s="139">
        <v>5175</v>
      </c>
      <c r="BR92" s="139">
        <v>930</v>
      </c>
      <c r="BS92" s="139">
        <v>17</v>
      </c>
      <c r="BT92" s="139">
        <v>578916</v>
      </c>
      <c r="BU92" s="139">
        <v>1629192</v>
      </c>
      <c r="BV92" s="139">
        <v>2214230</v>
      </c>
      <c r="BW92" s="139">
        <v>67725952</v>
      </c>
      <c r="BX92" s="139">
        <v>9429134</v>
      </c>
      <c r="BY92" s="139">
        <v>837261</v>
      </c>
      <c r="BZ92" s="139">
        <v>7794278</v>
      </c>
      <c r="CA92" s="139">
        <v>14488562</v>
      </c>
      <c r="CB92" s="139">
        <v>100275187</v>
      </c>
      <c r="CC92" s="139">
        <v>3909114</v>
      </c>
      <c r="CD92" s="139">
        <v>583178</v>
      </c>
      <c r="CE92" s="139">
        <v>499890</v>
      </c>
      <c r="CF92" s="139">
        <v>6598435</v>
      </c>
      <c r="CG92" s="139">
        <v>13732</v>
      </c>
      <c r="CH92" s="139">
        <v>11604349</v>
      </c>
      <c r="CI92" s="139">
        <v>825000</v>
      </c>
      <c r="CJ92" s="139">
        <v>598332</v>
      </c>
      <c r="CK92" s="139">
        <v>56991</v>
      </c>
      <c r="CL92" s="139">
        <v>112896</v>
      </c>
      <c r="CM92" s="139">
        <v>0</v>
      </c>
      <c r="CN92" s="139">
        <v>1593219</v>
      </c>
      <c r="CO92" s="139">
        <v>7706670</v>
      </c>
      <c r="CP92" s="139">
        <v>3135952</v>
      </c>
      <c r="CQ92" s="139">
        <v>968800</v>
      </c>
      <c r="CR92" s="139">
        <v>5001091</v>
      </c>
      <c r="CS92" s="139">
        <v>0</v>
      </c>
      <c r="CT92" s="139">
        <v>16812513</v>
      </c>
      <c r="CU92" s="139">
        <v>0</v>
      </c>
      <c r="CV92" s="139">
        <v>0</v>
      </c>
      <c r="CW92" s="139">
        <v>0</v>
      </c>
      <c r="CX92" s="139">
        <v>0</v>
      </c>
      <c r="CY92" s="139">
        <v>0</v>
      </c>
      <c r="CZ92" s="139">
        <v>0</v>
      </c>
      <c r="DA92" s="139">
        <v>1460804</v>
      </c>
      <c r="DB92" s="139">
        <v>248605</v>
      </c>
      <c r="DC92" s="139">
        <v>126907</v>
      </c>
      <c r="DD92" s="139">
        <v>597820</v>
      </c>
      <c r="DE92" s="139">
        <v>14007480</v>
      </c>
      <c r="DF92" s="139">
        <v>16441616</v>
      </c>
      <c r="DG92" s="139">
        <v>0</v>
      </c>
      <c r="DH92" s="139">
        <v>0</v>
      </c>
      <c r="DI92" s="139">
        <v>0</v>
      </c>
      <c r="DJ92" s="139">
        <v>0</v>
      </c>
      <c r="DK92" s="139">
        <v>0</v>
      </c>
      <c r="DL92" s="139">
        <v>0</v>
      </c>
      <c r="DM92" s="139">
        <v>264021</v>
      </c>
      <c r="DN92" s="139">
        <v>35656</v>
      </c>
      <c r="DO92" s="139">
        <v>0</v>
      </c>
      <c r="DP92" s="139">
        <f>299677+11916-DM92-DN92-DO92</f>
        <v>11916</v>
      </c>
      <c r="DQ92" s="139">
        <v>54691</v>
      </c>
      <c r="DR92" s="139">
        <v>366284</v>
      </c>
      <c r="DS92" s="139">
        <v>512253</v>
      </c>
      <c r="DT92" s="139">
        <v>153434</v>
      </c>
      <c r="DU92" s="139">
        <v>158295</v>
      </c>
      <c r="DV92" s="139">
        <f>842724+464741-DS92-DT92-DU92</f>
        <v>483483</v>
      </c>
      <c r="DW92" s="139">
        <v>0</v>
      </c>
      <c r="DX92" s="139">
        <v>1307465</v>
      </c>
      <c r="DY92" s="139">
        <v>2123570</v>
      </c>
      <c r="DZ92" s="139">
        <v>429532</v>
      </c>
      <c r="EA92" s="139">
        <v>382378</v>
      </c>
      <c r="EB92" s="139">
        <f>3669631+1769325-DY92-DZ92-EA92</f>
        <v>2503476</v>
      </c>
      <c r="EC92" s="139">
        <v>35240</v>
      </c>
      <c r="ED92" s="139">
        <v>5474196</v>
      </c>
      <c r="EE92" s="139">
        <v>2155699</v>
      </c>
      <c r="EF92" s="139">
        <v>278397</v>
      </c>
      <c r="EG92" s="139">
        <v>199192</v>
      </c>
      <c r="EH92" s="139">
        <f>3332493+1394311-EE92-EF92-EG92</f>
        <v>2093516</v>
      </c>
      <c r="EI92" s="139">
        <v>679338</v>
      </c>
      <c r="EJ92" s="139">
        <v>5406142</v>
      </c>
      <c r="EK92" s="139">
        <v>5056265</v>
      </c>
      <c r="EL92" s="139">
        <v>677056</v>
      </c>
      <c r="EM92" s="139">
        <v>257550</v>
      </c>
      <c r="EN92" s="139">
        <f>6004609+765328-EK92-EL92-EM92</f>
        <v>779066</v>
      </c>
      <c r="EO92" s="139">
        <v>99636</v>
      </c>
      <c r="EP92" s="139">
        <v>6869573</v>
      </c>
      <c r="EQ92" s="139">
        <v>978605</v>
      </c>
      <c r="ER92" s="139">
        <v>323911</v>
      </c>
      <c r="ES92" s="139">
        <v>179756</v>
      </c>
      <c r="ET92" s="139">
        <f>1399538+342237-EQ92-ER92-ES92</f>
        <v>259503</v>
      </c>
      <c r="EU92" s="139">
        <v>233627</v>
      </c>
      <c r="EV92" s="139">
        <v>1975402</v>
      </c>
      <c r="EW92" s="139">
        <v>67703</v>
      </c>
      <c r="EX92" s="139">
        <v>0</v>
      </c>
      <c r="EY92" s="139">
        <v>0</v>
      </c>
      <c r="EZ92" s="139">
        <f>67703+0-EW92-EX92-EY92</f>
        <v>0</v>
      </c>
      <c r="FA92" s="139">
        <v>0</v>
      </c>
      <c r="FB92" s="139">
        <v>67703</v>
      </c>
      <c r="FC92" s="139">
        <v>1447928</v>
      </c>
      <c r="FD92" s="139">
        <v>0</v>
      </c>
      <c r="FE92" s="139">
        <v>0</v>
      </c>
      <c r="FF92" s="139">
        <f>1677310+295034-FC92-FD92-FE92</f>
        <v>524416</v>
      </c>
      <c r="FG92" s="139">
        <v>2128531</v>
      </c>
      <c r="FH92" s="139">
        <v>4100875</v>
      </c>
      <c r="FI92" s="139">
        <v>247789</v>
      </c>
      <c r="FJ92" s="139">
        <v>61947</v>
      </c>
      <c r="FK92" s="139">
        <v>61947</v>
      </c>
      <c r="FL92" s="139">
        <f>309736+82596-FI92-FJ92-FK92</f>
        <v>20649</v>
      </c>
      <c r="FM92" s="139">
        <v>20649</v>
      </c>
      <c r="FN92" s="139">
        <v>412981</v>
      </c>
      <c r="FO92" s="139">
        <v>0</v>
      </c>
      <c r="FP92" s="139">
        <v>0</v>
      </c>
      <c r="FQ92" s="139">
        <v>0</v>
      </c>
      <c r="FR92" s="139">
        <v>0</v>
      </c>
      <c r="FS92" s="139">
        <v>0</v>
      </c>
      <c r="FT92" s="139">
        <v>0</v>
      </c>
      <c r="FU92" s="139">
        <v>351852</v>
      </c>
      <c r="FV92" s="139">
        <v>61865</v>
      </c>
      <c r="FW92" s="139">
        <v>85082</v>
      </c>
      <c r="FX92" s="139">
        <f>567334+388143-FU92-FV92-FW92</f>
        <v>456678</v>
      </c>
      <c r="FY92" s="139">
        <v>0</v>
      </c>
      <c r="FZ92" s="139">
        <v>955477</v>
      </c>
      <c r="GA92" s="139">
        <v>5889</v>
      </c>
      <c r="GB92" s="139">
        <v>1595</v>
      </c>
      <c r="GC92" s="139">
        <v>1020</v>
      </c>
      <c r="GD92" s="139">
        <f>82465+27120-GA92-GB92-GC92</f>
        <v>101081</v>
      </c>
      <c r="GE92" s="139">
        <v>34703</v>
      </c>
      <c r="GF92" s="139">
        <v>144288</v>
      </c>
      <c r="GG92" s="139">
        <v>1986010</v>
      </c>
      <c r="GH92" s="139">
        <v>162368</v>
      </c>
      <c r="GI92" s="139">
        <v>87055</v>
      </c>
      <c r="GJ92" s="139">
        <f>2594475+698839-GG92-GH92-GI92</f>
        <v>1057881</v>
      </c>
      <c r="GK92" s="139">
        <v>9271740</v>
      </c>
      <c r="GL92" s="139">
        <v>12565054</v>
      </c>
      <c r="GM92" s="139">
        <v>29099172</v>
      </c>
      <c r="GN92" s="139">
        <v>6751828</v>
      </c>
      <c r="GO92" s="139">
        <v>3064863</v>
      </c>
      <c r="GP92" s="139">
        <f>44544772+16049579-GM92-GN92-GO92</f>
        <v>21678488</v>
      </c>
      <c r="GQ92" s="139">
        <v>25502786</v>
      </c>
      <c r="GR92" s="139">
        <v>86097137</v>
      </c>
      <c r="GS92" s="139">
        <v>0</v>
      </c>
      <c r="GT92" s="139">
        <v>0</v>
      </c>
      <c r="GU92" s="139">
        <v>0</v>
      </c>
      <c r="GV92" s="139">
        <v>0</v>
      </c>
      <c r="GW92" s="139">
        <v>0</v>
      </c>
      <c r="GX92" s="139">
        <v>0</v>
      </c>
      <c r="GY92" s="139">
        <v>29099172</v>
      </c>
      <c r="GZ92" s="139">
        <v>6751828</v>
      </c>
      <c r="HA92" s="139">
        <v>3064863</v>
      </c>
      <c r="HB92" s="139">
        <f>44544772+16049579-GY92-GZ92-HA92</f>
        <v>21678488</v>
      </c>
      <c r="HC92" s="139">
        <v>25502786</v>
      </c>
      <c r="HD92" s="139">
        <v>86097137</v>
      </c>
      <c r="HF92" s="70">
        <f>SUM(AZ92:AZ92)</f>
        <v>24733983</v>
      </c>
      <c r="HG92" s="70" t="e">
        <f>#REF!-HF92</f>
        <v>#REF!</v>
      </c>
      <c r="HH92" s="70" t="e">
        <f>SUM(#REF!)</f>
        <v>#REF!</v>
      </c>
      <c r="HI92" s="70" t="e">
        <f>#REF!-HH92</f>
        <v>#REF!</v>
      </c>
      <c r="HJ92" s="70">
        <f>SUM(BA92:BA92)</f>
        <v>275000</v>
      </c>
      <c r="HK92" s="70" t="e">
        <f>#REF!-HJ92</f>
        <v>#REF!</v>
      </c>
      <c r="HL92" s="70" t="e">
        <f>SUM(#REF!)</f>
        <v>#REF!</v>
      </c>
      <c r="HM92" s="70" t="e">
        <f>BB92-HL92</f>
        <v>#REF!</v>
      </c>
      <c r="HN92" s="70" t="e">
        <f>SUM(#REF!)</f>
        <v>#REF!</v>
      </c>
      <c r="HO92" s="70" t="e">
        <f>#REF!-HN92</f>
        <v>#REF!</v>
      </c>
      <c r="HP92" s="70" t="e">
        <f>SUM(#REF!)</f>
        <v>#REF!</v>
      </c>
      <c r="HQ92" s="70" t="e">
        <f>#REF!-HP92</f>
        <v>#REF!</v>
      </c>
      <c r="HR92" s="70" t="e">
        <f>SUM(#REF!)</f>
        <v>#REF!</v>
      </c>
      <c r="HS92" s="70" t="e">
        <f>#REF!-HR92</f>
        <v>#REF!</v>
      </c>
      <c r="HT92" s="70" t="e">
        <f>SUM(#REF!)</f>
        <v>#REF!</v>
      </c>
      <c r="HU92" s="70" t="e">
        <f>#REF!-HT92</f>
        <v>#REF!</v>
      </c>
      <c r="HV92" s="70" t="e">
        <f>SUM(#REF!)</f>
        <v>#REF!</v>
      </c>
      <c r="HW92" s="70" t="e">
        <f>#REF!-HV92</f>
        <v>#REF!</v>
      </c>
      <c r="HX92" s="70" t="e">
        <f>SUM(#REF!)</f>
        <v>#REF!</v>
      </c>
      <c r="HY92" s="70" t="e">
        <f>#REF!-HX92</f>
        <v>#REF!</v>
      </c>
      <c r="HZ92" s="70">
        <f>SUM(BC92:BC92)</f>
        <v>2912035</v>
      </c>
      <c r="IA92" s="70" t="e">
        <f>#REF!-HZ92</f>
        <v>#REF!</v>
      </c>
      <c r="IB92" s="70">
        <f>SUM(BD92:BD92)</f>
        <v>865000</v>
      </c>
      <c r="IC92" s="70" t="e">
        <f>#REF!-IB92</f>
        <v>#REF!</v>
      </c>
      <c r="ID92" s="70">
        <f t="shared" si="109"/>
        <v>67639</v>
      </c>
      <c r="IE92" s="70">
        <f t="shared" si="110"/>
        <v>0</v>
      </c>
      <c r="IF92" s="70">
        <f t="shared" si="111"/>
        <v>1917739</v>
      </c>
      <c r="IG92" s="70">
        <f t="shared" si="112"/>
        <v>0</v>
      </c>
      <c r="IH92" s="70">
        <f t="shared" si="113"/>
        <v>2214230</v>
      </c>
      <c r="II92" s="70">
        <f t="shared" si="114"/>
        <v>0</v>
      </c>
      <c r="IJ92" s="70">
        <f t="shared" si="115"/>
        <v>100275187</v>
      </c>
      <c r="IK92" s="70">
        <f t="shared" si="116"/>
        <v>0</v>
      </c>
      <c r="IL92" s="70">
        <f t="shared" si="117"/>
        <v>11604349</v>
      </c>
      <c r="IM92" s="70">
        <f t="shared" si="118"/>
        <v>0</v>
      </c>
      <c r="IN92" s="70">
        <f t="shared" si="119"/>
        <v>1593219</v>
      </c>
      <c r="IO92" s="70">
        <f t="shared" si="120"/>
        <v>0</v>
      </c>
      <c r="IP92" s="70">
        <f t="shared" si="121"/>
        <v>16812513</v>
      </c>
      <c r="IQ92" s="70">
        <f t="shared" si="122"/>
        <v>0</v>
      </c>
      <c r="IR92" s="70">
        <f t="shared" si="161"/>
        <v>0</v>
      </c>
      <c r="IS92" s="70">
        <f t="shared" si="162"/>
        <v>0</v>
      </c>
      <c r="IT92" s="70">
        <f t="shared" si="123"/>
        <v>16441616</v>
      </c>
      <c r="IU92" s="70">
        <f t="shared" si="124"/>
        <v>0</v>
      </c>
      <c r="IV92" s="70">
        <f t="shared" si="125"/>
        <v>0</v>
      </c>
      <c r="IW92" s="70">
        <f t="shared" si="126"/>
        <v>0</v>
      </c>
      <c r="IX92" s="70">
        <f t="shared" si="127"/>
        <v>366284</v>
      </c>
      <c r="IY92" s="70">
        <f t="shared" si="128"/>
        <v>0</v>
      </c>
      <c r="IZ92" s="70">
        <f t="shared" si="129"/>
        <v>1307465</v>
      </c>
      <c r="JA92" s="70">
        <f t="shared" si="130"/>
        <v>0</v>
      </c>
      <c r="JB92" s="70">
        <f t="shared" si="131"/>
        <v>5474196</v>
      </c>
      <c r="JC92" s="70">
        <f t="shared" si="132"/>
        <v>0</v>
      </c>
      <c r="JD92" s="70">
        <f t="shared" si="133"/>
        <v>5406142</v>
      </c>
      <c r="JE92" s="70">
        <f t="shared" si="134"/>
        <v>0</v>
      </c>
      <c r="JF92" s="70">
        <f t="shared" si="135"/>
        <v>6869573</v>
      </c>
      <c r="JG92" s="70">
        <f t="shared" si="136"/>
        <v>0</v>
      </c>
      <c r="JH92" s="70">
        <f t="shared" si="137"/>
        <v>1975402</v>
      </c>
      <c r="JI92" s="70">
        <f t="shared" si="138"/>
        <v>0</v>
      </c>
      <c r="JJ92" s="70">
        <f t="shared" si="139"/>
        <v>67703</v>
      </c>
      <c r="JK92" s="70">
        <f t="shared" si="140"/>
        <v>0</v>
      </c>
      <c r="JL92" s="70">
        <f t="shared" si="141"/>
        <v>4100875</v>
      </c>
      <c r="JM92" s="70">
        <f t="shared" si="142"/>
        <v>0</v>
      </c>
      <c r="JN92" s="70">
        <f t="shared" si="143"/>
        <v>412981</v>
      </c>
      <c r="JO92" s="70">
        <f t="shared" si="144"/>
        <v>0</v>
      </c>
      <c r="JP92" s="70">
        <f t="shared" si="145"/>
        <v>0</v>
      </c>
      <c r="JQ92" s="70">
        <f t="shared" si="146"/>
        <v>0</v>
      </c>
      <c r="JR92" s="70">
        <f t="shared" si="147"/>
        <v>955477</v>
      </c>
      <c r="JS92" s="70">
        <f t="shared" si="148"/>
        <v>0</v>
      </c>
      <c r="JT92" s="70">
        <f t="shared" si="149"/>
        <v>144288</v>
      </c>
      <c r="JU92" s="70">
        <f t="shared" si="150"/>
        <v>0</v>
      </c>
      <c r="JV92" s="70">
        <f t="shared" si="151"/>
        <v>12565054</v>
      </c>
      <c r="JW92" s="70">
        <f t="shared" si="152"/>
        <v>0</v>
      </c>
      <c r="JX92" s="70">
        <f t="shared" si="153"/>
        <v>86097137</v>
      </c>
      <c r="JY92" s="70">
        <f t="shared" si="154"/>
        <v>0</v>
      </c>
      <c r="JZ92" s="70">
        <f t="shared" si="155"/>
        <v>0</v>
      </c>
      <c r="KA92" s="70">
        <f t="shared" si="156"/>
        <v>0</v>
      </c>
      <c r="KB92" s="70">
        <f t="shared" si="157"/>
        <v>86097137</v>
      </c>
      <c r="KC92" s="70">
        <f t="shared" si="158"/>
        <v>0</v>
      </c>
      <c r="KE92" s="70" t="e">
        <f t="shared" si="159"/>
        <v>#REF!</v>
      </c>
      <c r="KG92" s="68" t="e">
        <f t="shared" si="160"/>
        <v>#REF!</v>
      </c>
    </row>
    <row r="93" spans="1:294">
      <c r="A93" s="180" t="s">
        <v>356</v>
      </c>
      <c r="B93" s="76" t="s">
        <v>366</v>
      </c>
      <c r="C93" s="90">
        <v>236939</v>
      </c>
      <c r="D93" s="90">
        <v>2014</v>
      </c>
      <c r="E93" s="90">
        <v>1</v>
      </c>
      <c r="F93" s="91">
        <v>4</v>
      </c>
      <c r="G93" s="92">
        <v>10168</v>
      </c>
      <c r="H93" s="92">
        <v>10086</v>
      </c>
      <c r="I93" s="93">
        <v>995135796</v>
      </c>
      <c r="J93" s="93">
        <v>923702193</v>
      </c>
      <c r="K93" s="93">
        <v>8481471</v>
      </c>
      <c r="L93" s="93">
        <v>1586744</v>
      </c>
      <c r="M93" s="93">
        <v>43682392</v>
      </c>
      <c r="N93" s="93">
        <v>38478069</v>
      </c>
      <c r="O93" s="93">
        <v>147247582</v>
      </c>
      <c r="P93" s="93">
        <v>150281676</v>
      </c>
      <c r="Q93" s="93">
        <v>648737632</v>
      </c>
      <c r="R93" s="93">
        <v>566313270</v>
      </c>
      <c r="S93" s="93">
        <v>622185036</v>
      </c>
      <c r="T93" s="93">
        <v>585838499</v>
      </c>
      <c r="U93" s="93">
        <v>24154</v>
      </c>
      <c r="V93" s="93">
        <v>23760</v>
      </c>
      <c r="W93" s="93">
        <v>37236</v>
      </c>
      <c r="X93" s="93">
        <v>36842</v>
      </c>
      <c r="Y93" s="93">
        <v>27696</v>
      </c>
      <c r="Z93" s="93">
        <v>27302</v>
      </c>
      <c r="AA93" s="93">
        <v>40778</v>
      </c>
      <c r="AB93" s="93">
        <v>40384</v>
      </c>
      <c r="AC93" s="114">
        <v>7</v>
      </c>
      <c r="AD93" s="114">
        <v>10</v>
      </c>
      <c r="AE93" s="114">
        <v>0</v>
      </c>
      <c r="AF93" s="115">
        <v>5142227</v>
      </c>
      <c r="AG93" s="115">
        <v>4249413</v>
      </c>
      <c r="AH93" s="115">
        <v>563478</v>
      </c>
      <c r="AI93" s="115">
        <v>426157</v>
      </c>
      <c r="AJ93" s="115">
        <v>925181</v>
      </c>
      <c r="AK93" s="116">
        <v>4.5</v>
      </c>
      <c r="AL93" s="115">
        <v>832663</v>
      </c>
      <c r="AM93" s="116">
        <v>5</v>
      </c>
      <c r="AN93" s="115">
        <v>190732</v>
      </c>
      <c r="AO93" s="116">
        <v>7.5</v>
      </c>
      <c r="AP93" s="115">
        <v>178811</v>
      </c>
      <c r="AQ93" s="116">
        <v>8</v>
      </c>
      <c r="AR93" s="115">
        <v>209245</v>
      </c>
      <c r="AS93" s="116">
        <v>16.75</v>
      </c>
      <c r="AT93" s="115">
        <v>206168</v>
      </c>
      <c r="AU93" s="116">
        <v>17</v>
      </c>
      <c r="AV93" s="115">
        <v>80080</v>
      </c>
      <c r="AW93" s="116">
        <v>14.08</v>
      </c>
      <c r="AX93" s="115">
        <v>75168</v>
      </c>
      <c r="AY93" s="116">
        <v>15</v>
      </c>
      <c r="AZ93" s="139">
        <v>5023652</v>
      </c>
      <c r="BA93" s="139">
        <v>1150000</v>
      </c>
      <c r="BB93" s="139">
        <v>7017691</v>
      </c>
      <c r="BC93" s="139">
        <v>0</v>
      </c>
      <c r="BD93" s="139">
        <v>470107</v>
      </c>
      <c r="BE93" s="139">
        <v>14220</v>
      </c>
      <c r="BF93" s="139">
        <v>35455</v>
      </c>
      <c r="BG93" s="139">
        <v>14964</v>
      </c>
      <c r="BH93" s="139">
        <v>294120</v>
      </c>
      <c r="BI93" s="139">
        <v>2845</v>
      </c>
      <c r="BJ93" s="139">
        <v>361604</v>
      </c>
      <c r="BK93" s="139">
        <v>175002</v>
      </c>
      <c r="BL93" s="139">
        <v>16135</v>
      </c>
      <c r="BM93" s="139">
        <v>6291</v>
      </c>
      <c r="BN93" s="139">
        <v>257709</v>
      </c>
      <c r="BO93" s="139">
        <v>77713</v>
      </c>
      <c r="BP93" s="139">
        <v>532850</v>
      </c>
      <c r="BQ93" s="139">
        <v>112104</v>
      </c>
      <c r="BR93" s="139">
        <v>5696</v>
      </c>
      <c r="BS93" s="139">
        <v>12659</v>
      </c>
      <c r="BT93" s="139">
        <v>148090</v>
      </c>
      <c r="BU93" s="139">
        <v>2063964</v>
      </c>
      <c r="BV93" s="139">
        <v>2342513</v>
      </c>
      <c r="BW93" s="139">
        <v>27073832</v>
      </c>
      <c r="BX93" s="139">
        <v>5073486</v>
      </c>
      <c r="BY93" s="139">
        <v>767438</v>
      </c>
      <c r="BZ93" s="139">
        <v>6866796</v>
      </c>
      <c r="CA93" s="139">
        <v>14645266</v>
      </c>
      <c r="CB93" s="139">
        <v>54426818</v>
      </c>
      <c r="CC93" s="139">
        <v>3465356</v>
      </c>
      <c r="CD93" s="139">
        <v>547340</v>
      </c>
      <c r="CE93" s="139">
        <v>514521</v>
      </c>
      <c r="CF93" s="139">
        <v>4864423</v>
      </c>
      <c r="CG93" s="139">
        <v>210957</v>
      </c>
      <c r="CH93" s="139">
        <v>9602597</v>
      </c>
      <c r="CI93" s="139">
        <v>1015000</v>
      </c>
      <c r="CJ93" s="139">
        <v>297684</v>
      </c>
      <c r="CK93" s="139">
        <v>35000</v>
      </c>
      <c r="CL93" s="139">
        <v>94866</v>
      </c>
      <c r="CM93" s="139">
        <v>0</v>
      </c>
      <c r="CN93" s="139">
        <v>1442550</v>
      </c>
      <c r="CO93" s="139">
        <v>5252118</v>
      </c>
      <c r="CP93" s="139">
        <v>1601730</v>
      </c>
      <c r="CQ93" s="139">
        <v>901543</v>
      </c>
      <c r="CR93" s="139">
        <v>2470795</v>
      </c>
      <c r="CS93" s="139">
        <v>0</v>
      </c>
      <c r="CT93" s="139">
        <v>10226186</v>
      </c>
      <c r="CU93" s="139">
        <v>0</v>
      </c>
      <c r="CV93" s="139">
        <v>0</v>
      </c>
      <c r="CW93" s="139">
        <v>0</v>
      </c>
      <c r="CX93" s="139">
        <v>0</v>
      </c>
      <c r="CY93" s="139">
        <v>0</v>
      </c>
      <c r="CZ93" s="139">
        <v>0</v>
      </c>
      <c r="DA93" s="139">
        <v>1256138</v>
      </c>
      <c r="DB93" s="139">
        <v>189860</v>
      </c>
      <c r="DC93" s="139">
        <v>165746</v>
      </c>
      <c r="DD93" s="139">
        <v>268603</v>
      </c>
      <c r="DE93" s="139">
        <v>8857799</v>
      </c>
      <c r="DF93" s="139">
        <v>10738146</v>
      </c>
      <c r="DG93" s="139">
        <v>0</v>
      </c>
      <c r="DH93" s="139">
        <v>0</v>
      </c>
      <c r="DI93" s="139">
        <v>0</v>
      </c>
      <c r="DJ93" s="139">
        <v>0</v>
      </c>
      <c r="DK93" s="139">
        <v>0</v>
      </c>
      <c r="DL93" s="139">
        <v>0</v>
      </c>
      <c r="DM93" s="139">
        <v>0</v>
      </c>
      <c r="DN93" s="139">
        <v>1815618</v>
      </c>
      <c r="DO93" s="139">
        <v>0</v>
      </c>
      <c r="DP93" s="139">
        <v>13615</v>
      </c>
      <c r="DQ93" s="139">
        <v>10800</v>
      </c>
      <c r="DR93" s="139">
        <v>1840033</v>
      </c>
      <c r="DS93" s="139">
        <v>349095</v>
      </c>
      <c r="DT93" s="139">
        <v>128929</v>
      </c>
      <c r="DU93" s="139">
        <v>182337</v>
      </c>
      <c r="DV93" s="139">
        <v>329274</v>
      </c>
      <c r="DW93" s="139">
        <v>0</v>
      </c>
      <c r="DX93" s="139">
        <v>989635</v>
      </c>
      <c r="DY93" s="139">
        <v>1861261</v>
      </c>
      <c r="DZ93" s="139">
        <v>323302</v>
      </c>
      <c r="EA93" s="139">
        <v>403145</v>
      </c>
      <c r="EB93" s="139">
        <v>1831181</v>
      </c>
      <c r="EC93" s="139">
        <v>0</v>
      </c>
      <c r="ED93" s="139">
        <v>4418889</v>
      </c>
      <c r="EE93" s="139">
        <v>899701</v>
      </c>
      <c r="EF93" s="139">
        <v>154411</v>
      </c>
      <c r="EG93" s="139">
        <v>132076</v>
      </c>
      <c r="EH93" s="139">
        <v>1084852</v>
      </c>
      <c r="EI93" s="139">
        <v>274657</v>
      </c>
      <c r="EJ93" s="139">
        <v>2545697</v>
      </c>
      <c r="EK93" s="139">
        <v>856196</v>
      </c>
      <c r="EL93" s="139">
        <v>353937</v>
      </c>
      <c r="EM93" s="139">
        <v>171264</v>
      </c>
      <c r="EN93" s="139">
        <v>421232</v>
      </c>
      <c r="EO93" s="139">
        <v>0</v>
      </c>
      <c r="EP93" s="139">
        <v>1802629</v>
      </c>
      <c r="EQ93" s="139">
        <v>81604</v>
      </c>
      <c r="ER93" s="139">
        <v>0</v>
      </c>
      <c r="ES93" s="139">
        <v>0</v>
      </c>
      <c r="ET93" s="139">
        <v>1044</v>
      </c>
      <c r="EU93" s="139">
        <v>2125380</v>
      </c>
      <c r="EV93" s="139">
        <v>2208028</v>
      </c>
      <c r="EW93" s="139">
        <v>20675</v>
      </c>
      <c r="EX93" s="139">
        <v>50783</v>
      </c>
      <c r="EY93" s="139">
        <v>33100</v>
      </c>
      <c r="EZ93" s="139">
        <v>196960</v>
      </c>
      <c r="FA93" s="139">
        <v>964</v>
      </c>
      <c r="FB93" s="139">
        <v>302482</v>
      </c>
      <c r="FC93" s="139">
        <v>38248</v>
      </c>
      <c r="FD93" s="139">
        <v>22794</v>
      </c>
      <c r="FE93" s="139">
        <v>11890</v>
      </c>
      <c r="FF93" s="139">
        <v>421445</v>
      </c>
      <c r="FG93" s="139">
        <v>8513771</v>
      </c>
      <c r="FH93" s="139">
        <v>9008148</v>
      </c>
      <c r="FI93" s="139">
        <v>0</v>
      </c>
      <c r="FJ93" s="139">
        <v>0</v>
      </c>
      <c r="FK93" s="139">
        <v>0</v>
      </c>
      <c r="FL93" s="139">
        <v>0</v>
      </c>
      <c r="FM93" s="139">
        <v>128412</v>
      </c>
      <c r="FN93" s="139">
        <v>128412</v>
      </c>
      <c r="FO93" s="139">
        <v>0</v>
      </c>
      <c r="FP93" s="139">
        <v>0</v>
      </c>
      <c r="FQ93" s="139">
        <v>0</v>
      </c>
      <c r="FR93" s="139">
        <v>0</v>
      </c>
      <c r="FS93" s="139">
        <v>5523021</v>
      </c>
      <c r="FT93" s="139">
        <v>5523021</v>
      </c>
      <c r="FU93" s="139">
        <v>0</v>
      </c>
      <c r="FV93" s="139">
        <v>0</v>
      </c>
      <c r="FW93" s="139">
        <v>0</v>
      </c>
      <c r="FX93" s="139">
        <v>0</v>
      </c>
      <c r="FY93" s="139">
        <v>1093869</v>
      </c>
      <c r="FZ93" s="139">
        <v>1093869</v>
      </c>
      <c r="GA93" s="139">
        <v>4605</v>
      </c>
      <c r="GB93" s="139">
        <v>2315</v>
      </c>
      <c r="GC93" s="139">
        <v>1140</v>
      </c>
      <c r="GD93" s="139">
        <v>11352</v>
      </c>
      <c r="GE93" s="139">
        <v>1517559</v>
      </c>
      <c r="GF93" s="139">
        <v>1536971</v>
      </c>
      <c r="GG93" s="139">
        <v>1158006</v>
      </c>
      <c r="GH93" s="139">
        <v>267925</v>
      </c>
      <c r="GI93" s="139">
        <v>196214</v>
      </c>
      <c r="GJ93" s="139">
        <v>743808</v>
      </c>
      <c r="GK93" s="139">
        <v>2368012</v>
      </c>
      <c r="GL93" s="139">
        <v>4733965</v>
      </c>
      <c r="GM93" s="139">
        <v>16258003</v>
      </c>
      <c r="GN93" s="139">
        <v>5756628</v>
      </c>
      <c r="GO93" s="139">
        <v>2747976</v>
      </c>
      <c r="GP93" s="139">
        <v>12753450</v>
      </c>
      <c r="GQ93" s="139">
        <v>30625201</v>
      </c>
      <c r="GR93" s="139">
        <v>68141258</v>
      </c>
      <c r="GS93" s="139">
        <v>0</v>
      </c>
      <c r="GT93" s="139">
        <v>0</v>
      </c>
      <c r="GU93" s="139">
        <v>0</v>
      </c>
      <c r="GV93" s="139">
        <v>0</v>
      </c>
      <c r="GW93" s="139">
        <v>0</v>
      </c>
      <c r="GX93" s="139">
        <v>0</v>
      </c>
      <c r="GY93" s="139">
        <v>16258003</v>
      </c>
      <c r="GZ93" s="139">
        <v>5756628</v>
      </c>
      <c r="HA93" s="139">
        <v>2747976</v>
      </c>
      <c r="HB93" s="139">
        <v>12753450</v>
      </c>
      <c r="HC93" s="139">
        <v>30625201</v>
      </c>
      <c r="HD93" s="139">
        <v>68141258</v>
      </c>
      <c r="HF93" s="70">
        <f>SUM(AZ93:AZ93)</f>
        <v>5023652</v>
      </c>
      <c r="HG93" s="70" t="e">
        <f>#REF!-HF93</f>
        <v>#REF!</v>
      </c>
      <c r="HH93" s="70" t="e">
        <f>SUM(#REF!)</f>
        <v>#REF!</v>
      </c>
      <c r="HI93" s="70" t="e">
        <f>#REF!-HH93</f>
        <v>#REF!</v>
      </c>
      <c r="HJ93" s="70">
        <f>SUM(BA93:BA93)</f>
        <v>1150000</v>
      </c>
      <c r="HK93" s="70" t="e">
        <f>#REF!-HJ93</f>
        <v>#REF!</v>
      </c>
      <c r="HL93" s="70" t="e">
        <f>SUM(#REF!)</f>
        <v>#REF!</v>
      </c>
      <c r="HM93" s="70" t="e">
        <f>BB93-HL93</f>
        <v>#REF!</v>
      </c>
      <c r="HN93" s="70" t="e">
        <f>SUM(#REF!)</f>
        <v>#REF!</v>
      </c>
      <c r="HO93" s="70" t="e">
        <f>#REF!-HN93</f>
        <v>#REF!</v>
      </c>
      <c r="HP93" s="70" t="e">
        <f>SUM(#REF!)</f>
        <v>#REF!</v>
      </c>
      <c r="HQ93" s="70" t="e">
        <f>#REF!-HP93</f>
        <v>#REF!</v>
      </c>
      <c r="HR93" s="70" t="e">
        <f>SUM(#REF!)</f>
        <v>#REF!</v>
      </c>
      <c r="HS93" s="70" t="e">
        <f>#REF!-HR93</f>
        <v>#REF!</v>
      </c>
      <c r="HT93" s="70" t="e">
        <f>SUM(#REF!)</f>
        <v>#REF!</v>
      </c>
      <c r="HU93" s="70" t="e">
        <f>#REF!-HT93</f>
        <v>#REF!</v>
      </c>
      <c r="HV93" s="70" t="e">
        <f>SUM(#REF!)</f>
        <v>#REF!</v>
      </c>
      <c r="HW93" s="70" t="e">
        <f>#REF!-HV93</f>
        <v>#REF!</v>
      </c>
      <c r="HX93" s="70" t="e">
        <f>SUM(#REF!)</f>
        <v>#REF!</v>
      </c>
      <c r="HY93" s="70" t="e">
        <f>#REF!-HX93</f>
        <v>#REF!</v>
      </c>
      <c r="HZ93" s="70">
        <f>SUM(BC93:BC93)</f>
        <v>0</v>
      </c>
      <c r="IA93" s="70" t="e">
        <f>#REF!-HZ93</f>
        <v>#REF!</v>
      </c>
      <c r="IB93" s="70">
        <f>SUM(BD93:BD93)</f>
        <v>470107</v>
      </c>
      <c r="IC93" s="70" t="e">
        <f>#REF!-IB93</f>
        <v>#REF!</v>
      </c>
      <c r="ID93" s="70">
        <f t="shared" si="109"/>
        <v>361604</v>
      </c>
      <c r="IE93" s="70">
        <f t="shared" si="110"/>
        <v>0</v>
      </c>
      <c r="IF93" s="70">
        <f t="shared" si="111"/>
        <v>532850</v>
      </c>
      <c r="IG93" s="70">
        <f t="shared" si="112"/>
        <v>0</v>
      </c>
      <c r="IH93" s="70">
        <f t="shared" si="113"/>
        <v>2342513</v>
      </c>
      <c r="II93" s="70">
        <f t="shared" si="114"/>
        <v>0</v>
      </c>
      <c r="IJ93" s="70">
        <f t="shared" si="115"/>
        <v>54426818</v>
      </c>
      <c r="IK93" s="70">
        <f t="shared" si="116"/>
        <v>0</v>
      </c>
      <c r="IL93" s="70">
        <f t="shared" si="117"/>
        <v>9602597</v>
      </c>
      <c r="IM93" s="70">
        <f t="shared" si="118"/>
        <v>0</v>
      </c>
      <c r="IN93" s="70">
        <f t="shared" si="119"/>
        <v>1442550</v>
      </c>
      <c r="IO93" s="70">
        <f t="shared" si="120"/>
        <v>0</v>
      </c>
      <c r="IP93" s="70">
        <f t="shared" si="121"/>
        <v>10226186</v>
      </c>
      <c r="IQ93" s="70">
        <f t="shared" si="122"/>
        <v>0</v>
      </c>
      <c r="IR93" s="70">
        <f t="shared" si="161"/>
        <v>0</v>
      </c>
      <c r="IS93" s="70">
        <f t="shared" si="162"/>
        <v>0</v>
      </c>
      <c r="IT93" s="70">
        <f t="shared" si="123"/>
        <v>10738146</v>
      </c>
      <c r="IU93" s="70">
        <f t="shared" si="124"/>
        <v>0</v>
      </c>
      <c r="IV93" s="70">
        <f t="shared" si="125"/>
        <v>0</v>
      </c>
      <c r="IW93" s="70">
        <f t="shared" si="126"/>
        <v>0</v>
      </c>
      <c r="IX93" s="70">
        <f t="shared" si="127"/>
        <v>1840033</v>
      </c>
      <c r="IY93" s="70">
        <f t="shared" si="128"/>
        <v>0</v>
      </c>
      <c r="IZ93" s="70">
        <f t="shared" si="129"/>
        <v>989635</v>
      </c>
      <c r="JA93" s="70">
        <f t="shared" si="130"/>
        <v>0</v>
      </c>
      <c r="JB93" s="70">
        <f t="shared" si="131"/>
        <v>4418889</v>
      </c>
      <c r="JC93" s="70">
        <f t="shared" si="132"/>
        <v>0</v>
      </c>
      <c r="JD93" s="70">
        <f t="shared" si="133"/>
        <v>2545697</v>
      </c>
      <c r="JE93" s="70">
        <f t="shared" si="134"/>
        <v>0</v>
      </c>
      <c r="JF93" s="70">
        <f t="shared" si="135"/>
        <v>1802629</v>
      </c>
      <c r="JG93" s="70">
        <f t="shared" si="136"/>
        <v>0</v>
      </c>
      <c r="JH93" s="70">
        <f t="shared" si="137"/>
        <v>2208028</v>
      </c>
      <c r="JI93" s="70">
        <f t="shared" si="138"/>
        <v>0</v>
      </c>
      <c r="JJ93" s="70">
        <f t="shared" si="139"/>
        <v>302482</v>
      </c>
      <c r="JK93" s="70">
        <f t="shared" si="140"/>
        <v>0</v>
      </c>
      <c r="JL93" s="70">
        <f t="shared" si="141"/>
        <v>9008148</v>
      </c>
      <c r="JM93" s="70">
        <f t="shared" si="142"/>
        <v>0</v>
      </c>
      <c r="JN93" s="70">
        <f t="shared" si="143"/>
        <v>128412</v>
      </c>
      <c r="JO93" s="70">
        <f t="shared" si="144"/>
        <v>0</v>
      </c>
      <c r="JP93" s="70">
        <f t="shared" si="145"/>
        <v>5523021</v>
      </c>
      <c r="JQ93" s="70">
        <f t="shared" si="146"/>
        <v>0</v>
      </c>
      <c r="JR93" s="70">
        <f t="shared" si="147"/>
        <v>1093869</v>
      </c>
      <c r="JS93" s="70">
        <f t="shared" si="148"/>
        <v>0</v>
      </c>
      <c r="JT93" s="70">
        <f t="shared" si="149"/>
        <v>1536971</v>
      </c>
      <c r="JU93" s="70">
        <f t="shared" si="150"/>
        <v>0</v>
      </c>
      <c r="JV93" s="70">
        <f t="shared" si="151"/>
        <v>4733965</v>
      </c>
      <c r="JW93" s="70">
        <f t="shared" si="152"/>
        <v>0</v>
      </c>
      <c r="JX93" s="70">
        <f t="shared" si="153"/>
        <v>68141258</v>
      </c>
      <c r="JY93" s="70">
        <f t="shared" si="154"/>
        <v>0</v>
      </c>
      <c r="JZ93" s="70">
        <f t="shared" si="155"/>
        <v>0</v>
      </c>
      <c r="KA93" s="70">
        <f t="shared" si="156"/>
        <v>0</v>
      </c>
      <c r="KB93" s="70">
        <f t="shared" si="157"/>
        <v>68141258</v>
      </c>
      <c r="KC93" s="70">
        <f t="shared" si="158"/>
        <v>0</v>
      </c>
      <c r="KE93" s="70" t="e">
        <f t="shared" si="159"/>
        <v>#REF!</v>
      </c>
      <c r="KG93" s="68" t="e">
        <f t="shared" si="160"/>
        <v>#REF!</v>
      </c>
    </row>
    <row r="94" spans="1:294">
      <c r="A94" s="180" t="s">
        <v>247</v>
      </c>
      <c r="B94" s="76" t="s">
        <v>366</v>
      </c>
      <c r="C94" s="90">
        <v>157951</v>
      </c>
      <c r="D94" s="90">
        <v>2014</v>
      </c>
      <c r="E94" s="90">
        <v>1</v>
      </c>
      <c r="F94" s="91">
        <v>8</v>
      </c>
      <c r="G94" s="92">
        <v>6020</v>
      </c>
      <c r="H94" s="92">
        <v>7213</v>
      </c>
      <c r="I94" s="93">
        <v>321875567</v>
      </c>
      <c r="J94" s="93">
        <v>318720233</v>
      </c>
      <c r="K94" s="93">
        <v>5036275</v>
      </c>
      <c r="L94" s="93">
        <v>5057350</v>
      </c>
      <c r="M94" s="93">
        <v>19398121</v>
      </c>
      <c r="N94" s="93">
        <v>16638958</v>
      </c>
      <c r="O94" s="93">
        <v>52366300</v>
      </c>
      <c r="P94" s="93">
        <v>55460600</v>
      </c>
      <c r="Q94" s="93">
        <v>215382564</v>
      </c>
      <c r="R94" s="93">
        <v>186940071</v>
      </c>
      <c r="S94" s="93">
        <v>280044915</v>
      </c>
      <c r="T94" s="93">
        <v>272752643</v>
      </c>
      <c r="U94" s="93">
        <v>16392</v>
      </c>
      <c r="V94" s="93">
        <v>15932</v>
      </c>
      <c r="W94" s="93">
        <v>29918</v>
      </c>
      <c r="X94" s="93">
        <v>28460</v>
      </c>
      <c r="Y94" s="93">
        <v>19481</v>
      </c>
      <c r="Z94" s="93">
        <v>19051</v>
      </c>
      <c r="AA94" s="93">
        <v>33007</v>
      </c>
      <c r="AB94" s="93">
        <v>21595</v>
      </c>
      <c r="AC94" s="114">
        <v>9</v>
      </c>
      <c r="AD94" s="114">
        <v>10</v>
      </c>
      <c r="AE94" s="114">
        <v>0</v>
      </c>
      <c r="AF94" s="115">
        <v>3888984</v>
      </c>
      <c r="AG94" s="115">
        <v>2352696</v>
      </c>
      <c r="AH94" s="115">
        <v>381245</v>
      </c>
      <c r="AI94" s="115">
        <v>158760</v>
      </c>
      <c r="AJ94" s="115">
        <v>327750</v>
      </c>
      <c r="AK94" s="116">
        <v>5.5</v>
      </c>
      <c r="AL94" s="115">
        <v>257518</v>
      </c>
      <c r="AM94" s="116">
        <v>7</v>
      </c>
      <c r="AN94" s="115">
        <v>114948</v>
      </c>
      <c r="AO94" s="116">
        <v>6.5</v>
      </c>
      <c r="AP94" s="115">
        <v>93395</v>
      </c>
      <c r="AQ94" s="116">
        <v>8</v>
      </c>
      <c r="AR94" s="115">
        <v>87121</v>
      </c>
      <c r="AS94" s="116">
        <v>20</v>
      </c>
      <c r="AT94" s="115">
        <v>82972</v>
      </c>
      <c r="AU94" s="116">
        <v>21</v>
      </c>
      <c r="AV94" s="115">
        <v>50289</v>
      </c>
      <c r="AW94" s="116">
        <v>13</v>
      </c>
      <c r="AX94" s="115">
        <v>46697</v>
      </c>
      <c r="AY94" s="116">
        <v>14</v>
      </c>
      <c r="AZ94" s="139">
        <v>978068</v>
      </c>
      <c r="BA94" s="139">
        <v>2428796</v>
      </c>
      <c r="BB94" s="139">
        <v>2270487</v>
      </c>
      <c r="BC94" s="139">
        <v>0</v>
      </c>
      <c r="BD94" s="139">
        <v>0</v>
      </c>
      <c r="BE94" s="139">
        <v>63193</v>
      </c>
      <c r="BF94" s="139">
        <v>97931</v>
      </c>
      <c r="BG94" s="139">
        <v>40788</v>
      </c>
      <c r="BH94" s="139">
        <v>262106</v>
      </c>
      <c r="BI94" s="139">
        <v>0</v>
      </c>
      <c r="BJ94" s="139">
        <v>464018</v>
      </c>
      <c r="BK94" s="139">
        <v>67398</v>
      </c>
      <c r="BL94" s="139">
        <v>71392</v>
      </c>
      <c r="BM94" s="139">
        <v>0</v>
      </c>
      <c r="BN94" s="139">
        <v>2</v>
      </c>
      <c r="BO94" s="139">
        <v>0</v>
      </c>
      <c r="BP94" s="139">
        <v>138792</v>
      </c>
      <c r="BQ94" s="139">
        <v>0</v>
      </c>
      <c r="BR94" s="139">
        <v>0</v>
      </c>
      <c r="BS94" s="139">
        <v>0</v>
      </c>
      <c r="BT94" s="139">
        <v>0</v>
      </c>
      <c r="BU94" s="139">
        <v>1241638</v>
      </c>
      <c r="BV94" s="139">
        <v>1241638</v>
      </c>
      <c r="BW94" s="139">
        <v>7836811</v>
      </c>
      <c r="BX94" s="139">
        <v>2705745</v>
      </c>
      <c r="BY94" s="139">
        <v>1730528</v>
      </c>
      <c r="BZ94" s="139">
        <v>6378202</v>
      </c>
      <c r="CA94" s="139">
        <v>9064745</v>
      </c>
      <c r="CB94" s="139">
        <v>27716031</v>
      </c>
      <c r="CC94" s="139">
        <v>2389572</v>
      </c>
      <c r="CD94" s="139">
        <v>385223</v>
      </c>
      <c r="CE94" s="139">
        <v>365410</v>
      </c>
      <c r="CF94" s="139">
        <v>3101475</v>
      </c>
      <c r="CG94" s="139">
        <v>312351</v>
      </c>
      <c r="CH94" s="139">
        <v>6554031</v>
      </c>
      <c r="CI94" s="139">
        <v>1061518</v>
      </c>
      <c r="CJ94" s="139">
        <v>230500</v>
      </c>
      <c r="CK94" s="139">
        <v>18426</v>
      </c>
      <c r="CL94" s="139">
        <v>18968</v>
      </c>
      <c r="CM94" s="139">
        <v>0</v>
      </c>
      <c r="CN94" s="139">
        <v>1329412</v>
      </c>
      <c r="CO94" s="139">
        <v>1900196</v>
      </c>
      <c r="CP94" s="139">
        <v>940375</v>
      </c>
      <c r="CQ94" s="139">
        <v>558761</v>
      </c>
      <c r="CR94" s="139">
        <v>1546634</v>
      </c>
      <c r="CS94" s="139">
        <v>0</v>
      </c>
      <c r="CT94" s="139">
        <v>4945966</v>
      </c>
      <c r="CU94" s="139">
        <v>50596</v>
      </c>
      <c r="CV94" s="139">
        <v>14321</v>
      </c>
      <c r="CW94" s="139">
        <v>5299</v>
      </c>
      <c r="CX94" s="139">
        <v>17188</v>
      </c>
      <c r="CY94" s="139">
        <v>0</v>
      </c>
      <c r="CZ94" s="139">
        <v>87404</v>
      </c>
      <c r="DA94" s="139">
        <v>515381</v>
      </c>
      <c r="DB94" s="139">
        <v>174907</v>
      </c>
      <c r="DC94" s="139">
        <v>109715</v>
      </c>
      <c r="DD94" s="139">
        <v>10613</v>
      </c>
      <c r="DE94" s="139">
        <v>2897008</v>
      </c>
      <c r="DF94" s="139">
        <v>3707624</v>
      </c>
      <c r="DG94" s="139">
        <v>0</v>
      </c>
      <c r="DH94" s="139">
        <v>0</v>
      </c>
      <c r="DI94" s="139">
        <v>0</v>
      </c>
      <c r="DJ94" s="139">
        <v>0</v>
      </c>
      <c r="DK94" s="139">
        <v>15386</v>
      </c>
      <c r="DL94" s="139">
        <v>15386</v>
      </c>
      <c r="DM94" s="139">
        <v>0</v>
      </c>
      <c r="DN94" s="139">
        <v>0</v>
      </c>
      <c r="DO94" s="139">
        <v>141601</v>
      </c>
      <c r="DP94" s="139">
        <v>0</v>
      </c>
      <c r="DQ94" s="139">
        <v>0</v>
      </c>
      <c r="DR94" s="139">
        <v>141601</v>
      </c>
      <c r="DS94" s="139">
        <v>155721</v>
      </c>
      <c r="DT94" s="139">
        <v>127656</v>
      </c>
      <c r="DU94" s="139">
        <v>60232</v>
      </c>
      <c r="DV94" s="139">
        <v>196396</v>
      </c>
      <c r="DW94" s="139">
        <v>0</v>
      </c>
      <c r="DX94" s="139">
        <v>540005</v>
      </c>
      <c r="DY94" s="139">
        <v>680549</v>
      </c>
      <c r="DZ94" s="139">
        <v>373622</v>
      </c>
      <c r="EA94" s="139">
        <v>226357</v>
      </c>
      <c r="EB94" s="139">
        <v>688379</v>
      </c>
      <c r="EC94" s="139">
        <v>544605</v>
      </c>
      <c r="ED94" s="139">
        <v>2513512</v>
      </c>
      <c r="EE94" s="139">
        <v>479658</v>
      </c>
      <c r="EF94" s="139">
        <v>67845</v>
      </c>
      <c r="EG94" s="139">
        <v>24798</v>
      </c>
      <c r="EH94" s="139">
        <v>194486</v>
      </c>
      <c r="EI94" s="139">
        <v>0</v>
      </c>
      <c r="EJ94" s="139">
        <v>766787</v>
      </c>
      <c r="EK94" s="139">
        <v>75987</v>
      </c>
      <c r="EL94" s="139">
        <v>122515</v>
      </c>
      <c r="EM94" s="139">
        <v>72114</v>
      </c>
      <c r="EN94" s="139">
        <v>100767</v>
      </c>
      <c r="EO94" s="139">
        <v>536769</v>
      </c>
      <c r="EP94" s="139">
        <v>908152</v>
      </c>
      <c r="EQ94" s="139">
        <v>35969</v>
      </c>
      <c r="ER94" s="139">
        <v>23157</v>
      </c>
      <c r="ES94" s="139">
        <v>15888</v>
      </c>
      <c r="ET94" s="139">
        <v>12639</v>
      </c>
      <c r="EU94" s="139">
        <v>64976</v>
      </c>
      <c r="EV94" s="139">
        <v>152629</v>
      </c>
      <c r="EW94" s="139">
        <v>11610</v>
      </c>
      <c r="EX94" s="139">
        <v>89621</v>
      </c>
      <c r="EY94" s="139">
        <v>35022</v>
      </c>
      <c r="EZ94" s="139">
        <v>255165</v>
      </c>
      <c r="FA94" s="139">
        <v>0</v>
      </c>
      <c r="FB94" s="139">
        <v>391418</v>
      </c>
      <c r="FC94" s="139">
        <v>1534</v>
      </c>
      <c r="FD94" s="139">
        <v>125</v>
      </c>
      <c r="FE94" s="139">
        <v>366</v>
      </c>
      <c r="FF94" s="139">
        <v>5150</v>
      </c>
      <c r="FG94" s="139">
        <v>745890</v>
      </c>
      <c r="FH94" s="139">
        <v>753065</v>
      </c>
      <c r="FI94" s="139">
        <v>0</v>
      </c>
      <c r="FJ94" s="139">
        <v>0</v>
      </c>
      <c r="FK94" s="139">
        <v>0</v>
      </c>
      <c r="FL94" s="139">
        <v>0</v>
      </c>
      <c r="FM94" s="139">
        <v>124656</v>
      </c>
      <c r="FN94" s="139">
        <v>124656</v>
      </c>
      <c r="FO94" s="139">
        <v>0</v>
      </c>
      <c r="FP94" s="139">
        <v>0</v>
      </c>
      <c r="FQ94" s="139">
        <v>0</v>
      </c>
      <c r="FR94" s="139">
        <v>0</v>
      </c>
      <c r="FS94" s="139">
        <v>1470952</v>
      </c>
      <c r="FT94" s="139">
        <v>1470952</v>
      </c>
      <c r="FU94" s="139">
        <v>0</v>
      </c>
      <c r="FV94" s="139">
        <v>245</v>
      </c>
      <c r="FW94" s="139">
        <v>0</v>
      </c>
      <c r="FX94" s="139">
        <v>384</v>
      </c>
      <c r="FY94" s="139">
        <v>660056</v>
      </c>
      <c r="FZ94" s="139">
        <v>660685</v>
      </c>
      <c r="GA94" s="139">
        <v>0</v>
      </c>
      <c r="GB94" s="139">
        <v>3147</v>
      </c>
      <c r="GC94" s="139">
        <v>0</v>
      </c>
      <c r="GD94" s="139">
        <v>1098</v>
      </c>
      <c r="GE94" s="139">
        <v>1005355</v>
      </c>
      <c r="GF94" s="139">
        <v>1009600</v>
      </c>
      <c r="GG94" s="139">
        <v>478520</v>
      </c>
      <c r="GH94" s="139">
        <v>152486</v>
      </c>
      <c r="GI94" s="139">
        <v>96539</v>
      </c>
      <c r="GJ94" s="139">
        <v>228860</v>
      </c>
      <c r="GK94" s="139">
        <v>686741</v>
      </c>
      <c r="GL94" s="139">
        <v>1643146</v>
      </c>
      <c r="GM94" s="139">
        <v>7836811</v>
      </c>
      <c r="GN94" s="139">
        <v>2705745</v>
      </c>
      <c r="GO94" s="139">
        <v>1730528</v>
      </c>
      <c r="GP94" s="139">
        <v>6378202</v>
      </c>
      <c r="GQ94" s="139">
        <v>9064745</v>
      </c>
      <c r="GR94" s="139">
        <v>27716031</v>
      </c>
      <c r="GS94" s="139">
        <v>0</v>
      </c>
      <c r="GT94" s="139">
        <v>0</v>
      </c>
      <c r="GU94" s="139">
        <v>0</v>
      </c>
      <c r="GV94" s="139">
        <v>0</v>
      </c>
      <c r="GW94" s="139">
        <v>0</v>
      </c>
      <c r="GX94" s="139">
        <v>0</v>
      </c>
      <c r="GY94" s="139">
        <v>7836811</v>
      </c>
      <c r="GZ94" s="139">
        <v>2705745</v>
      </c>
      <c r="HA94" s="139">
        <v>1730528</v>
      </c>
      <c r="HB94" s="139">
        <v>6378202</v>
      </c>
      <c r="HC94" s="139">
        <v>9064745</v>
      </c>
      <c r="HD94" s="139">
        <v>27716031</v>
      </c>
      <c r="HF94" s="70">
        <f>SUM(AZ94:AZ94)</f>
        <v>978068</v>
      </c>
      <c r="HG94" s="70" t="e">
        <f>#REF!-HF94</f>
        <v>#REF!</v>
      </c>
      <c r="HH94" s="70" t="e">
        <f>SUM(#REF!)</f>
        <v>#REF!</v>
      </c>
      <c r="HI94" s="70" t="e">
        <f>#REF!-HH94</f>
        <v>#REF!</v>
      </c>
      <c r="HJ94" s="70">
        <f>SUM(BA94:BA94)</f>
        <v>2428796</v>
      </c>
      <c r="HK94" s="70" t="e">
        <f>#REF!-HJ94</f>
        <v>#REF!</v>
      </c>
      <c r="HL94" s="70" t="e">
        <f>SUM(#REF!)</f>
        <v>#REF!</v>
      </c>
      <c r="HM94" s="70" t="e">
        <f>BB94-HL94</f>
        <v>#REF!</v>
      </c>
      <c r="HN94" s="70" t="e">
        <f>SUM(#REF!)</f>
        <v>#REF!</v>
      </c>
      <c r="HO94" s="70" t="e">
        <f>#REF!-HN94</f>
        <v>#REF!</v>
      </c>
      <c r="HP94" s="70" t="e">
        <f>SUM(#REF!)</f>
        <v>#REF!</v>
      </c>
      <c r="HQ94" s="70" t="e">
        <f>#REF!-HP94</f>
        <v>#REF!</v>
      </c>
      <c r="HR94" s="70" t="e">
        <f>SUM(#REF!)</f>
        <v>#REF!</v>
      </c>
      <c r="HS94" s="70" t="e">
        <f>#REF!-HR94</f>
        <v>#REF!</v>
      </c>
      <c r="HT94" s="70" t="e">
        <f>SUM(#REF!)</f>
        <v>#REF!</v>
      </c>
      <c r="HU94" s="70" t="e">
        <f>#REF!-HT94</f>
        <v>#REF!</v>
      </c>
      <c r="HV94" s="70" t="e">
        <f>SUM(#REF!)</f>
        <v>#REF!</v>
      </c>
      <c r="HW94" s="70" t="e">
        <f>#REF!-HV94</f>
        <v>#REF!</v>
      </c>
      <c r="HX94" s="70" t="e">
        <f>SUM(#REF!)</f>
        <v>#REF!</v>
      </c>
      <c r="HY94" s="70" t="e">
        <f>#REF!-HX94</f>
        <v>#REF!</v>
      </c>
      <c r="HZ94" s="70">
        <f>SUM(BC94:BC94)</f>
        <v>0</v>
      </c>
      <c r="IA94" s="70" t="e">
        <f>#REF!-HZ94</f>
        <v>#REF!</v>
      </c>
      <c r="IB94" s="70">
        <f>SUM(BD94:BD94)</f>
        <v>0</v>
      </c>
      <c r="IC94" s="70" t="e">
        <f>#REF!-IB94</f>
        <v>#REF!</v>
      </c>
      <c r="ID94" s="70">
        <f t="shared" si="109"/>
        <v>464018</v>
      </c>
      <c r="IE94" s="70">
        <f t="shared" si="110"/>
        <v>0</v>
      </c>
      <c r="IF94" s="70">
        <f t="shared" si="111"/>
        <v>138792</v>
      </c>
      <c r="IG94" s="70">
        <f t="shared" si="112"/>
        <v>0</v>
      </c>
      <c r="IH94" s="70">
        <f t="shared" si="113"/>
        <v>1241638</v>
      </c>
      <c r="II94" s="70">
        <f t="shared" si="114"/>
        <v>0</v>
      </c>
      <c r="IJ94" s="70">
        <f t="shared" si="115"/>
        <v>27716031</v>
      </c>
      <c r="IK94" s="70">
        <f t="shared" si="116"/>
        <v>0</v>
      </c>
      <c r="IL94" s="70">
        <f t="shared" si="117"/>
        <v>6554031</v>
      </c>
      <c r="IM94" s="70">
        <f t="shared" si="118"/>
        <v>0</v>
      </c>
      <c r="IN94" s="70">
        <f t="shared" si="119"/>
        <v>1329412</v>
      </c>
      <c r="IO94" s="70">
        <f t="shared" si="120"/>
        <v>0</v>
      </c>
      <c r="IP94" s="70">
        <f t="shared" si="121"/>
        <v>4945966</v>
      </c>
      <c r="IQ94" s="70">
        <f t="shared" si="122"/>
        <v>0</v>
      </c>
      <c r="IR94" s="70">
        <f t="shared" si="161"/>
        <v>87404</v>
      </c>
      <c r="IS94" s="70">
        <f t="shared" si="162"/>
        <v>0</v>
      </c>
      <c r="IT94" s="70">
        <f t="shared" si="123"/>
        <v>3707624</v>
      </c>
      <c r="IU94" s="70">
        <f t="shared" si="124"/>
        <v>0</v>
      </c>
      <c r="IV94" s="70">
        <f t="shared" si="125"/>
        <v>15386</v>
      </c>
      <c r="IW94" s="70">
        <f t="shared" si="126"/>
        <v>0</v>
      </c>
      <c r="IX94" s="70">
        <f t="shared" si="127"/>
        <v>141601</v>
      </c>
      <c r="IY94" s="70">
        <f t="shared" si="128"/>
        <v>0</v>
      </c>
      <c r="IZ94" s="70">
        <f t="shared" si="129"/>
        <v>540005</v>
      </c>
      <c r="JA94" s="70">
        <f t="shared" si="130"/>
        <v>0</v>
      </c>
      <c r="JB94" s="70">
        <f t="shared" si="131"/>
        <v>2513512</v>
      </c>
      <c r="JC94" s="70">
        <f t="shared" si="132"/>
        <v>0</v>
      </c>
      <c r="JD94" s="70">
        <f t="shared" si="133"/>
        <v>766787</v>
      </c>
      <c r="JE94" s="70">
        <f t="shared" si="134"/>
        <v>0</v>
      </c>
      <c r="JF94" s="70">
        <f t="shared" si="135"/>
        <v>908152</v>
      </c>
      <c r="JG94" s="70">
        <f t="shared" si="136"/>
        <v>0</v>
      </c>
      <c r="JH94" s="70">
        <f t="shared" si="137"/>
        <v>152629</v>
      </c>
      <c r="JI94" s="70">
        <f t="shared" si="138"/>
        <v>0</v>
      </c>
      <c r="JJ94" s="70">
        <f t="shared" si="139"/>
        <v>391418</v>
      </c>
      <c r="JK94" s="70">
        <f t="shared" si="140"/>
        <v>0</v>
      </c>
      <c r="JL94" s="70">
        <f t="shared" si="141"/>
        <v>753065</v>
      </c>
      <c r="JM94" s="70">
        <f t="shared" si="142"/>
        <v>0</v>
      </c>
      <c r="JN94" s="70">
        <f t="shared" si="143"/>
        <v>124656</v>
      </c>
      <c r="JO94" s="70">
        <f t="shared" si="144"/>
        <v>0</v>
      </c>
      <c r="JP94" s="70">
        <f t="shared" si="145"/>
        <v>1470952</v>
      </c>
      <c r="JQ94" s="70">
        <f t="shared" si="146"/>
        <v>0</v>
      </c>
      <c r="JR94" s="70">
        <f t="shared" si="147"/>
        <v>660685</v>
      </c>
      <c r="JS94" s="70">
        <f t="shared" si="148"/>
        <v>0</v>
      </c>
      <c r="JT94" s="70">
        <f t="shared" si="149"/>
        <v>1009600</v>
      </c>
      <c r="JU94" s="70">
        <f t="shared" si="150"/>
        <v>0</v>
      </c>
      <c r="JV94" s="70">
        <f t="shared" si="151"/>
        <v>1643146</v>
      </c>
      <c r="JW94" s="70">
        <f t="shared" si="152"/>
        <v>0</v>
      </c>
      <c r="JX94" s="70">
        <f t="shared" si="153"/>
        <v>27716031</v>
      </c>
      <c r="JY94" s="70">
        <f t="shared" si="154"/>
        <v>0</v>
      </c>
      <c r="JZ94" s="70">
        <f t="shared" si="155"/>
        <v>0</v>
      </c>
      <c r="KA94" s="70">
        <f t="shared" si="156"/>
        <v>0</v>
      </c>
      <c r="KB94" s="70">
        <f t="shared" si="157"/>
        <v>27716031</v>
      </c>
      <c r="KC94" s="70">
        <f t="shared" si="158"/>
        <v>0</v>
      </c>
      <c r="KE94" s="70" t="e">
        <f t="shared" si="159"/>
        <v>#REF!</v>
      </c>
      <c r="KG94" s="68" t="e">
        <f t="shared" si="160"/>
        <v>#REF!</v>
      </c>
    </row>
    <row r="95" spans="1:294">
      <c r="A95" s="180" t="s">
        <v>249</v>
      </c>
      <c r="B95" s="76" t="s">
        <v>366</v>
      </c>
      <c r="C95" s="90">
        <v>172699</v>
      </c>
      <c r="D95" s="90">
        <v>2014</v>
      </c>
      <c r="E95" s="90">
        <v>1</v>
      </c>
      <c r="F95" s="91">
        <v>9</v>
      </c>
      <c r="G95" s="92">
        <v>7899</v>
      </c>
      <c r="H95" s="92">
        <v>7921</v>
      </c>
      <c r="I95" s="93">
        <v>561801186</v>
      </c>
      <c r="J95" s="93">
        <v>510929649</v>
      </c>
      <c r="K95" s="93">
        <v>2760457</v>
      </c>
      <c r="L95" s="93">
        <v>2656381</v>
      </c>
      <c r="M95" s="93">
        <v>26897681</v>
      </c>
      <c r="N95" s="93">
        <v>26360089</v>
      </c>
      <c r="O95" s="93">
        <v>28345405</v>
      </c>
      <c r="P95" s="93">
        <v>29891710</v>
      </c>
      <c r="Q95" s="93">
        <v>390644696</v>
      </c>
      <c r="R95" s="93">
        <v>289860000</v>
      </c>
      <c r="S95" s="93">
        <v>356638782</v>
      </c>
      <c r="T95" s="93">
        <v>347038787</v>
      </c>
      <c r="U95" s="93">
        <v>19843</v>
      </c>
      <c r="V95" s="93">
        <v>19196</v>
      </c>
      <c r="W95" s="93">
        <v>33597</v>
      </c>
      <c r="X95" s="93">
        <v>32476</v>
      </c>
      <c r="Y95" s="93">
        <v>23043</v>
      </c>
      <c r="Z95" s="93">
        <v>23496</v>
      </c>
      <c r="AA95" s="93">
        <v>36797</v>
      </c>
      <c r="AB95" s="93">
        <v>36776</v>
      </c>
      <c r="AC95" s="114">
        <v>6</v>
      </c>
      <c r="AD95" s="114">
        <v>10</v>
      </c>
      <c r="AE95" s="114">
        <v>0</v>
      </c>
      <c r="AF95" s="115">
        <v>4525586</v>
      </c>
      <c r="AG95" s="115">
        <v>2886214</v>
      </c>
      <c r="AH95" s="115">
        <v>343540</v>
      </c>
      <c r="AI95" s="115">
        <v>61400</v>
      </c>
      <c r="AJ95" s="115">
        <v>301015</v>
      </c>
      <c r="AK95" s="116">
        <v>6</v>
      </c>
      <c r="AL95" s="115">
        <v>301015</v>
      </c>
      <c r="AM95" s="116">
        <v>6</v>
      </c>
      <c r="AN95" s="115">
        <v>125479</v>
      </c>
      <c r="AO95" s="116">
        <v>8</v>
      </c>
      <c r="AP95" s="115">
        <v>125479</v>
      </c>
      <c r="AQ95" s="116">
        <v>8</v>
      </c>
      <c r="AR95" s="115">
        <v>105108</v>
      </c>
      <c r="AS95" s="116">
        <v>19.63</v>
      </c>
      <c r="AT95" s="115">
        <v>89708</v>
      </c>
      <c r="AU95" s="116">
        <v>23</v>
      </c>
      <c r="AV95" s="115">
        <v>66239</v>
      </c>
      <c r="AW95" s="116">
        <v>11</v>
      </c>
      <c r="AX95" s="115">
        <v>66239</v>
      </c>
      <c r="AY95" s="116">
        <v>11</v>
      </c>
      <c r="AZ95" s="139">
        <v>895541</v>
      </c>
      <c r="BA95" s="139">
        <v>1950000</v>
      </c>
      <c r="BB95" s="139">
        <v>618220</v>
      </c>
      <c r="BC95" s="139">
        <v>11887</v>
      </c>
      <c r="BD95" s="139">
        <v>11887</v>
      </c>
      <c r="BE95" s="139">
        <v>24792</v>
      </c>
      <c r="BF95" s="139">
        <v>0</v>
      </c>
      <c r="BG95" s="139">
        <v>22039</v>
      </c>
      <c r="BH95" s="139">
        <v>315022</v>
      </c>
      <c r="BI95" s="139">
        <v>0</v>
      </c>
      <c r="BJ95" s="139">
        <v>361853</v>
      </c>
      <c r="BK95" s="139">
        <v>27746</v>
      </c>
      <c r="BL95" s="139">
        <v>1588</v>
      </c>
      <c r="BM95" s="139">
        <v>9743</v>
      </c>
      <c r="BN95" s="139">
        <v>86063</v>
      </c>
      <c r="BO95" s="139">
        <v>65181</v>
      </c>
      <c r="BP95" s="139">
        <v>190321</v>
      </c>
      <c r="BQ95" s="139">
        <v>13356</v>
      </c>
      <c r="BR95" s="139">
        <v>16977</v>
      </c>
      <c r="BS95" s="139">
        <v>7107</v>
      </c>
      <c r="BT95" s="139">
        <v>162600</v>
      </c>
      <c r="BU95" s="139">
        <v>518231</v>
      </c>
      <c r="BV95" s="139">
        <v>718271</v>
      </c>
      <c r="BW95" s="139">
        <v>3546077</v>
      </c>
      <c r="BX95" s="139">
        <v>807800</v>
      </c>
      <c r="BY95" s="139">
        <v>157230</v>
      </c>
      <c r="BZ95" s="139">
        <v>1538160</v>
      </c>
      <c r="CA95" s="139">
        <v>22877805</v>
      </c>
      <c r="CB95" s="139">
        <v>28927072</v>
      </c>
      <c r="CC95" s="139">
        <v>2897712</v>
      </c>
      <c r="CD95" s="139">
        <v>404597</v>
      </c>
      <c r="CE95" s="139">
        <v>543269</v>
      </c>
      <c r="CF95" s="139">
        <v>3566222</v>
      </c>
      <c r="CG95" s="139">
        <v>253004</v>
      </c>
      <c r="CH95" s="139">
        <v>7664804</v>
      </c>
      <c r="CI95" s="139">
        <v>380000</v>
      </c>
      <c r="CJ95" s="139">
        <v>200876</v>
      </c>
      <c r="CK95" s="139">
        <v>2679</v>
      </c>
      <c r="CL95" s="139">
        <v>25670</v>
      </c>
      <c r="CM95" s="139">
        <v>0</v>
      </c>
      <c r="CN95" s="139">
        <v>609225</v>
      </c>
      <c r="CO95" s="139">
        <v>1822493</v>
      </c>
      <c r="CP95" s="139">
        <v>923757</v>
      </c>
      <c r="CQ95" s="139">
        <v>549291</v>
      </c>
      <c r="CR95" s="139">
        <v>2306292</v>
      </c>
      <c r="CS95" s="139">
        <v>0</v>
      </c>
      <c r="CT95" s="139">
        <v>5601833</v>
      </c>
      <c r="CU95" s="139">
        <v>0</v>
      </c>
      <c r="CV95" s="139">
        <v>0</v>
      </c>
      <c r="CW95" s="139">
        <v>0</v>
      </c>
      <c r="CX95" s="139">
        <v>0</v>
      </c>
      <c r="CY95" s="139">
        <v>0</v>
      </c>
      <c r="CZ95" s="139">
        <v>0</v>
      </c>
      <c r="DA95" s="139">
        <v>367488</v>
      </c>
      <c r="DB95" s="139">
        <v>72067</v>
      </c>
      <c r="DC95" s="139">
        <v>59896</v>
      </c>
      <c r="DD95" s="139">
        <v>65462</v>
      </c>
      <c r="DE95" s="139">
        <v>2605390</v>
      </c>
      <c r="DF95" s="139">
        <v>3170303</v>
      </c>
      <c r="DG95" s="139">
        <v>0</v>
      </c>
      <c r="DH95" s="139">
        <v>0</v>
      </c>
      <c r="DI95" s="139">
        <v>0</v>
      </c>
      <c r="DJ95" s="139">
        <v>0</v>
      </c>
      <c r="DK95" s="139">
        <v>0</v>
      </c>
      <c r="DL95" s="139">
        <v>0</v>
      </c>
      <c r="DM95" s="139">
        <v>0</v>
      </c>
      <c r="DN95" s="139">
        <v>0</v>
      </c>
      <c r="DO95" s="139">
        <v>0</v>
      </c>
      <c r="DP95" s="139">
        <v>0</v>
      </c>
      <c r="DQ95" s="139">
        <v>0</v>
      </c>
      <c r="DR95" s="139">
        <v>0</v>
      </c>
      <c r="DS95" s="139">
        <v>227014</v>
      </c>
      <c r="DT95" s="139">
        <v>41684</v>
      </c>
      <c r="DU95" s="139">
        <v>38677</v>
      </c>
      <c r="DV95" s="139">
        <v>97565</v>
      </c>
      <c r="DW95" s="139">
        <v>384</v>
      </c>
      <c r="DX95" s="139">
        <v>405324</v>
      </c>
      <c r="DY95" s="139">
        <v>729150</v>
      </c>
      <c r="DZ95" s="139">
        <v>263756</v>
      </c>
      <c r="EA95" s="139">
        <v>122714</v>
      </c>
      <c r="EB95" s="139">
        <v>1202138</v>
      </c>
      <c r="EC95" s="139">
        <v>44175</v>
      </c>
      <c r="ED95" s="139">
        <v>2361933</v>
      </c>
      <c r="EE95" s="139">
        <v>208439</v>
      </c>
      <c r="EF95" s="139">
        <v>53428</v>
      </c>
      <c r="EG95" s="139">
        <v>35954</v>
      </c>
      <c r="EH95" s="139">
        <v>401707</v>
      </c>
      <c r="EI95" s="139">
        <v>26933</v>
      </c>
      <c r="EJ95" s="139">
        <v>726461</v>
      </c>
      <c r="EK95" s="139">
        <v>89345</v>
      </c>
      <c r="EL95" s="139">
        <v>84450</v>
      </c>
      <c r="EM95" s="139">
        <v>50200</v>
      </c>
      <c r="EN95" s="139">
        <v>64897</v>
      </c>
      <c r="EO95" s="139">
        <v>651820</v>
      </c>
      <c r="EP95" s="139">
        <v>940712</v>
      </c>
      <c r="EQ95" s="139">
        <v>2586</v>
      </c>
      <c r="ER95" s="139">
        <v>39</v>
      </c>
      <c r="ES95" s="139">
        <v>405</v>
      </c>
      <c r="ET95" s="139">
        <v>708</v>
      </c>
      <c r="EU95" s="139">
        <v>1015672</v>
      </c>
      <c r="EV95" s="139">
        <v>1019410</v>
      </c>
      <c r="EW95" s="139">
        <v>36629</v>
      </c>
      <c r="EX95" s="139">
        <v>0</v>
      </c>
      <c r="EY95" s="139">
        <v>16866</v>
      </c>
      <c r="EZ95" s="139">
        <v>306422</v>
      </c>
      <c r="FA95" s="139">
        <v>0</v>
      </c>
      <c r="FB95" s="139">
        <v>359917</v>
      </c>
      <c r="FC95" s="139">
        <v>5565</v>
      </c>
      <c r="FD95" s="139">
        <v>1395</v>
      </c>
      <c r="FE95" s="139">
        <v>992</v>
      </c>
      <c r="FF95" s="139">
        <v>135966</v>
      </c>
      <c r="FG95" s="139">
        <v>830469</v>
      </c>
      <c r="FH95" s="139">
        <v>974387</v>
      </c>
      <c r="FI95" s="139">
        <v>0</v>
      </c>
      <c r="FJ95" s="139">
        <v>0</v>
      </c>
      <c r="FK95" s="139">
        <v>0</v>
      </c>
      <c r="FL95" s="139">
        <v>0</v>
      </c>
      <c r="FM95" s="139">
        <v>94908</v>
      </c>
      <c r="FN95" s="139">
        <v>94908</v>
      </c>
      <c r="FO95" s="139">
        <v>0</v>
      </c>
      <c r="FP95" s="139">
        <v>0</v>
      </c>
      <c r="FQ95" s="139">
        <v>0</v>
      </c>
      <c r="FR95" s="139">
        <v>0</v>
      </c>
      <c r="FS95" s="139">
        <v>3164166</v>
      </c>
      <c r="FT95" s="139">
        <v>3164166</v>
      </c>
      <c r="FU95" s="139">
        <v>0</v>
      </c>
      <c r="FV95" s="139">
        <v>0</v>
      </c>
      <c r="FW95" s="139">
        <v>0</v>
      </c>
      <c r="FX95" s="139">
        <v>0</v>
      </c>
      <c r="FY95" s="139">
        <v>966594</v>
      </c>
      <c r="FZ95" s="139">
        <v>966594</v>
      </c>
      <c r="GA95" s="139">
        <v>7368</v>
      </c>
      <c r="GB95" s="139">
        <v>1041</v>
      </c>
      <c r="GC95" s="139">
        <v>907</v>
      </c>
      <c r="GD95" s="139">
        <v>6251</v>
      </c>
      <c r="GE95" s="139">
        <v>394754</v>
      </c>
      <c r="GF95" s="139">
        <v>410321</v>
      </c>
      <c r="GG95" s="139">
        <v>561972</v>
      </c>
      <c r="GH95" s="139">
        <v>91430</v>
      </c>
      <c r="GI95" s="139">
        <v>50356</v>
      </c>
      <c r="GJ95" s="139">
        <v>218144</v>
      </c>
      <c r="GK95" s="139">
        <v>721564</v>
      </c>
      <c r="GL95" s="139">
        <v>1643466</v>
      </c>
      <c r="GM95" s="139">
        <v>7335761</v>
      </c>
      <c r="GN95" s="139">
        <v>2138520</v>
      </c>
      <c r="GO95" s="139">
        <v>1472206</v>
      </c>
      <c r="GP95" s="139">
        <v>8397444</v>
      </c>
      <c r="GQ95" s="139">
        <v>10769833</v>
      </c>
      <c r="GR95" s="139">
        <v>30113764</v>
      </c>
      <c r="GS95" s="139">
        <v>0</v>
      </c>
      <c r="GT95" s="139">
        <v>0</v>
      </c>
      <c r="GU95" s="139">
        <v>0</v>
      </c>
      <c r="GV95" s="139">
        <v>0</v>
      </c>
      <c r="GW95" s="139">
        <v>0</v>
      </c>
      <c r="GX95" s="139">
        <v>0</v>
      </c>
      <c r="GY95" s="139">
        <v>7335761</v>
      </c>
      <c r="GZ95" s="139">
        <v>2138520</v>
      </c>
      <c r="HA95" s="139">
        <v>1472206</v>
      </c>
      <c r="HB95" s="139">
        <v>8397444</v>
      </c>
      <c r="HC95" s="139">
        <v>10769833</v>
      </c>
      <c r="HD95" s="139">
        <v>30113764</v>
      </c>
      <c r="HF95" s="70">
        <f>SUM(AZ95:AZ95)</f>
        <v>895541</v>
      </c>
      <c r="HG95" s="70" t="e">
        <f>#REF!-HF95</f>
        <v>#REF!</v>
      </c>
      <c r="HH95" s="70" t="e">
        <f>SUM(#REF!)</f>
        <v>#REF!</v>
      </c>
      <c r="HI95" s="70" t="e">
        <f>#REF!-HH95</f>
        <v>#REF!</v>
      </c>
      <c r="HJ95" s="70">
        <f>SUM(BA95:BA95)</f>
        <v>1950000</v>
      </c>
      <c r="HK95" s="70" t="e">
        <f>#REF!-HJ95</f>
        <v>#REF!</v>
      </c>
      <c r="HL95" s="70" t="e">
        <f>SUM(#REF!)</f>
        <v>#REF!</v>
      </c>
      <c r="HM95" s="70" t="e">
        <f>BB95-HL95</f>
        <v>#REF!</v>
      </c>
      <c r="HN95" s="70" t="e">
        <f>SUM(#REF!)</f>
        <v>#REF!</v>
      </c>
      <c r="HO95" s="70" t="e">
        <f>#REF!-HN95</f>
        <v>#REF!</v>
      </c>
      <c r="HP95" s="70" t="e">
        <f>SUM(#REF!)</f>
        <v>#REF!</v>
      </c>
      <c r="HQ95" s="70" t="e">
        <f>#REF!-HP95</f>
        <v>#REF!</v>
      </c>
      <c r="HR95" s="70" t="e">
        <f>SUM(#REF!)</f>
        <v>#REF!</v>
      </c>
      <c r="HS95" s="70" t="e">
        <f>#REF!-HR95</f>
        <v>#REF!</v>
      </c>
      <c r="HT95" s="70" t="e">
        <f>SUM(#REF!)</f>
        <v>#REF!</v>
      </c>
      <c r="HU95" s="70" t="e">
        <f>#REF!-HT95</f>
        <v>#REF!</v>
      </c>
      <c r="HV95" s="70" t="e">
        <f>SUM(#REF!)</f>
        <v>#REF!</v>
      </c>
      <c r="HW95" s="70" t="e">
        <f>#REF!-HV95</f>
        <v>#REF!</v>
      </c>
      <c r="HX95" s="70" t="e">
        <f>SUM(#REF!)</f>
        <v>#REF!</v>
      </c>
      <c r="HY95" s="70" t="e">
        <f>#REF!-HX95</f>
        <v>#REF!</v>
      </c>
      <c r="HZ95" s="70">
        <f>SUM(BC95:BC95)</f>
        <v>11887</v>
      </c>
      <c r="IA95" s="70" t="e">
        <f>#REF!-HZ95</f>
        <v>#REF!</v>
      </c>
      <c r="IB95" s="70">
        <f>SUM(BD95:BD95)</f>
        <v>11887</v>
      </c>
      <c r="IC95" s="70" t="e">
        <f>#REF!-IB95</f>
        <v>#REF!</v>
      </c>
      <c r="ID95" s="70">
        <f t="shared" si="109"/>
        <v>361853</v>
      </c>
      <c r="IE95" s="70">
        <f t="shared" si="110"/>
        <v>0</v>
      </c>
      <c r="IF95" s="70">
        <f t="shared" si="111"/>
        <v>190321</v>
      </c>
      <c r="IG95" s="70">
        <f t="shared" si="112"/>
        <v>0</v>
      </c>
      <c r="IH95" s="70">
        <f t="shared" si="113"/>
        <v>718271</v>
      </c>
      <c r="II95" s="70">
        <f t="shared" si="114"/>
        <v>0</v>
      </c>
      <c r="IJ95" s="70">
        <f t="shared" si="115"/>
        <v>28927072</v>
      </c>
      <c r="IK95" s="70">
        <f t="shared" si="116"/>
        <v>0</v>
      </c>
      <c r="IL95" s="70">
        <f t="shared" si="117"/>
        <v>7664804</v>
      </c>
      <c r="IM95" s="70">
        <f t="shared" si="118"/>
        <v>0</v>
      </c>
      <c r="IN95" s="70">
        <f t="shared" si="119"/>
        <v>609225</v>
      </c>
      <c r="IO95" s="70">
        <f t="shared" si="120"/>
        <v>0</v>
      </c>
      <c r="IP95" s="70">
        <f t="shared" si="121"/>
        <v>5601833</v>
      </c>
      <c r="IQ95" s="70">
        <f t="shared" si="122"/>
        <v>0</v>
      </c>
      <c r="IR95" s="70">
        <f t="shared" si="161"/>
        <v>0</v>
      </c>
      <c r="IS95" s="70">
        <f t="shared" si="162"/>
        <v>0</v>
      </c>
      <c r="IT95" s="70">
        <f t="shared" si="123"/>
        <v>3170303</v>
      </c>
      <c r="IU95" s="70">
        <f t="shared" si="124"/>
        <v>0</v>
      </c>
      <c r="IV95" s="70">
        <f t="shared" si="125"/>
        <v>0</v>
      </c>
      <c r="IW95" s="70">
        <f t="shared" si="126"/>
        <v>0</v>
      </c>
      <c r="IX95" s="70">
        <f t="shared" si="127"/>
        <v>0</v>
      </c>
      <c r="IY95" s="70">
        <f t="shared" si="128"/>
        <v>0</v>
      </c>
      <c r="IZ95" s="70">
        <f t="shared" si="129"/>
        <v>405324</v>
      </c>
      <c r="JA95" s="70">
        <f t="shared" si="130"/>
        <v>0</v>
      </c>
      <c r="JB95" s="70">
        <f t="shared" si="131"/>
        <v>2361933</v>
      </c>
      <c r="JC95" s="70">
        <f t="shared" si="132"/>
        <v>0</v>
      </c>
      <c r="JD95" s="70">
        <f t="shared" si="133"/>
        <v>726461</v>
      </c>
      <c r="JE95" s="70">
        <f t="shared" si="134"/>
        <v>0</v>
      </c>
      <c r="JF95" s="70">
        <f t="shared" si="135"/>
        <v>940712</v>
      </c>
      <c r="JG95" s="70">
        <f t="shared" si="136"/>
        <v>0</v>
      </c>
      <c r="JH95" s="70">
        <f t="shared" si="137"/>
        <v>1019410</v>
      </c>
      <c r="JI95" s="70">
        <f t="shared" si="138"/>
        <v>0</v>
      </c>
      <c r="JJ95" s="70">
        <f t="shared" si="139"/>
        <v>359917</v>
      </c>
      <c r="JK95" s="70">
        <f t="shared" si="140"/>
        <v>0</v>
      </c>
      <c r="JL95" s="70">
        <f t="shared" si="141"/>
        <v>974387</v>
      </c>
      <c r="JM95" s="70">
        <f t="shared" si="142"/>
        <v>0</v>
      </c>
      <c r="JN95" s="70">
        <f t="shared" si="143"/>
        <v>94908</v>
      </c>
      <c r="JO95" s="70">
        <f t="shared" si="144"/>
        <v>0</v>
      </c>
      <c r="JP95" s="70">
        <f t="shared" si="145"/>
        <v>3164166</v>
      </c>
      <c r="JQ95" s="70">
        <f t="shared" si="146"/>
        <v>0</v>
      </c>
      <c r="JR95" s="70">
        <f t="shared" si="147"/>
        <v>966594</v>
      </c>
      <c r="JS95" s="70">
        <f t="shared" si="148"/>
        <v>0</v>
      </c>
      <c r="JT95" s="70">
        <f t="shared" si="149"/>
        <v>410321</v>
      </c>
      <c r="JU95" s="70">
        <f t="shared" si="150"/>
        <v>0</v>
      </c>
      <c r="JV95" s="70">
        <f t="shared" si="151"/>
        <v>1643466</v>
      </c>
      <c r="JW95" s="70">
        <f t="shared" si="152"/>
        <v>0</v>
      </c>
      <c r="JX95" s="70">
        <f t="shared" si="153"/>
        <v>30113764</v>
      </c>
      <c r="JY95" s="70">
        <f t="shared" si="154"/>
        <v>0</v>
      </c>
      <c r="JZ95" s="70">
        <f t="shared" si="155"/>
        <v>0</v>
      </c>
      <c r="KA95" s="70">
        <f t="shared" si="156"/>
        <v>0</v>
      </c>
      <c r="KB95" s="70">
        <f t="shared" si="157"/>
        <v>30113764</v>
      </c>
      <c r="KC95" s="70">
        <f t="shared" si="158"/>
        <v>0</v>
      </c>
      <c r="KE95" s="70" t="e">
        <f t="shared" si="159"/>
        <v>#REF!</v>
      </c>
      <c r="KG95" s="68" t="e">
        <f t="shared" si="160"/>
        <v>#REF!</v>
      </c>
    </row>
    <row r="96" spans="1:294">
      <c r="A96" s="76" t="s">
        <v>250</v>
      </c>
      <c r="B96" s="76" t="s">
        <v>366</v>
      </c>
      <c r="C96" s="90">
        <v>240444</v>
      </c>
      <c r="D96" s="90">
        <v>2014</v>
      </c>
      <c r="E96" s="90">
        <v>1</v>
      </c>
      <c r="F96" s="91">
        <v>3</v>
      </c>
      <c r="G96" s="92">
        <v>13670</v>
      </c>
      <c r="H96" s="92">
        <v>14513</v>
      </c>
      <c r="I96" s="93">
        <v>2437424557</v>
      </c>
      <c r="J96" s="93">
        <v>2326806278</v>
      </c>
      <c r="K96" s="93">
        <v>12577792</v>
      </c>
      <c r="L96" s="93">
        <v>11734276</v>
      </c>
      <c r="M96" s="93">
        <v>79868534</v>
      </c>
      <c r="N96" s="93">
        <v>57048968</v>
      </c>
      <c r="O96" s="93">
        <v>117033186</v>
      </c>
      <c r="P96" s="93">
        <v>124779662</v>
      </c>
      <c r="Q96" s="93">
        <v>838843253</v>
      </c>
      <c r="R96" s="93">
        <v>874918828</v>
      </c>
      <c r="S96" s="93">
        <v>2262340051</v>
      </c>
      <c r="T96" s="93">
        <v>2000784266</v>
      </c>
      <c r="U96" s="93">
        <v>21888</v>
      </c>
      <c r="V96" s="93">
        <v>21526</v>
      </c>
      <c r="W96" s="93">
        <v>38138</v>
      </c>
      <c r="X96" s="93">
        <v>37776</v>
      </c>
      <c r="Y96" s="93">
        <v>26527</v>
      </c>
      <c r="Z96" s="93">
        <v>25966</v>
      </c>
      <c r="AA96" s="93">
        <v>43413</v>
      </c>
      <c r="AB96" s="93">
        <v>43196</v>
      </c>
      <c r="AC96" s="114">
        <v>12</v>
      </c>
      <c r="AD96" s="114">
        <v>12</v>
      </c>
      <c r="AE96" s="114">
        <v>0</v>
      </c>
      <c r="AF96" s="115">
        <v>5840378</v>
      </c>
      <c r="AG96" s="115">
        <v>5140477</v>
      </c>
      <c r="AH96" s="115">
        <v>631243</v>
      </c>
      <c r="AI96" s="115">
        <v>395514</v>
      </c>
      <c r="AJ96" s="115">
        <v>680553</v>
      </c>
      <c r="AK96" s="116">
        <v>9.5</v>
      </c>
      <c r="AL96" s="115">
        <v>646525</v>
      </c>
      <c r="AM96" s="116">
        <v>10</v>
      </c>
      <c r="AN96" s="115">
        <v>205280</v>
      </c>
      <c r="AO96" s="116">
        <v>9.5</v>
      </c>
      <c r="AP96" s="115">
        <v>195016</v>
      </c>
      <c r="AQ96" s="116">
        <v>10</v>
      </c>
      <c r="AR96" s="115">
        <v>211129</v>
      </c>
      <c r="AS96" s="116">
        <v>26.5</v>
      </c>
      <c r="AT96" s="115">
        <v>180481</v>
      </c>
      <c r="AU96" s="116">
        <v>31</v>
      </c>
      <c r="AV96" s="115">
        <v>89362</v>
      </c>
      <c r="AW96" s="116">
        <v>21.5</v>
      </c>
      <c r="AX96" s="115">
        <v>73896</v>
      </c>
      <c r="AY96" s="116">
        <v>26</v>
      </c>
      <c r="AZ96" s="139">
        <v>18660405</v>
      </c>
      <c r="BA96" s="139">
        <v>300000</v>
      </c>
      <c r="BB96" s="139">
        <v>38456619</v>
      </c>
      <c r="BC96" s="139">
        <v>935562</v>
      </c>
      <c r="BD96" s="139">
        <v>354210</v>
      </c>
      <c r="BE96" s="139">
        <v>146437</v>
      </c>
      <c r="BF96" s="139">
        <v>259763</v>
      </c>
      <c r="BG96" s="139">
        <v>45557</v>
      </c>
      <c r="BH96" s="139">
        <v>1355272</v>
      </c>
      <c r="BI96" s="139">
        <v>2769</v>
      </c>
      <c r="BJ96" s="139">
        <v>1809798</v>
      </c>
      <c r="BK96" s="139">
        <v>0</v>
      </c>
      <c r="BL96" s="139">
        <v>0</v>
      </c>
      <c r="BM96" s="139">
        <v>0</v>
      </c>
      <c r="BN96" s="139">
        <v>0</v>
      </c>
      <c r="BO96" s="139">
        <v>322152</v>
      </c>
      <c r="BP96" s="139">
        <v>322152</v>
      </c>
      <c r="BQ96" s="139">
        <v>18415</v>
      </c>
      <c r="BR96" s="139">
        <v>4816</v>
      </c>
      <c r="BS96" s="139">
        <v>1133</v>
      </c>
      <c r="BT96" s="139">
        <v>3661</v>
      </c>
      <c r="BU96" s="139">
        <v>1679647</v>
      </c>
      <c r="BV96" s="139">
        <v>1707672</v>
      </c>
      <c r="BW96" s="139">
        <v>47284722</v>
      </c>
      <c r="BX96" s="139">
        <v>19370860</v>
      </c>
      <c r="BY96" s="139">
        <v>1577455</v>
      </c>
      <c r="BZ96" s="139">
        <v>11874341</v>
      </c>
      <c r="CA96" s="139">
        <v>47803540</v>
      </c>
      <c r="CB96" s="139">
        <v>127910918</v>
      </c>
      <c r="CC96" s="139">
        <v>2918290</v>
      </c>
      <c r="CD96" s="139">
        <v>474144</v>
      </c>
      <c r="CE96" s="139">
        <v>568744</v>
      </c>
      <c r="CF96" s="139">
        <v>7019677</v>
      </c>
      <c r="CG96" s="139">
        <v>70237</v>
      </c>
      <c r="CH96" s="139">
        <v>11051092</v>
      </c>
      <c r="CI96" s="139">
        <v>3208909</v>
      </c>
      <c r="CJ96" s="139">
        <v>653569</v>
      </c>
      <c r="CK96" s="139">
        <v>55000</v>
      </c>
      <c r="CL96" s="139">
        <v>71236</v>
      </c>
      <c r="CM96" s="139">
        <v>0</v>
      </c>
      <c r="CN96" s="139">
        <v>3988714</v>
      </c>
      <c r="CO96" s="139">
        <v>5750269</v>
      </c>
      <c r="CP96" s="139">
        <v>3392460</v>
      </c>
      <c r="CQ96" s="139">
        <v>693187</v>
      </c>
      <c r="CR96" s="139">
        <v>6095702</v>
      </c>
      <c r="CS96" s="139">
        <v>0</v>
      </c>
      <c r="CT96" s="139">
        <v>15931618</v>
      </c>
      <c r="CU96" s="139">
        <v>0</v>
      </c>
      <c r="CV96" s="139">
        <v>0</v>
      </c>
      <c r="CW96" s="139">
        <v>0</v>
      </c>
      <c r="CX96" s="139">
        <v>0</v>
      </c>
      <c r="CY96" s="139">
        <v>0</v>
      </c>
      <c r="CZ96" s="139">
        <v>0</v>
      </c>
      <c r="DA96" s="139">
        <v>887095</v>
      </c>
      <c r="DB96" s="139">
        <v>262452</v>
      </c>
      <c r="DC96" s="139">
        <v>220200</v>
      </c>
      <c r="DD96" s="139">
        <v>824143</v>
      </c>
      <c r="DE96" s="139">
        <v>21581910</v>
      </c>
      <c r="DF96" s="139">
        <v>23775800</v>
      </c>
      <c r="DG96" s="139">
        <v>0</v>
      </c>
      <c r="DH96" s="139">
        <v>0</v>
      </c>
      <c r="DI96" s="139">
        <v>0</v>
      </c>
      <c r="DJ96" s="139">
        <v>0</v>
      </c>
      <c r="DK96" s="139">
        <v>0</v>
      </c>
      <c r="DL96" s="139">
        <v>0</v>
      </c>
      <c r="DM96" s="139">
        <v>0</v>
      </c>
      <c r="DN96" s="139">
        <v>0</v>
      </c>
      <c r="DO96" s="139">
        <v>0</v>
      </c>
      <c r="DP96" s="139">
        <v>0</v>
      </c>
      <c r="DQ96" s="139">
        <v>0</v>
      </c>
      <c r="DR96" s="139">
        <v>0</v>
      </c>
      <c r="DS96" s="139">
        <v>311013</v>
      </c>
      <c r="DT96" s="139">
        <v>62082</v>
      </c>
      <c r="DU96" s="139">
        <v>92830</v>
      </c>
      <c r="DV96" s="139">
        <v>560832</v>
      </c>
      <c r="DW96" s="139">
        <v>0</v>
      </c>
      <c r="DX96" s="139">
        <v>1026757</v>
      </c>
      <c r="DY96" s="139">
        <v>2865530</v>
      </c>
      <c r="DZ96" s="139">
        <v>1297860</v>
      </c>
      <c r="EA96" s="139">
        <v>519920</v>
      </c>
      <c r="EB96" s="139">
        <v>4418829</v>
      </c>
      <c r="EC96" s="139">
        <v>622665</v>
      </c>
      <c r="ED96" s="139">
        <v>9724804</v>
      </c>
      <c r="EE96" s="139">
        <v>576786</v>
      </c>
      <c r="EF96" s="139">
        <v>75798</v>
      </c>
      <c r="EG96" s="139">
        <v>47108</v>
      </c>
      <c r="EH96" s="139">
        <v>1110030</v>
      </c>
      <c r="EI96" s="139">
        <v>267655</v>
      </c>
      <c r="EJ96" s="139">
        <v>2077377</v>
      </c>
      <c r="EK96" s="139">
        <v>944687</v>
      </c>
      <c r="EL96" s="139">
        <v>280258</v>
      </c>
      <c r="EM96" s="139">
        <v>178440</v>
      </c>
      <c r="EN96" s="139">
        <v>392016</v>
      </c>
      <c r="EO96" s="139">
        <v>1873151</v>
      </c>
      <c r="EP96" s="139">
        <v>3668552</v>
      </c>
      <c r="EQ96" s="139">
        <v>0</v>
      </c>
      <c r="ER96" s="139">
        <v>0</v>
      </c>
      <c r="ES96" s="139">
        <v>0</v>
      </c>
      <c r="ET96" s="139">
        <v>0</v>
      </c>
      <c r="EU96" s="139">
        <v>2907841</v>
      </c>
      <c r="EV96" s="139">
        <v>2907841</v>
      </c>
      <c r="EW96" s="139">
        <v>64464</v>
      </c>
      <c r="EX96" s="139">
        <v>129444</v>
      </c>
      <c r="EY96" s="139">
        <v>15180</v>
      </c>
      <c r="EZ96" s="139">
        <v>500872</v>
      </c>
      <c r="FA96" s="139">
        <v>857</v>
      </c>
      <c r="FB96" s="139">
        <v>710817</v>
      </c>
      <c r="FC96" s="139">
        <v>12743623</v>
      </c>
      <c r="FD96" s="139">
        <v>829276</v>
      </c>
      <c r="FE96" s="139">
        <v>763106</v>
      </c>
      <c r="FF96" s="139">
        <v>8042767</v>
      </c>
      <c r="FG96" s="139">
        <v>15789832</v>
      </c>
      <c r="FH96" s="139">
        <v>38168604</v>
      </c>
      <c r="FI96" s="139">
        <v>0</v>
      </c>
      <c r="FJ96" s="139">
        <v>0</v>
      </c>
      <c r="FK96" s="139">
        <v>0</v>
      </c>
      <c r="FL96" s="139">
        <v>0</v>
      </c>
      <c r="FM96" s="139">
        <v>723049</v>
      </c>
      <c r="FN96" s="139">
        <v>723049</v>
      </c>
      <c r="FO96" s="139">
        <v>0</v>
      </c>
      <c r="FP96" s="139">
        <v>0</v>
      </c>
      <c r="FQ96" s="139">
        <v>0</v>
      </c>
      <c r="FR96" s="139">
        <v>0</v>
      </c>
      <c r="FS96" s="139">
        <v>2982000</v>
      </c>
      <c r="FT96" s="139">
        <v>2982000</v>
      </c>
      <c r="FU96" s="139">
        <v>340988</v>
      </c>
      <c r="FV96" s="139">
        <v>48307</v>
      </c>
      <c r="FW96" s="139">
        <v>42624</v>
      </c>
      <c r="FX96" s="139">
        <v>2412494</v>
      </c>
      <c r="FY96" s="139">
        <v>0</v>
      </c>
      <c r="FZ96" s="139">
        <v>2844413</v>
      </c>
      <c r="GA96" s="139">
        <v>1900</v>
      </c>
      <c r="GB96" s="139">
        <v>985</v>
      </c>
      <c r="GC96" s="139">
        <v>885</v>
      </c>
      <c r="GD96" s="139">
        <v>9834</v>
      </c>
      <c r="GE96" s="139">
        <v>0</v>
      </c>
      <c r="GF96" s="139">
        <v>13604</v>
      </c>
      <c r="GG96" s="139">
        <v>669376</v>
      </c>
      <c r="GH96" s="139">
        <v>89572</v>
      </c>
      <c r="GI96" s="139">
        <v>78548</v>
      </c>
      <c r="GJ96" s="139">
        <v>742591</v>
      </c>
      <c r="GK96" s="139">
        <v>3921106</v>
      </c>
      <c r="GL96" s="139">
        <v>5501193</v>
      </c>
      <c r="GM96" s="139">
        <v>31282930</v>
      </c>
      <c r="GN96" s="139">
        <v>7596207</v>
      </c>
      <c r="GO96" s="139">
        <v>3275772</v>
      </c>
      <c r="GP96" s="139">
        <v>32201023</v>
      </c>
      <c r="GQ96" s="139">
        <v>50740303</v>
      </c>
      <c r="GR96" s="139">
        <v>125096235</v>
      </c>
      <c r="GS96" s="139">
        <v>0</v>
      </c>
      <c r="GT96" s="139">
        <v>0</v>
      </c>
      <c r="GU96" s="139">
        <v>0</v>
      </c>
      <c r="GV96" s="139">
        <v>0</v>
      </c>
      <c r="GW96" s="139">
        <v>0</v>
      </c>
      <c r="GX96" s="139">
        <v>0</v>
      </c>
      <c r="GY96" s="139">
        <v>31282930</v>
      </c>
      <c r="GZ96" s="139">
        <v>7596207</v>
      </c>
      <c r="HA96" s="139">
        <v>3275772</v>
      </c>
      <c r="HB96" s="139">
        <v>32201023</v>
      </c>
      <c r="HC96" s="139">
        <v>50740303</v>
      </c>
      <c r="HD96" s="139">
        <v>125096235</v>
      </c>
      <c r="HF96" s="70">
        <f>SUM(AZ96:AZ96)</f>
        <v>18660405</v>
      </c>
      <c r="HG96" s="70" t="e">
        <f>#REF!-HF96</f>
        <v>#REF!</v>
      </c>
      <c r="HH96" s="70" t="e">
        <f>SUM(#REF!)</f>
        <v>#REF!</v>
      </c>
      <c r="HI96" s="70" t="e">
        <f>#REF!-HH96</f>
        <v>#REF!</v>
      </c>
      <c r="HJ96" s="70">
        <f>SUM(BA96:BA96)</f>
        <v>300000</v>
      </c>
      <c r="HK96" s="70" t="e">
        <f>#REF!-HJ96</f>
        <v>#REF!</v>
      </c>
      <c r="HL96" s="70" t="e">
        <f>SUM(#REF!)</f>
        <v>#REF!</v>
      </c>
      <c r="HM96" s="70" t="e">
        <f>BB96-HL96</f>
        <v>#REF!</v>
      </c>
      <c r="HN96" s="70" t="e">
        <f>SUM(#REF!)</f>
        <v>#REF!</v>
      </c>
      <c r="HO96" s="70" t="e">
        <f>#REF!-HN96</f>
        <v>#REF!</v>
      </c>
      <c r="HP96" s="70" t="e">
        <f>SUM(#REF!)</f>
        <v>#REF!</v>
      </c>
      <c r="HQ96" s="70" t="e">
        <f>#REF!-HP96</f>
        <v>#REF!</v>
      </c>
      <c r="HR96" s="70" t="e">
        <f>SUM(#REF!)</f>
        <v>#REF!</v>
      </c>
      <c r="HS96" s="70" t="e">
        <f>#REF!-HR96</f>
        <v>#REF!</v>
      </c>
      <c r="HT96" s="70" t="e">
        <f>SUM(#REF!)</f>
        <v>#REF!</v>
      </c>
      <c r="HU96" s="70" t="e">
        <f>#REF!-HT96</f>
        <v>#REF!</v>
      </c>
      <c r="HV96" s="70" t="e">
        <f>SUM(#REF!)</f>
        <v>#REF!</v>
      </c>
      <c r="HW96" s="70" t="e">
        <f>#REF!-HV96</f>
        <v>#REF!</v>
      </c>
      <c r="HX96" s="70" t="e">
        <f>SUM(#REF!)</f>
        <v>#REF!</v>
      </c>
      <c r="HY96" s="70" t="e">
        <f>#REF!-HX96</f>
        <v>#REF!</v>
      </c>
      <c r="HZ96" s="70">
        <f>SUM(BC96:BC96)</f>
        <v>935562</v>
      </c>
      <c r="IA96" s="70" t="e">
        <f>#REF!-HZ96</f>
        <v>#REF!</v>
      </c>
      <c r="IB96" s="70">
        <f>SUM(BD96:BD96)</f>
        <v>354210</v>
      </c>
      <c r="IC96" s="70" t="e">
        <f>#REF!-IB96</f>
        <v>#REF!</v>
      </c>
      <c r="ID96" s="70">
        <f t="shared" si="109"/>
        <v>1809798</v>
      </c>
      <c r="IE96" s="70">
        <f t="shared" si="110"/>
        <v>0</v>
      </c>
      <c r="IF96" s="70">
        <f t="shared" si="111"/>
        <v>322152</v>
      </c>
      <c r="IG96" s="70">
        <f t="shared" si="112"/>
        <v>0</v>
      </c>
      <c r="IH96" s="70">
        <f t="shared" si="113"/>
        <v>1707672</v>
      </c>
      <c r="II96" s="70">
        <f t="shared" si="114"/>
        <v>0</v>
      </c>
      <c r="IJ96" s="70">
        <f t="shared" si="115"/>
        <v>127910918</v>
      </c>
      <c r="IK96" s="70">
        <f t="shared" si="116"/>
        <v>0</v>
      </c>
      <c r="IL96" s="70">
        <f t="shared" si="117"/>
        <v>11051092</v>
      </c>
      <c r="IM96" s="70">
        <f t="shared" si="118"/>
        <v>0</v>
      </c>
      <c r="IN96" s="70">
        <f t="shared" si="119"/>
        <v>3988714</v>
      </c>
      <c r="IO96" s="70">
        <f t="shared" si="120"/>
        <v>0</v>
      </c>
      <c r="IP96" s="70">
        <f t="shared" si="121"/>
        <v>15931618</v>
      </c>
      <c r="IQ96" s="70">
        <f t="shared" si="122"/>
        <v>0</v>
      </c>
      <c r="IR96" s="70">
        <f t="shared" si="161"/>
        <v>0</v>
      </c>
      <c r="IS96" s="70">
        <f t="shared" si="162"/>
        <v>0</v>
      </c>
      <c r="IT96" s="70">
        <f t="shared" si="123"/>
        <v>23775800</v>
      </c>
      <c r="IU96" s="70">
        <f t="shared" si="124"/>
        <v>0</v>
      </c>
      <c r="IV96" s="70">
        <f t="shared" si="125"/>
        <v>0</v>
      </c>
      <c r="IW96" s="70">
        <f t="shared" si="126"/>
        <v>0</v>
      </c>
      <c r="IX96" s="70">
        <f t="shared" si="127"/>
        <v>0</v>
      </c>
      <c r="IY96" s="70">
        <f t="shared" si="128"/>
        <v>0</v>
      </c>
      <c r="IZ96" s="70">
        <f t="shared" si="129"/>
        <v>1026757</v>
      </c>
      <c r="JA96" s="70">
        <f t="shared" si="130"/>
        <v>0</v>
      </c>
      <c r="JB96" s="70">
        <f t="shared" si="131"/>
        <v>9724804</v>
      </c>
      <c r="JC96" s="70">
        <f t="shared" si="132"/>
        <v>0</v>
      </c>
      <c r="JD96" s="70">
        <f t="shared" si="133"/>
        <v>2077377</v>
      </c>
      <c r="JE96" s="70">
        <f t="shared" si="134"/>
        <v>0</v>
      </c>
      <c r="JF96" s="70">
        <f t="shared" si="135"/>
        <v>3668552</v>
      </c>
      <c r="JG96" s="70">
        <f t="shared" si="136"/>
        <v>0</v>
      </c>
      <c r="JH96" s="70">
        <f t="shared" si="137"/>
        <v>2907841</v>
      </c>
      <c r="JI96" s="70">
        <f t="shared" si="138"/>
        <v>0</v>
      </c>
      <c r="JJ96" s="70">
        <f t="shared" si="139"/>
        <v>710817</v>
      </c>
      <c r="JK96" s="70">
        <f t="shared" si="140"/>
        <v>0</v>
      </c>
      <c r="JL96" s="70">
        <f t="shared" si="141"/>
        <v>38168604</v>
      </c>
      <c r="JM96" s="70">
        <f t="shared" si="142"/>
        <v>0</v>
      </c>
      <c r="JN96" s="70">
        <f t="shared" si="143"/>
        <v>723049</v>
      </c>
      <c r="JO96" s="70">
        <f t="shared" si="144"/>
        <v>0</v>
      </c>
      <c r="JP96" s="70">
        <f t="shared" si="145"/>
        <v>2982000</v>
      </c>
      <c r="JQ96" s="70">
        <f t="shared" si="146"/>
        <v>0</v>
      </c>
      <c r="JR96" s="70">
        <f t="shared" si="147"/>
        <v>2844413</v>
      </c>
      <c r="JS96" s="70">
        <f t="shared" si="148"/>
        <v>0</v>
      </c>
      <c r="JT96" s="70">
        <f t="shared" si="149"/>
        <v>13604</v>
      </c>
      <c r="JU96" s="70">
        <f t="shared" si="150"/>
        <v>0</v>
      </c>
      <c r="JV96" s="70">
        <f t="shared" si="151"/>
        <v>5501193</v>
      </c>
      <c r="JW96" s="70">
        <f t="shared" si="152"/>
        <v>0</v>
      </c>
      <c r="JX96" s="70">
        <f t="shared" si="153"/>
        <v>125096235</v>
      </c>
      <c r="JY96" s="70">
        <f t="shared" si="154"/>
        <v>0</v>
      </c>
      <c r="JZ96" s="70">
        <f t="shared" si="155"/>
        <v>0</v>
      </c>
      <c r="KA96" s="70">
        <f t="shared" si="156"/>
        <v>0</v>
      </c>
      <c r="KB96" s="70">
        <f t="shared" si="157"/>
        <v>125096235</v>
      </c>
      <c r="KC96" s="70">
        <f t="shared" si="158"/>
        <v>0</v>
      </c>
      <c r="KE96" s="70" t="e">
        <f t="shared" si="159"/>
        <v>#REF!</v>
      </c>
      <c r="KG96" s="68" t="e">
        <f t="shared" ref="KG96" si="163">IF(KE96=0,0,1)</f>
        <v>#REF!</v>
      </c>
    </row>
    <row r="97" spans="1:294">
      <c r="A97" s="180" t="s">
        <v>252</v>
      </c>
      <c r="B97" s="76" t="s">
        <v>366</v>
      </c>
      <c r="C97" s="90">
        <v>240727</v>
      </c>
      <c r="D97" s="90">
        <v>2014</v>
      </c>
      <c r="E97" s="90">
        <v>1</v>
      </c>
      <c r="F97" s="91">
        <v>10</v>
      </c>
      <c r="G97" s="92">
        <v>4087</v>
      </c>
      <c r="H97" s="92">
        <v>3782</v>
      </c>
      <c r="I97" s="93">
        <v>520862297</v>
      </c>
      <c r="J97" s="93">
        <v>506360087</v>
      </c>
      <c r="K97" s="93">
        <v>11066</v>
      </c>
      <c r="L97" s="93">
        <v>11066</v>
      </c>
      <c r="M97" s="93">
        <v>5046386</v>
      </c>
      <c r="N97" s="93">
        <v>14899589</v>
      </c>
      <c r="O97" s="93">
        <v>11715</v>
      </c>
      <c r="P97" s="93">
        <v>11715</v>
      </c>
      <c r="Q97" s="93">
        <v>112259043</v>
      </c>
      <c r="R97" s="93">
        <v>117305430</v>
      </c>
      <c r="S97" s="93">
        <v>461362016</v>
      </c>
      <c r="T97" s="93">
        <v>451176874</v>
      </c>
      <c r="U97" s="93">
        <v>15055</v>
      </c>
      <c r="V97" s="93">
        <v>14562</v>
      </c>
      <c r="W97" s="93">
        <v>24775</v>
      </c>
      <c r="X97" s="93">
        <v>23772</v>
      </c>
      <c r="Y97" s="93">
        <v>18145</v>
      </c>
      <c r="Z97" s="93">
        <v>17652</v>
      </c>
      <c r="AA97" s="93">
        <v>27865</v>
      </c>
      <c r="AB97" s="93">
        <v>26862</v>
      </c>
      <c r="AC97" s="114">
        <v>8</v>
      </c>
      <c r="AD97" s="114">
        <v>9</v>
      </c>
      <c r="AE97" s="114">
        <v>0</v>
      </c>
      <c r="AF97" s="115">
        <v>2909971</v>
      </c>
      <c r="AG97" s="115">
        <v>1487540</v>
      </c>
      <c r="AH97" s="115">
        <v>393253</v>
      </c>
      <c r="AI97" s="115">
        <v>196679</v>
      </c>
      <c r="AJ97" s="115">
        <v>440014</v>
      </c>
      <c r="AK97" s="116">
        <v>5</v>
      </c>
      <c r="AL97" s="115">
        <v>366678</v>
      </c>
      <c r="AM97" s="116">
        <v>6</v>
      </c>
      <c r="AN97" s="115">
        <v>150188</v>
      </c>
      <c r="AO97" s="116">
        <v>6</v>
      </c>
      <c r="AP97" s="115">
        <v>128733</v>
      </c>
      <c r="AQ97" s="116">
        <v>7</v>
      </c>
      <c r="AR97" s="115">
        <v>141255</v>
      </c>
      <c r="AS97" s="116">
        <v>17.5</v>
      </c>
      <c r="AT97" s="115">
        <v>117712</v>
      </c>
      <c r="AU97" s="116">
        <v>21</v>
      </c>
      <c r="AV97" s="115">
        <v>75768</v>
      </c>
      <c r="AW97" s="116">
        <v>11.5</v>
      </c>
      <c r="AX97" s="115">
        <v>58089</v>
      </c>
      <c r="AY97" s="116">
        <v>15</v>
      </c>
      <c r="AZ97" s="139">
        <v>2372939</v>
      </c>
      <c r="BA97" s="139">
        <v>850000</v>
      </c>
      <c r="BB97" s="139">
        <v>4744039</v>
      </c>
      <c r="BC97" s="139">
        <v>197257</v>
      </c>
      <c r="BD97" s="139">
        <v>0</v>
      </c>
      <c r="BE97" s="139">
        <v>0</v>
      </c>
      <c r="BF97" s="139">
        <v>0</v>
      </c>
      <c r="BG97" s="139">
        <v>0</v>
      </c>
      <c r="BH97" s="139">
        <v>0</v>
      </c>
      <c r="BI97" s="139">
        <v>0</v>
      </c>
      <c r="BJ97" s="139">
        <v>0</v>
      </c>
      <c r="BK97" s="139">
        <v>26995</v>
      </c>
      <c r="BL97" s="139">
        <v>1720</v>
      </c>
      <c r="BM97" s="139">
        <v>30165</v>
      </c>
      <c r="BN97" s="139">
        <v>99794</v>
      </c>
      <c r="BO97" s="139">
        <v>0</v>
      </c>
      <c r="BP97" s="139">
        <v>158674</v>
      </c>
      <c r="BQ97" s="139">
        <v>327211</v>
      </c>
      <c r="BR97" s="139">
        <v>7210</v>
      </c>
      <c r="BS97" s="139">
        <v>0</v>
      </c>
      <c r="BT97" s="139">
        <v>169776</v>
      </c>
      <c r="BU97" s="139">
        <v>73877</v>
      </c>
      <c r="BV97" s="139">
        <v>578074</v>
      </c>
      <c r="BW97" s="139">
        <v>9091312</v>
      </c>
      <c r="BX97" s="139">
        <v>2852421</v>
      </c>
      <c r="BY97" s="139">
        <v>1079363</v>
      </c>
      <c r="BZ97" s="139">
        <v>3460567</v>
      </c>
      <c r="CA97" s="139">
        <v>15852704</v>
      </c>
      <c r="CB97" s="139">
        <v>32336367</v>
      </c>
      <c r="CC97" s="139">
        <v>1827030</v>
      </c>
      <c r="CD97" s="139">
        <v>345410</v>
      </c>
      <c r="CE97" s="139">
        <v>256484</v>
      </c>
      <c r="CF97" s="139">
        <v>1968587</v>
      </c>
      <c r="CG97" s="139">
        <v>875042</v>
      </c>
      <c r="CH97" s="139">
        <v>5272553</v>
      </c>
      <c r="CI97" s="139">
        <v>425000</v>
      </c>
      <c r="CJ97" s="139">
        <v>361500</v>
      </c>
      <c r="CK97" s="139">
        <v>11118</v>
      </c>
      <c r="CL97" s="139">
        <v>19267</v>
      </c>
      <c r="CM97" s="139">
        <v>0</v>
      </c>
      <c r="CN97" s="139">
        <v>816885</v>
      </c>
      <c r="CO97" s="139">
        <v>2815860</v>
      </c>
      <c r="CP97" s="139">
        <v>1233921</v>
      </c>
      <c r="CQ97" s="139">
        <v>652194</v>
      </c>
      <c r="CR97" s="139">
        <v>1742517</v>
      </c>
      <c r="CS97" s="139">
        <v>0</v>
      </c>
      <c r="CT97" s="139">
        <v>6444492</v>
      </c>
      <c r="CU97" s="139">
        <v>134261</v>
      </c>
      <c r="CV97" s="139">
        <v>14000</v>
      </c>
      <c r="CW97" s="139">
        <v>36700</v>
      </c>
      <c r="CX97" s="139">
        <v>111742</v>
      </c>
      <c r="CY97" s="139">
        <v>0</v>
      </c>
      <c r="CZ97" s="139">
        <v>296703</v>
      </c>
      <c r="DA97" s="139">
        <v>184061</v>
      </c>
      <c r="DB97" s="139">
        <v>104621</v>
      </c>
      <c r="DC97" s="139">
        <v>75708</v>
      </c>
      <c r="DD97" s="139">
        <v>164704</v>
      </c>
      <c r="DE97" s="139">
        <v>6540411</v>
      </c>
      <c r="DF97" s="139">
        <v>7069505</v>
      </c>
      <c r="DG97" s="139">
        <v>4723</v>
      </c>
      <c r="DH97" s="139">
        <v>4000</v>
      </c>
      <c r="DI97" s="139">
        <v>2100</v>
      </c>
      <c r="DJ97" s="139">
        <v>900</v>
      </c>
      <c r="DK97" s="139">
        <v>95596</v>
      </c>
      <c r="DL97" s="139">
        <v>107319</v>
      </c>
      <c r="DM97" s="139">
        <v>585138</v>
      </c>
      <c r="DN97" s="139">
        <v>133340</v>
      </c>
      <c r="DO97" s="139">
        <v>0</v>
      </c>
      <c r="DP97" s="139">
        <v>94308</v>
      </c>
      <c r="DQ97" s="139">
        <v>0</v>
      </c>
      <c r="DR97" s="139">
        <v>812786</v>
      </c>
      <c r="DS97" s="139">
        <v>264789</v>
      </c>
      <c r="DT97" s="139">
        <v>100153</v>
      </c>
      <c r="DU97" s="139">
        <v>99738</v>
      </c>
      <c r="DV97" s="139">
        <v>125252</v>
      </c>
      <c r="DW97" s="139">
        <v>30613</v>
      </c>
      <c r="DX97" s="139">
        <v>620545</v>
      </c>
      <c r="DY97" s="139">
        <v>634020</v>
      </c>
      <c r="DZ97" s="139">
        <v>417859</v>
      </c>
      <c r="EA97" s="139">
        <v>341438</v>
      </c>
      <c r="EB97" s="139">
        <v>933279</v>
      </c>
      <c r="EC97" s="139">
        <v>30096</v>
      </c>
      <c r="ED97" s="139">
        <v>2356692</v>
      </c>
      <c r="EE97" s="139">
        <v>258283</v>
      </c>
      <c r="EF97" s="139">
        <v>26445</v>
      </c>
      <c r="EG97" s="139">
        <v>15043</v>
      </c>
      <c r="EH97" s="139">
        <v>259610</v>
      </c>
      <c r="EI97" s="139">
        <v>224763</v>
      </c>
      <c r="EJ97" s="139">
        <v>784144</v>
      </c>
      <c r="EK97" s="139">
        <v>289693</v>
      </c>
      <c r="EL97" s="139">
        <v>149722</v>
      </c>
      <c r="EM97" s="139">
        <v>91797</v>
      </c>
      <c r="EN97" s="139">
        <v>74530</v>
      </c>
      <c r="EO97" s="139">
        <v>458294</v>
      </c>
      <c r="EP97" s="139">
        <v>1064036</v>
      </c>
      <c r="EQ97" s="139">
        <v>0</v>
      </c>
      <c r="ER97" s="139">
        <v>0</v>
      </c>
      <c r="ES97" s="139">
        <v>0</v>
      </c>
      <c r="ET97" s="139">
        <v>0</v>
      </c>
      <c r="EU97" s="139">
        <v>876472</v>
      </c>
      <c r="EV97" s="139">
        <v>876472</v>
      </c>
      <c r="EW97" s="139">
        <v>0</v>
      </c>
      <c r="EX97" s="139">
        <v>0</v>
      </c>
      <c r="EY97" s="139">
        <v>0</v>
      </c>
      <c r="EZ97" s="139">
        <v>0</v>
      </c>
      <c r="FA97" s="139">
        <v>0</v>
      </c>
      <c r="FB97" s="139">
        <v>0</v>
      </c>
      <c r="FC97" s="139">
        <v>0</v>
      </c>
      <c r="FD97" s="139">
        <v>0</v>
      </c>
      <c r="FE97" s="139">
        <v>0</v>
      </c>
      <c r="FF97" s="139">
        <v>0</v>
      </c>
      <c r="FG97" s="139">
        <v>2726123</v>
      </c>
      <c r="FH97" s="139">
        <v>2726123</v>
      </c>
      <c r="FI97" s="139">
        <v>0</v>
      </c>
      <c r="FJ97" s="139">
        <v>0</v>
      </c>
      <c r="FK97" s="139">
        <v>0</v>
      </c>
      <c r="FL97" s="139">
        <v>0</v>
      </c>
      <c r="FM97" s="139">
        <v>44200</v>
      </c>
      <c r="FN97" s="139">
        <v>44200</v>
      </c>
      <c r="FO97" s="139">
        <v>0</v>
      </c>
      <c r="FP97" s="139">
        <v>0</v>
      </c>
      <c r="FQ97" s="139">
        <v>0</v>
      </c>
      <c r="FR97" s="139">
        <v>0</v>
      </c>
      <c r="FS97" s="139">
        <v>743208</v>
      </c>
      <c r="FT97" s="139">
        <v>743208</v>
      </c>
      <c r="FU97" s="139">
        <v>0</v>
      </c>
      <c r="FV97" s="139">
        <v>0</v>
      </c>
      <c r="FW97" s="139">
        <v>0</v>
      </c>
      <c r="FX97" s="139">
        <v>0</v>
      </c>
      <c r="FY97" s="139">
        <v>628769</v>
      </c>
      <c r="FZ97" s="139">
        <v>628769</v>
      </c>
      <c r="GA97" s="139">
        <v>2130</v>
      </c>
      <c r="GB97" s="139">
        <v>6490</v>
      </c>
      <c r="GC97" s="139">
        <v>1365</v>
      </c>
      <c r="GD97" s="139">
        <v>10330</v>
      </c>
      <c r="GE97" s="139">
        <v>478954</v>
      </c>
      <c r="GF97" s="139">
        <v>499269</v>
      </c>
      <c r="GG97" s="139">
        <v>88406</v>
      </c>
      <c r="GH97" s="139">
        <v>19645</v>
      </c>
      <c r="GI97" s="139">
        <v>10523</v>
      </c>
      <c r="GJ97" s="139">
        <v>48703</v>
      </c>
      <c r="GK97" s="139">
        <v>1635995</v>
      </c>
      <c r="GL97" s="139">
        <v>1803272</v>
      </c>
      <c r="GM97" s="139">
        <v>7513394</v>
      </c>
      <c r="GN97" s="139">
        <v>2917106</v>
      </c>
      <c r="GO97" s="139">
        <v>1594208</v>
      </c>
      <c r="GP97" s="139">
        <v>5553729</v>
      </c>
      <c r="GQ97" s="139">
        <v>15388536</v>
      </c>
      <c r="GR97" s="139">
        <v>32966973</v>
      </c>
      <c r="GS97" s="139">
        <v>0</v>
      </c>
      <c r="GT97" s="139">
        <v>0</v>
      </c>
      <c r="GU97" s="139">
        <v>0</v>
      </c>
      <c r="GV97" s="139">
        <v>0</v>
      </c>
      <c r="GW97" s="139">
        <v>0</v>
      </c>
      <c r="GX97" s="139">
        <v>0</v>
      </c>
      <c r="GY97" s="139">
        <v>7513394</v>
      </c>
      <c r="GZ97" s="139">
        <v>2917106</v>
      </c>
      <c r="HA97" s="139">
        <v>1594208</v>
      </c>
      <c r="HB97" s="139">
        <v>5553729</v>
      </c>
      <c r="HC97" s="139">
        <v>15388536</v>
      </c>
      <c r="HD97" s="139">
        <v>32966973</v>
      </c>
      <c r="HF97" s="70">
        <f>SUM(AZ97:AZ97)</f>
        <v>2372939</v>
      </c>
      <c r="HG97" s="70" t="e">
        <f>#REF!-HF97</f>
        <v>#REF!</v>
      </c>
      <c r="HH97" s="70" t="e">
        <f>SUM(#REF!)</f>
        <v>#REF!</v>
      </c>
      <c r="HI97" s="70" t="e">
        <f>#REF!-HH97</f>
        <v>#REF!</v>
      </c>
      <c r="HJ97" s="70">
        <f>SUM(BA97:BA97)</f>
        <v>850000</v>
      </c>
      <c r="HK97" s="70" t="e">
        <f>#REF!-HJ97</f>
        <v>#REF!</v>
      </c>
      <c r="HL97" s="70" t="e">
        <f>SUM(#REF!)</f>
        <v>#REF!</v>
      </c>
      <c r="HM97" s="70" t="e">
        <f>BB97-HL97</f>
        <v>#REF!</v>
      </c>
      <c r="HN97" s="70" t="e">
        <f>SUM(#REF!)</f>
        <v>#REF!</v>
      </c>
      <c r="HO97" s="70" t="e">
        <f>#REF!-HN97</f>
        <v>#REF!</v>
      </c>
      <c r="HP97" s="70" t="e">
        <f>SUM(#REF!)</f>
        <v>#REF!</v>
      </c>
      <c r="HQ97" s="70" t="e">
        <f>#REF!-HP97</f>
        <v>#REF!</v>
      </c>
      <c r="HR97" s="70" t="e">
        <f>SUM(#REF!)</f>
        <v>#REF!</v>
      </c>
      <c r="HS97" s="70" t="e">
        <f>#REF!-HR97</f>
        <v>#REF!</v>
      </c>
      <c r="HT97" s="70" t="e">
        <f>SUM(#REF!)</f>
        <v>#REF!</v>
      </c>
      <c r="HU97" s="70" t="e">
        <f>#REF!-HT97</f>
        <v>#REF!</v>
      </c>
      <c r="HV97" s="70" t="e">
        <f>SUM(#REF!)</f>
        <v>#REF!</v>
      </c>
      <c r="HW97" s="70" t="e">
        <f>#REF!-HV97</f>
        <v>#REF!</v>
      </c>
      <c r="HX97" s="70" t="e">
        <f>SUM(#REF!)</f>
        <v>#REF!</v>
      </c>
      <c r="HY97" s="70" t="e">
        <f>#REF!-HX97</f>
        <v>#REF!</v>
      </c>
      <c r="HZ97" s="70">
        <f>SUM(BC97:BC97)</f>
        <v>197257</v>
      </c>
      <c r="IA97" s="70" t="e">
        <f>#REF!-HZ97</f>
        <v>#REF!</v>
      </c>
      <c r="IB97" s="70">
        <f>SUM(BD97:BD97)</f>
        <v>0</v>
      </c>
      <c r="IC97" s="70" t="e">
        <f>#REF!-IB97</f>
        <v>#REF!</v>
      </c>
      <c r="ID97" s="70">
        <f t="shared" si="109"/>
        <v>0</v>
      </c>
      <c r="IE97" s="70">
        <f t="shared" ref="IE97" si="164">BJ97-ID97</f>
        <v>0</v>
      </c>
      <c r="IF97" s="70">
        <f t="shared" si="111"/>
        <v>158674</v>
      </c>
      <c r="IG97" s="70">
        <f t="shared" ref="IG97" si="165">BP97-IF97</f>
        <v>0</v>
      </c>
      <c r="IH97" s="70">
        <f t="shared" si="113"/>
        <v>578074</v>
      </c>
      <c r="II97" s="70">
        <f t="shared" ref="II97" si="166">BV97-IH97</f>
        <v>0</v>
      </c>
      <c r="IJ97" s="70">
        <f t="shared" si="115"/>
        <v>32336367</v>
      </c>
      <c r="IK97" s="70">
        <f t="shared" ref="IK97" si="167">CB97-IJ97</f>
        <v>0</v>
      </c>
      <c r="IL97" s="70">
        <f t="shared" si="117"/>
        <v>5272553</v>
      </c>
      <c r="IM97" s="70">
        <f t="shared" ref="IM97" si="168">CH97-IL97</f>
        <v>0</v>
      </c>
      <c r="IN97" s="70">
        <f t="shared" si="119"/>
        <v>816885</v>
      </c>
      <c r="IO97" s="70">
        <f t="shared" ref="IO97" si="169">CN97-IN97</f>
        <v>0</v>
      </c>
      <c r="IP97" s="70">
        <f t="shared" si="121"/>
        <v>6444492</v>
      </c>
      <c r="IQ97" s="70">
        <f t="shared" ref="IQ97" si="170">CT97-IP97</f>
        <v>0</v>
      </c>
      <c r="IR97" s="70">
        <f t="shared" si="161"/>
        <v>296703</v>
      </c>
      <c r="IS97" s="70">
        <f t="shared" si="162"/>
        <v>0</v>
      </c>
      <c r="IT97" s="70">
        <f t="shared" si="123"/>
        <v>7069505</v>
      </c>
      <c r="IU97" s="70">
        <f t="shared" ref="IU97" si="171">DF97-IT97</f>
        <v>0</v>
      </c>
      <c r="IV97" s="70">
        <f t="shared" si="125"/>
        <v>107319</v>
      </c>
      <c r="IW97" s="70">
        <f t="shared" ref="IW97" si="172">DL97-IV97</f>
        <v>0</v>
      </c>
      <c r="IX97" s="70">
        <f t="shared" si="127"/>
        <v>812786</v>
      </c>
      <c r="IY97" s="70">
        <f t="shared" ref="IY97" si="173">DR97-IX97</f>
        <v>0</v>
      </c>
      <c r="IZ97" s="70">
        <f t="shared" si="129"/>
        <v>620545</v>
      </c>
      <c r="JA97" s="70">
        <f t="shared" ref="JA97" si="174">DX97-IZ97</f>
        <v>0</v>
      </c>
      <c r="JB97" s="70">
        <f t="shared" si="131"/>
        <v>2356692</v>
      </c>
      <c r="JC97" s="70">
        <f t="shared" ref="JC97" si="175">ED97-JB97</f>
        <v>0</v>
      </c>
      <c r="JD97" s="70">
        <f t="shared" si="133"/>
        <v>784144</v>
      </c>
      <c r="JE97" s="70">
        <f t="shared" ref="JE97" si="176">EJ97-JD97</f>
        <v>0</v>
      </c>
      <c r="JF97" s="70">
        <f t="shared" si="135"/>
        <v>1064036</v>
      </c>
      <c r="JG97" s="70">
        <f t="shared" ref="JG97" si="177">EP97-JF97</f>
        <v>0</v>
      </c>
      <c r="JH97" s="70">
        <f t="shared" si="137"/>
        <v>876472</v>
      </c>
      <c r="JI97" s="70">
        <f t="shared" ref="JI97" si="178">EV97-JH97</f>
        <v>0</v>
      </c>
      <c r="JJ97" s="70">
        <f t="shared" si="139"/>
        <v>0</v>
      </c>
      <c r="JK97" s="70">
        <f t="shared" ref="JK97" si="179">FB97-JJ97</f>
        <v>0</v>
      </c>
      <c r="JL97" s="70">
        <f t="shared" si="141"/>
        <v>2726123</v>
      </c>
      <c r="JM97" s="70">
        <f t="shared" ref="JM97" si="180">FH97-JL97</f>
        <v>0</v>
      </c>
      <c r="JN97" s="70">
        <f t="shared" si="143"/>
        <v>44200</v>
      </c>
      <c r="JO97" s="70">
        <f t="shared" ref="JO97" si="181">FN97-JN97</f>
        <v>0</v>
      </c>
      <c r="JP97" s="70">
        <f t="shared" si="145"/>
        <v>743208</v>
      </c>
      <c r="JQ97" s="70">
        <f t="shared" ref="JQ97" si="182">FT97-JP97</f>
        <v>0</v>
      </c>
      <c r="JR97" s="70">
        <f t="shared" si="147"/>
        <v>628769</v>
      </c>
      <c r="JS97" s="70">
        <f t="shared" ref="JS97" si="183">FZ97-JR97</f>
        <v>0</v>
      </c>
      <c r="JT97" s="70">
        <f t="shared" si="149"/>
        <v>499269</v>
      </c>
      <c r="JU97" s="70">
        <f t="shared" ref="JU97" si="184">GF97-JT97</f>
        <v>0</v>
      </c>
      <c r="JV97" s="70">
        <f t="shared" si="151"/>
        <v>1803272</v>
      </c>
      <c r="JW97" s="70">
        <f t="shared" ref="JW97" si="185">GL97-JV97</f>
        <v>0</v>
      </c>
      <c r="JX97" s="70">
        <f t="shared" si="153"/>
        <v>32966973</v>
      </c>
      <c r="JY97" s="70">
        <f t="shared" ref="JY97" si="186">GR97-JX97</f>
        <v>0</v>
      </c>
      <c r="JZ97" s="70">
        <f t="shared" si="155"/>
        <v>0</v>
      </c>
      <c r="KA97" s="70">
        <f t="shared" ref="KA97" si="187">GX97-JZ97</f>
        <v>0</v>
      </c>
      <c r="KB97" s="70">
        <f t="shared" si="157"/>
        <v>32966973</v>
      </c>
      <c r="KC97" s="70">
        <f t="shared" ref="KC97" si="188">HD97-KB97</f>
        <v>0</v>
      </c>
      <c r="KE97" s="70" t="e">
        <f t="shared" si="159"/>
        <v>#REF!</v>
      </c>
      <c r="KG97" s="68" t="e">
        <f t="shared" ref="KG97" si="189">IF(KE97=0,0,1)</f>
        <v>#REF!</v>
      </c>
    </row>
    <row r="98" spans="1:294">
      <c r="A98" s="67">
        <f>COUNTA(A3:A97)</f>
        <v>95</v>
      </c>
      <c r="HG98" s="70" t="e">
        <f>SUM(HG3:HG97)</f>
        <v>#REF!</v>
      </c>
      <c r="HI98" s="70" t="e">
        <f>SUM(HI3:HI97)</f>
        <v>#REF!</v>
      </c>
      <c r="HK98" s="70" t="e">
        <f>SUM(HK3:HK97)</f>
        <v>#REF!</v>
      </c>
      <c r="HM98" s="70" t="e">
        <f>SUM(HM3:HM97)</f>
        <v>#REF!</v>
      </c>
      <c r="HO98" s="70" t="e">
        <f>SUM(HO3:HO97)</f>
        <v>#REF!</v>
      </c>
      <c r="HQ98" s="70" t="e">
        <f>SUM(HQ3:HQ97)</f>
        <v>#REF!</v>
      </c>
      <c r="HS98" s="70" t="e">
        <f>SUM(HS3:HS97)</f>
        <v>#REF!</v>
      </c>
      <c r="HU98" s="70" t="e">
        <f>SUM(HU3:HU97)</f>
        <v>#REF!</v>
      </c>
      <c r="HW98" s="70" t="e">
        <f>SUM(HW3:HW97)</f>
        <v>#REF!</v>
      </c>
      <c r="HY98" s="70" t="e">
        <f>SUM(HY3:HY97)</f>
        <v>#REF!</v>
      </c>
      <c r="IA98" s="70" t="e">
        <f>SUM(IA3:IA97)</f>
        <v>#REF!</v>
      </c>
      <c r="IC98" s="70" t="e">
        <f>SUM(IC3:IC97)</f>
        <v>#REF!</v>
      </c>
      <c r="IE98" s="70">
        <f>SUM(IE3:IE97)</f>
        <v>0.15000000002328306</v>
      </c>
      <c r="IG98" s="70">
        <f>SUM(IG3:IG97)</f>
        <v>-0.23000000003958121</v>
      </c>
      <c r="II98" s="70">
        <f>SUM(II3:II97)</f>
        <v>0.28999999997904524</v>
      </c>
      <c r="IK98" s="70" t="e">
        <f>SUM(IK3:IK97)</f>
        <v>#REF!</v>
      </c>
      <c r="IM98" s="70">
        <f>SUM(IM3:IM97)</f>
        <v>-0.71999999973922968</v>
      </c>
      <c r="IO98" s="70">
        <f>SUM(IO3:IO97)</f>
        <v>0</v>
      </c>
      <c r="IQ98" s="70">
        <f>SUM(IQ3:IQ97)</f>
        <v>0</v>
      </c>
      <c r="IS98" s="70">
        <f>SUM(IS3:IS97)</f>
        <v>0</v>
      </c>
      <c r="IU98" s="70">
        <f>SUM(IU3:IU97)</f>
        <v>-0.68000000016763806</v>
      </c>
      <c r="IW98" s="70">
        <f>SUM(IW3:IW97)</f>
        <v>0</v>
      </c>
      <c r="IY98" s="70">
        <f>SUM(IY3:IY97)</f>
        <v>0</v>
      </c>
      <c r="JA98" s="70">
        <f>SUM(JA3:JA97)</f>
        <v>-6.0000000055879354E-2</v>
      </c>
      <c r="JC98" s="70">
        <f>SUM(JC3:JC97)</f>
        <v>-6.0000000521540642E-2</v>
      </c>
      <c r="JE98" s="70">
        <f>SUM(JE3:JE97)</f>
        <v>-0.5099999998928979</v>
      </c>
      <c r="JG98" s="70">
        <f>SUM(JG3:JG97)</f>
        <v>0.37000000011175871</v>
      </c>
      <c r="JI98" s="70">
        <f>SUM(JI3:JI97)</f>
        <v>-0.9599999999627471</v>
      </c>
      <c r="JK98" s="70">
        <f>SUM(JK3:JK97)</f>
        <v>0.27999999999883585</v>
      </c>
      <c r="JM98" s="70">
        <f>SUM(JM3:JM97)</f>
        <v>-0.56000000005587935</v>
      </c>
      <c r="JO98" s="70">
        <f>SUM(JO3:JO97)</f>
        <v>0</v>
      </c>
      <c r="JQ98" s="70">
        <f>SUM(JQ3:JQ97)</f>
        <v>-9.9999997764825821E-3</v>
      </c>
      <c r="JS98" s="70">
        <f>SUM(JS3:JS97)</f>
        <v>-0.57000000000698492</v>
      </c>
      <c r="JU98" s="70">
        <f>SUM(JU3:JU97)</f>
        <v>-0.54999999999563443</v>
      </c>
      <c r="JW98" s="70">
        <f>SUM(JW3:JW97)</f>
        <v>0.73999999999068677</v>
      </c>
      <c r="JY98" s="70">
        <f>SUM(JY3:JY97)</f>
        <v>-0.69999999925494194</v>
      </c>
      <c r="KA98" s="70">
        <f>SUM(KA3:KA97)</f>
        <v>0</v>
      </c>
      <c r="KC98" s="70">
        <f>SUM(KC3:KC97)</f>
        <v>-0.69999999925494194</v>
      </c>
      <c r="KG98" s="68" t="e">
        <f>SUM(KG3:KG97)</f>
        <v>#REF!</v>
      </c>
      <c r="KH98" s="67"/>
    </row>
    <row r="100" spans="1:294">
      <c r="A100" s="67" t="s">
        <v>531</v>
      </c>
      <c r="B100" s="68"/>
      <c r="G100" s="69">
        <f>MIN(G3:G97)</f>
        <v>1511</v>
      </c>
      <c r="H100" s="69">
        <f t="shared" ref="H100:BA100" si="190">MIN(H3:H97)</f>
        <v>2723</v>
      </c>
      <c r="I100" s="69">
        <f t="shared" si="190"/>
        <v>154009510</v>
      </c>
      <c r="J100" s="69">
        <f t="shared" si="190"/>
        <v>35221734</v>
      </c>
      <c r="K100" s="69">
        <f t="shared" si="190"/>
        <v>0</v>
      </c>
      <c r="L100" s="69">
        <f t="shared" si="190"/>
        <v>0</v>
      </c>
      <c r="M100" s="69">
        <f t="shared" si="190"/>
        <v>1977668</v>
      </c>
      <c r="N100" s="69">
        <f t="shared" si="190"/>
        <v>1397759</v>
      </c>
      <c r="O100" s="69">
        <f t="shared" si="190"/>
        <v>0</v>
      </c>
      <c r="P100" s="69">
        <f t="shared" si="190"/>
        <v>0</v>
      </c>
      <c r="Q100" s="69">
        <f t="shared" si="190"/>
        <v>73999582</v>
      </c>
      <c r="R100" s="69">
        <f t="shared" si="190"/>
        <v>72262059</v>
      </c>
      <c r="S100" s="69">
        <f t="shared" si="190"/>
        <v>127787543</v>
      </c>
      <c r="T100" s="69">
        <f t="shared" si="190"/>
        <v>84572670</v>
      </c>
      <c r="U100" s="69">
        <f t="shared" si="190"/>
        <v>13614</v>
      </c>
      <c r="V100" s="69">
        <f t="shared" si="190"/>
        <v>23.422000000000001</v>
      </c>
      <c r="W100" s="69">
        <f t="shared" si="190"/>
        <v>22525</v>
      </c>
      <c r="X100" s="69">
        <f t="shared" si="190"/>
        <v>20621</v>
      </c>
      <c r="Y100" s="69">
        <f t="shared" si="190"/>
        <v>17720</v>
      </c>
      <c r="Z100" s="69">
        <f t="shared" si="190"/>
        <v>17127</v>
      </c>
      <c r="AA100" s="69">
        <f t="shared" si="190"/>
        <v>25654</v>
      </c>
      <c r="AB100" s="69">
        <f t="shared" si="190"/>
        <v>21595</v>
      </c>
      <c r="AC100" s="69">
        <f t="shared" si="190"/>
        <v>5</v>
      </c>
      <c r="AD100" s="69">
        <f t="shared" si="190"/>
        <v>8</v>
      </c>
      <c r="AE100" s="69">
        <f t="shared" si="190"/>
        <v>0</v>
      </c>
      <c r="AF100" s="69">
        <f t="shared" si="190"/>
        <v>1591713</v>
      </c>
      <c r="AG100" s="69">
        <f t="shared" si="190"/>
        <v>1487540</v>
      </c>
      <c r="AH100" s="69">
        <f t="shared" si="190"/>
        <v>153510</v>
      </c>
      <c r="AI100" s="69">
        <f t="shared" si="190"/>
        <v>36494</v>
      </c>
      <c r="AJ100" s="69">
        <f t="shared" si="190"/>
        <v>127818</v>
      </c>
      <c r="AK100" s="69">
        <f t="shared" si="190"/>
        <v>3.5</v>
      </c>
      <c r="AL100" s="69">
        <f t="shared" si="190"/>
        <v>115036</v>
      </c>
      <c r="AM100" s="69">
        <f t="shared" si="190"/>
        <v>4</v>
      </c>
      <c r="AN100" s="69">
        <f t="shared" si="190"/>
        <v>69448</v>
      </c>
      <c r="AO100" s="69">
        <f t="shared" si="190"/>
        <v>4.5</v>
      </c>
      <c r="AP100" s="69">
        <f t="shared" si="190"/>
        <v>28914</v>
      </c>
      <c r="AQ100" s="69">
        <f t="shared" si="190"/>
        <v>5</v>
      </c>
      <c r="AR100" s="69">
        <f t="shared" si="190"/>
        <v>63729</v>
      </c>
      <c r="AS100" s="69">
        <f t="shared" si="190"/>
        <v>3.5</v>
      </c>
      <c r="AT100" s="69">
        <f t="shared" si="190"/>
        <v>51485</v>
      </c>
      <c r="AU100" s="69">
        <f t="shared" si="190"/>
        <v>12</v>
      </c>
      <c r="AV100" s="69">
        <f t="shared" si="190"/>
        <v>42214.595999999998</v>
      </c>
      <c r="AW100" s="69">
        <f t="shared" si="190"/>
        <v>6.5</v>
      </c>
      <c r="AX100" s="69">
        <f t="shared" si="190"/>
        <v>28271</v>
      </c>
      <c r="AY100" s="69">
        <f t="shared" si="190"/>
        <v>8</v>
      </c>
      <c r="AZ100" s="69">
        <f t="shared" si="190"/>
        <v>79920</v>
      </c>
      <c r="BA100" s="69">
        <f t="shared" si="190"/>
        <v>0</v>
      </c>
      <c r="BB100" s="69">
        <f t="shared" ref="BB100:BP100" si="191">MIN(BB3:BB97)</f>
        <v>0</v>
      </c>
      <c r="BC100" s="69">
        <f t="shared" si="191"/>
        <v>0</v>
      </c>
      <c r="BD100" s="69">
        <f t="shared" si="191"/>
        <v>0</v>
      </c>
      <c r="BE100" s="69">
        <f t="shared" si="191"/>
        <v>0</v>
      </c>
      <c r="BF100" s="69">
        <f t="shared" si="191"/>
        <v>0</v>
      </c>
      <c r="BG100" s="69">
        <f t="shared" si="191"/>
        <v>0</v>
      </c>
      <c r="BH100" s="69">
        <f t="shared" si="191"/>
        <v>0</v>
      </c>
      <c r="BI100" s="69">
        <f t="shared" si="191"/>
        <v>-43717</v>
      </c>
      <c r="BJ100" s="69">
        <f t="shared" si="191"/>
        <v>0</v>
      </c>
      <c r="BK100" s="69">
        <f t="shared" si="191"/>
        <v>0</v>
      </c>
      <c r="BL100" s="69">
        <f t="shared" si="191"/>
        <v>0</v>
      </c>
      <c r="BM100" s="69">
        <f t="shared" si="191"/>
        <v>0</v>
      </c>
      <c r="BN100" s="69">
        <f t="shared" si="191"/>
        <v>0</v>
      </c>
      <c r="BO100" s="69">
        <f t="shared" si="191"/>
        <v>-46218</v>
      </c>
      <c r="BP100" s="69">
        <f t="shared" si="191"/>
        <v>-21408</v>
      </c>
      <c r="BQ100" s="69">
        <f t="shared" ref="BQ100:EB100" si="192">MIN(BQ3:BQ97)</f>
        <v>0</v>
      </c>
      <c r="BR100" s="69">
        <f t="shared" si="192"/>
        <v>-24120</v>
      </c>
      <c r="BS100" s="69">
        <f t="shared" si="192"/>
        <v>0</v>
      </c>
      <c r="BT100" s="69">
        <f t="shared" si="192"/>
        <v>0</v>
      </c>
      <c r="BU100" s="69">
        <f t="shared" si="192"/>
        <v>0</v>
      </c>
      <c r="BV100" s="69">
        <f t="shared" si="192"/>
        <v>0</v>
      </c>
      <c r="BW100" s="69" t="e">
        <f t="shared" si="192"/>
        <v>#REF!</v>
      </c>
      <c r="BX100" s="69" t="e">
        <f t="shared" si="192"/>
        <v>#REF!</v>
      </c>
      <c r="BY100" s="69" t="e">
        <f t="shared" si="192"/>
        <v>#REF!</v>
      </c>
      <c r="BZ100" s="69" t="e">
        <f t="shared" si="192"/>
        <v>#REF!</v>
      </c>
      <c r="CA100" s="69" t="e">
        <f t="shared" si="192"/>
        <v>#REF!</v>
      </c>
      <c r="CB100" s="69" t="e">
        <f t="shared" si="192"/>
        <v>#REF!</v>
      </c>
      <c r="CC100" s="69">
        <f t="shared" si="192"/>
        <v>1552151</v>
      </c>
      <c r="CD100" s="69">
        <f t="shared" si="192"/>
        <v>243988</v>
      </c>
      <c r="CE100" s="69">
        <f t="shared" si="192"/>
        <v>256484</v>
      </c>
      <c r="CF100" s="69">
        <f t="shared" si="192"/>
        <v>1748647</v>
      </c>
      <c r="CG100" s="69">
        <f t="shared" si="192"/>
        <v>0</v>
      </c>
      <c r="CH100" s="69">
        <f t="shared" si="192"/>
        <v>4171345</v>
      </c>
      <c r="CI100" s="69">
        <f t="shared" si="192"/>
        <v>0</v>
      </c>
      <c r="CJ100" s="69">
        <f t="shared" si="192"/>
        <v>0</v>
      </c>
      <c r="CK100" s="69">
        <f t="shared" si="192"/>
        <v>0</v>
      </c>
      <c r="CL100" s="69">
        <f t="shared" si="192"/>
        <v>0</v>
      </c>
      <c r="CM100" s="69">
        <f t="shared" si="192"/>
        <v>0</v>
      </c>
      <c r="CN100" s="69">
        <f t="shared" si="192"/>
        <v>72259</v>
      </c>
      <c r="CO100" s="69">
        <f t="shared" si="192"/>
        <v>1138360</v>
      </c>
      <c r="CP100" s="69">
        <f t="shared" si="192"/>
        <v>398693</v>
      </c>
      <c r="CQ100" s="69">
        <f t="shared" si="192"/>
        <v>290201</v>
      </c>
      <c r="CR100" s="69">
        <f t="shared" si="192"/>
        <v>802045</v>
      </c>
      <c r="CS100" s="69">
        <f t="shared" si="192"/>
        <v>0</v>
      </c>
      <c r="CT100" s="69">
        <f t="shared" si="192"/>
        <v>2668059</v>
      </c>
      <c r="CU100" s="69">
        <f t="shared" si="192"/>
        <v>0</v>
      </c>
      <c r="CV100" s="69">
        <f t="shared" si="192"/>
        <v>0</v>
      </c>
      <c r="CW100" s="69">
        <f t="shared" si="192"/>
        <v>0</v>
      </c>
      <c r="CX100" s="69">
        <f t="shared" si="192"/>
        <v>0</v>
      </c>
      <c r="CY100" s="69">
        <f t="shared" si="192"/>
        <v>0</v>
      </c>
      <c r="CZ100" s="69">
        <f t="shared" si="192"/>
        <v>0</v>
      </c>
      <c r="DA100" s="69">
        <f t="shared" si="192"/>
        <v>0</v>
      </c>
      <c r="DB100" s="69">
        <f t="shared" si="192"/>
        <v>0</v>
      </c>
      <c r="DC100" s="69">
        <f t="shared" si="192"/>
        <v>0</v>
      </c>
      <c r="DD100" s="69">
        <f t="shared" si="192"/>
        <v>0</v>
      </c>
      <c r="DE100" s="69">
        <f t="shared" si="192"/>
        <v>1230184</v>
      </c>
      <c r="DF100" s="69">
        <f t="shared" si="192"/>
        <v>1673821</v>
      </c>
      <c r="DG100" s="69">
        <f t="shared" si="192"/>
        <v>0</v>
      </c>
      <c r="DH100" s="69">
        <f t="shared" si="192"/>
        <v>0</v>
      </c>
      <c r="DI100" s="69">
        <f t="shared" si="192"/>
        <v>0</v>
      </c>
      <c r="DJ100" s="69">
        <f t="shared" si="192"/>
        <v>0</v>
      </c>
      <c r="DK100" s="69">
        <f t="shared" si="192"/>
        <v>0</v>
      </c>
      <c r="DL100" s="69">
        <f t="shared" si="192"/>
        <v>0</v>
      </c>
      <c r="DM100" s="69">
        <f t="shared" si="192"/>
        <v>0</v>
      </c>
      <c r="DN100" s="69">
        <f t="shared" si="192"/>
        <v>0</v>
      </c>
      <c r="DO100" s="69">
        <f t="shared" si="192"/>
        <v>0</v>
      </c>
      <c r="DP100" s="69">
        <f t="shared" si="192"/>
        <v>0</v>
      </c>
      <c r="DQ100" s="69">
        <f t="shared" si="192"/>
        <v>0</v>
      </c>
      <c r="DR100" s="69">
        <f t="shared" si="192"/>
        <v>0</v>
      </c>
      <c r="DS100" s="69">
        <f t="shared" si="192"/>
        <v>80625</v>
      </c>
      <c r="DT100" s="69">
        <f t="shared" si="192"/>
        <v>31390.3</v>
      </c>
      <c r="DU100" s="69">
        <f t="shared" si="192"/>
        <v>14145</v>
      </c>
      <c r="DV100" s="69">
        <f t="shared" si="192"/>
        <v>45901</v>
      </c>
      <c r="DW100" s="69">
        <f t="shared" si="192"/>
        <v>0</v>
      </c>
      <c r="DX100" s="69">
        <f t="shared" si="192"/>
        <v>190010</v>
      </c>
      <c r="DY100" s="69">
        <f t="shared" si="192"/>
        <v>385322</v>
      </c>
      <c r="DZ100" s="69">
        <f t="shared" si="192"/>
        <v>156136</v>
      </c>
      <c r="EA100" s="69">
        <f t="shared" si="192"/>
        <v>56101</v>
      </c>
      <c r="EB100" s="69">
        <f t="shared" si="192"/>
        <v>450433</v>
      </c>
      <c r="EC100" s="69">
        <f t="shared" ref="EC100:GN100" si="193">MIN(EC3:EC97)</f>
        <v>0</v>
      </c>
      <c r="ED100" s="69">
        <f t="shared" si="193"/>
        <v>1388023</v>
      </c>
      <c r="EE100" s="69">
        <f t="shared" si="193"/>
        <v>124776</v>
      </c>
      <c r="EF100" s="69">
        <f t="shared" si="193"/>
        <v>8176</v>
      </c>
      <c r="EG100" s="69">
        <f t="shared" si="193"/>
        <v>3803</v>
      </c>
      <c r="EH100" s="69">
        <f t="shared" si="193"/>
        <v>162923</v>
      </c>
      <c r="EI100" s="69">
        <f t="shared" si="193"/>
        <v>0</v>
      </c>
      <c r="EJ100" s="69">
        <f t="shared" si="193"/>
        <v>427797</v>
      </c>
      <c r="EK100" s="69">
        <f t="shared" si="193"/>
        <v>0</v>
      </c>
      <c r="EL100" s="69">
        <f t="shared" si="193"/>
        <v>0</v>
      </c>
      <c r="EM100" s="69">
        <f t="shared" si="193"/>
        <v>0</v>
      </c>
      <c r="EN100" s="69">
        <f t="shared" si="193"/>
        <v>0</v>
      </c>
      <c r="EO100" s="69">
        <f t="shared" si="193"/>
        <v>0</v>
      </c>
      <c r="EP100" s="69">
        <f t="shared" si="193"/>
        <v>219926</v>
      </c>
      <c r="EQ100" s="69">
        <f t="shared" si="193"/>
        <v>0</v>
      </c>
      <c r="ER100" s="69">
        <f t="shared" si="193"/>
        <v>0</v>
      </c>
      <c r="ES100" s="69">
        <f t="shared" si="193"/>
        <v>0</v>
      </c>
      <c r="ET100" s="69">
        <f t="shared" si="193"/>
        <v>0</v>
      </c>
      <c r="EU100" s="69">
        <f t="shared" si="193"/>
        <v>0</v>
      </c>
      <c r="EV100" s="69">
        <f t="shared" si="193"/>
        <v>69844</v>
      </c>
      <c r="EW100" s="69">
        <f t="shared" si="193"/>
        <v>0</v>
      </c>
      <c r="EX100" s="69">
        <f t="shared" si="193"/>
        <v>0</v>
      </c>
      <c r="EY100" s="69">
        <f t="shared" si="193"/>
        <v>0</v>
      </c>
      <c r="EZ100" s="69">
        <f t="shared" si="193"/>
        <v>0</v>
      </c>
      <c r="FA100" s="69">
        <f t="shared" si="193"/>
        <v>0</v>
      </c>
      <c r="FB100" s="69">
        <f t="shared" si="193"/>
        <v>0</v>
      </c>
      <c r="FC100" s="69">
        <f t="shared" si="193"/>
        <v>0</v>
      </c>
      <c r="FD100" s="69">
        <f t="shared" si="193"/>
        <v>0</v>
      </c>
      <c r="FE100" s="69">
        <f t="shared" si="193"/>
        <v>0</v>
      </c>
      <c r="FF100" s="69">
        <f t="shared" si="193"/>
        <v>0</v>
      </c>
      <c r="FG100" s="69">
        <f t="shared" si="193"/>
        <v>0</v>
      </c>
      <c r="FH100" s="69">
        <f t="shared" si="193"/>
        <v>68293</v>
      </c>
      <c r="FI100" s="69">
        <f t="shared" si="193"/>
        <v>0</v>
      </c>
      <c r="FJ100" s="69">
        <f t="shared" si="193"/>
        <v>0</v>
      </c>
      <c r="FK100" s="69">
        <f t="shared" si="193"/>
        <v>0</v>
      </c>
      <c r="FL100" s="69">
        <f t="shared" si="193"/>
        <v>0</v>
      </c>
      <c r="FM100" s="69">
        <f t="shared" si="193"/>
        <v>0</v>
      </c>
      <c r="FN100" s="69">
        <f t="shared" si="193"/>
        <v>0</v>
      </c>
      <c r="FO100" s="69">
        <f t="shared" si="193"/>
        <v>0</v>
      </c>
      <c r="FP100" s="69">
        <f t="shared" si="193"/>
        <v>0</v>
      </c>
      <c r="FQ100" s="69">
        <f t="shared" si="193"/>
        <v>0</v>
      </c>
      <c r="FR100" s="69">
        <f t="shared" si="193"/>
        <v>0</v>
      </c>
      <c r="FS100" s="69">
        <f t="shared" si="193"/>
        <v>0</v>
      </c>
      <c r="FT100" s="69">
        <f t="shared" si="193"/>
        <v>0</v>
      </c>
      <c r="FU100" s="69">
        <f t="shared" si="193"/>
        <v>0</v>
      </c>
      <c r="FV100" s="69">
        <f t="shared" si="193"/>
        <v>-114</v>
      </c>
      <c r="FW100" s="69">
        <f t="shared" si="193"/>
        <v>0</v>
      </c>
      <c r="FX100" s="69">
        <f t="shared" si="193"/>
        <v>0</v>
      </c>
      <c r="FY100" s="69">
        <f t="shared" si="193"/>
        <v>0</v>
      </c>
      <c r="FZ100" s="69">
        <f t="shared" si="193"/>
        <v>141932</v>
      </c>
      <c r="GA100" s="69">
        <f t="shared" si="193"/>
        <v>0</v>
      </c>
      <c r="GB100" s="69">
        <f t="shared" si="193"/>
        <v>0</v>
      </c>
      <c r="GC100" s="69">
        <f t="shared" si="193"/>
        <v>0</v>
      </c>
      <c r="GD100" s="69">
        <f t="shared" si="193"/>
        <v>0</v>
      </c>
      <c r="GE100" s="69">
        <f t="shared" si="193"/>
        <v>0</v>
      </c>
      <c r="GF100" s="69">
        <f t="shared" si="193"/>
        <v>8420</v>
      </c>
      <c r="GG100" s="69">
        <f t="shared" si="193"/>
        <v>0</v>
      </c>
      <c r="GH100" s="69">
        <f t="shared" si="193"/>
        <v>0</v>
      </c>
      <c r="GI100" s="69">
        <f t="shared" si="193"/>
        <v>-608</v>
      </c>
      <c r="GJ100" s="69">
        <f t="shared" si="193"/>
        <v>0</v>
      </c>
      <c r="GK100" s="69">
        <f t="shared" si="193"/>
        <v>0</v>
      </c>
      <c r="GL100" s="69">
        <f t="shared" si="193"/>
        <v>137425</v>
      </c>
      <c r="GM100" s="69">
        <f t="shared" si="193"/>
        <v>978332</v>
      </c>
      <c r="GN100" s="69">
        <f t="shared" si="193"/>
        <v>312111</v>
      </c>
      <c r="GO100" s="69">
        <f t="shared" ref="GO100:HD100" si="194">MIN(GO3:GO97)</f>
        <v>120954</v>
      </c>
      <c r="GP100" s="69">
        <f t="shared" si="194"/>
        <v>346638</v>
      </c>
      <c r="GQ100" s="69">
        <f t="shared" si="194"/>
        <v>0</v>
      </c>
      <c r="GR100" s="69">
        <f t="shared" si="194"/>
        <v>5204790</v>
      </c>
      <c r="GS100" s="69">
        <f t="shared" si="194"/>
        <v>0</v>
      </c>
      <c r="GT100" s="69">
        <f t="shared" si="194"/>
        <v>-175000</v>
      </c>
      <c r="GU100" s="69">
        <f t="shared" si="194"/>
        <v>0</v>
      </c>
      <c r="GV100" s="69">
        <f t="shared" si="194"/>
        <v>-19848</v>
      </c>
      <c r="GW100" s="69">
        <f t="shared" si="194"/>
        <v>0</v>
      </c>
      <c r="GX100" s="69">
        <f t="shared" si="194"/>
        <v>0</v>
      </c>
      <c r="GY100" s="69">
        <f t="shared" si="194"/>
        <v>4818896</v>
      </c>
      <c r="GZ100" s="69">
        <f t="shared" si="194"/>
        <v>1398994</v>
      </c>
      <c r="HA100" s="69">
        <f t="shared" si="194"/>
        <v>1086490</v>
      </c>
      <c r="HB100" s="69">
        <f t="shared" si="194"/>
        <v>4063530</v>
      </c>
      <c r="HC100" s="69">
        <f t="shared" si="194"/>
        <v>3060697</v>
      </c>
      <c r="HD100" s="69">
        <f t="shared" si="194"/>
        <v>18920334</v>
      </c>
    </row>
    <row r="101" spans="1:294">
      <c r="A101" s="67" t="s">
        <v>532</v>
      </c>
      <c r="B101" s="68"/>
      <c r="G101" s="69">
        <f>MAX(G3:G97)</f>
        <v>26590</v>
      </c>
      <c r="H101" s="69">
        <f t="shared" ref="H101:BA101" si="195">MAX(H3:H97)</f>
        <v>25699</v>
      </c>
      <c r="I101" s="69">
        <f t="shared" si="195"/>
        <v>5742842000</v>
      </c>
      <c r="J101" s="69">
        <f t="shared" si="195"/>
        <v>5361458000</v>
      </c>
      <c r="K101" s="69">
        <f t="shared" si="195"/>
        <v>22600000</v>
      </c>
      <c r="L101" s="69">
        <f t="shared" si="195"/>
        <v>19243594</v>
      </c>
      <c r="M101" s="69">
        <f t="shared" si="195"/>
        <v>212723000</v>
      </c>
      <c r="N101" s="69">
        <f t="shared" si="195"/>
        <v>381202000</v>
      </c>
      <c r="O101" s="69">
        <f t="shared" si="195"/>
        <v>263053858</v>
      </c>
      <c r="P101" s="69">
        <f t="shared" si="195"/>
        <v>233239157</v>
      </c>
      <c r="Q101" s="69">
        <f t="shared" si="195"/>
        <v>3320121000</v>
      </c>
      <c r="R101" s="69">
        <f t="shared" si="195"/>
        <v>3310456000</v>
      </c>
      <c r="S101" s="69">
        <f t="shared" si="195"/>
        <v>3907563000</v>
      </c>
      <c r="T101" s="69">
        <f t="shared" si="195"/>
        <v>3825983000</v>
      </c>
      <c r="U101" s="69">
        <f t="shared" si="195"/>
        <v>28751</v>
      </c>
      <c r="V101" s="69">
        <f t="shared" si="195"/>
        <v>43046</v>
      </c>
      <c r="W101" s="69">
        <f t="shared" si="195"/>
        <v>51697</v>
      </c>
      <c r="X101" s="69">
        <f t="shared" si="195"/>
        <v>49355</v>
      </c>
      <c r="Y101" s="69">
        <f t="shared" si="195"/>
        <v>31960</v>
      </c>
      <c r="Z101" s="69">
        <f t="shared" si="195"/>
        <v>33279</v>
      </c>
      <c r="AA101" s="69">
        <f t="shared" si="195"/>
        <v>56729</v>
      </c>
      <c r="AB101" s="69">
        <f t="shared" si="195"/>
        <v>53384</v>
      </c>
      <c r="AC101" s="69">
        <f t="shared" si="195"/>
        <v>17</v>
      </c>
      <c r="AD101" s="69">
        <f t="shared" si="195"/>
        <v>17</v>
      </c>
      <c r="AE101" s="69">
        <f t="shared" si="195"/>
        <v>2</v>
      </c>
      <c r="AF101" s="69">
        <f t="shared" si="195"/>
        <v>10756235</v>
      </c>
      <c r="AG101" s="69">
        <f t="shared" si="195"/>
        <v>8575519</v>
      </c>
      <c r="AH101" s="69">
        <f t="shared" si="195"/>
        <v>2061288</v>
      </c>
      <c r="AI101" s="69">
        <f t="shared" si="195"/>
        <v>845536</v>
      </c>
      <c r="AJ101" s="69">
        <f t="shared" si="195"/>
        <v>1588069</v>
      </c>
      <c r="AK101" s="69">
        <f t="shared" si="195"/>
        <v>15</v>
      </c>
      <c r="AL101" s="69">
        <f t="shared" si="195"/>
        <v>1361202</v>
      </c>
      <c r="AM101" s="69">
        <f t="shared" si="195"/>
        <v>17</v>
      </c>
      <c r="AN101" s="69">
        <f t="shared" si="195"/>
        <v>379093</v>
      </c>
      <c r="AO101" s="69">
        <f t="shared" si="195"/>
        <v>17</v>
      </c>
      <c r="AP101" s="69">
        <f t="shared" si="195"/>
        <v>358032</v>
      </c>
      <c r="AQ101" s="69">
        <f t="shared" si="195"/>
        <v>18</v>
      </c>
      <c r="AR101" s="69">
        <f t="shared" si="195"/>
        <v>643545</v>
      </c>
      <c r="AS101" s="69">
        <f t="shared" si="195"/>
        <v>32.5</v>
      </c>
      <c r="AT101" s="69">
        <f t="shared" si="195"/>
        <v>357895.20833333331</v>
      </c>
      <c r="AU101" s="69">
        <f t="shared" si="195"/>
        <v>35</v>
      </c>
      <c r="AV101" s="69">
        <f t="shared" si="195"/>
        <v>128946.82</v>
      </c>
      <c r="AW101" s="69">
        <f t="shared" si="195"/>
        <v>25.5</v>
      </c>
      <c r="AX101" s="69">
        <f t="shared" si="195"/>
        <v>109604.8</v>
      </c>
      <c r="AY101" s="69">
        <f t="shared" si="195"/>
        <v>30</v>
      </c>
      <c r="AZ101" s="69">
        <f t="shared" si="195"/>
        <v>47091663</v>
      </c>
      <c r="BA101" s="69">
        <f t="shared" si="195"/>
        <v>3277405</v>
      </c>
      <c r="BB101" s="69">
        <f t="shared" ref="BB101:BP101" si="196">MAX(BB3:BB97)</f>
        <v>124927474</v>
      </c>
      <c r="BC101" s="69">
        <f t="shared" si="196"/>
        <v>4974461</v>
      </c>
      <c r="BD101" s="69">
        <f t="shared" si="196"/>
        <v>25550017</v>
      </c>
      <c r="BE101" s="69">
        <f t="shared" si="196"/>
        <v>730580</v>
      </c>
      <c r="BF101" s="69">
        <f t="shared" si="196"/>
        <v>793132</v>
      </c>
      <c r="BG101" s="69">
        <f t="shared" si="196"/>
        <v>342168</v>
      </c>
      <c r="BH101" s="69">
        <f t="shared" si="196"/>
        <v>4158477</v>
      </c>
      <c r="BI101" s="69">
        <f t="shared" si="196"/>
        <v>1011148</v>
      </c>
      <c r="BJ101" s="69">
        <f t="shared" si="196"/>
        <v>5327040</v>
      </c>
      <c r="BK101" s="69">
        <f t="shared" si="196"/>
        <v>2397701</v>
      </c>
      <c r="BL101" s="69">
        <f t="shared" si="196"/>
        <v>375292</v>
      </c>
      <c r="BM101" s="69">
        <f t="shared" si="196"/>
        <v>317356</v>
      </c>
      <c r="BN101" s="69">
        <f t="shared" si="196"/>
        <v>5687298</v>
      </c>
      <c r="BO101" s="69">
        <f t="shared" si="196"/>
        <v>11302784</v>
      </c>
      <c r="BP101" s="69">
        <f t="shared" si="196"/>
        <v>13358799</v>
      </c>
      <c r="BQ101" s="69">
        <f t="shared" ref="BQ101:EB101" si="197">MAX(BQ3:BQ97)</f>
        <v>8884347</v>
      </c>
      <c r="BR101" s="69">
        <f t="shared" si="197"/>
        <v>2190732</v>
      </c>
      <c r="BS101" s="69">
        <f t="shared" si="197"/>
        <v>288209</v>
      </c>
      <c r="BT101" s="69">
        <f t="shared" si="197"/>
        <v>1338128</v>
      </c>
      <c r="BU101" s="69">
        <f t="shared" si="197"/>
        <v>9707025</v>
      </c>
      <c r="BV101" s="69">
        <f t="shared" si="197"/>
        <v>11955605</v>
      </c>
      <c r="BW101" s="69" t="e">
        <f t="shared" si="197"/>
        <v>#REF!</v>
      </c>
      <c r="BX101" s="69" t="e">
        <f t="shared" si="197"/>
        <v>#REF!</v>
      </c>
      <c r="BY101" s="69" t="e">
        <f t="shared" si="197"/>
        <v>#REF!</v>
      </c>
      <c r="BZ101" s="69" t="e">
        <f t="shared" si="197"/>
        <v>#REF!</v>
      </c>
      <c r="CA101" s="69" t="e">
        <f t="shared" si="197"/>
        <v>#REF!</v>
      </c>
      <c r="CB101" s="69" t="e">
        <f t="shared" si="197"/>
        <v>#REF!</v>
      </c>
      <c r="CC101" s="69">
        <f t="shared" si="197"/>
        <v>5047904</v>
      </c>
      <c r="CD101" s="69">
        <f t="shared" si="197"/>
        <v>724931</v>
      </c>
      <c r="CE101" s="69">
        <f t="shared" si="197"/>
        <v>845447</v>
      </c>
      <c r="CF101" s="69">
        <f t="shared" si="197"/>
        <v>13052038</v>
      </c>
      <c r="CG101" s="69">
        <f t="shared" si="197"/>
        <v>4676411</v>
      </c>
      <c r="CH101" s="69">
        <f t="shared" si="197"/>
        <v>19564771</v>
      </c>
      <c r="CI101" s="69">
        <f t="shared" si="197"/>
        <v>4279293</v>
      </c>
      <c r="CJ101" s="69">
        <f t="shared" si="197"/>
        <v>1406461</v>
      </c>
      <c r="CK101" s="69">
        <f t="shared" si="197"/>
        <v>239000</v>
      </c>
      <c r="CL101" s="69">
        <f t="shared" si="197"/>
        <v>1245586</v>
      </c>
      <c r="CM101" s="69">
        <f t="shared" si="197"/>
        <v>459563</v>
      </c>
      <c r="CN101" s="69">
        <f t="shared" si="197"/>
        <v>7378442</v>
      </c>
      <c r="CO101" s="69">
        <f t="shared" si="197"/>
        <v>12843289</v>
      </c>
      <c r="CP101" s="69">
        <f t="shared" si="197"/>
        <v>7568110</v>
      </c>
      <c r="CQ101" s="69">
        <f t="shared" si="197"/>
        <v>3073240</v>
      </c>
      <c r="CR101" s="69">
        <f t="shared" si="197"/>
        <v>9379217</v>
      </c>
      <c r="CS101" s="69">
        <f t="shared" si="197"/>
        <v>152317</v>
      </c>
      <c r="CT101" s="69">
        <f t="shared" si="197"/>
        <v>26429182</v>
      </c>
      <c r="CU101" s="69">
        <f t="shared" si="197"/>
        <v>3525000</v>
      </c>
      <c r="CV101" s="69">
        <f t="shared" si="197"/>
        <v>1400000</v>
      </c>
      <c r="CW101" s="69">
        <f t="shared" si="197"/>
        <v>500000</v>
      </c>
      <c r="CX101" s="69">
        <f t="shared" si="197"/>
        <v>613297</v>
      </c>
      <c r="CY101" s="69">
        <f t="shared" si="197"/>
        <v>0</v>
      </c>
      <c r="CZ101" s="69">
        <f t="shared" si="197"/>
        <v>5600000</v>
      </c>
      <c r="DA101" s="69">
        <f t="shared" si="197"/>
        <v>3580767</v>
      </c>
      <c r="DB101" s="69">
        <f t="shared" si="197"/>
        <v>1149537</v>
      </c>
      <c r="DC101" s="69">
        <f t="shared" si="197"/>
        <v>518905</v>
      </c>
      <c r="DD101" s="69">
        <f t="shared" si="197"/>
        <v>2743752</v>
      </c>
      <c r="DE101" s="69">
        <f t="shared" si="197"/>
        <v>29415034</v>
      </c>
      <c r="DF101" s="69">
        <f t="shared" si="197"/>
        <v>35714697</v>
      </c>
      <c r="DG101" s="69">
        <f t="shared" si="197"/>
        <v>32000</v>
      </c>
      <c r="DH101" s="69">
        <f t="shared" si="197"/>
        <v>6250</v>
      </c>
      <c r="DI101" s="69">
        <f t="shared" si="197"/>
        <v>5000</v>
      </c>
      <c r="DJ101" s="69">
        <f t="shared" si="197"/>
        <v>23750</v>
      </c>
      <c r="DK101" s="69">
        <f t="shared" si="197"/>
        <v>160245</v>
      </c>
      <c r="DL101" s="69">
        <f t="shared" si="197"/>
        <v>180747</v>
      </c>
      <c r="DM101" s="69">
        <f t="shared" si="197"/>
        <v>4055763</v>
      </c>
      <c r="DN101" s="69">
        <f t="shared" si="197"/>
        <v>2677470</v>
      </c>
      <c r="DO101" s="69">
        <f t="shared" si="197"/>
        <v>524722</v>
      </c>
      <c r="DP101" s="69">
        <f t="shared" si="197"/>
        <v>4143888</v>
      </c>
      <c r="DQ101" s="69">
        <f t="shared" si="197"/>
        <v>984061</v>
      </c>
      <c r="DR101" s="69">
        <f t="shared" si="197"/>
        <v>4846662</v>
      </c>
      <c r="DS101" s="69">
        <f t="shared" si="197"/>
        <v>1280265</v>
      </c>
      <c r="DT101" s="69">
        <f t="shared" si="197"/>
        <v>716888</v>
      </c>
      <c r="DU101" s="69">
        <f t="shared" si="197"/>
        <v>311887</v>
      </c>
      <c r="DV101" s="69">
        <f t="shared" si="197"/>
        <v>1039853</v>
      </c>
      <c r="DW101" s="69">
        <f t="shared" si="197"/>
        <v>143301</v>
      </c>
      <c r="DX101" s="69">
        <f t="shared" si="197"/>
        <v>2709528</v>
      </c>
      <c r="DY101" s="69">
        <f t="shared" si="197"/>
        <v>3414850</v>
      </c>
      <c r="DZ101" s="69">
        <f t="shared" si="197"/>
        <v>2244154</v>
      </c>
      <c r="EA101" s="69">
        <f t="shared" si="197"/>
        <v>1061641</v>
      </c>
      <c r="EB101" s="69">
        <f t="shared" si="197"/>
        <v>6001050</v>
      </c>
      <c r="EC101" s="69">
        <f t="shared" ref="EC101:GN101" si="198">MAX(EC3:EC97)</f>
        <v>1051836</v>
      </c>
      <c r="ED101" s="69">
        <f t="shared" si="198"/>
        <v>10212903</v>
      </c>
      <c r="EE101" s="69">
        <f t="shared" si="198"/>
        <v>2185012</v>
      </c>
      <c r="EF101" s="69">
        <f t="shared" si="198"/>
        <v>703751</v>
      </c>
      <c r="EG101" s="69">
        <f t="shared" si="198"/>
        <v>304950</v>
      </c>
      <c r="EH101" s="69">
        <f t="shared" si="198"/>
        <v>2426898</v>
      </c>
      <c r="EI101" s="69">
        <f t="shared" si="198"/>
        <v>2670879</v>
      </c>
      <c r="EJ101" s="69">
        <f t="shared" si="198"/>
        <v>5406142</v>
      </c>
      <c r="EK101" s="69">
        <f t="shared" si="198"/>
        <v>10723293</v>
      </c>
      <c r="EL101" s="69">
        <f t="shared" si="198"/>
        <v>1946546</v>
      </c>
      <c r="EM101" s="69">
        <f t="shared" si="198"/>
        <v>958950</v>
      </c>
      <c r="EN101" s="69">
        <f t="shared" si="198"/>
        <v>2436751</v>
      </c>
      <c r="EO101" s="69">
        <f t="shared" si="198"/>
        <v>11771312</v>
      </c>
      <c r="EP101" s="69">
        <f t="shared" si="198"/>
        <v>18764617</v>
      </c>
      <c r="EQ101" s="69">
        <f t="shared" si="198"/>
        <v>4784817</v>
      </c>
      <c r="ER101" s="69">
        <f t="shared" si="198"/>
        <v>1097513</v>
      </c>
      <c r="ES101" s="69">
        <f t="shared" si="198"/>
        <v>191778</v>
      </c>
      <c r="ET101" s="69">
        <f t="shared" si="198"/>
        <v>732389</v>
      </c>
      <c r="EU101" s="69">
        <f t="shared" si="198"/>
        <v>4825093</v>
      </c>
      <c r="EV101" s="69">
        <f t="shared" si="198"/>
        <v>7168059</v>
      </c>
      <c r="EW101" s="69">
        <f t="shared" si="198"/>
        <v>601283</v>
      </c>
      <c r="EX101" s="69">
        <f t="shared" si="198"/>
        <v>345523</v>
      </c>
      <c r="EY101" s="69">
        <f t="shared" si="198"/>
        <v>202215</v>
      </c>
      <c r="EZ101" s="69">
        <f t="shared" si="198"/>
        <v>2346913</v>
      </c>
      <c r="FA101" s="69">
        <f t="shared" si="198"/>
        <v>906819</v>
      </c>
      <c r="FB101" s="69">
        <f t="shared" si="198"/>
        <v>3034623</v>
      </c>
      <c r="FC101" s="69">
        <f t="shared" si="198"/>
        <v>12743623</v>
      </c>
      <c r="FD101" s="69">
        <f t="shared" si="198"/>
        <v>4456413</v>
      </c>
      <c r="FE101" s="69">
        <f t="shared" si="198"/>
        <v>1391903</v>
      </c>
      <c r="FF101" s="69">
        <f t="shared" si="198"/>
        <v>8042767</v>
      </c>
      <c r="FG101" s="69">
        <f t="shared" si="198"/>
        <v>29776106</v>
      </c>
      <c r="FH101" s="69">
        <f t="shared" si="198"/>
        <v>38168604</v>
      </c>
      <c r="FI101" s="69">
        <f t="shared" si="198"/>
        <v>946500</v>
      </c>
      <c r="FJ101" s="69">
        <f t="shared" si="198"/>
        <v>174976</v>
      </c>
      <c r="FK101" s="69">
        <f t="shared" si="198"/>
        <v>87195</v>
      </c>
      <c r="FL101" s="69">
        <f t="shared" si="198"/>
        <v>147900</v>
      </c>
      <c r="FM101" s="69">
        <f t="shared" si="198"/>
        <v>1263780</v>
      </c>
      <c r="FN101" s="69">
        <f t="shared" si="198"/>
        <v>1357269</v>
      </c>
      <c r="FO101" s="69">
        <f t="shared" si="198"/>
        <v>1461928</v>
      </c>
      <c r="FP101" s="69">
        <f t="shared" si="198"/>
        <v>1028506</v>
      </c>
      <c r="FQ101" s="69">
        <f t="shared" si="198"/>
        <v>1027121</v>
      </c>
      <c r="FR101" s="69">
        <f t="shared" si="198"/>
        <v>1720778</v>
      </c>
      <c r="FS101" s="69">
        <f t="shared" si="198"/>
        <v>7826035</v>
      </c>
      <c r="FT101" s="69">
        <f t="shared" si="198"/>
        <v>7826035</v>
      </c>
      <c r="FU101" s="69">
        <f t="shared" si="198"/>
        <v>1240808</v>
      </c>
      <c r="FV101" s="69">
        <f t="shared" si="198"/>
        <v>118476</v>
      </c>
      <c r="FW101" s="69">
        <f t="shared" si="198"/>
        <v>85082</v>
      </c>
      <c r="FX101" s="69">
        <f t="shared" si="198"/>
        <v>2412494</v>
      </c>
      <c r="FY101" s="69">
        <f t="shared" si="198"/>
        <v>2482998</v>
      </c>
      <c r="FZ101" s="69">
        <f t="shared" si="198"/>
        <v>2844413</v>
      </c>
      <c r="GA101" s="69">
        <f t="shared" si="198"/>
        <v>252500</v>
      </c>
      <c r="GB101" s="69">
        <f t="shared" si="198"/>
        <v>145510</v>
      </c>
      <c r="GC101" s="69">
        <f t="shared" si="198"/>
        <v>115279</v>
      </c>
      <c r="GD101" s="69">
        <f t="shared" si="198"/>
        <v>128895</v>
      </c>
      <c r="GE101" s="69">
        <f t="shared" si="198"/>
        <v>6518070</v>
      </c>
      <c r="GF101" s="69">
        <f t="shared" si="198"/>
        <v>6536330</v>
      </c>
      <c r="GG101" s="69">
        <f t="shared" si="198"/>
        <v>15289224</v>
      </c>
      <c r="GH101" s="69">
        <f t="shared" si="198"/>
        <v>5350100</v>
      </c>
      <c r="GI101" s="69">
        <f t="shared" si="198"/>
        <v>531458</v>
      </c>
      <c r="GJ101" s="69">
        <f t="shared" si="198"/>
        <v>5543031</v>
      </c>
      <c r="GK101" s="69">
        <f t="shared" si="198"/>
        <v>18482366</v>
      </c>
      <c r="GL101" s="69">
        <f t="shared" si="198"/>
        <v>30248533</v>
      </c>
      <c r="GM101" s="69">
        <f t="shared" si="198"/>
        <v>49639258</v>
      </c>
      <c r="GN101" s="69">
        <f t="shared" si="198"/>
        <v>16354976</v>
      </c>
      <c r="GO101" s="69">
        <f t="shared" ref="GO101:HD101" si="199">MAX(GO3:GO97)</f>
        <v>6323854</v>
      </c>
      <c r="GP101" s="69">
        <f t="shared" si="199"/>
        <v>67528260</v>
      </c>
      <c r="GQ101" s="69">
        <f t="shared" si="199"/>
        <v>81255887</v>
      </c>
      <c r="GR101" s="69">
        <f t="shared" si="199"/>
        <v>154128874</v>
      </c>
      <c r="GS101" s="69">
        <f t="shared" si="199"/>
        <v>1980005</v>
      </c>
      <c r="GT101" s="69">
        <f t="shared" si="199"/>
        <v>582501</v>
      </c>
      <c r="GU101" s="69">
        <f t="shared" si="199"/>
        <v>50450</v>
      </c>
      <c r="GV101" s="69">
        <f t="shared" si="199"/>
        <v>123215</v>
      </c>
      <c r="GW101" s="69">
        <f t="shared" si="199"/>
        <v>9721719</v>
      </c>
      <c r="GX101" s="69">
        <f t="shared" si="199"/>
        <v>9721719</v>
      </c>
      <c r="GY101" s="69">
        <f t="shared" si="199"/>
        <v>50146314</v>
      </c>
      <c r="GZ101" s="69">
        <f t="shared" si="199"/>
        <v>16354976</v>
      </c>
      <c r="HA101" s="69">
        <f t="shared" si="199"/>
        <v>6323854</v>
      </c>
      <c r="HB101" s="69">
        <f t="shared" si="199"/>
        <v>33427908</v>
      </c>
      <c r="HC101" s="69">
        <f t="shared" si="199"/>
        <v>90977606</v>
      </c>
      <c r="HD101" s="69">
        <f t="shared" si="199"/>
        <v>163850593</v>
      </c>
    </row>
    <row r="102" spans="1:294">
      <c r="A102" s="67" t="s">
        <v>533</v>
      </c>
      <c r="B102" s="68"/>
      <c r="G102" s="69">
        <f>AVERAGE(G3:G97)</f>
        <v>9971.9333333333325</v>
      </c>
      <c r="H102" s="69">
        <f t="shared" ref="H102:BA102" si="200">AVERAGE(H3:H97)</f>
        <v>10644.122222222222</v>
      </c>
      <c r="I102" s="69">
        <f t="shared" si="200"/>
        <v>1204199469.0888889</v>
      </c>
      <c r="J102" s="69">
        <f t="shared" si="200"/>
        <v>1150373178.2643678</v>
      </c>
      <c r="K102" s="69">
        <f t="shared" si="200"/>
        <v>5413524.0109890113</v>
      </c>
      <c r="L102" s="69">
        <f t="shared" si="200"/>
        <v>4706857.0459770113</v>
      </c>
      <c r="M102" s="69">
        <f t="shared" si="200"/>
        <v>48076870.325842693</v>
      </c>
      <c r="N102" s="69">
        <f t="shared" si="200"/>
        <v>49968175.919540226</v>
      </c>
      <c r="O102" s="69">
        <f t="shared" si="200"/>
        <v>68929174.788888887</v>
      </c>
      <c r="P102" s="69">
        <f t="shared" si="200"/>
        <v>64759330.611764707</v>
      </c>
      <c r="Q102" s="69">
        <f t="shared" si="200"/>
        <v>579447719.86363637</v>
      </c>
      <c r="R102" s="69">
        <f t="shared" si="200"/>
        <v>556860166.32558143</v>
      </c>
      <c r="S102" s="69">
        <f t="shared" si="200"/>
        <v>842174719.06741571</v>
      </c>
      <c r="T102" s="69">
        <f t="shared" si="200"/>
        <v>850712176.88372087</v>
      </c>
      <c r="U102" s="69">
        <f t="shared" si="200"/>
        <v>20080.385168539327</v>
      </c>
      <c r="V102" s="69">
        <f t="shared" si="200"/>
        <v>19368.528162790699</v>
      </c>
      <c r="W102" s="69">
        <f t="shared" si="200"/>
        <v>34046.135730337082</v>
      </c>
      <c r="X102" s="69">
        <f t="shared" si="200"/>
        <v>32985.511627906977</v>
      </c>
      <c r="Y102" s="69">
        <f t="shared" si="200"/>
        <v>23515.887640449437</v>
      </c>
      <c r="Z102" s="69">
        <f t="shared" si="200"/>
        <v>22813.094117647059</v>
      </c>
      <c r="AA102" s="69">
        <f t="shared" si="200"/>
        <v>37693.651685393255</v>
      </c>
      <c r="AB102" s="69">
        <f t="shared" si="200"/>
        <v>36351.860465116282</v>
      </c>
      <c r="AC102" s="69">
        <f t="shared" si="200"/>
        <v>8.5217391304347831</v>
      </c>
      <c r="AD102" s="69">
        <f t="shared" si="200"/>
        <v>10.934782608695652</v>
      </c>
      <c r="AE102" s="69">
        <f t="shared" si="200"/>
        <v>7.6086956521739135E-2</v>
      </c>
      <c r="AF102" s="69">
        <f t="shared" si="200"/>
        <v>4704281.5407608692</v>
      </c>
      <c r="AG102" s="69">
        <f t="shared" si="200"/>
        <v>3620848.4079347821</v>
      </c>
      <c r="AH102" s="69">
        <f t="shared" si="200"/>
        <v>698103.15695652168</v>
      </c>
      <c r="AI102" s="69">
        <f t="shared" si="200"/>
        <v>308218.875</v>
      </c>
      <c r="AJ102" s="69">
        <f t="shared" si="200"/>
        <v>652552.18630410579</v>
      </c>
      <c r="AK102" s="69">
        <f t="shared" si="200"/>
        <v>6.4622222222222216</v>
      </c>
      <c r="AL102" s="69">
        <f t="shared" si="200"/>
        <v>579808.18756525579</v>
      </c>
      <c r="AM102" s="69">
        <f t="shared" si="200"/>
        <v>7.1833333333333336</v>
      </c>
      <c r="AN102" s="69">
        <f t="shared" si="200"/>
        <v>177552.88274003845</v>
      </c>
      <c r="AO102" s="69">
        <f t="shared" si="200"/>
        <v>8.4192222222222242</v>
      </c>
      <c r="AP102" s="69">
        <f t="shared" si="200"/>
        <v>158387.73238953023</v>
      </c>
      <c r="AQ102" s="69">
        <f t="shared" si="200"/>
        <v>9.2277777777777779</v>
      </c>
      <c r="AR102" s="69">
        <f t="shared" si="200"/>
        <v>196431.36796547461</v>
      </c>
      <c r="AS102" s="69">
        <f t="shared" si="200"/>
        <v>19.854444444444447</v>
      </c>
      <c r="AT102" s="69">
        <f t="shared" si="200"/>
        <v>168227.36041752319</v>
      </c>
      <c r="AU102" s="69">
        <f t="shared" si="200"/>
        <v>22.922222222222221</v>
      </c>
      <c r="AV102" s="69">
        <f t="shared" si="200"/>
        <v>77970.713468869799</v>
      </c>
      <c r="AW102" s="69">
        <f t="shared" si="200"/>
        <v>15.578888888888887</v>
      </c>
      <c r="AX102" s="69">
        <f t="shared" si="200"/>
        <v>66595.365381177457</v>
      </c>
      <c r="AY102" s="69">
        <f t="shared" si="200"/>
        <v>18.366666666666667</v>
      </c>
      <c r="AZ102" s="69">
        <f t="shared" si="200"/>
        <v>9885486.3263157886</v>
      </c>
      <c r="BA102" s="69">
        <f t="shared" si="200"/>
        <v>842223.67368421052</v>
      </c>
      <c r="BB102" s="69">
        <f t="shared" ref="BB102:BP102" si="201">AVERAGE(BB3:BB97)</f>
        <v>14061995.275684211</v>
      </c>
      <c r="BC102" s="69">
        <f t="shared" si="201"/>
        <v>820502.71800000011</v>
      </c>
      <c r="BD102" s="69">
        <f t="shared" si="201"/>
        <v>990360.48421052634</v>
      </c>
      <c r="BE102" s="69">
        <f t="shared" si="201"/>
        <v>62033.073684210525</v>
      </c>
      <c r="BF102" s="69">
        <f t="shared" si="201"/>
        <v>54468.357894736844</v>
      </c>
      <c r="BG102" s="69">
        <f t="shared" si="201"/>
        <v>21172.6</v>
      </c>
      <c r="BH102" s="69">
        <f t="shared" si="201"/>
        <v>321505.46315789473</v>
      </c>
      <c r="BI102" s="69">
        <f t="shared" si="201"/>
        <v>54631.094736842104</v>
      </c>
      <c r="BJ102" s="69">
        <f t="shared" si="201"/>
        <v>513810.59105263156</v>
      </c>
      <c r="BK102" s="69">
        <f t="shared" si="201"/>
        <v>123303.7972631579</v>
      </c>
      <c r="BL102" s="69">
        <f t="shared" si="201"/>
        <v>31101.860526315788</v>
      </c>
      <c r="BM102" s="69">
        <f t="shared" si="201"/>
        <v>17482.490842105261</v>
      </c>
      <c r="BN102" s="69">
        <f t="shared" si="201"/>
        <v>213293.33557894739</v>
      </c>
      <c r="BO102" s="69">
        <f t="shared" si="201"/>
        <v>882607.79884210532</v>
      </c>
      <c r="BP102" s="69">
        <f t="shared" si="201"/>
        <v>1267789.280631579</v>
      </c>
      <c r="BQ102" s="69">
        <f t="shared" ref="BQ102:EB102" si="202">AVERAGE(BQ3:BQ97)</f>
        <v>236799.07452631576</v>
      </c>
      <c r="BR102" s="69">
        <f t="shared" si="202"/>
        <v>64312.336842105266</v>
      </c>
      <c r="BS102" s="69">
        <f t="shared" si="202"/>
        <v>13377.4</v>
      </c>
      <c r="BT102" s="69">
        <f t="shared" si="202"/>
        <v>111874.80968421053</v>
      </c>
      <c r="BU102" s="69">
        <f t="shared" si="202"/>
        <v>1237204.9550526317</v>
      </c>
      <c r="BV102" s="69">
        <f t="shared" si="202"/>
        <v>1663568.5791578945</v>
      </c>
      <c r="BW102" s="69" t="e">
        <f t="shared" si="202"/>
        <v>#REF!</v>
      </c>
      <c r="BX102" s="69" t="e">
        <f t="shared" si="202"/>
        <v>#REF!</v>
      </c>
      <c r="BY102" s="69" t="e">
        <f t="shared" si="202"/>
        <v>#REF!</v>
      </c>
      <c r="BZ102" s="69" t="e">
        <f t="shared" si="202"/>
        <v>#REF!</v>
      </c>
      <c r="CA102" s="69" t="e">
        <f t="shared" si="202"/>
        <v>#REF!</v>
      </c>
      <c r="CB102" s="69" t="e">
        <f t="shared" si="202"/>
        <v>#REF!</v>
      </c>
      <c r="CC102" s="69">
        <f t="shared" si="202"/>
        <v>2832079.865263158</v>
      </c>
      <c r="CD102" s="69">
        <f t="shared" si="202"/>
        <v>453075.42115789477</v>
      </c>
      <c r="CE102" s="69">
        <f t="shared" si="202"/>
        <v>473917.00789473683</v>
      </c>
      <c r="CF102" s="69">
        <f t="shared" si="202"/>
        <v>4576243.5583157893</v>
      </c>
      <c r="CG102" s="69">
        <f t="shared" si="202"/>
        <v>410203.53831578948</v>
      </c>
      <c r="CH102" s="69">
        <f t="shared" si="202"/>
        <v>8745519.3833684213</v>
      </c>
      <c r="CI102" s="69">
        <f t="shared" si="202"/>
        <v>1051840.452631579</v>
      </c>
      <c r="CJ102" s="69">
        <f t="shared" si="202"/>
        <v>382375.25263157894</v>
      </c>
      <c r="CK102" s="69">
        <f t="shared" si="202"/>
        <v>61477.357894736844</v>
      </c>
      <c r="CL102" s="69">
        <f t="shared" si="202"/>
        <v>65260.210526315786</v>
      </c>
      <c r="CM102" s="69">
        <f t="shared" si="202"/>
        <v>10605.484210526316</v>
      </c>
      <c r="CN102" s="69">
        <f t="shared" si="202"/>
        <v>1571558.7578947369</v>
      </c>
      <c r="CO102" s="69">
        <f t="shared" si="202"/>
        <v>4540708</v>
      </c>
      <c r="CP102" s="69">
        <f t="shared" si="202"/>
        <v>2120415.9684210527</v>
      </c>
      <c r="CQ102" s="69">
        <f t="shared" si="202"/>
        <v>880255.84210526315</v>
      </c>
      <c r="CR102" s="69">
        <f t="shared" si="202"/>
        <v>3444516.6315789474</v>
      </c>
      <c r="CS102" s="69">
        <f t="shared" si="202"/>
        <v>1937.4483157894722</v>
      </c>
      <c r="CT102" s="69">
        <f t="shared" si="202"/>
        <v>10987833.890421053</v>
      </c>
      <c r="CU102" s="69">
        <f t="shared" si="202"/>
        <v>77643.84210526316</v>
      </c>
      <c r="CV102" s="69">
        <f t="shared" si="202"/>
        <v>38312.747368421049</v>
      </c>
      <c r="CW102" s="69">
        <f t="shared" si="202"/>
        <v>9561.6421052631576</v>
      </c>
      <c r="CX102" s="69">
        <f t="shared" si="202"/>
        <v>29170.36842105263</v>
      </c>
      <c r="CY102" s="69">
        <f t="shared" si="202"/>
        <v>0</v>
      </c>
      <c r="CZ102" s="69">
        <f t="shared" si="202"/>
        <v>154688.6</v>
      </c>
      <c r="DA102" s="69">
        <f t="shared" si="202"/>
        <v>940536.63231578935</v>
      </c>
      <c r="DB102" s="69">
        <f t="shared" si="202"/>
        <v>272387.5</v>
      </c>
      <c r="DC102" s="69">
        <f t="shared" si="202"/>
        <v>165472.52368421052</v>
      </c>
      <c r="DD102" s="69">
        <f t="shared" si="202"/>
        <v>335527.48084210529</v>
      </c>
      <c r="DE102" s="69">
        <f t="shared" si="202"/>
        <v>8529062.9022105262</v>
      </c>
      <c r="DF102" s="69">
        <f t="shared" si="202"/>
        <v>10242987.031894736</v>
      </c>
      <c r="DG102" s="69">
        <f t="shared" si="202"/>
        <v>1791.6736842105263</v>
      </c>
      <c r="DH102" s="69">
        <f t="shared" si="202"/>
        <v>272.94736842105266</v>
      </c>
      <c r="DI102" s="69">
        <f t="shared" si="202"/>
        <v>186.44210526315788</v>
      </c>
      <c r="DJ102" s="69">
        <f t="shared" si="202"/>
        <v>472.5263157894737</v>
      </c>
      <c r="DK102" s="69">
        <f t="shared" si="202"/>
        <v>13041.557894736841</v>
      </c>
      <c r="DL102" s="69">
        <f t="shared" si="202"/>
        <v>15765.147368421052</v>
      </c>
      <c r="DM102" s="69">
        <f t="shared" si="202"/>
        <v>215111.05263157896</v>
      </c>
      <c r="DN102" s="69">
        <f t="shared" si="202"/>
        <v>99199.85263157895</v>
      </c>
      <c r="DO102" s="69">
        <f t="shared" si="202"/>
        <v>21452.557894736841</v>
      </c>
      <c r="DP102" s="69">
        <f t="shared" si="202"/>
        <v>73383.621052631584</v>
      </c>
      <c r="DQ102" s="69">
        <f t="shared" si="202"/>
        <v>52676.221052631576</v>
      </c>
      <c r="DR102" s="69">
        <f t="shared" si="202"/>
        <v>461823.30526315788</v>
      </c>
      <c r="DS102" s="69">
        <f t="shared" si="202"/>
        <v>386604.69578947371</v>
      </c>
      <c r="DT102" s="69">
        <f t="shared" si="202"/>
        <v>175552.85578947369</v>
      </c>
      <c r="DU102" s="69">
        <f t="shared" si="202"/>
        <v>109498.85157894737</v>
      </c>
      <c r="DV102" s="69">
        <f t="shared" si="202"/>
        <v>320379.5336842105</v>
      </c>
      <c r="DW102" s="69">
        <f t="shared" si="202"/>
        <v>7330.4631578947365</v>
      </c>
      <c r="DX102" s="69">
        <f t="shared" si="202"/>
        <v>999366.39936842106</v>
      </c>
      <c r="DY102" s="69">
        <f t="shared" si="202"/>
        <v>1363804.9002105263</v>
      </c>
      <c r="DZ102" s="69">
        <f t="shared" si="202"/>
        <v>622661.10694736836</v>
      </c>
      <c r="EA102" s="69">
        <f t="shared" si="202"/>
        <v>387574.22578947374</v>
      </c>
      <c r="EB102" s="69">
        <f t="shared" si="202"/>
        <v>1887824.0723157895</v>
      </c>
      <c r="EC102" s="69">
        <f t="shared" ref="EC102:GN102" si="203">AVERAGE(EC3:EC97)</f>
        <v>79456.010526315789</v>
      </c>
      <c r="ED102" s="69">
        <f t="shared" si="203"/>
        <v>4341320.315157895</v>
      </c>
      <c r="EE102" s="69">
        <f t="shared" si="203"/>
        <v>648773.33410526323</v>
      </c>
      <c r="EF102" s="69">
        <f t="shared" si="203"/>
        <v>108864.44273684209</v>
      </c>
      <c r="EG102" s="69">
        <f t="shared" si="203"/>
        <v>68247.913789473678</v>
      </c>
      <c r="EH102" s="69">
        <f t="shared" si="203"/>
        <v>660806.70936842111</v>
      </c>
      <c r="EI102" s="69">
        <f t="shared" si="203"/>
        <v>346539.69915789476</v>
      </c>
      <c r="EJ102" s="69">
        <f t="shared" si="203"/>
        <v>1833232.0937894736</v>
      </c>
      <c r="EK102" s="69">
        <f t="shared" si="203"/>
        <v>1346303.0844210526</v>
      </c>
      <c r="EL102" s="69">
        <f t="shared" si="203"/>
        <v>388434.1402105263</v>
      </c>
      <c r="EM102" s="69">
        <f t="shared" si="203"/>
        <v>190795.62452631578</v>
      </c>
      <c r="EN102" s="69">
        <f t="shared" si="203"/>
        <v>410302.3192631579</v>
      </c>
      <c r="EO102" s="69">
        <f t="shared" si="203"/>
        <v>476222.06947368424</v>
      </c>
      <c r="EP102" s="69">
        <f t="shared" si="203"/>
        <v>2812057.2417894737</v>
      </c>
      <c r="EQ102" s="69">
        <f t="shared" si="203"/>
        <v>254214.30663157895</v>
      </c>
      <c r="ER102" s="69">
        <f t="shared" si="203"/>
        <v>62169.027578947367</v>
      </c>
      <c r="ES102" s="69">
        <f t="shared" si="203"/>
        <v>22235.089578947365</v>
      </c>
      <c r="ET102" s="69">
        <f t="shared" si="203"/>
        <v>71510.923578947375</v>
      </c>
      <c r="EU102" s="69">
        <f t="shared" si="203"/>
        <v>1214036.0649473683</v>
      </c>
      <c r="EV102" s="69">
        <f t="shared" si="203"/>
        <v>1624165.4022105262</v>
      </c>
      <c r="EW102" s="69">
        <f t="shared" si="203"/>
        <v>41961.051368421053</v>
      </c>
      <c r="EX102" s="69">
        <f t="shared" si="203"/>
        <v>32899.310421052636</v>
      </c>
      <c r="EY102" s="69">
        <f t="shared" si="203"/>
        <v>13367.103894736843</v>
      </c>
      <c r="EZ102" s="69">
        <f t="shared" si="203"/>
        <v>161186.28168421052</v>
      </c>
      <c r="FA102" s="69">
        <f t="shared" si="203"/>
        <v>35311.501578947369</v>
      </c>
      <c r="FB102" s="69">
        <f t="shared" si="203"/>
        <v>284725.25189473684</v>
      </c>
      <c r="FC102" s="69">
        <f t="shared" si="203"/>
        <v>1372465.9695789474</v>
      </c>
      <c r="FD102" s="69">
        <f t="shared" si="203"/>
        <v>225716.56315789474</v>
      </c>
      <c r="FE102" s="69">
        <f t="shared" si="203"/>
        <v>99003.257894736846</v>
      </c>
      <c r="FF102" s="69">
        <f t="shared" si="203"/>
        <v>639330.49357894738</v>
      </c>
      <c r="FG102" s="69">
        <f t="shared" si="203"/>
        <v>6960576.3412631582</v>
      </c>
      <c r="FH102" s="69">
        <f t="shared" si="203"/>
        <v>9297092.6195789482</v>
      </c>
      <c r="FI102" s="69">
        <f t="shared" si="203"/>
        <v>61040.520000000004</v>
      </c>
      <c r="FJ102" s="69">
        <f t="shared" si="203"/>
        <v>6426.3610526315797</v>
      </c>
      <c r="FK102" s="69">
        <f t="shared" si="203"/>
        <v>4188.8136842105259</v>
      </c>
      <c r="FL102" s="69">
        <f t="shared" si="203"/>
        <v>5440.2315789473687</v>
      </c>
      <c r="FM102" s="69">
        <f t="shared" si="203"/>
        <v>209682.05852631581</v>
      </c>
      <c r="FN102" s="69">
        <f t="shared" si="203"/>
        <v>286777.98484210524</v>
      </c>
      <c r="FO102" s="69">
        <f t="shared" si="203"/>
        <v>67286.064631578949</v>
      </c>
      <c r="FP102" s="69">
        <f t="shared" si="203"/>
        <v>30230.465789473685</v>
      </c>
      <c r="FQ102" s="69">
        <f t="shared" si="203"/>
        <v>25079.298421052634</v>
      </c>
      <c r="FR102" s="69">
        <f t="shared" si="203"/>
        <v>80778.0027368421</v>
      </c>
      <c r="FS102" s="69">
        <f t="shared" si="203"/>
        <v>1049807.2970526316</v>
      </c>
      <c r="FT102" s="69">
        <f t="shared" si="203"/>
        <v>1253181.1285263158</v>
      </c>
      <c r="FU102" s="69">
        <f t="shared" si="203"/>
        <v>100675.51663157895</v>
      </c>
      <c r="FV102" s="69">
        <f t="shared" si="203"/>
        <v>14628.119999999999</v>
      </c>
      <c r="FW102" s="69">
        <f t="shared" si="203"/>
        <v>11107.336736842106</v>
      </c>
      <c r="FX102" s="69">
        <f t="shared" si="203"/>
        <v>153473.27926315789</v>
      </c>
      <c r="FY102" s="69">
        <f t="shared" si="203"/>
        <v>565720.59284210531</v>
      </c>
      <c r="FZ102" s="69">
        <f t="shared" si="203"/>
        <v>845604.8394736842</v>
      </c>
      <c r="GA102" s="69">
        <f t="shared" si="203"/>
        <v>12149.893617021276</v>
      </c>
      <c r="GB102" s="69">
        <f t="shared" si="203"/>
        <v>4617.4784210526313</v>
      </c>
      <c r="GC102" s="69">
        <f t="shared" si="203"/>
        <v>3782.6421052631581</v>
      </c>
      <c r="GD102" s="69">
        <f t="shared" si="203"/>
        <v>18922.321578947369</v>
      </c>
      <c r="GE102" s="69">
        <f t="shared" si="203"/>
        <v>415157.2585263158</v>
      </c>
      <c r="GF102" s="69">
        <f t="shared" si="203"/>
        <v>454501.69484210532</v>
      </c>
      <c r="GG102" s="69">
        <f t="shared" si="203"/>
        <v>1122321.9912631579</v>
      </c>
      <c r="GH102" s="69">
        <f t="shared" si="203"/>
        <v>252714.35557894738</v>
      </c>
      <c r="GI102" s="69">
        <f t="shared" si="203"/>
        <v>104029.35094736842</v>
      </c>
      <c r="GJ102" s="69">
        <f t="shared" si="203"/>
        <v>602669.18642105267</v>
      </c>
      <c r="GK102" s="69">
        <f t="shared" si="203"/>
        <v>3380739.8346315785</v>
      </c>
      <c r="GL102" s="69">
        <f t="shared" si="203"/>
        <v>5462474.726631579</v>
      </c>
      <c r="GM102" s="69">
        <f t="shared" si="203"/>
        <v>16252551.202315791</v>
      </c>
      <c r="GN102" s="69">
        <f t="shared" si="203"/>
        <v>5224471.6856842106</v>
      </c>
      <c r="GO102" s="69">
        <f t="shared" ref="GO102:HD102" si="204">AVERAGE(GO3:GO97)</f>
        <v>2605730.3668421051</v>
      </c>
      <c r="GP102" s="69">
        <f t="shared" si="204"/>
        <v>13941734.292526316</v>
      </c>
      <c r="GQ102" s="69">
        <f t="shared" si="204"/>
        <v>22950287.811157893</v>
      </c>
      <c r="GR102" s="69">
        <f t="shared" si="204"/>
        <v>60974775.351157904</v>
      </c>
      <c r="GS102" s="69">
        <f t="shared" si="204"/>
        <v>33548.010526315789</v>
      </c>
      <c r="GT102" s="69">
        <f t="shared" si="204"/>
        <v>7615.6</v>
      </c>
      <c r="GU102" s="69">
        <f t="shared" si="204"/>
        <v>1015.1684210526316</v>
      </c>
      <c r="GV102" s="69">
        <f t="shared" si="204"/>
        <v>1088.0736842105264</v>
      </c>
      <c r="GW102" s="69">
        <f t="shared" si="204"/>
        <v>727304.27368421049</v>
      </c>
      <c r="GX102" s="69">
        <f t="shared" si="204"/>
        <v>770571.12631578953</v>
      </c>
      <c r="GY102" s="69">
        <f t="shared" si="204"/>
        <v>16472854.781263158</v>
      </c>
      <c r="GZ102" s="69">
        <f t="shared" si="204"/>
        <v>5305798.1383157894</v>
      </c>
      <c r="HA102" s="69">
        <f t="shared" si="204"/>
        <v>2648800.1036842107</v>
      </c>
      <c r="HB102" s="69">
        <f t="shared" si="204"/>
        <v>13479941.050421052</v>
      </c>
      <c r="HC102" s="69">
        <f t="shared" si="204"/>
        <v>24586422.021684211</v>
      </c>
      <c r="HD102" s="69">
        <f t="shared" si="204"/>
        <v>62493816.088000007</v>
      </c>
    </row>
    <row r="103" spans="1:294">
      <c r="A103" s="67" t="s">
        <v>534</v>
      </c>
      <c r="B103" s="68"/>
      <c r="G103" s="69">
        <f>MEDIAN(G3:G97)</f>
        <v>9090.5</v>
      </c>
      <c r="H103" s="69">
        <f t="shared" ref="H103:BA103" si="205">MEDIAN(H3:H97)</f>
        <v>9960.5</v>
      </c>
      <c r="I103" s="69">
        <f t="shared" si="205"/>
        <v>856617575</v>
      </c>
      <c r="J103" s="69">
        <f t="shared" si="205"/>
        <v>835602371</v>
      </c>
      <c r="K103" s="69">
        <f t="shared" si="205"/>
        <v>4107734</v>
      </c>
      <c r="L103" s="69">
        <f t="shared" si="205"/>
        <v>3090899</v>
      </c>
      <c r="M103" s="69">
        <f t="shared" si="205"/>
        <v>36618699</v>
      </c>
      <c r="N103" s="69">
        <f t="shared" si="205"/>
        <v>35279572</v>
      </c>
      <c r="O103" s="69">
        <f t="shared" si="205"/>
        <v>52379518.5</v>
      </c>
      <c r="P103" s="69">
        <f t="shared" si="205"/>
        <v>55096585</v>
      </c>
      <c r="Q103" s="69">
        <f t="shared" si="205"/>
        <v>433350623</v>
      </c>
      <c r="R103" s="69">
        <f t="shared" si="205"/>
        <v>440062166</v>
      </c>
      <c r="S103" s="69">
        <f t="shared" si="205"/>
        <v>622185036</v>
      </c>
      <c r="T103" s="69">
        <f t="shared" si="205"/>
        <v>634495370.5</v>
      </c>
      <c r="U103" s="69">
        <f t="shared" si="205"/>
        <v>19843</v>
      </c>
      <c r="V103" s="69">
        <f t="shared" si="205"/>
        <v>19626</v>
      </c>
      <c r="W103" s="69">
        <f t="shared" si="205"/>
        <v>32859</v>
      </c>
      <c r="X103" s="69">
        <f t="shared" si="205"/>
        <v>32086.5</v>
      </c>
      <c r="Y103" s="69">
        <f t="shared" si="205"/>
        <v>23221</v>
      </c>
      <c r="Z103" s="69">
        <f t="shared" si="205"/>
        <v>22813</v>
      </c>
      <c r="AA103" s="69">
        <f t="shared" si="205"/>
        <v>36946</v>
      </c>
      <c r="AB103" s="69">
        <f t="shared" si="205"/>
        <v>34488</v>
      </c>
      <c r="AC103" s="69">
        <f t="shared" si="205"/>
        <v>8</v>
      </c>
      <c r="AD103" s="69">
        <f t="shared" si="205"/>
        <v>11</v>
      </c>
      <c r="AE103" s="69">
        <f t="shared" si="205"/>
        <v>0</v>
      </c>
      <c r="AF103" s="69">
        <f t="shared" si="205"/>
        <v>4495997.5</v>
      </c>
      <c r="AG103" s="69">
        <f t="shared" si="205"/>
        <v>3324910</v>
      </c>
      <c r="AH103" s="69">
        <f t="shared" si="205"/>
        <v>605429.5</v>
      </c>
      <c r="AI103" s="69">
        <f t="shared" si="205"/>
        <v>284342</v>
      </c>
      <c r="AJ103" s="69">
        <f t="shared" si="205"/>
        <v>575255</v>
      </c>
      <c r="AK103" s="69">
        <f t="shared" si="205"/>
        <v>6</v>
      </c>
      <c r="AL103" s="69">
        <f t="shared" si="205"/>
        <v>517382.5</v>
      </c>
      <c r="AM103" s="69">
        <f t="shared" si="205"/>
        <v>7</v>
      </c>
      <c r="AN103" s="69">
        <f t="shared" si="205"/>
        <v>168896</v>
      </c>
      <c r="AO103" s="69">
        <f t="shared" si="205"/>
        <v>8.5</v>
      </c>
      <c r="AP103" s="69">
        <f t="shared" si="205"/>
        <v>150304.5</v>
      </c>
      <c r="AQ103" s="69">
        <f t="shared" si="205"/>
        <v>9</v>
      </c>
      <c r="AR103" s="69">
        <f t="shared" si="205"/>
        <v>208456.5</v>
      </c>
      <c r="AS103" s="69">
        <f t="shared" si="205"/>
        <v>19.814999999999998</v>
      </c>
      <c r="AT103" s="69">
        <f t="shared" si="205"/>
        <v>171862</v>
      </c>
      <c r="AU103" s="69">
        <f t="shared" si="205"/>
        <v>22</v>
      </c>
      <c r="AV103" s="69">
        <f t="shared" si="205"/>
        <v>78083</v>
      </c>
      <c r="AW103" s="69">
        <f t="shared" si="205"/>
        <v>15.04</v>
      </c>
      <c r="AX103" s="69">
        <f t="shared" si="205"/>
        <v>65063</v>
      </c>
      <c r="AY103" s="69">
        <f t="shared" si="205"/>
        <v>18</v>
      </c>
      <c r="AZ103" s="69">
        <f t="shared" si="205"/>
        <v>6392258</v>
      </c>
      <c r="BA103" s="69">
        <f t="shared" si="205"/>
        <v>450000</v>
      </c>
      <c r="BB103" s="69">
        <f t="shared" ref="BB103:BP103" si="206">MEDIAN(BB3:BB97)</f>
        <v>9850337</v>
      </c>
      <c r="BC103" s="69">
        <f t="shared" si="206"/>
        <v>320515</v>
      </c>
      <c r="BD103" s="69">
        <f t="shared" si="206"/>
        <v>0</v>
      </c>
      <c r="BE103" s="69">
        <f t="shared" si="206"/>
        <v>1449</v>
      </c>
      <c r="BF103" s="69">
        <f t="shared" si="206"/>
        <v>0</v>
      </c>
      <c r="BG103" s="69">
        <f t="shared" si="206"/>
        <v>0</v>
      </c>
      <c r="BH103" s="69">
        <f t="shared" si="206"/>
        <v>8436</v>
      </c>
      <c r="BI103" s="69">
        <f t="shared" si="206"/>
        <v>0</v>
      </c>
      <c r="BJ103" s="69">
        <f t="shared" si="206"/>
        <v>73961</v>
      </c>
      <c r="BK103" s="69">
        <f t="shared" si="206"/>
        <v>2284</v>
      </c>
      <c r="BL103" s="69">
        <f t="shared" si="206"/>
        <v>0</v>
      </c>
      <c r="BM103" s="69">
        <f t="shared" si="206"/>
        <v>0</v>
      </c>
      <c r="BN103" s="69">
        <f t="shared" si="206"/>
        <v>10934</v>
      </c>
      <c r="BO103" s="69">
        <f t="shared" si="206"/>
        <v>125807</v>
      </c>
      <c r="BP103" s="69">
        <f t="shared" si="206"/>
        <v>239682</v>
      </c>
      <c r="BQ103" s="69">
        <f t="shared" ref="BQ103:EB103" si="207">MEDIAN(BQ3:BQ97)</f>
        <v>11840</v>
      </c>
      <c r="BR103" s="69">
        <f t="shared" si="207"/>
        <v>495</v>
      </c>
      <c r="BS103" s="69">
        <f t="shared" si="207"/>
        <v>99</v>
      </c>
      <c r="BT103" s="69">
        <f t="shared" si="207"/>
        <v>52022</v>
      </c>
      <c r="BU103" s="69">
        <f t="shared" si="207"/>
        <v>644068</v>
      </c>
      <c r="BV103" s="69">
        <f t="shared" si="207"/>
        <v>844733</v>
      </c>
      <c r="BW103" s="69" t="e">
        <f t="shared" si="207"/>
        <v>#REF!</v>
      </c>
      <c r="BX103" s="69" t="e">
        <f t="shared" si="207"/>
        <v>#REF!</v>
      </c>
      <c r="BY103" s="69" t="e">
        <f t="shared" si="207"/>
        <v>#REF!</v>
      </c>
      <c r="BZ103" s="69" t="e">
        <f t="shared" si="207"/>
        <v>#REF!</v>
      </c>
      <c r="CA103" s="69" t="e">
        <f t="shared" si="207"/>
        <v>#REF!</v>
      </c>
      <c r="CB103" s="69" t="e">
        <f t="shared" si="207"/>
        <v>#REF!</v>
      </c>
      <c r="CC103" s="69">
        <f t="shared" si="207"/>
        <v>2693930</v>
      </c>
      <c r="CD103" s="69">
        <f t="shared" si="207"/>
        <v>432340</v>
      </c>
      <c r="CE103" s="69">
        <f t="shared" si="207"/>
        <v>453514</v>
      </c>
      <c r="CF103" s="69">
        <f t="shared" si="207"/>
        <v>3996819</v>
      </c>
      <c r="CG103" s="69">
        <f t="shared" si="207"/>
        <v>210957</v>
      </c>
      <c r="CH103" s="69">
        <f t="shared" si="207"/>
        <v>8054581</v>
      </c>
      <c r="CI103" s="69">
        <f t="shared" si="207"/>
        <v>750000</v>
      </c>
      <c r="CJ103" s="69">
        <f t="shared" si="207"/>
        <v>390000</v>
      </c>
      <c r="CK103" s="69">
        <f t="shared" si="207"/>
        <v>50000</v>
      </c>
      <c r="CL103" s="69">
        <f t="shared" si="207"/>
        <v>41848</v>
      </c>
      <c r="CM103" s="69">
        <f t="shared" si="207"/>
        <v>0</v>
      </c>
      <c r="CN103" s="69">
        <f t="shared" si="207"/>
        <v>1329412</v>
      </c>
      <c r="CO103" s="69">
        <f t="shared" si="207"/>
        <v>4414537</v>
      </c>
      <c r="CP103" s="69">
        <f t="shared" si="207"/>
        <v>1892043</v>
      </c>
      <c r="CQ103" s="69">
        <f t="shared" si="207"/>
        <v>807078</v>
      </c>
      <c r="CR103" s="69">
        <f t="shared" si="207"/>
        <v>3042413</v>
      </c>
      <c r="CS103" s="69">
        <f t="shared" si="207"/>
        <v>0</v>
      </c>
      <c r="CT103" s="69">
        <f t="shared" si="207"/>
        <v>10785235</v>
      </c>
      <c r="CU103" s="69">
        <f t="shared" si="207"/>
        <v>0</v>
      </c>
      <c r="CV103" s="69">
        <f t="shared" si="207"/>
        <v>0</v>
      </c>
      <c r="CW103" s="69">
        <f t="shared" si="207"/>
        <v>0</v>
      </c>
      <c r="CX103" s="69">
        <f t="shared" si="207"/>
        <v>0</v>
      </c>
      <c r="CY103" s="69">
        <f t="shared" si="207"/>
        <v>0</v>
      </c>
      <c r="CZ103" s="69">
        <f t="shared" si="207"/>
        <v>0</v>
      </c>
      <c r="DA103" s="69">
        <f t="shared" si="207"/>
        <v>704726</v>
      </c>
      <c r="DB103" s="69">
        <f t="shared" si="207"/>
        <v>239016</v>
      </c>
      <c r="DC103" s="69">
        <f t="shared" si="207"/>
        <v>147808</v>
      </c>
      <c r="DD103" s="69">
        <f t="shared" si="207"/>
        <v>197220</v>
      </c>
      <c r="DE103" s="69">
        <f t="shared" si="207"/>
        <v>6778489</v>
      </c>
      <c r="DF103" s="69">
        <f t="shared" si="207"/>
        <v>9871630</v>
      </c>
      <c r="DG103" s="69">
        <f t="shared" si="207"/>
        <v>0</v>
      </c>
      <c r="DH103" s="69">
        <f t="shared" si="207"/>
        <v>0</v>
      </c>
      <c r="DI103" s="69">
        <f t="shared" si="207"/>
        <v>0</v>
      </c>
      <c r="DJ103" s="69">
        <f t="shared" si="207"/>
        <v>0</v>
      </c>
      <c r="DK103" s="69">
        <f t="shared" si="207"/>
        <v>0</v>
      </c>
      <c r="DL103" s="69">
        <f t="shared" si="207"/>
        <v>0</v>
      </c>
      <c r="DM103" s="69">
        <f t="shared" si="207"/>
        <v>0</v>
      </c>
      <c r="DN103" s="69">
        <f t="shared" si="207"/>
        <v>0</v>
      </c>
      <c r="DO103" s="69">
        <f t="shared" si="207"/>
        <v>0</v>
      </c>
      <c r="DP103" s="69">
        <f t="shared" si="207"/>
        <v>0</v>
      </c>
      <c r="DQ103" s="69">
        <f t="shared" si="207"/>
        <v>0</v>
      </c>
      <c r="DR103" s="69">
        <f t="shared" si="207"/>
        <v>105190</v>
      </c>
      <c r="DS103" s="69">
        <f t="shared" si="207"/>
        <v>303474</v>
      </c>
      <c r="DT103" s="69">
        <f t="shared" si="207"/>
        <v>142999</v>
      </c>
      <c r="DU103" s="69">
        <f t="shared" si="207"/>
        <v>105038</v>
      </c>
      <c r="DV103" s="69">
        <f t="shared" si="207"/>
        <v>302001</v>
      </c>
      <c r="DW103" s="69">
        <f t="shared" si="207"/>
        <v>0</v>
      </c>
      <c r="DX103" s="69">
        <f t="shared" si="207"/>
        <v>900818</v>
      </c>
      <c r="DY103" s="69">
        <f t="shared" si="207"/>
        <v>1157646</v>
      </c>
      <c r="DZ103" s="69">
        <f t="shared" si="207"/>
        <v>474063</v>
      </c>
      <c r="EA103" s="69">
        <f t="shared" si="207"/>
        <v>346722</v>
      </c>
      <c r="EB103" s="69">
        <f t="shared" si="207"/>
        <v>1759286</v>
      </c>
      <c r="EC103" s="69">
        <f t="shared" ref="EC103:GN103" si="208">MEDIAN(EC3:EC97)</f>
        <v>3772</v>
      </c>
      <c r="ED103" s="69">
        <f t="shared" si="208"/>
        <v>4033237</v>
      </c>
      <c r="EE103" s="69">
        <f t="shared" si="208"/>
        <v>552498</v>
      </c>
      <c r="EF103" s="69">
        <f t="shared" si="208"/>
        <v>77242</v>
      </c>
      <c r="EG103" s="69">
        <f t="shared" si="208"/>
        <v>46891</v>
      </c>
      <c r="EH103" s="69">
        <f t="shared" si="208"/>
        <v>463575</v>
      </c>
      <c r="EI103" s="69">
        <f t="shared" si="208"/>
        <v>186042</v>
      </c>
      <c r="EJ103" s="69">
        <f t="shared" si="208"/>
        <v>1501653</v>
      </c>
      <c r="EK103" s="69">
        <f t="shared" si="208"/>
        <v>890083</v>
      </c>
      <c r="EL103" s="69">
        <f t="shared" si="208"/>
        <v>330276</v>
      </c>
      <c r="EM103" s="69">
        <f t="shared" si="208"/>
        <v>159002</v>
      </c>
      <c r="EN103" s="69">
        <f t="shared" si="208"/>
        <v>308041</v>
      </c>
      <c r="EO103" s="69">
        <f t="shared" si="208"/>
        <v>91955</v>
      </c>
      <c r="EP103" s="69">
        <f t="shared" si="208"/>
        <v>1992949</v>
      </c>
      <c r="EQ103" s="69">
        <f t="shared" si="208"/>
        <v>35969</v>
      </c>
      <c r="ER103" s="69">
        <f t="shared" si="208"/>
        <v>11646</v>
      </c>
      <c r="ES103" s="69">
        <f t="shared" si="208"/>
        <v>4439</v>
      </c>
      <c r="ET103" s="69">
        <f t="shared" si="208"/>
        <v>13586</v>
      </c>
      <c r="EU103" s="69">
        <f t="shared" si="208"/>
        <v>929501</v>
      </c>
      <c r="EV103" s="69">
        <f t="shared" si="208"/>
        <v>1264377</v>
      </c>
      <c r="EW103" s="69">
        <f t="shared" si="208"/>
        <v>0</v>
      </c>
      <c r="EX103" s="69">
        <f t="shared" si="208"/>
        <v>0</v>
      </c>
      <c r="EY103" s="69">
        <f t="shared" si="208"/>
        <v>0</v>
      </c>
      <c r="EZ103" s="69">
        <f t="shared" si="208"/>
        <v>0</v>
      </c>
      <c r="FA103" s="69">
        <f t="shared" si="208"/>
        <v>0</v>
      </c>
      <c r="FB103" s="69">
        <f t="shared" si="208"/>
        <v>11663</v>
      </c>
      <c r="FC103" s="69">
        <f t="shared" si="208"/>
        <v>236472</v>
      </c>
      <c r="FD103" s="69">
        <f t="shared" si="208"/>
        <v>19330</v>
      </c>
      <c r="FE103" s="69">
        <f t="shared" si="208"/>
        <v>10168</v>
      </c>
      <c r="FF103" s="69">
        <f t="shared" si="208"/>
        <v>137076</v>
      </c>
      <c r="FG103" s="69">
        <f t="shared" si="208"/>
        <v>3748337</v>
      </c>
      <c r="FH103" s="69">
        <f t="shared" si="208"/>
        <v>5939807</v>
      </c>
      <c r="FI103" s="69">
        <f t="shared" si="208"/>
        <v>0</v>
      </c>
      <c r="FJ103" s="69">
        <f t="shared" si="208"/>
        <v>0</v>
      </c>
      <c r="FK103" s="69">
        <f t="shared" si="208"/>
        <v>0</v>
      </c>
      <c r="FL103" s="69">
        <f t="shared" si="208"/>
        <v>0</v>
      </c>
      <c r="FM103" s="69">
        <f t="shared" si="208"/>
        <v>111267</v>
      </c>
      <c r="FN103" s="69">
        <f t="shared" si="208"/>
        <v>168633</v>
      </c>
      <c r="FO103" s="69">
        <f t="shared" si="208"/>
        <v>0</v>
      </c>
      <c r="FP103" s="69">
        <f t="shared" si="208"/>
        <v>0</v>
      </c>
      <c r="FQ103" s="69">
        <f t="shared" si="208"/>
        <v>0</v>
      </c>
      <c r="FR103" s="69">
        <f t="shared" si="208"/>
        <v>0</v>
      </c>
      <c r="FS103" s="69">
        <f t="shared" si="208"/>
        <v>0</v>
      </c>
      <c r="FT103" s="69">
        <f t="shared" si="208"/>
        <v>57230</v>
      </c>
      <c r="FU103" s="69">
        <f t="shared" si="208"/>
        <v>19620</v>
      </c>
      <c r="FV103" s="69">
        <f t="shared" si="208"/>
        <v>3876</v>
      </c>
      <c r="FW103" s="69">
        <f t="shared" si="208"/>
        <v>825</v>
      </c>
      <c r="FX103" s="69">
        <f t="shared" si="208"/>
        <v>4980</v>
      </c>
      <c r="FY103" s="69">
        <f t="shared" si="208"/>
        <v>457616</v>
      </c>
      <c r="FZ103" s="69">
        <f t="shared" si="208"/>
        <v>725239</v>
      </c>
      <c r="GA103" s="69">
        <f t="shared" si="208"/>
        <v>2470</v>
      </c>
      <c r="GB103" s="69">
        <f t="shared" si="208"/>
        <v>1215</v>
      </c>
      <c r="GC103" s="69">
        <f t="shared" si="208"/>
        <v>1008</v>
      </c>
      <c r="GD103" s="69">
        <f t="shared" si="208"/>
        <v>9520</v>
      </c>
      <c r="GE103" s="69">
        <f t="shared" si="208"/>
        <v>123985</v>
      </c>
      <c r="GF103" s="69">
        <f t="shared" si="208"/>
        <v>186445</v>
      </c>
      <c r="GG103" s="69">
        <f t="shared" si="208"/>
        <v>477559</v>
      </c>
      <c r="GH103" s="69">
        <f t="shared" si="208"/>
        <v>123974</v>
      </c>
      <c r="GI103" s="69">
        <f t="shared" si="208"/>
        <v>78158</v>
      </c>
      <c r="GJ103" s="69">
        <f t="shared" si="208"/>
        <v>336318</v>
      </c>
      <c r="GK103" s="69">
        <f t="shared" si="208"/>
        <v>2368012</v>
      </c>
      <c r="GL103" s="69">
        <f t="shared" si="208"/>
        <v>3944609</v>
      </c>
      <c r="GM103" s="69">
        <f t="shared" si="208"/>
        <v>14461262</v>
      </c>
      <c r="GN103" s="69">
        <f t="shared" si="208"/>
        <v>4703352</v>
      </c>
      <c r="GO103" s="69">
        <f t="shared" ref="GO103:HD103" si="209">MEDIAN(GO3:GO97)</f>
        <v>2720613</v>
      </c>
      <c r="GP103" s="69">
        <f t="shared" si="209"/>
        <v>11585587</v>
      </c>
      <c r="GQ103" s="69">
        <f t="shared" si="209"/>
        <v>18648105</v>
      </c>
      <c r="GR103" s="69">
        <f t="shared" si="209"/>
        <v>54388802</v>
      </c>
      <c r="GS103" s="69">
        <f t="shared" si="209"/>
        <v>0</v>
      </c>
      <c r="GT103" s="69">
        <f t="shared" si="209"/>
        <v>0</v>
      </c>
      <c r="GU103" s="69">
        <f t="shared" si="209"/>
        <v>0</v>
      </c>
      <c r="GV103" s="69">
        <f t="shared" si="209"/>
        <v>0</v>
      </c>
      <c r="GW103" s="69">
        <f t="shared" si="209"/>
        <v>0</v>
      </c>
      <c r="GX103" s="69">
        <f t="shared" si="209"/>
        <v>0</v>
      </c>
      <c r="GY103" s="69">
        <f t="shared" si="209"/>
        <v>14844644</v>
      </c>
      <c r="GZ103" s="69">
        <f t="shared" si="209"/>
        <v>4743432</v>
      </c>
      <c r="HA103" s="69">
        <f t="shared" si="209"/>
        <v>2731294</v>
      </c>
      <c r="HB103" s="69">
        <f t="shared" si="209"/>
        <v>11664268</v>
      </c>
      <c r="HC103" s="69">
        <f t="shared" si="209"/>
        <v>20428117</v>
      </c>
      <c r="HD103" s="69">
        <f t="shared" si="209"/>
        <v>64303100</v>
      </c>
    </row>
    <row r="104" spans="1:294">
      <c r="A104" s="67" t="s">
        <v>535</v>
      </c>
      <c r="B104" s="68"/>
      <c r="G104" s="69">
        <f>MODE(G3:G97)</f>
        <v>14595</v>
      </c>
      <c r="H104" s="69">
        <f t="shared" ref="H104:BA104" si="210">MODE(H3:H97)</f>
        <v>11381</v>
      </c>
      <c r="I104" s="69">
        <f t="shared" si="210"/>
        <v>1070723175</v>
      </c>
      <c r="J104" s="69">
        <f t="shared" si="210"/>
        <v>1030723369</v>
      </c>
      <c r="K104" s="69">
        <f t="shared" si="210"/>
        <v>0</v>
      </c>
      <c r="L104" s="69">
        <f t="shared" si="210"/>
        <v>0</v>
      </c>
      <c r="M104" s="69">
        <f t="shared" si="210"/>
        <v>41774321</v>
      </c>
      <c r="N104" s="69">
        <f t="shared" si="210"/>
        <v>35753363</v>
      </c>
      <c r="O104" s="69">
        <f t="shared" si="210"/>
        <v>0</v>
      </c>
      <c r="P104" s="69">
        <f t="shared" si="210"/>
        <v>0</v>
      </c>
      <c r="Q104" s="69">
        <f t="shared" si="210"/>
        <v>483507369</v>
      </c>
      <c r="R104" s="69">
        <f t="shared" si="210"/>
        <v>467433966</v>
      </c>
      <c r="S104" s="69" t="e">
        <f t="shared" si="210"/>
        <v>#N/A</v>
      </c>
      <c r="T104" s="69">
        <f t="shared" si="210"/>
        <v>794672497</v>
      </c>
      <c r="U104" s="69">
        <f t="shared" si="210"/>
        <v>23568</v>
      </c>
      <c r="V104" s="69">
        <f t="shared" si="210"/>
        <v>16247</v>
      </c>
      <c r="W104" s="69">
        <f t="shared" si="210"/>
        <v>29040</v>
      </c>
      <c r="X104" s="69">
        <f t="shared" si="210"/>
        <v>28359</v>
      </c>
      <c r="Y104" s="69">
        <f t="shared" si="210"/>
        <v>18920</v>
      </c>
      <c r="Z104" s="69">
        <f t="shared" si="210"/>
        <v>18920</v>
      </c>
      <c r="AA104" s="69">
        <f t="shared" si="210"/>
        <v>31470</v>
      </c>
      <c r="AB104" s="69">
        <f t="shared" si="210"/>
        <v>31030</v>
      </c>
      <c r="AC104" s="69">
        <f t="shared" si="210"/>
        <v>7</v>
      </c>
      <c r="AD104" s="69">
        <f t="shared" si="210"/>
        <v>10</v>
      </c>
      <c r="AE104" s="69">
        <f t="shared" si="210"/>
        <v>0</v>
      </c>
      <c r="AF104" s="69">
        <f t="shared" si="210"/>
        <v>3781851</v>
      </c>
      <c r="AG104" s="69">
        <f t="shared" si="210"/>
        <v>3324910</v>
      </c>
      <c r="AH104" s="69">
        <f t="shared" si="210"/>
        <v>1006720</v>
      </c>
      <c r="AI104" s="69">
        <f t="shared" si="210"/>
        <v>394075</v>
      </c>
      <c r="AJ104" s="69">
        <f t="shared" si="210"/>
        <v>929849</v>
      </c>
      <c r="AK104" s="69">
        <f t="shared" si="210"/>
        <v>6</v>
      </c>
      <c r="AL104" s="69">
        <f t="shared" si="210"/>
        <v>836864</v>
      </c>
      <c r="AM104" s="69">
        <f t="shared" si="210"/>
        <v>7</v>
      </c>
      <c r="AN104" s="69">
        <f t="shared" si="210"/>
        <v>212254</v>
      </c>
      <c r="AO104" s="69">
        <f t="shared" si="210"/>
        <v>9</v>
      </c>
      <c r="AP104" s="69">
        <f t="shared" si="210"/>
        <v>200462</v>
      </c>
      <c r="AQ104" s="69">
        <f t="shared" si="210"/>
        <v>9</v>
      </c>
      <c r="AR104" s="69">
        <f t="shared" si="210"/>
        <v>226153</v>
      </c>
      <c r="AS104" s="69">
        <f t="shared" si="210"/>
        <v>20</v>
      </c>
      <c r="AT104" s="69">
        <f t="shared" si="210"/>
        <v>197884</v>
      </c>
      <c r="AU104" s="69">
        <f t="shared" si="210"/>
        <v>20</v>
      </c>
      <c r="AV104" s="69">
        <f t="shared" si="210"/>
        <v>89889</v>
      </c>
      <c r="AW104" s="69">
        <f t="shared" si="210"/>
        <v>17</v>
      </c>
      <c r="AX104" s="69">
        <f t="shared" si="210"/>
        <v>78653</v>
      </c>
      <c r="AY104" s="69">
        <f t="shared" si="210"/>
        <v>20</v>
      </c>
      <c r="AZ104" s="69">
        <f t="shared" si="210"/>
        <v>10278389</v>
      </c>
      <c r="BA104" s="69">
        <f t="shared" si="210"/>
        <v>0</v>
      </c>
      <c r="BB104" s="69" t="e">
        <f t="shared" ref="BB104:BP104" si="211">MODE(BB3:BB97)</f>
        <v>#N/A</v>
      </c>
      <c r="BC104" s="69">
        <f t="shared" si="211"/>
        <v>0</v>
      </c>
      <c r="BD104" s="69">
        <f t="shared" si="211"/>
        <v>0</v>
      </c>
      <c r="BE104" s="69">
        <f t="shared" si="211"/>
        <v>0</v>
      </c>
      <c r="BF104" s="69">
        <f t="shared" si="211"/>
        <v>0</v>
      </c>
      <c r="BG104" s="69">
        <f t="shared" si="211"/>
        <v>0</v>
      </c>
      <c r="BH104" s="69">
        <f t="shared" si="211"/>
        <v>0</v>
      </c>
      <c r="BI104" s="69">
        <f t="shared" si="211"/>
        <v>0</v>
      </c>
      <c r="BJ104" s="69">
        <f t="shared" si="211"/>
        <v>0</v>
      </c>
      <c r="BK104" s="69">
        <f t="shared" si="211"/>
        <v>0</v>
      </c>
      <c r="BL104" s="69">
        <f t="shared" si="211"/>
        <v>0</v>
      </c>
      <c r="BM104" s="69">
        <f t="shared" si="211"/>
        <v>0</v>
      </c>
      <c r="BN104" s="69">
        <f t="shared" si="211"/>
        <v>0</v>
      </c>
      <c r="BO104" s="69">
        <f t="shared" si="211"/>
        <v>0</v>
      </c>
      <c r="BP104" s="69">
        <f t="shared" si="211"/>
        <v>0</v>
      </c>
      <c r="BQ104" s="69">
        <f t="shared" ref="BQ104:EB104" si="212">MODE(BQ3:BQ97)</f>
        <v>0</v>
      </c>
      <c r="BR104" s="69">
        <f t="shared" si="212"/>
        <v>0</v>
      </c>
      <c r="BS104" s="69">
        <f t="shared" si="212"/>
        <v>0</v>
      </c>
      <c r="BT104" s="69">
        <f t="shared" si="212"/>
        <v>0</v>
      </c>
      <c r="BU104" s="69">
        <f t="shared" si="212"/>
        <v>1756693</v>
      </c>
      <c r="BV104" s="69">
        <f t="shared" si="212"/>
        <v>3210040</v>
      </c>
      <c r="BW104" s="69" t="e">
        <f t="shared" si="212"/>
        <v>#REF!</v>
      </c>
      <c r="BX104" s="69" t="e">
        <f t="shared" si="212"/>
        <v>#REF!</v>
      </c>
      <c r="BY104" s="69" t="e">
        <f t="shared" si="212"/>
        <v>#REF!</v>
      </c>
      <c r="BZ104" s="69" t="e">
        <f t="shared" si="212"/>
        <v>#REF!</v>
      </c>
      <c r="CA104" s="69" t="e">
        <f t="shared" si="212"/>
        <v>#REF!</v>
      </c>
      <c r="CB104" s="69" t="e">
        <f t="shared" si="212"/>
        <v>#REF!</v>
      </c>
      <c r="CC104" s="69">
        <f t="shared" si="212"/>
        <v>2614392</v>
      </c>
      <c r="CD104" s="69">
        <f t="shared" si="212"/>
        <v>396815</v>
      </c>
      <c r="CE104" s="69">
        <f t="shared" si="212"/>
        <v>401388</v>
      </c>
      <c r="CF104" s="69">
        <f t="shared" si="212"/>
        <v>3694166</v>
      </c>
      <c r="CG104" s="69">
        <f t="shared" si="212"/>
        <v>0</v>
      </c>
      <c r="CH104" s="69">
        <f t="shared" si="212"/>
        <v>7231338</v>
      </c>
      <c r="CI104" s="69">
        <f t="shared" si="212"/>
        <v>550000</v>
      </c>
      <c r="CJ104" s="69">
        <f t="shared" si="212"/>
        <v>78000</v>
      </c>
      <c r="CK104" s="69">
        <f t="shared" si="212"/>
        <v>4000</v>
      </c>
      <c r="CL104" s="69">
        <f t="shared" si="212"/>
        <v>0</v>
      </c>
      <c r="CM104" s="69">
        <f t="shared" si="212"/>
        <v>0</v>
      </c>
      <c r="CN104" s="69">
        <f t="shared" si="212"/>
        <v>847829</v>
      </c>
      <c r="CO104" s="69">
        <f t="shared" si="212"/>
        <v>4558908</v>
      </c>
      <c r="CP104" s="69">
        <f t="shared" si="212"/>
        <v>2778588</v>
      </c>
      <c r="CQ104" s="69">
        <f t="shared" si="212"/>
        <v>1139297</v>
      </c>
      <c r="CR104" s="69">
        <f t="shared" si="212"/>
        <v>3042413</v>
      </c>
      <c r="CS104" s="69">
        <f t="shared" si="212"/>
        <v>0</v>
      </c>
      <c r="CT104" s="69">
        <f t="shared" si="212"/>
        <v>11519206</v>
      </c>
      <c r="CU104" s="69">
        <f t="shared" si="212"/>
        <v>0</v>
      </c>
      <c r="CV104" s="69">
        <f t="shared" si="212"/>
        <v>0</v>
      </c>
      <c r="CW104" s="69">
        <f t="shared" si="212"/>
        <v>0</v>
      </c>
      <c r="CX104" s="69">
        <f t="shared" si="212"/>
        <v>0</v>
      </c>
      <c r="CY104" s="69">
        <f t="shared" si="212"/>
        <v>0</v>
      </c>
      <c r="CZ104" s="69">
        <f t="shared" si="212"/>
        <v>0</v>
      </c>
      <c r="DA104" s="69">
        <f t="shared" si="212"/>
        <v>0</v>
      </c>
      <c r="DB104" s="69">
        <f t="shared" si="212"/>
        <v>0</v>
      </c>
      <c r="DC104" s="69">
        <f t="shared" si="212"/>
        <v>0</v>
      </c>
      <c r="DD104" s="69">
        <f t="shared" si="212"/>
        <v>0</v>
      </c>
      <c r="DE104" s="69">
        <f t="shared" si="212"/>
        <v>6591631</v>
      </c>
      <c r="DF104" s="69">
        <f t="shared" si="212"/>
        <v>9871630</v>
      </c>
      <c r="DG104" s="69">
        <f t="shared" si="212"/>
        <v>0</v>
      </c>
      <c r="DH104" s="69">
        <f t="shared" si="212"/>
        <v>0</v>
      </c>
      <c r="DI104" s="69">
        <f t="shared" si="212"/>
        <v>0</v>
      </c>
      <c r="DJ104" s="69">
        <f t="shared" si="212"/>
        <v>0</v>
      </c>
      <c r="DK104" s="69">
        <f t="shared" si="212"/>
        <v>0</v>
      </c>
      <c r="DL104" s="69">
        <f t="shared" si="212"/>
        <v>0</v>
      </c>
      <c r="DM104" s="69">
        <f t="shared" si="212"/>
        <v>0</v>
      </c>
      <c r="DN104" s="69">
        <f t="shared" si="212"/>
        <v>0</v>
      </c>
      <c r="DO104" s="69">
        <f t="shared" si="212"/>
        <v>0</v>
      </c>
      <c r="DP104" s="69">
        <f t="shared" si="212"/>
        <v>0</v>
      </c>
      <c r="DQ104" s="69">
        <f t="shared" si="212"/>
        <v>0</v>
      </c>
      <c r="DR104" s="69">
        <f t="shared" si="212"/>
        <v>0</v>
      </c>
      <c r="DS104" s="69">
        <f t="shared" si="212"/>
        <v>644213</v>
      </c>
      <c r="DT104" s="69">
        <f t="shared" si="212"/>
        <v>248273</v>
      </c>
      <c r="DU104" s="69">
        <f t="shared" si="212"/>
        <v>107501</v>
      </c>
      <c r="DV104" s="69">
        <f t="shared" si="212"/>
        <v>400808</v>
      </c>
      <c r="DW104" s="69">
        <f t="shared" si="212"/>
        <v>0</v>
      </c>
      <c r="DX104" s="69">
        <f t="shared" si="212"/>
        <v>1400795</v>
      </c>
      <c r="DY104" s="69">
        <f t="shared" si="212"/>
        <v>949255</v>
      </c>
      <c r="DZ104" s="69">
        <f t="shared" si="212"/>
        <v>1060061</v>
      </c>
      <c r="EA104" s="69">
        <f t="shared" si="212"/>
        <v>744327</v>
      </c>
      <c r="EB104" s="69">
        <f t="shared" si="212"/>
        <v>2123338</v>
      </c>
      <c r="EC104" s="69">
        <f t="shared" ref="EC104:GN104" si="213">MODE(EC3:EC97)</f>
        <v>0</v>
      </c>
      <c r="ED104" s="69">
        <f t="shared" si="213"/>
        <v>4876981</v>
      </c>
      <c r="EE104" s="69">
        <f t="shared" si="213"/>
        <v>903080</v>
      </c>
      <c r="EF104" s="69">
        <f t="shared" si="213"/>
        <v>143821</v>
      </c>
      <c r="EG104" s="69">
        <f t="shared" si="213"/>
        <v>113894</v>
      </c>
      <c r="EH104" s="69">
        <f t="shared" si="213"/>
        <v>437939</v>
      </c>
      <c r="EI104" s="69">
        <f t="shared" si="213"/>
        <v>0</v>
      </c>
      <c r="EJ104" s="69">
        <f t="shared" si="213"/>
        <v>1847995</v>
      </c>
      <c r="EK104" s="69">
        <f t="shared" si="213"/>
        <v>0</v>
      </c>
      <c r="EL104" s="69">
        <f t="shared" si="213"/>
        <v>0</v>
      </c>
      <c r="EM104" s="69">
        <f t="shared" si="213"/>
        <v>0</v>
      </c>
      <c r="EN104" s="69">
        <f t="shared" si="213"/>
        <v>0</v>
      </c>
      <c r="EO104" s="69">
        <f t="shared" si="213"/>
        <v>0</v>
      </c>
      <c r="EP104" s="69">
        <f t="shared" si="213"/>
        <v>2293178</v>
      </c>
      <c r="EQ104" s="69">
        <f t="shared" si="213"/>
        <v>0</v>
      </c>
      <c r="ER104" s="69">
        <f t="shared" si="213"/>
        <v>0</v>
      </c>
      <c r="ES104" s="69">
        <f t="shared" si="213"/>
        <v>0</v>
      </c>
      <c r="ET104" s="69">
        <f t="shared" si="213"/>
        <v>0</v>
      </c>
      <c r="EU104" s="69">
        <f t="shared" si="213"/>
        <v>1687305</v>
      </c>
      <c r="EV104" s="69">
        <f t="shared" si="213"/>
        <v>2156532</v>
      </c>
      <c r="EW104" s="69">
        <f t="shared" si="213"/>
        <v>0</v>
      </c>
      <c r="EX104" s="69">
        <f t="shared" si="213"/>
        <v>0</v>
      </c>
      <c r="EY104" s="69">
        <f t="shared" si="213"/>
        <v>0</v>
      </c>
      <c r="EZ104" s="69">
        <f t="shared" si="213"/>
        <v>0</v>
      </c>
      <c r="FA104" s="69">
        <f t="shared" si="213"/>
        <v>0</v>
      </c>
      <c r="FB104" s="69">
        <f t="shared" si="213"/>
        <v>0</v>
      </c>
      <c r="FC104" s="69">
        <f t="shared" si="213"/>
        <v>0</v>
      </c>
      <c r="FD104" s="69">
        <f t="shared" si="213"/>
        <v>0</v>
      </c>
      <c r="FE104" s="69">
        <f t="shared" si="213"/>
        <v>0</v>
      </c>
      <c r="FF104" s="69">
        <f t="shared" si="213"/>
        <v>0</v>
      </c>
      <c r="FG104" s="69">
        <f t="shared" si="213"/>
        <v>16676803</v>
      </c>
      <c r="FH104" s="69">
        <f t="shared" si="213"/>
        <v>18783277</v>
      </c>
      <c r="FI104" s="69">
        <f t="shared" si="213"/>
        <v>0</v>
      </c>
      <c r="FJ104" s="69">
        <f t="shared" si="213"/>
        <v>0</v>
      </c>
      <c r="FK104" s="69">
        <f t="shared" si="213"/>
        <v>0</v>
      </c>
      <c r="FL104" s="69">
        <f t="shared" si="213"/>
        <v>0</v>
      </c>
      <c r="FM104" s="69">
        <f t="shared" si="213"/>
        <v>0</v>
      </c>
      <c r="FN104" s="69">
        <f t="shared" si="213"/>
        <v>0</v>
      </c>
      <c r="FO104" s="69">
        <f t="shared" si="213"/>
        <v>0</v>
      </c>
      <c r="FP104" s="69">
        <f t="shared" si="213"/>
        <v>0</v>
      </c>
      <c r="FQ104" s="69">
        <f t="shared" si="213"/>
        <v>0</v>
      </c>
      <c r="FR104" s="69">
        <f t="shared" si="213"/>
        <v>0</v>
      </c>
      <c r="FS104" s="69">
        <f t="shared" si="213"/>
        <v>0</v>
      </c>
      <c r="FT104" s="69">
        <f t="shared" si="213"/>
        <v>0</v>
      </c>
      <c r="FU104" s="69">
        <f t="shared" si="213"/>
        <v>0</v>
      </c>
      <c r="FV104" s="69">
        <f t="shared" si="213"/>
        <v>0</v>
      </c>
      <c r="FW104" s="69">
        <f t="shared" si="213"/>
        <v>0</v>
      </c>
      <c r="FX104" s="69">
        <f t="shared" si="213"/>
        <v>0</v>
      </c>
      <c r="FY104" s="69">
        <f t="shared" si="213"/>
        <v>0</v>
      </c>
      <c r="FZ104" s="69">
        <f t="shared" si="213"/>
        <v>454789</v>
      </c>
      <c r="GA104" s="69">
        <f t="shared" si="213"/>
        <v>0</v>
      </c>
      <c r="GB104" s="69">
        <f t="shared" si="213"/>
        <v>0</v>
      </c>
      <c r="GC104" s="69">
        <f t="shared" si="213"/>
        <v>0</v>
      </c>
      <c r="GD104" s="69">
        <f t="shared" si="213"/>
        <v>0</v>
      </c>
      <c r="GE104" s="69">
        <f t="shared" si="213"/>
        <v>0</v>
      </c>
      <c r="GF104" s="69">
        <f t="shared" si="213"/>
        <v>1645752</v>
      </c>
      <c r="GG104" s="69">
        <f t="shared" si="213"/>
        <v>0</v>
      </c>
      <c r="GH104" s="69">
        <f t="shared" si="213"/>
        <v>0</v>
      </c>
      <c r="GI104" s="69">
        <f t="shared" si="213"/>
        <v>0</v>
      </c>
      <c r="GJ104" s="69">
        <f t="shared" si="213"/>
        <v>0</v>
      </c>
      <c r="GK104" s="69">
        <f t="shared" si="213"/>
        <v>0</v>
      </c>
      <c r="GL104" s="69">
        <f t="shared" si="213"/>
        <v>4539970</v>
      </c>
      <c r="GM104" s="69" t="e">
        <f t="shared" si="213"/>
        <v>#N/A</v>
      </c>
      <c r="GN104" s="69" t="e">
        <f t="shared" si="213"/>
        <v>#N/A</v>
      </c>
      <c r="GO104" s="69" t="e">
        <f t="shared" ref="GO104:HD104" si="214">MODE(GO3:GO97)</f>
        <v>#N/A</v>
      </c>
      <c r="GP104" s="69" t="e">
        <f t="shared" si="214"/>
        <v>#N/A</v>
      </c>
      <c r="GQ104" s="69" t="e">
        <f t="shared" si="214"/>
        <v>#N/A</v>
      </c>
      <c r="GR104" s="69" t="e">
        <f t="shared" si="214"/>
        <v>#N/A</v>
      </c>
      <c r="GS104" s="69">
        <f t="shared" si="214"/>
        <v>0</v>
      </c>
      <c r="GT104" s="69">
        <f t="shared" si="214"/>
        <v>0</v>
      </c>
      <c r="GU104" s="69">
        <f t="shared" si="214"/>
        <v>0</v>
      </c>
      <c r="GV104" s="69">
        <f t="shared" si="214"/>
        <v>0</v>
      </c>
      <c r="GW104" s="69">
        <f t="shared" si="214"/>
        <v>0</v>
      </c>
      <c r="GX104" s="69">
        <f t="shared" si="214"/>
        <v>0</v>
      </c>
      <c r="GY104" s="69">
        <f t="shared" si="214"/>
        <v>14461262</v>
      </c>
      <c r="GZ104" s="69">
        <f t="shared" si="214"/>
        <v>6069136</v>
      </c>
      <c r="HA104" s="69">
        <f t="shared" si="214"/>
        <v>3530903</v>
      </c>
      <c r="HB104" s="69">
        <f t="shared" si="214"/>
        <v>13165404</v>
      </c>
      <c r="HC104" s="69">
        <f t="shared" si="214"/>
        <v>30741007</v>
      </c>
      <c r="HD104" s="69">
        <f t="shared" si="214"/>
        <v>67967712</v>
      </c>
    </row>
    <row r="105" spans="1:294">
      <c r="A105" s="85" t="s">
        <v>536</v>
      </c>
      <c r="B105" s="71"/>
      <c r="C105" s="71"/>
      <c r="D105" s="71"/>
      <c r="E105" s="71"/>
      <c r="F105" s="71"/>
      <c r="G105" s="69">
        <f>STDEV(G3:G97)</f>
        <v>4345.9052219017403</v>
      </c>
      <c r="H105" s="69">
        <f t="shared" ref="H105:BA105" si="215">STDEV(H3:H97)</f>
        <v>4035.3434222449619</v>
      </c>
      <c r="I105" s="69">
        <f t="shared" si="215"/>
        <v>1125255584.2007432</v>
      </c>
      <c r="J105" s="69">
        <f t="shared" si="215"/>
        <v>1068108605.7396564</v>
      </c>
      <c r="K105" s="69">
        <f t="shared" si="215"/>
        <v>5090023.2784376899</v>
      </c>
      <c r="L105" s="69">
        <f t="shared" si="215"/>
        <v>4378404.0399654284</v>
      </c>
      <c r="M105" s="69">
        <f t="shared" si="215"/>
        <v>43725878.4671195</v>
      </c>
      <c r="N105" s="69">
        <f t="shared" si="215"/>
        <v>59373961.499056816</v>
      </c>
      <c r="O105" s="69">
        <f t="shared" si="215"/>
        <v>63099580.916068055</v>
      </c>
      <c r="P105" s="69">
        <f t="shared" si="215"/>
        <v>58618403.345436536</v>
      </c>
      <c r="Q105" s="69">
        <f t="shared" si="215"/>
        <v>550360553.83885038</v>
      </c>
      <c r="R105" s="69">
        <f t="shared" si="215"/>
        <v>532619881.35021234</v>
      </c>
      <c r="S105" s="69">
        <f t="shared" si="215"/>
        <v>734255112.17475975</v>
      </c>
      <c r="T105" s="69">
        <f t="shared" si="215"/>
        <v>751244582.28524327</v>
      </c>
      <c r="U105" s="69">
        <f t="shared" si="215"/>
        <v>3328.646909363305</v>
      </c>
      <c r="V105" s="69">
        <f t="shared" si="215"/>
        <v>4575.6236759180701</v>
      </c>
      <c r="W105" s="69">
        <f t="shared" si="215"/>
        <v>6402.3654536702015</v>
      </c>
      <c r="X105" s="69">
        <f t="shared" si="215"/>
        <v>6174.4356079186537</v>
      </c>
      <c r="Y105" s="69">
        <f t="shared" si="215"/>
        <v>3078.192125251303</v>
      </c>
      <c r="Z105" s="69">
        <f t="shared" si="215"/>
        <v>3022.6677535215854</v>
      </c>
      <c r="AA105" s="69">
        <f t="shared" si="215"/>
        <v>6075.7927468189846</v>
      </c>
      <c r="AB105" s="69">
        <f t="shared" si="215"/>
        <v>6090.6049639883659</v>
      </c>
      <c r="AC105" s="69">
        <f t="shared" si="215"/>
        <v>1.9469799711661926</v>
      </c>
      <c r="AD105" s="69">
        <f t="shared" si="215"/>
        <v>1.6428623361433532</v>
      </c>
      <c r="AE105" s="69">
        <f t="shared" si="215"/>
        <v>0.30503812235806582</v>
      </c>
      <c r="AF105" s="69">
        <f t="shared" si="215"/>
        <v>1620485.8602447349</v>
      </c>
      <c r="AG105" s="69">
        <f t="shared" si="215"/>
        <v>1430926.1034340826</v>
      </c>
      <c r="AH105" s="69">
        <f t="shared" si="215"/>
        <v>403046.6810327429</v>
      </c>
      <c r="AI105" s="69">
        <f t="shared" si="215"/>
        <v>174835.66983020358</v>
      </c>
      <c r="AJ105" s="69">
        <f t="shared" si="215"/>
        <v>383884.70141422638</v>
      </c>
      <c r="AK105" s="69">
        <f t="shared" si="215"/>
        <v>1.8393481855851141</v>
      </c>
      <c r="AL105" s="69">
        <f t="shared" si="215"/>
        <v>339279.49410319451</v>
      </c>
      <c r="AM105" s="69">
        <f t="shared" si="215"/>
        <v>2.0777716023328163</v>
      </c>
      <c r="AN105" s="69">
        <f t="shared" si="215"/>
        <v>70670.874032774169</v>
      </c>
      <c r="AO105" s="69">
        <f t="shared" si="215"/>
        <v>1.7435513466419665</v>
      </c>
      <c r="AP105" s="69">
        <f t="shared" si="215"/>
        <v>63894.495804523263</v>
      </c>
      <c r="AQ105" s="69">
        <f t="shared" si="215"/>
        <v>1.9475728356244906</v>
      </c>
      <c r="AR105" s="69">
        <f t="shared" si="215"/>
        <v>92368.185557860328</v>
      </c>
      <c r="AS105" s="69">
        <f t="shared" si="215"/>
        <v>4.2074914758500404</v>
      </c>
      <c r="AT105" s="69">
        <f t="shared" si="215"/>
        <v>70159.167711342205</v>
      </c>
      <c r="AU105" s="69">
        <f t="shared" si="215"/>
        <v>5.1346537530339447</v>
      </c>
      <c r="AV105" s="69">
        <f t="shared" si="215"/>
        <v>21484.455714900731</v>
      </c>
      <c r="AW105" s="69">
        <f t="shared" si="215"/>
        <v>4.1225860337284805</v>
      </c>
      <c r="AX105" s="69">
        <f t="shared" si="215"/>
        <v>19516.461349183282</v>
      </c>
      <c r="AY105" s="69">
        <f t="shared" si="215"/>
        <v>4.9000114652468501</v>
      </c>
      <c r="AZ105" s="69">
        <f t="shared" si="215"/>
        <v>10931141.281513056</v>
      </c>
      <c r="BA105" s="69">
        <f t="shared" si="215"/>
        <v>811711.01563598157</v>
      </c>
      <c r="BB105" s="69">
        <f t="shared" ref="BB105:BP105" si="216">STDEV(BB3:BB97)</f>
        <v>16974808.760733213</v>
      </c>
      <c r="BC105" s="69">
        <f t="shared" si="216"/>
        <v>1057440.5751028822</v>
      </c>
      <c r="BD105" s="69">
        <f t="shared" si="216"/>
        <v>3029274.0463199667</v>
      </c>
      <c r="BE105" s="69">
        <f t="shared" si="216"/>
        <v>124362.64701201458</v>
      </c>
      <c r="BF105" s="69">
        <f t="shared" si="216"/>
        <v>122836.68219943164</v>
      </c>
      <c r="BG105" s="69">
        <f t="shared" si="216"/>
        <v>47292.544349967226</v>
      </c>
      <c r="BH105" s="69">
        <f t="shared" si="216"/>
        <v>684213.11749721027</v>
      </c>
      <c r="BI105" s="69">
        <f t="shared" si="216"/>
        <v>163947.45902432731</v>
      </c>
      <c r="BJ105" s="69">
        <f t="shared" si="216"/>
        <v>945544.32035851339</v>
      </c>
      <c r="BK105" s="69">
        <f t="shared" si="216"/>
        <v>304079.91774033301</v>
      </c>
      <c r="BL105" s="69">
        <f t="shared" si="216"/>
        <v>65625.370350826459</v>
      </c>
      <c r="BM105" s="69">
        <f t="shared" si="216"/>
        <v>44302.443026970504</v>
      </c>
      <c r="BN105" s="69">
        <f t="shared" si="216"/>
        <v>701311.81718402205</v>
      </c>
      <c r="BO105" s="69">
        <f t="shared" si="216"/>
        <v>2047401.3837659103</v>
      </c>
      <c r="BP105" s="69">
        <f t="shared" si="216"/>
        <v>2499207.881174115</v>
      </c>
      <c r="BQ105" s="69">
        <f t="shared" ref="BQ105:EB105" si="217">STDEV(BQ3:BQ97)</f>
        <v>952846.82914030319</v>
      </c>
      <c r="BR105" s="69">
        <f t="shared" si="217"/>
        <v>255106.10141400242</v>
      </c>
      <c r="BS105" s="69">
        <f t="shared" si="217"/>
        <v>42358.123644829197</v>
      </c>
      <c r="BT105" s="69">
        <f t="shared" si="217"/>
        <v>211417.46714364472</v>
      </c>
      <c r="BU105" s="69">
        <f t="shared" si="217"/>
        <v>1721759.961016166</v>
      </c>
      <c r="BV105" s="69">
        <f t="shared" si="217"/>
        <v>2131260.8462087298</v>
      </c>
      <c r="BW105" s="69" t="e">
        <f t="shared" si="217"/>
        <v>#REF!</v>
      </c>
      <c r="BX105" s="69" t="e">
        <f t="shared" si="217"/>
        <v>#REF!</v>
      </c>
      <c r="BY105" s="69" t="e">
        <f t="shared" si="217"/>
        <v>#REF!</v>
      </c>
      <c r="BZ105" s="69" t="e">
        <f t="shared" si="217"/>
        <v>#REF!</v>
      </c>
      <c r="CA105" s="69" t="e">
        <f t="shared" si="217"/>
        <v>#REF!</v>
      </c>
      <c r="CB105" s="69" t="e">
        <f t="shared" si="217"/>
        <v>#REF!</v>
      </c>
      <c r="CC105" s="69">
        <f t="shared" si="217"/>
        <v>793535.25706261606</v>
      </c>
      <c r="CD105" s="69">
        <f t="shared" si="217"/>
        <v>109701.27462918026</v>
      </c>
      <c r="CE105" s="69">
        <f t="shared" si="217"/>
        <v>121150.09924691707</v>
      </c>
      <c r="CF105" s="69">
        <f t="shared" si="217"/>
        <v>2127788.4072574978</v>
      </c>
      <c r="CG105" s="69">
        <f t="shared" si="217"/>
        <v>662846.10690299724</v>
      </c>
      <c r="CH105" s="69">
        <f t="shared" si="217"/>
        <v>2968305.5277747842</v>
      </c>
      <c r="CI105" s="69">
        <f t="shared" si="217"/>
        <v>912648.36275539419</v>
      </c>
      <c r="CJ105" s="69">
        <f t="shared" si="217"/>
        <v>276038.09455996688</v>
      </c>
      <c r="CK105" s="69">
        <f t="shared" si="217"/>
        <v>54989.368151492119</v>
      </c>
      <c r="CL105" s="69">
        <f t="shared" si="217"/>
        <v>131313.29613957726</v>
      </c>
      <c r="CM105" s="69">
        <f t="shared" si="217"/>
        <v>63347.286559272768</v>
      </c>
      <c r="CN105" s="69">
        <f t="shared" si="217"/>
        <v>1246102.6728603877</v>
      </c>
      <c r="CO105" s="69">
        <f t="shared" si="217"/>
        <v>2833940.6504873158</v>
      </c>
      <c r="CP105" s="69">
        <f t="shared" si="217"/>
        <v>1369398.592960859</v>
      </c>
      <c r="CQ105" s="69">
        <f t="shared" si="217"/>
        <v>456893.19561795337</v>
      </c>
      <c r="CR105" s="69">
        <f t="shared" si="217"/>
        <v>1930318.09988133</v>
      </c>
      <c r="CS105" s="69">
        <f t="shared" si="217"/>
        <v>15769.742470675577</v>
      </c>
      <c r="CT105" s="69">
        <f t="shared" si="217"/>
        <v>6008545.7846477097</v>
      </c>
      <c r="CU105" s="69">
        <f t="shared" si="217"/>
        <v>375480.80025120231</v>
      </c>
      <c r="CV105" s="69">
        <f t="shared" si="217"/>
        <v>162205.72456743362</v>
      </c>
      <c r="CW105" s="69">
        <f t="shared" si="217"/>
        <v>53175.992926122773</v>
      </c>
      <c r="CX105" s="69">
        <f t="shared" si="217"/>
        <v>82565.695769715938</v>
      </c>
      <c r="CY105" s="69">
        <f t="shared" si="217"/>
        <v>0</v>
      </c>
      <c r="CZ105" s="69">
        <f t="shared" si="217"/>
        <v>606600.75652044709</v>
      </c>
      <c r="DA105" s="69">
        <f t="shared" si="217"/>
        <v>801508.42195086798</v>
      </c>
      <c r="DB105" s="69">
        <f t="shared" si="217"/>
        <v>224314.9439081251</v>
      </c>
      <c r="DC105" s="69">
        <f t="shared" si="217"/>
        <v>117985.79152773283</v>
      </c>
      <c r="DD105" s="69">
        <f t="shared" si="217"/>
        <v>426624.5621037953</v>
      </c>
      <c r="DE105" s="69">
        <f t="shared" si="217"/>
        <v>5874514.187358126</v>
      </c>
      <c r="DF105" s="69">
        <f t="shared" si="217"/>
        <v>6940281.9684223477</v>
      </c>
      <c r="DG105" s="69">
        <f t="shared" si="217"/>
        <v>5621.7990408956284</v>
      </c>
      <c r="DH105" s="69">
        <f t="shared" si="217"/>
        <v>1070.0336778197839</v>
      </c>
      <c r="DI105" s="69">
        <f t="shared" si="217"/>
        <v>825.62910527965425</v>
      </c>
      <c r="DJ105" s="69">
        <f t="shared" si="217"/>
        <v>2663.1516157656947</v>
      </c>
      <c r="DK105" s="69">
        <f t="shared" si="217"/>
        <v>34497.668830188471</v>
      </c>
      <c r="DL105" s="69">
        <f t="shared" si="217"/>
        <v>40604.771836222259</v>
      </c>
      <c r="DM105" s="69">
        <f t="shared" si="217"/>
        <v>541566.22430204577</v>
      </c>
      <c r="DN105" s="69">
        <f t="shared" si="217"/>
        <v>377488.42311925697</v>
      </c>
      <c r="DO105" s="69">
        <f t="shared" si="217"/>
        <v>71182.803019829938</v>
      </c>
      <c r="DP105" s="69">
        <f t="shared" si="217"/>
        <v>429380.8597243735</v>
      </c>
      <c r="DQ105" s="69">
        <f t="shared" si="217"/>
        <v>161327.10375416133</v>
      </c>
      <c r="DR105" s="69">
        <f t="shared" si="217"/>
        <v>874245.84578897385</v>
      </c>
      <c r="DS105" s="69">
        <f t="shared" si="217"/>
        <v>242943.48441751112</v>
      </c>
      <c r="DT105" s="69">
        <f t="shared" si="217"/>
        <v>120263.13220947278</v>
      </c>
      <c r="DU105" s="69">
        <f t="shared" si="217"/>
        <v>59623.345093222524</v>
      </c>
      <c r="DV105" s="69">
        <f t="shared" si="217"/>
        <v>200395.24306821893</v>
      </c>
      <c r="DW105" s="69">
        <f t="shared" si="217"/>
        <v>21149.188176064985</v>
      </c>
      <c r="DX105" s="69">
        <f t="shared" si="217"/>
        <v>547138.53532683197</v>
      </c>
      <c r="DY105" s="69">
        <f t="shared" si="217"/>
        <v>744578.93644728279</v>
      </c>
      <c r="DZ105" s="69">
        <f t="shared" si="217"/>
        <v>414061.03207489836</v>
      </c>
      <c r="EA105" s="69">
        <f t="shared" si="217"/>
        <v>224100.30127848327</v>
      </c>
      <c r="EB105" s="69">
        <f t="shared" si="217"/>
        <v>1082389.2875427182</v>
      </c>
      <c r="EC105" s="69">
        <f t="shared" ref="EC105:GN105" si="218">STDEV(EC3:EC97)</f>
        <v>173304.1669454895</v>
      </c>
      <c r="ED105" s="69">
        <f t="shared" si="218"/>
        <v>2161515.5037955213</v>
      </c>
      <c r="EE105" s="69">
        <f t="shared" si="218"/>
        <v>423952.83452099346</v>
      </c>
      <c r="EF105" s="69">
        <f t="shared" si="218"/>
        <v>99192.143674953302</v>
      </c>
      <c r="EG105" s="69">
        <f t="shared" si="218"/>
        <v>52456.156963069159</v>
      </c>
      <c r="EH105" s="69">
        <f t="shared" si="218"/>
        <v>483804.59833176812</v>
      </c>
      <c r="EI105" s="69">
        <f t="shared" si="218"/>
        <v>489872.17091729247</v>
      </c>
      <c r="EJ105" s="69">
        <f t="shared" si="218"/>
        <v>1162766.7322038354</v>
      </c>
      <c r="EK105" s="69">
        <f t="shared" si="218"/>
        <v>1517173.3845963969</v>
      </c>
      <c r="EL105" s="69">
        <f t="shared" si="218"/>
        <v>330525.87429511239</v>
      </c>
      <c r="EM105" s="69">
        <f t="shared" si="218"/>
        <v>147106.85576669846</v>
      </c>
      <c r="EN105" s="69">
        <f t="shared" si="218"/>
        <v>392052.37143900822</v>
      </c>
      <c r="EO105" s="69">
        <f t="shared" si="218"/>
        <v>1400806.1000280438</v>
      </c>
      <c r="EP105" s="69">
        <f t="shared" si="218"/>
        <v>2717719.1547553823</v>
      </c>
      <c r="EQ105" s="69">
        <f t="shared" si="218"/>
        <v>777085.04869459721</v>
      </c>
      <c r="ER105" s="69">
        <f t="shared" si="218"/>
        <v>144251.9192346129</v>
      </c>
      <c r="ES105" s="69">
        <f t="shared" si="218"/>
        <v>40985.970467496918</v>
      </c>
      <c r="ET105" s="69">
        <f t="shared" si="218"/>
        <v>130505.97083389794</v>
      </c>
      <c r="EU105" s="69">
        <f t="shared" si="218"/>
        <v>1005668.629310767</v>
      </c>
      <c r="EV105" s="69">
        <f t="shared" si="218"/>
        <v>1422417.3440834235</v>
      </c>
      <c r="EW105" s="69">
        <f t="shared" si="218"/>
        <v>95677.469605747639</v>
      </c>
      <c r="EX105" s="69">
        <f t="shared" si="218"/>
        <v>71823.888214654085</v>
      </c>
      <c r="EY105" s="69">
        <f t="shared" si="218"/>
        <v>31358.213365219526</v>
      </c>
      <c r="EZ105" s="69">
        <f t="shared" si="218"/>
        <v>340563.28669222689</v>
      </c>
      <c r="FA105" s="69">
        <f t="shared" si="218"/>
        <v>119560.44553838199</v>
      </c>
      <c r="FB105" s="69">
        <f t="shared" si="218"/>
        <v>515918.11956111708</v>
      </c>
      <c r="FC105" s="69">
        <f t="shared" si="218"/>
        <v>2523185.227421619</v>
      </c>
      <c r="FD105" s="69">
        <f t="shared" si="218"/>
        <v>579578.79853941768</v>
      </c>
      <c r="FE105" s="69">
        <f t="shared" si="218"/>
        <v>229453.21078258078</v>
      </c>
      <c r="FF105" s="69">
        <f t="shared" si="218"/>
        <v>1285803.5474999174</v>
      </c>
      <c r="FG105" s="69">
        <f t="shared" si="218"/>
        <v>7664058.2759796474</v>
      </c>
      <c r="FH105" s="69">
        <f t="shared" si="218"/>
        <v>9334571.7464302685</v>
      </c>
      <c r="FI105" s="69">
        <f t="shared" si="218"/>
        <v>174290.3138897329</v>
      </c>
      <c r="FJ105" s="69">
        <f t="shared" si="218"/>
        <v>26017.47401543201</v>
      </c>
      <c r="FK105" s="69">
        <f t="shared" si="218"/>
        <v>14688.481217488516</v>
      </c>
      <c r="FL105" s="69">
        <f t="shared" si="218"/>
        <v>25445.043105640994</v>
      </c>
      <c r="FM105" s="69">
        <f t="shared" si="218"/>
        <v>272678.86501824402</v>
      </c>
      <c r="FN105" s="69">
        <f t="shared" si="218"/>
        <v>322861.81975845748</v>
      </c>
      <c r="FO105" s="69">
        <f t="shared" si="218"/>
        <v>245895.81242880825</v>
      </c>
      <c r="FP105" s="69">
        <f t="shared" si="218"/>
        <v>129385.31500421076</v>
      </c>
      <c r="FQ105" s="69">
        <f t="shared" si="218"/>
        <v>119159.17161994592</v>
      </c>
      <c r="FR105" s="69">
        <f t="shared" si="218"/>
        <v>301143.3870018624</v>
      </c>
      <c r="FS105" s="69">
        <f t="shared" si="218"/>
        <v>1681298.3327131718</v>
      </c>
      <c r="FT105" s="69">
        <f t="shared" si="218"/>
        <v>1859351.6411004064</v>
      </c>
      <c r="FU105" s="69">
        <f t="shared" si="218"/>
        <v>166832.61791146753</v>
      </c>
      <c r="FV105" s="69">
        <f t="shared" si="218"/>
        <v>22486.366118963844</v>
      </c>
      <c r="FW105" s="69">
        <f t="shared" si="218"/>
        <v>17727.757576337823</v>
      </c>
      <c r="FX105" s="69">
        <f t="shared" si="218"/>
        <v>310589.16808099707</v>
      </c>
      <c r="FY105" s="69">
        <f t="shared" si="218"/>
        <v>470275.48568263045</v>
      </c>
      <c r="FZ105" s="69">
        <f t="shared" si="218"/>
        <v>557778.99610971438</v>
      </c>
      <c r="GA105" s="69">
        <f t="shared" si="218"/>
        <v>34706.759879645921</v>
      </c>
      <c r="GB105" s="69">
        <f t="shared" si="218"/>
        <v>15554.491123575397</v>
      </c>
      <c r="GC105" s="69">
        <f t="shared" si="218"/>
        <v>12289.647721796906</v>
      </c>
      <c r="GD105" s="69">
        <f t="shared" si="218"/>
        <v>24884.641912184332</v>
      </c>
      <c r="GE105" s="69">
        <f t="shared" si="218"/>
        <v>835105.49514316057</v>
      </c>
      <c r="GF105" s="69">
        <f t="shared" si="218"/>
        <v>842361.04718578944</v>
      </c>
      <c r="GG105" s="69">
        <f t="shared" si="218"/>
        <v>1958184.5829328452</v>
      </c>
      <c r="GH105" s="69">
        <f t="shared" si="218"/>
        <v>588885.63361953502</v>
      </c>
      <c r="GI105" s="69">
        <f t="shared" si="218"/>
        <v>102646.0281660653</v>
      </c>
      <c r="GJ105" s="69">
        <f t="shared" si="218"/>
        <v>859662.36776862503</v>
      </c>
      <c r="GK105" s="69">
        <f t="shared" si="218"/>
        <v>3159081.683813266</v>
      </c>
      <c r="GL105" s="69">
        <f t="shared" si="218"/>
        <v>5364364.1536182296</v>
      </c>
      <c r="GM105" s="69">
        <f t="shared" si="218"/>
        <v>9839963.9078683648</v>
      </c>
      <c r="GN105" s="69">
        <f t="shared" si="218"/>
        <v>3262318.6077486607</v>
      </c>
      <c r="GO105" s="69">
        <f t="shared" ref="GO105:HD105" si="219">STDEV(GO3:GO97)</f>
        <v>1200729.4843104298</v>
      </c>
      <c r="GP105" s="69">
        <f t="shared" si="219"/>
        <v>9196184.9009116683</v>
      </c>
      <c r="GQ105" s="69">
        <f t="shared" si="219"/>
        <v>16199887.777853779</v>
      </c>
      <c r="GR105" s="69">
        <f t="shared" si="219"/>
        <v>34717585.975072563</v>
      </c>
      <c r="GS105" s="69">
        <f t="shared" si="219"/>
        <v>220265.94252888527</v>
      </c>
      <c r="GT105" s="69">
        <f t="shared" si="219"/>
        <v>69548.548621440947</v>
      </c>
      <c r="GU105" s="69">
        <f t="shared" si="219"/>
        <v>6966.8445216147793</v>
      </c>
      <c r="GV105" s="69">
        <f t="shared" si="219"/>
        <v>12825.92471739231</v>
      </c>
      <c r="GW105" s="69">
        <f t="shared" si="219"/>
        <v>1881523.283330407</v>
      </c>
      <c r="GX105" s="69">
        <f t="shared" si="219"/>
        <v>1900106.853738843</v>
      </c>
      <c r="GY105" s="69">
        <f t="shared" si="219"/>
        <v>9708795.4879415277</v>
      </c>
      <c r="GZ105" s="69">
        <f t="shared" si="219"/>
        <v>3223857.2804347682</v>
      </c>
      <c r="HA105" s="69">
        <f t="shared" si="219"/>
        <v>1173249.7823121445</v>
      </c>
      <c r="HB105" s="69">
        <f t="shared" si="219"/>
        <v>7267042.0512352865</v>
      </c>
      <c r="HC105" s="69">
        <f t="shared" si="219"/>
        <v>17166260.992615949</v>
      </c>
      <c r="HD105" s="69">
        <f t="shared" si="219"/>
        <v>35282752.931176282</v>
      </c>
    </row>
    <row r="106" spans="1:294">
      <c r="A106" s="67" t="s">
        <v>537</v>
      </c>
      <c r="B106" s="68"/>
      <c r="G106" s="86">
        <f>COUNTIF(G3:G97,"="&amp;0)</f>
        <v>0</v>
      </c>
      <c r="H106" s="86">
        <f t="shared" ref="H106:BA106" si="220">COUNTIF(H3:H97,"="&amp;0)</f>
        <v>0</v>
      </c>
      <c r="I106" s="86">
        <f t="shared" si="220"/>
        <v>0</v>
      </c>
      <c r="J106" s="86">
        <f t="shared" si="220"/>
        <v>0</v>
      </c>
      <c r="K106" s="86">
        <f t="shared" si="220"/>
        <v>9</v>
      </c>
      <c r="L106" s="86">
        <f t="shared" si="220"/>
        <v>9</v>
      </c>
      <c r="M106" s="86">
        <f t="shared" si="220"/>
        <v>0</v>
      </c>
      <c r="N106" s="86">
        <f t="shared" si="220"/>
        <v>0</v>
      </c>
      <c r="O106" s="86">
        <f t="shared" si="220"/>
        <v>9</v>
      </c>
      <c r="P106" s="86">
        <f t="shared" si="220"/>
        <v>9</v>
      </c>
      <c r="Q106" s="86">
        <f t="shared" si="220"/>
        <v>0</v>
      </c>
      <c r="R106" s="86">
        <f t="shared" si="220"/>
        <v>0</v>
      </c>
      <c r="S106" s="86">
        <f t="shared" si="220"/>
        <v>0</v>
      </c>
      <c r="T106" s="86">
        <f t="shared" si="220"/>
        <v>0</v>
      </c>
      <c r="U106" s="86">
        <f t="shared" si="220"/>
        <v>0</v>
      </c>
      <c r="V106" s="86">
        <f t="shared" si="220"/>
        <v>0</v>
      </c>
      <c r="W106" s="86">
        <f t="shared" si="220"/>
        <v>0</v>
      </c>
      <c r="X106" s="86">
        <f t="shared" si="220"/>
        <v>0</v>
      </c>
      <c r="Y106" s="86">
        <f t="shared" si="220"/>
        <v>0</v>
      </c>
      <c r="Z106" s="86">
        <f t="shared" si="220"/>
        <v>0</v>
      </c>
      <c r="AA106" s="86">
        <f t="shared" si="220"/>
        <v>0</v>
      </c>
      <c r="AB106" s="86">
        <f t="shared" si="220"/>
        <v>0</v>
      </c>
      <c r="AC106" s="86">
        <f t="shared" si="220"/>
        <v>0</v>
      </c>
      <c r="AD106" s="86">
        <f t="shared" si="220"/>
        <v>0</v>
      </c>
      <c r="AE106" s="86">
        <f t="shared" si="220"/>
        <v>86</v>
      </c>
      <c r="AF106" s="86">
        <f t="shared" si="220"/>
        <v>0</v>
      </c>
      <c r="AG106" s="86">
        <f t="shared" si="220"/>
        <v>0</v>
      </c>
      <c r="AH106" s="86">
        <f t="shared" si="220"/>
        <v>0</v>
      </c>
      <c r="AI106" s="86">
        <f t="shared" si="220"/>
        <v>0</v>
      </c>
      <c r="AJ106" s="86">
        <f t="shared" si="220"/>
        <v>0</v>
      </c>
      <c r="AK106" s="86">
        <f t="shared" si="220"/>
        <v>0</v>
      </c>
      <c r="AL106" s="86">
        <f t="shared" si="220"/>
        <v>0</v>
      </c>
      <c r="AM106" s="86">
        <f t="shared" si="220"/>
        <v>0</v>
      </c>
      <c r="AN106" s="86">
        <f t="shared" si="220"/>
        <v>0</v>
      </c>
      <c r="AO106" s="86">
        <f t="shared" si="220"/>
        <v>0</v>
      </c>
      <c r="AP106" s="86">
        <f t="shared" si="220"/>
        <v>0</v>
      </c>
      <c r="AQ106" s="86">
        <f t="shared" si="220"/>
        <v>0</v>
      </c>
      <c r="AR106" s="86">
        <f t="shared" si="220"/>
        <v>0</v>
      </c>
      <c r="AS106" s="86">
        <f t="shared" si="220"/>
        <v>0</v>
      </c>
      <c r="AT106" s="86">
        <f t="shared" si="220"/>
        <v>0</v>
      </c>
      <c r="AU106" s="86">
        <f t="shared" si="220"/>
        <v>0</v>
      </c>
      <c r="AV106" s="86">
        <f t="shared" si="220"/>
        <v>0</v>
      </c>
      <c r="AW106" s="86">
        <f t="shared" si="220"/>
        <v>0</v>
      </c>
      <c r="AX106" s="86">
        <f t="shared" si="220"/>
        <v>0</v>
      </c>
      <c r="AY106" s="86">
        <f t="shared" si="220"/>
        <v>0</v>
      </c>
      <c r="AZ106" s="86">
        <f t="shared" si="220"/>
        <v>0</v>
      </c>
      <c r="BA106" s="86">
        <f t="shared" si="220"/>
        <v>10</v>
      </c>
      <c r="BB106" s="86">
        <f t="shared" ref="BB106:BP106" si="221">COUNTIF(BB3:BB97,"="&amp;0)</f>
        <v>1</v>
      </c>
      <c r="BC106" s="86">
        <f t="shared" si="221"/>
        <v>11</v>
      </c>
      <c r="BD106" s="86">
        <f t="shared" si="221"/>
        <v>48</v>
      </c>
      <c r="BE106" s="86">
        <f t="shared" si="221"/>
        <v>46</v>
      </c>
      <c r="BF106" s="86">
        <f t="shared" si="221"/>
        <v>52</v>
      </c>
      <c r="BG106" s="86">
        <f t="shared" si="221"/>
        <v>53</v>
      </c>
      <c r="BH106" s="86">
        <f t="shared" si="221"/>
        <v>46</v>
      </c>
      <c r="BI106" s="86">
        <f t="shared" si="221"/>
        <v>55</v>
      </c>
      <c r="BJ106" s="86">
        <f t="shared" si="221"/>
        <v>37</v>
      </c>
      <c r="BK106" s="86">
        <f t="shared" si="221"/>
        <v>41</v>
      </c>
      <c r="BL106" s="86">
        <f t="shared" si="221"/>
        <v>49</v>
      </c>
      <c r="BM106" s="86">
        <f t="shared" si="221"/>
        <v>54</v>
      </c>
      <c r="BN106" s="86">
        <f t="shared" si="221"/>
        <v>38</v>
      </c>
      <c r="BO106" s="86">
        <f t="shared" si="221"/>
        <v>16</v>
      </c>
      <c r="BP106" s="86">
        <f t="shared" si="221"/>
        <v>10</v>
      </c>
      <c r="BQ106" s="86">
        <f t="shared" ref="BQ106:EB106" si="222">COUNTIF(BQ3:BQ97,"="&amp;0)</f>
        <v>26</v>
      </c>
      <c r="BR106" s="86">
        <f t="shared" si="222"/>
        <v>41</v>
      </c>
      <c r="BS106" s="86">
        <f t="shared" si="222"/>
        <v>46</v>
      </c>
      <c r="BT106" s="86">
        <f t="shared" si="222"/>
        <v>17</v>
      </c>
      <c r="BU106" s="86">
        <f t="shared" si="222"/>
        <v>1</v>
      </c>
      <c r="BV106" s="86">
        <f t="shared" si="222"/>
        <v>1</v>
      </c>
      <c r="BW106" s="86">
        <f t="shared" si="222"/>
        <v>0</v>
      </c>
      <c r="BX106" s="86">
        <f t="shared" si="222"/>
        <v>0</v>
      </c>
      <c r="BY106" s="86">
        <f t="shared" si="222"/>
        <v>0</v>
      </c>
      <c r="BZ106" s="86">
        <f t="shared" si="222"/>
        <v>0</v>
      </c>
      <c r="CA106" s="86">
        <f t="shared" si="222"/>
        <v>0</v>
      </c>
      <c r="CB106" s="86">
        <f t="shared" si="222"/>
        <v>0</v>
      </c>
      <c r="CC106" s="86">
        <f t="shared" si="222"/>
        <v>0</v>
      </c>
      <c r="CD106" s="86">
        <f t="shared" si="222"/>
        <v>0</v>
      </c>
      <c r="CE106" s="86">
        <f t="shared" si="222"/>
        <v>0</v>
      </c>
      <c r="CF106" s="86">
        <f t="shared" si="222"/>
        <v>0</v>
      </c>
      <c r="CG106" s="86">
        <f t="shared" si="222"/>
        <v>17</v>
      </c>
      <c r="CH106" s="86">
        <f t="shared" si="222"/>
        <v>0</v>
      </c>
      <c r="CI106" s="86">
        <f t="shared" si="222"/>
        <v>1</v>
      </c>
      <c r="CJ106" s="86">
        <f t="shared" si="222"/>
        <v>1</v>
      </c>
      <c r="CK106" s="86">
        <f t="shared" si="222"/>
        <v>4</v>
      </c>
      <c r="CL106" s="86">
        <f t="shared" si="222"/>
        <v>5</v>
      </c>
      <c r="CM106" s="86">
        <f t="shared" si="222"/>
        <v>91</v>
      </c>
      <c r="CN106" s="86">
        <f t="shared" si="222"/>
        <v>0</v>
      </c>
      <c r="CO106" s="86">
        <f t="shared" si="222"/>
        <v>0</v>
      </c>
      <c r="CP106" s="86">
        <f t="shared" si="222"/>
        <v>0</v>
      </c>
      <c r="CQ106" s="86">
        <f t="shared" si="222"/>
        <v>0</v>
      </c>
      <c r="CR106" s="86">
        <f t="shared" si="222"/>
        <v>0</v>
      </c>
      <c r="CS106" s="86">
        <f t="shared" si="222"/>
        <v>91</v>
      </c>
      <c r="CT106" s="86">
        <f t="shared" si="222"/>
        <v>0</v>
      </c>
      <c r="CU106" s="86">
        <f t="shared" si="222"/>
        <v>68</v>
      </c>
      <c r="CV106" s="86">
        <f t="shared" si="222"/>
        <v>69</v>
      </c>
      <c r="CW106" s="86">
        <f t="shared" si="222"/>
        <v>73</v>
      </c>
      <c r="CX106" s="86">
        <f t="shared" si="222"/>
        <v>71</v>
      </c>
      <c r="CY106" s="86">
        <f t="shared" si="222"/>
        <v>94</v>
      </c>
      <c r="CZ106" s="86">
        <f t="shared" si="222"/>
        <v>66</v>
      </c>
      <c r="DA106" s="86">
        <f t="shared" si="222"/>
        <v>4</v>
      </c>
      <c r="DB106" s="86">
        <f t="shared" si="222"/>
        <v>6</v>
      </c>
      <c r="DC106" s="86">
        <f t="shared" si="222"/>
        <v>8</v>
      </c>
      <c r="DD106" s="86">
        <f t="shared" si="222"/>
        <v>11</v>
      </c>
      <c r="DE106" s="86">
        <f t="shared" si="222"/>
        <v>0</v>
      </c>
      <c r="DF106" s="86">
        <f t="shared" si="222"/>
        <v>0</v>
      </c>
      <c r="DG106" s="86">
        <f t="shared" si="222"/>
        <v>82</v>
      </c>
      <c r="DH106" s="86">
        <f t="shared" si="222"/>
        <v>88</v>
      </c>
      <c r="DI106" s="86">
        <f t="shared" si="222"/>
        <v>89</v>
      </c>
      <c r="DJ106" s="86">
        <f t="shared" si="222"/>
        <v>88</v>
      </c>
      <c r="DK106" s="86">
        <f t="shared" si="222"/>
        <v>76</v>
      </c>
      <c r="DL106" s="86">
        <f t="shared" si="222"/>
        <v>76</v>
      </c>
      <c r="DM106" s="86">
        <f t="shared" si="222"/>
        <v>57</v>
      </c>
      <c r="DN106" s="86">
        <f t="shared" si="222"/>
        <v>71</v>
      </c>
      <c r="DO106" s="86">
        <f t="shared" si="222"/>
        <v>76</v>
      </c>
      <c r="DP106" s="86">
        <f t="shared" si="222"/>
        <v>66</v>
      </c>
      <c r="DQ106" s="86">
        <f t="shared" si="222"/>
        <v>67</v>
      </c>
      <c r="DR106" s="86">
        <f t="shared" si="222"/>
        <v>39</v>
      </c>
      <c r="DS106" s="86">
        <f t="shared" si="222"/>
        <v>0</v>
      </c>
      <c r="DT106" s="86">
        <f t="shared" si="222"/>
        <v>0</v>
      </c>
      <c r="DU106" s="86">
        <f t="shared" si="222"/>
        <v>0</v>
      </c>
      <c r="DV106" s="86">
        <f t="shared" si="222"/>
        <v>0</v>
      </c>
      <c r="DW106" s="86">
        <f t="shared" si="222"/>
        <v>63</v>
      </c>
      <c r="DX106" s="86">
        <f t="shared" si="222"/>
        <v>0</v>
      </c>
      <c r="DY106" s="86">
        <f t="shared" si="222"/>
        <v>0</v>
      </c>
      <c r="DZ106" s="86">
        <f t="shared" si="222"/>
        <v>0</v>
      </c>
      <c r="EA106" s="86">
        <f t="shared" si="222"/>
        <v>0</v>
      </c>
      <c r="EB106" s="86">
        <f t="shared" si="222"/>
        <v>0</v>
      </c>
      <c r="EC106" s="86">
        <f t="shared" ref="EC106:GN106" si="223">COUNTIF(EC3:EC97,"="&amp;0)</f>
        <v>44</v>
      </c>
      <c r="ED106" s="86">
        <f t="shared" si="223"/>
        <v>0</v>
      </c>
      <c r="EE106" s="86">
        <f t="shared" si="223"/>
        <v>0</v>
      </c>
      <c r="EF106" s="86">
        <f t="shared" si="223"/>
        <v>0</v>
      </c>
      <c r="EG106" s="86">
        <f t="shared" si="223"/>
        <v>0</v>
      </c>
      <c r="EH106" s="86">
        <f t="shared" si="223"/>
        <v>0</v>
      </c>
      <c r="EI106" s="86">
        <f t="shared" si="223"/>
        <v>20</v>
      </c>
      <c r="EJ106" s="86">
        <f t="shared" si="223"/>
        <v>0</v>
      </c>
      <c r="EK106" s="86">
        <f t="shared" si="223"/>
        <v>3</v>
      </c>
      <c r="EL106" s="86">
        <f t="shared" si="223"/>
        <v>2</v>
      </c>
      <c r="EM106" s="86">
        <f t="shared" si="223"/>
        <v>3</v>
      </c>
      <c r="EN106" s="86">
        <f t="shared" si="223"/>
        <v>2</v>
      </c>
      <c r="EO106" s="86">
        <f t="shared" si="223"/>
        <v>32</v>
      </c>
      <c r="EP106" s="86">
        <f t="shared" si="223"/>
        <v>0</v>
      </c>
      <c r="EQ106" s="86">
        <f t="shared" si="223"/>
        <v>26</v>
      </c>
      <c r="ER106" s="86">
        <f t="shared" si="223"/>
        <v>31</v>
      </c>
      <c r="ES106" s="86">
        <f t="shared" si="223"/>
        <v>34</v>
      </c>
      <c r="ET106" s="86">
        <f t="shared" si="223"/>
        <v>25</v>
      </c>
      <c r="EU106" s="86">
        <f t="shared" si="223"/>
        <v>1</v>
      </c>
      <c r="EV106" s="86">
        <f t="shared" si="223"/>
        <v>0</v>
      </c>
      <c r="EW106" s="86">
        <f t="shared" si="223"/>
        <v>53</v>
      </c>
      <c r="EX106" s="86">
        <f t="shared" si="223"/>
        <v>60</v>
      </c>
      <c r="EY106" s="86">
        <f t="shared" si="223"/>
        <v>58</v>
      </c>
      <c r="EZ106" s="86">
        <f t="shared" si="223"/>
        <v>53</v>
      </c>
      <c r="FA106" s="86">
        <f t="shared" si="223"/>
        <v>60</v>
      </c>
      <c r="FB106" s="86">
        <f t="shared" si="223"/>
        <v>45</v>
      </c>
      <c r="FC106" s="86">
        <f t="shared" si="223"/>
        <v>10</v>
      </c>
      <c r="FD106" s="86">
        <f t="shared" si="223"/>
        <v>18</v>
      </c>
      <c r="FE106" s="86">
        <f t="shared" si="223"/>
        <v>18</v>
      </c>
      <c r="FF106" s="86">
        <f t="shared" si="223"/>
        <v>9</v>
      </c>
      <c r="FG106" s="86">
        <f t="shared" si="223"/>
        <v>2</v>
      </c>
      <c r="FH106" s="86">
        <f t="shared" si="223"/>
        <v>0</v>
      </c>
      <c r="FI106" s="86">
        <f t="shared" si="223"/>
        <v>74</v>
      </c>
      <c r="FJ106" s="86">
        <f t="shared" si="223"/>
        <v>81</v>
      </c>
      <c r="FK106" s="86">
        <f t="shared" si="223"/>
        <v>81</v>
      </c>
      <c r="FL106" s="86">
        <f t="shared" si="223"/>
        <v>87</v>
      </c>
      <c r="FM106" s="86">
        <f t="shared" si="223"/>
        <v>15</v>
      </c>
      <c r="FN106" s="86">
        <f t="shared" si="223"/>
        <v>10</v>
      </c>
      <c r="FO106" s="86">
        <f t="shared" si="223"/>
        <v>83</v>
      </c>
      <c r="FP106" s="86">
        <f t="shared" si="223"/>
        <v>82</v>
      </c>
      <c r="FQ106" s="86">
        <f t="shared" si="223"/>
        <v>84</v>
      </c>
      <c r="FR106" s="86">
        <f t="shared" si="223"/>
        <v>84</v>
      </c>
      <c r="FS106" s="86">
        <f t="shared" si="223"/>
        <v>48</v>
      </c>
      <c r="FT106" s="86">
        <f t="shared" si="223"/>
        <v>45</v>
      </c>
      <c r="FU106" s="86">
        <f t="shared" si="223"/>
        <v>35</v>
      </c>
      <c r="FV106" s="86">
        <f t="shared" si="223"/>
        <v>38</v>
      </c>
      <c r="FW106" s="86">
        <f t="shared" si="223"/>
        <v>45</v>
      </c>
      <c r="FX106" s="86">
        <f t="shared" si="223"/>
        <v>35</v>
      </c>
      <c r="FY106" s="86">
        <f t="shared" si="223"/>
        <v>6</v>
      </c>
      <c r="FZ106" s="86">
        <f t="shared" si="223"/>
        <v>0</v>
      </c>
      <c r="GA106" s="86">
        <f t="shared" si="223"/>
        <v>13</v>
      </c>
      <c r="GB106" s="86">
        <f t="shared" si="223"/>
        <v>10</v>
      </c>
      <c r="GC106" s="86">
        <f t="shared" si="223"/>
        <v>12</v>
      </c>
      <c r="GD106" s="86">
        <f t="shared" si="223"/>
        <v>3</v>
      </c>
      <c r="GE106" s="86">
        <f t="shared" si="223"/>
        <v>3</v>
      </c>
      <c r="GF106" s="86">
        <f t="shared" si="223"/>
        <v>0</v>
      </c>
      <c r="GG106" s="86">
        <f t="shared" si="223"/>
        <v>4</v>
      </c>
      <c r="GH106" s="86">
        <f t="shared" si="223"/>
        <v>4</v>
      </c>
      <c r="GI106" s="86">
        <f t="shared" si="223"/>
        <v>4</v>
      </c>
      <c r="GJ106" s="86">
        <f t="shared" si="223"/>
        <v>4</v>
      </c>
      <c r="GK106" s="86">
        <f t="shared" si="223"/>
        <v>2</v>
      </c>
      <c r="GL106" s="86">
        <f t="shared" si="223"/>
        <v>0</v>
      </c>
      <c r="GM106" s="86">
        <f t="shared" si="223"/>
        <v>0</v>
      </c>
      <c r="GN106" s="86">
        <f t="shared" si="223"/>
        <v>0</v>
      </c>
      <c r="GO106" s="86">
        <f t="shared" ref="GO106:HD106" si="224">COUNTIF(GO3:GO97,"="&amp;0)</f>
        <v>0</v>
      </c>
      <c r="GP106" s="86">
        <f t="shared" si="224"/>
        <v>0</v>
      </c>
      <c r="GQ106" s="86">
        <f t="shared" si="224"/>
        <v>1</v>
      </c>
      <c r="GR106" s="86">
        <f t="shared" si="224"/>
        <v>0</v>
      </c>
      <c r="GS106" s="86">
        <f t="shared" si="224"/>
        <v>92</v>
      </c>
      <c r="GT106" s="86">
        <f t="shared" si="224"/>
        <v>91</v>
      </c>
      <c r="GU106" s="86">
        <f t="shared" si="224"/>
        <v>93</v>
      </c>
      <c r="GV106" s="86">
        <f t="shared" si="224"/>
        <v>93</v>
      </c>
      <c r="GW106" s="86">
        <f t="shared" si="224"/>
        <v>70</v>
      </c>
      <c r="GX106" s="86">
        <f t="shared" si="224"/>
        <v>70</v>
      </c>
      <c r="GY106" s="86">
        <f t="shared" si="224"/>
        <v>0</v>
      </c>
      <c r="GZ106" s="86">
        <f t="shared" si="224"/>
        <v>0</v>
      </c>
      <c r="HA106" s="86">
        <f t="shared" si="224"/>
        <v>0</v>
      </c>
      <c r="HB106" s="86">
        <f t="shared" si="224"/>
        <v>0</v>
      </c>
      <c r="HC106" s="86">
        <f t="shared" si="224"/>
        <v>0</v>
      </c>
      <c r="HD106" s="86">
        <f t="shared" si="224"/>
        <v>0</v>
      </c>
    </row>
  </sheetData>
  <sortState ref="A3:HD97">
    <sortCondition ref="A3:A97"/>
  </sortState>
  <conditionalFormatting sqref="EK75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California</vt:lpstr>
      <vt:lpstr>Illinois</vt:lpstr>
      <vt:lpstr>Texas</vt:lpstr>
      <vt:lpstr>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Miles Russell</cp:lastModifiedBy>
  <dcterms:created xsi:type="dcterms:W3CDTF">2017-10-03T17:07:31Z</dcterms:created>
  <dcterms:modified xsi:type="dcterms:W3CDTF">2018-07-01T16:57:15Z</dcterms:modified>
</cp:coreProperties>
</file>