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egam\OneDrive\Desktop\MoCloScript\"/>
    </mc:Choice>
  </mc:AlternateContent>
  <xr:revisionPtr revIDLastSave="0" documentId="13_ncr:1_{0954AD82-47FE-4838-8BA8-100392AFD3A0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MoClo Golden Gate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abGYdgEHjWzyyQXlO7MYLDmPPnIu3CeCaqRtg1HMDA="/>
    </ext>
  </extLst>
</workbook>
</file>

<file path=xl/calcChain.xml><?xml version="1.0" encoding="utf-8"?>
<calcChain xmlns="http://schemas.openxmlformats.org/spreadsheetml/2006/main">
  <c r="C8" i="2" l="1"/>
  <c r="F8" i="2"/>
  <c r="B8" i="2"/>
  <c r="K8" i="2"/>
  <c r="D8" i="2"/>
  <c r="H8" i="2" s="1"/>
  <c r="K2" i="2"/>
  <c r="K3" i="2"/>
  <c r="F3" i="2"/>
  <c r="I2" i="2"/>
  <c r="E16" i="1"/>
  <c r="N2" i="1" s="1"/>
  <c r="O2" i="1" s="1"/>
  <c r="P2" i="1" s="1"/>
  <c r="E36" i="1"/>
  <c r="F36" i="1" s="1"/>
  <c r="D35" i="1"/>
  <c r="F35" i="1"/>
  <c r="E35" i="1" s="1"/>
  <c r="E34" i="1"/>
  <c r="F34" i="1" s="1"/>
  <c r="H34" i="1" s="1"/>
  <c r="N8" i="1"/>
  <c r="O8" i="1" s="1"/>
  <c r="P8" i="1" s="1"/>
  <c r="H19" i="1"/>
  <c r="E25" i="1"/>
  <c r="F25" i="1" s="1"/>
  <c r="H25" i="1" s="1"/>
  <c r="E30" i="1"/>
  <c r="F30" i="1" s="1"/>
  <c r="H30" i="1" s="1"/>
  <c r="N7" i="1"/>
  <c r="O7" i="1" s="1"/>
  <c r="P7" i="1" s="1"/>
  <c r="Q8" i="1"/>
  <c r="N6" i="1"/>
  <c r="O6" i="1" s="1"/>
  <c r="P6" i="1" s="1"/>
  <c r="N5" i="1"/>
  <c r="O5" i="1" s="1"/>
  <c r="P5" i="1" s="1"/>
  <c r="Q4" i="1"/>
  <c r="N4" i="1"/>
  <c r="O4" i="1" s="1"/>
  <c r="P4" i="1" s="1"/>
  <c r="Q3" i="1"/>
  <c r="N3" i="1"/>
  <c r="O3" i="1" s="1"/>
  <c r="P3" i="1" s="1"/>
  <c r="Q2" i="1"/>
  <c r="L8" i="2" l="1"/>
  <c r="F2" i="2"/>
  <c r="G2" i="2" s="1"/>
  <c r="F16" i="1"/>
  <c r="I16" i="1" s="1"/>
  <c r="P9" i="1"/>
  <c r="P10" i="1" s="1"/>
  <c r="G36" i="1"/>
  <c r="M8" i="2" l="1"/>
  <c r="N8" i="2" s="1"/>
</calcChain>
</file>

<file path=xl/sharedStrings.xml><?xml version="1.0" encoding="utf-8"?>
<sst xmlns="http://schemas.openxmlformats.org/spreadsheetml/2006/main" count="122" uniqueCount="62">
  <si>
    <t>Sequence</t>
  </si>
  <si>
    <t>Total Bases</t>
  </si>
  <si>
    <t>Concentration</t>
  </si>
  <si>
    <t>Dilution</t>
  </si>
  <si>
    <t>Bin</t>
  </si>
  <si>
    <t>Start</t>
  </si>
  <si>
    <t>End</t>
  </si>
  <si>
    <t>Length</t>
  </si>
  <si>
    <t>Orientation</t>
  </si>
  <si>
    <t>Type IIS enzyme</t>
  </si>
  <si>
    <t>Fragment production method</t>
  </si>
  <si>
    <t>Status</t>
  </si>
  <si>
    <t>Total fmol</t>
  </si>
  <si>
    <t>Fragment (ng)</t>
  </si>
  <si>
    <t>Plasmid DNA (ng)</t>
  </si>
  <si>
    <t>Vol (µL)</t>
  </si>
  <si>
    <t>extra bases</t>
  </si>
  <si>
    <t>pMYT041</t>
  </si>
  <si>
    <t>Backbone</t>
  </si>
  <si>
    <t>Forward</t>
  </si>
  <si>
    <t>BsaI</t>
  </si>
  <si>
    <t>Use existing cut sites</t>
  </si>
  <si>
    <t>Success</t>
  </si>
  <si>
    <t>pYTK023</t>
  </si>
  <si>
    <t>2-promoter</t>
  </si>
  <si>
    <t>pYTK040</t>
  </si>
  <si>
    <t>3a-N-tag</t>
  </si>
  <si>
    <t>ARF6_DBD_CO_3b1</t>
  </si>
  <si>
    <t>3b1-CDS</t>
  </si>
  <si>
    <t>ARF6_MR_CO_3b2</t>
  </si>
  <si>
    <t>3b2-CDS</t>
  </si>
  <si>
    <t>ARF6_PB1_CO_3b3</t>
  </si>
  <si>
    <t>3b3-CDS</t>
  </si>
  <si>
    <t>DNA Sum</t>
  </si>
  <si>
    <r>
      <rPr>
        <sz val="12"/>
        <color theme="1"/>
        <rFont val="Calibri"/>
      </rPr>
      <t>dH</t>
    </r>
    <r>
      <rPr>
        <vertAlign val="subscript"/>
        <sz val="12"/>
        <color theme="1"/>
        <rFont val="Calibri"/>
      </rPr>
      <t>2</t>
    </r>
    <r>
      <rPr>
        <sz val="12"/>
        <color theme="1"/>
        <rFont val="Calibri"/>
      </rPr>
      <t>O</t>
    </r>
  </si>
  <si>
    <t>T4 DNA Ligase Buffer 10x</t>
  </si>
  <si>
    <t>GGA Assembly Mix</t>
  </si>
  <si>
    <t>Total Reaction Volume</t>
  </si>
  <si>
    <t>Total bases</t>
  </si>
  <si>
    <t>Insert Length</t>
  </si>
  <si>
    <t>total fmol</t>
  </si>
  <si>
    <t>Fragments ng</t>
  </si>
  <si>
    <t>Plasmid DNA(ng)</t>
  </si>
  <si>
    <t>Vol (ul)</t>
  </si>
  <si>
    <t>Final Stock Con (ng/ul)</t>
  </si>
  <si>
    <t>pAGM1299</t>
  </si>
  <si>
    <t>Total Bases?</t>
  </si>
  <si>
    <t>find fmol</t>
  </si>
  <si>
    <t>solve for vol</t>
  </si>
  <si>
    <t>dna g/mol/bp</t>
  </si>
  <si>
    <t>Name</t>
  </si>
  <si>
    <t>Concentration(ng/ul)</t>
  </si>
  <si>
    <t>total mol</t>
  </si>
  <si>
    <t>total vol</t>
  </si>
  <si>
    <t>mol/L concentration</t>
  </si>
  <si>
    <t>conversion of g/mol/bp</t>
  </si>
  <si>
    <t>bp total</t>
  </si>
  <si>
    <t>bp insert</t>
  </si>
  <si>
    <t>ratio</t>
  </si>
  <si>
    <t>con w g/L</t>
  </si>
  <si>
    <t>con g/L/bp</t>
  </si>
  <si>
    <t>Needed con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</si>
</sst>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</font>
    <font>
      <sz val="12"/>
      <color theme="1"/>
      <name val="Aptos Narrow"/>
      <scheme val="minor"/>
    </font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vertAlign val="subscript"/>
      <sz val="12"/>
      <color theme="1"/>
      <name val="Calibri"/>
    </font>
    <font>
      <sz val="12"/>
      <color rgb="FFFF0000"/>
      <name val="Arial"/>
    </font>
    <font>
      <sz val="12"/>
      <color rgb="FFFF0000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theme="4"/>
      <name val="Arial"/>
      <family val="2"/>
    </font>
    <font>
      <sz val="12"/>
      <color theme="4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2" fontId="5" fillId="2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2" fontId="6" fillId="0" borderId="3" xfId="0" applyNumberFormat="1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4" sqref="C4"/>
    </sheetView>
  </sheetViews>
  <sheetFormatPr defaultColWidth="11.25" defaultRowHeight="15" customHeight="1" x14ac:dyDescent="0.5"/>
  <cols>
    <col min="1" max="1" width="12.5" customWidth="1"/>
    <col min="2" max="2" width="10.75" customWidth="1"/>
    <col min="3" max="3" width="12.4375" customWidth="1"/>
    <col min="4" max="4" width="10.5625" customWidth="1"/>
    <col min="5" max="5" width="14.3125" customWidth="1"/>
    <col min="6" max="6" width="14.875" customWidth="1"/>
    <col min="7" max="13" width="10.5625" customWidth="1"/>
    <col min="14" max="14" width="14.75" customWidth="1"/>
    <col min="15" max="15" width="16.3125" customWidth="1"/>
    <col min="16" max="27" width="10.5625" customWidth="1"/>
  </cols>
  <sheetData>
    <row r="1" spans="1:27" ht="15.75" customHeight="1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5">
      <c r="A2" s="3" t="s">
        <v>17</v>
      </c>
      <c r="B2" s="3">
        <v>3292</v>
      </c>
      <c r="C2" s="3">
        <v>200</v>
      </c>
      <c r="D2" s="4">
        <v>4</v>
      </c>
      <c r="E2" s="3" t="s">
        <v>18</v>
      </c>
      <c r="F2" s="3">
        <v>1235</v>
      </c>
      <c r="G2" s="3">
        <v>204</v>
      </c>
      <c r="H2" s="3">
        <v>2262</v>
      </c>
      <c r="I2" s="3" t="s">
        <v>19</v>
      </c>
      <c r="J2" s="3" t="s">
        <v>20</v>
      </c>
      <c r="K2" s="3" t="s">
        <v>21</v>
      </c>
      <c r="L2" s="3" t="s">
        <v>22</v>
      </c>
      <c r="M2" s="3">
        <v>25</v>
      </c>
      <c r="N2" s="3">
        <f>E16</f>
        <v>3.25</v>
      </c>
      <c r="O2" s="3">
        <f t="shared" ref="O2:O7" si="0">N2*B2/H2</f>
        <v>4.7298850574712645</v>
      </c>
      <c r="P2" s="3">
        <f>O2/C2*D2</f>
        <v>9.4597701149425284E-2</v>
      </c>
      <c r="Q2" s="3">
        <f t="shared" ref="Q2:Q4" si="1">B2-H2</f>
        <v>1030</v>
      </c>
    </row>
    <row r="3" spans="1:27" ht="15.75" customHeight="1" x14ac:dyDescent="0.5">
      <c r="A3" s="3" t="s">
        <v>23</v>
      </c>
      <c r="B3" s="3">
        <v>2371</v>
      </c>
      <c r="C3" s="3">
        <v>221</v>
      </c>
      <c r="D3" s="4">
        <v>4</v>
      </c>
      <c r="E3" s="3" t="s">
        <v>24</v>
      </c>
      <c r="F3" s="3">
        <v>10</v>
      </c>
      <c r="G3" s="3">
        <v>718</v>
      </c>
      <c r="H3" s="3">
        <v>709</v>
      </c>
      <c r="I3" s="3" t="s">
        <v>19</v>
      </c>
      <c r="J3" s="3" t="s">
        <v>20</v>
      </c>
      <c r="K3" s="3" t="s">
        <v>21</v>
      </c>
      <c r="L3" s="3" t="s">
        <v>22</v>
      </c>
      <c r="M3" s="3">
        <v>50</v>
      </c>
      <c r="N3" s="3">
        <f t="shared" ref="N3:N6" si="2">(650*H3*M3*(10^-6))</f>
        <v>23.0425</v>
      </c>
      <c r="O3" s="3">
        <f t="shared" si="0"/>
        <v>77.057500000000005</v>
      </c>
      <c r="P3" s="3">
        <f t="shared" ref="P3:P7" si="3">O3/C3*D3</f>
        <v>1.3947058823529412</v>
      </c>
      <c r="Q3" s="3">
        <f t="shared" si="1"/>
        <v>1662</v>
      </c>
    </row>
    <row r="4" spans="1:27" ht="15.75" customHeight="1" x14ac:dyDescent="0.5">
      <c r="A4" s="3" t="s">
        <v>25</v>
      </c>
      <c r="B4" s="3">
        <v>1761</v>
      </c>
      <c r="C4" s="3">
        <v>20</v>
      </c>
      <c r="D4" s="4">
        <v>1</v>
      </c>
      <c r="E4" s="3" t="s">
        <v>26</v>
      </c>
      <c r="F4" s="3">
        <v>10</v>
      </c>
      <c r="G4" s="3">
        <v>108</v>
      </c>
      <c r="H4" s="3">
        <v>99</v>
      </c>
      <c r="I4" s="3" t="s">
        <v>19</v>
      </c>
      <c r="J4" s="3" t="s">
        <v>20</v>
      </c>
      <c r="K4" s="3" t="s">
        <v>21</v>
      </c>
      <c r="L4" s="3" t="s">
        <v>22</v>
      </c>
      <c r="M4" s="3">
        <v>50</v>
      </c>
      <c r="N4" s="3">
        <f t="shared" si="2"/>
        <v>3.2174999999999998</v>
      </c>
      <c r="O4" s="3">
        <f t="shared" si="0"/>
        <v>57.232500000000002</v>
      </c>
      <c r="P4" s="3">
        <f t="shared" si="3"/>
        <v>2.8616250000000001</v>
      </c>
      <c r="Q4" s="3">
        <f t="shared" si="1"/>
        <v>1662</v>
      </c>
    </row>
    <row r="5" spans="1:27" ht="15.75" customHeight="1" x14ac:dyDescent="0.5">
      <c r="A5" s="3" t="s">
        <v>27</v>
      </c>
      <c r="C5" s="3">
        <v>250</v>
      </c>
      <c r="D5" s="4">
        <v>1</v>
      </c>
      <c r="E5" s="3" t="s">
        <v>28</v>
      </c>
      <c r="F5" s="3">
        <v>21</v>
      </c>
      <c r="G5" s="3">
        <v>1184</v>
      </c>
      <c r="H5" s="3">
        <v>1164</v>
      </c>
      <c r="I5" s="3" t="s">
        <v>19</v>
      </c>
      <c r="J5" s="3" t="s">
        <v>20</v>
      </c>
      <c r="K5" s="3" t="s">
        <v>21</v>
      </c>
      <c r="L5" s="3" t="s">
        <v>22</v>
      </c>
      <c r="M5" s="3">
        <v>50</v>
      </c>
      <c r="N5" s="3">
        <f t="shared" si="2"/>
        <v>37.83</v>
      </c>
      <c r="O5" s="3">
        <f t="shared" si="0"/>
        <v>0</v>
      </c>
      <c r="P5" s="3">
        <f t="shared" si="3"/>
        <v>0</v>
      </c>
    </row>
    <row r="6" spans="1:27" ht="15.75" customHeight="1" x14ac:dyDescent="0.5">
      <c r="A6" s="3" t="s">
        <v>29</v>
      </c>
      <c r="C6" s="3">
        <v>80</v>
      </c>
      <c r="D6" s="4">
        <v>1</v>
      </c>
      <c r="E6" s="3" t="s">
        <v>30</v>
      </c>
      <c r="F6" s="3">
        <v>21</v>
      </c>
      <c r="G6" s="3">
        <v>1265</v>
      </c>
      <c r="H6" s="3">
        <v>1245</v>
      </c>
      <c r="I6" s="3" t="s">
        <v>19</v>
      </c>
      <c r="J6" s="3" t="s">
        <v>20</v>
      </c>
      <c r="K6" s="3" t="s">
        <v>21</v>
      </c>
      <c r="L6" s="3" t="s">
        <v>22</v>
      </c>
      <c r="M6" s="3">
        <v>50</v>
      </c>
      <c r="N6" s="3">
        <f t="shared" si="2"/>
        <v>40.462499999999999</v>
      </c>
      <c r="O6" s="3">
        <f t="shared" si="0"/>
        <v>0</v>
      </c>
      <c r="P6" s="3">
        <f t="shared" si="3"/>
        <v>0</v>
      </c>
    </row>
    <row r="7" spans="1:27" ht="15.75" customHeight="1" x14ac:dyDescent="0.5">
      <c r="A7" s="3" t="s">
        <v>31</v>
      </c>
      <c r="C7" s="3">
        <v>100</v>
      </c>
      <c r="D7" s="4">
        <v>1</v>
      </c>
      <c r="E7" s="3" t="s">
        <v>32</v>
      </c>
      <c r="F7" s="3">
        <v>21</v>
      </c>
      <c r="G7" s="3">
        <v>431</v>
      </c>
      <c r="H7" s="3">
        <v>411</v>
      </c>
      <c r="I7" s="3" t="s">
        <v>19</v>
      </c>
      <c r="J7" s="3" t="s">
        <v>20</v>
      </c>
      <c r="K7" s="3" t="s">
        <v>21</v>
      </c>
      <c r="L7" s="3" t="s">
        <v>22</v>
      </c>
      <c r="M7" s="3">
        <v>50</v>
      </c>
      <c r="N7" s="3">
        <f>(650*H7*M7*(10^-6))</f>
        <v>13.3575</v>
      </c>
      <c r="O7" s="3">
        <f t="shared" si="0"/>
        <v>0</v>
      </c>
      <c r="P7" s="3">
        <f t="shared" si="3"/>
        <v>0</v>
      </c>
    </row>
    <row r="8" spans="1:27" ht="15.75" customHeight="1" x14ac:dyDescent="0.5">
      <c r="A8" s="3" t="s">
        <v>45</v>
      </c>
      <c r="B8" s="3">
        <v>2846</v>
      </c>
      <c r="C8">
        <v>100</v>
      </c>
      <c r="D8" s="4"/>
      <c r="E8" s="3"/>
      <c r="F8" s="3"/>
      <c r="G8" s="3"/>
      <c r="H8" s="3">
        <v>2247</v>
      </c>
      <c r="I8" s="3"/>
      <c r="J8" s="3"/>
      <c r="K8" s="3"/>
      <c r="L8" s="3"/>
      <c r="M8" s="3">
        <v>50</v>
      </c>
      <c r="N8" s="3">
        <f>(650*H8*M8*(10^-6))</f>
        <v>73.027500000000003</v>
      </c>
      <c r="O8" s="3">
        <f>N8*B8/H8</f>
        <v>92.495000000000005</v>
      </c>
      <c r="P8" s="3">
        <f>O8/C8*D8</f>
        <v>0</v>
      </c>
      <c r="Q8" s="3">
        <f>B8-H8</f>
        <v>599</v>
      </c>
    </row>
    <row r="9" spans="1:27" ht="15.75" customHeight="1" x14ac:dyDescent="0.5">
      <c r="N9" s="5"/>
      <c r="O9" s="5" t="s">
        <v>33</v>
      </c>
      <c r="P9" s="6">
        <f>SUM(P1:P8)</f>
        <v>4.3509285835023661</v>
      </c>
    </row>
    <row r="10" spans="1:27" ht="15.75" customHeight="1" x14ac:dyDescent="0.5">
      <c r="N10" s="7" t="s">
        <v>34</v>
      </c>
      <c r="O10" s="8"/>
      <c r="P10" s="9">
        <f>P13-P12-P11-P9</f>
        <v>4.1490714164976339</v>
      </c>
    </row>
    <row r="11" spans="1:27" ht="15.75" customHeight="1" x14ac:dyDescent="0.5">
      <c r="N11" s="7" t="s">
        <v>35</v>
      </c>
      <c r="O11" s="8"/>
      <c r="P11" s="9">
        <v>1</v>
      </c>
    </row>
    <row r="12" spans="1:27" ht="15.75" customHeight="1" x14ac:dyDescent="0.5">
      <c r="N12" s="7" t="s">
        <v>36</v>
      </c>
      <c r="O12" s="8"/>
      <c r="P12" s="9">
        <v>0.5</v>
      </c>
    </row>
    <row r="13" spans="1:27" ht="15.75" customHeight="1" x14ac:dyDescent="0.5">
      <c r="N13" s="10" t="s">
        <v>37</v>
      </c>
      <c r="O13" s="10"/>
      <c r="P13" s="11">
        <v>10</v>
      </c>
    </row>
    <row r="14" spans="1:27" ht="15.75" customHeight="1" x14ac:dyDescent="0.5"/>
    <row r="15" spans="1:27" ht="15.75" customHeight="1" x14ac:dyDescent="0.5">
      <c r="B15" s="15" t="s">
        <v>38</v>
      </c>
      <c r="C15" s="15" t="s">
        <v>39</v>
      </c>
      <c r="D15" s="15" t="s">
        <v>40</v>
      </c>
      <c r="E15" s="15" t="s">
        <v>41</v>
      </c>
      <c r="F15" s="15" t="s">
        <v>42</v>
      </c>
      <c r="G15" s="15" t="s">
        <v>43</v>
      </c>
      <c r="H15" s="15"/>
      <c r="I15" s="15" t="s">
        <v>44</v>
      </c>
    </row>
    <row r="16" spans="1:27" ht="15.75" customHeight="1" x14ac:dyDescent="0.5">
      <c r="B16">
        <v>2560</v>
      </c>
      <c r="C16">
        <v>200</v>
      </c>
      <c r="D16">
        <v>25</v>
      </c>
      <c r="E16">
        <f>(650*C16*D16*(10^-6))</f>
        <v>3.25</v>
      </c>
      <c r="F16">
        <f>E16*B16/C16</f>
        <v>41.6</v>
      </c>
      <c r="G16">
        <v>0.5</v>
      </c>
      <c r="I16">
        <f>F16/G16</f>
        <v>83.2</v>
      </c>
      <c r="L16" s="16"/>
      <c r="M16" s="16"/>
    </row>
    <row r="17" spans="2:13" ht="15.75" customHeight="1" x14ac:dyDescent="0.5">
      <c r="M17" s="16"/>
    </row>
    <row r="18" spans="2:13" ht="15.75" customHeight="1" x14ac:dyDescent="0.5">
      <c r="B18" t="s">
        <v>0</v>
      </c>
      <c r="C18" t="s">
        <v>4</v>
      </c>
      <c r="D18" t="s">
        <v>5</v>
      </c>
      <c r="E18" t="s">
        <v>6</v>
      </c>
      <c r="F18" t="s">
        <v>7</v>
      </c>
      <c r="H18" t="s">
        <v>46</v>
      </c>
    </row>
    <row r="19" spans="2:13" ht="15.75" customHeight="1" x14ac:dyDescent="0.5">
      <c r="B19" t="s">
        <v>45</v>
      </c>
      <c r="C19" t="s">
        <v>18</v>
      </c>
      <c r="D19">
        <v>2830</v>
      </c>
      <c r="E19">
        <v>2231</v>
      </c>
      <c r="F19">
        <v>2247</v>
      </c>
      <c r="H19">
        <f>D19-E19+F19</f>
        <v>2846</v>
      </c>
    </row>
    <row r="20" spans="2:13" ht="15.75" customHeight="1" x14ac:dyDescent="0.5"/>
    <row r="21" spans="2:13" ht="15.75" customHeight="1" x14ac:dyDescent="0.5">
      <c r="B21" t="s">
        <v>5</v>
      </c>
      <c r="C21" t="s">
        <v>6</v>
      </c>
    </row>
    <row r="22" spans="2:13" ht="15.75" customHeight="1" x14ac:dyDescent="0.5">
      <c r="B22" s="3">
        <v>10</v>
      </c>
      <c r="C22" s="3">
        <v>108</v>
      </c>
    </row>
    <row r="23" spans="2:13" ht="15.75" customHeight="1" x14ac:dyDescent="0.5"/>
    <row r="24" spans="2:13" ht="15.75" customHeight="1" x14ac:dyDescent="0.5">
      <c r="B24" s="4" t="s">
        <v>38</v>
      </c>
      <c r="C24" s="4" t="s">
        <v>39</v>
      </c>
      <c r="D24" s="4" t="s">
        <v>40</v>
      </c>
      <c r="E24" s="4" t="s">
        <v>41</v>
      </c>
      <c r="F24" s="4" t="s">
        <v>42</v>
      </c>
      <c r="G24" s="4" t="s">
        <v>43</v>
      </c>
      <c r="H24" s="4" t="s">
        <v>44</v>
      </c>
    </row>
    <row r="25" spans="2:13" ht="15.75" customHeight="1" x14ac:dyDescent="0.5">
      <c r="B25" s="3">
        <v>2846</v>
      </c>
      <c r="C25" s="4">
        <v>2247</v>
      </c>
      <c r="D25" s="4">
        <v>25</v>
      </c>
      <c r="E25" s="3">
        <f>(650*C25*D25*(10^-6))</f>
        <v>36.513750000000002</v>
      </c>
      <c r="F25" s="3">
        <f>E25*(B25/C25)</f>
        <v>46.247500000000002</v>
      </c>
      <c r="G25" s="4">
        <v>0.5</v>
      </c>
      <c r="H25" s="3">
        <f>F25/G25</f>
        <v>92.495000000000005</v>
      </c>
    </row>
    <row r="26" spans="2:13" ht="15.75" customHeight="1" x14ac:dyDescent="0.5"/>
    <row r="27" spans="2:13" ht="15.75" customHeight="1" x14ac:dyDescent="0.5"/>
    <row r="28" spans="2:13" ht="15.75" customHeight="1" x14ac:dyDescent="0.5"/>
    <row r="29" spans="2:13" ht="15.75" customHeight="1" x14ac:dyDescent="0.5">
      <c r="B29" s="12" t="s">
        <v>38</v>
      </c>
      <c r="C29" s="12" t="s">
        <v>39</v>
      </c>
      <c r="D29" s="12" t="s">
        <v>40</v>
      </c>
      <c r="E29" s="12" t="s">
        <v>41</v>
      </c>
      <c r="F29" s="12" t="s">
        <v>42</v>
      </c>
      <c r="G29" s="12" t="s">
        <v>43</v>
      </c>
      <c r="H29" s="12" t="s">
        <v>44</v>
      </c>
      <c r="I29" s="13"/>
    </row>
    <row r="30" spans="2:13" ht="15.75" customHeight="1" x14ac:dyDescent="0.5">
      <c r="B30" s="12">
        <v>7000</v>
      </c>
      <c r="C30" s="12">
        <v>4000</v>
      </c>
      <c r="D30" s="12">
        <v>10</v>
      </c>
      <c r="E30" s="13">
        <f>(650*C30*D30*(10^-6))</f>
        <v>26</v>
      </c>
      <c r="F30" s="13">
        <f>E30*(B30/C30)</f>
        <v>45.5</v>
      </c>
      <c r="G30" s="12">
        <v>0.5</v>
      </c>
      <c r="H30" s="13">
        <f>F30/G30</f>
        <v>91</v>
      </c>
      <c r="I30" s="13"/>
    </row>
    <row r="31" spans="2:13" ht="15.75" customHeight="1" x14ac:dyDescent="0.5"/>
    <row r="32" spans="2:13" ht="15.75" customHeight="1" x14ac:dyDescent="0.5"/>
    <row r="33" spans="1:8" ht="15.75" customHeight="1" x14ac:dyDescent="0.5">
      <c r="B33" s="4" t="s">
        <v>38</v>
      </c>
      <c r="C33" s="4" t="s">
        <v>39</v>
      </c>
      <c r="D33" s="4" t="s">
        <v>40</v>
      </c>
      <c r="E33" s="4" t="s">
        <v>41</v>
      </c>
      <c r="F33" s="4" t="s">
        <v>42</v>
      </c>
      <c r="G33" s="4" t="s">
        <v>43</v>
      </c>
      <c r="H33" s="4" t="s">
        <v>44</v>
      </c>
    </row>
    <row r="34" spans="1:8" ht="15.75" customHeight="1" x14ac:dyDescent="0.5">
      <c r="A34" t="s">
        <v>45</v>
      </c>
      <c r="B34" s="3">
        <v>3000</v>
      </c>
      <c r="C34" s="4">
        <v>2000</v>
      </c>
      <c r="D34" s="4">
        <v>50</v>
      </c>
      <c r="E34" s="3">
        <f>(650*C34*D34*(10^-6))</f>
        <v>65</v>
      </c>
      <c r="F34" s="3">
        <f>E34*(B34/C34)</f>
        <v>97.5</v>
      </c>
      <c r="G34" s="4">
        <v>0.5</v>
      </c>
      <c r="H34" s="3">
        <f>F34/G34</f>
        <v>195</v>
      </c>
    </row>
    <row r="35" spans="1:8" ht="15.75" customHeight="1" x14ac:dyDescent="0.5">
      <c r="A35" t="s">
        <v>47</v>
      </c>
      <c r="B35" s="3">
        <v>2846</v>
      </c>
      <c r="C35" s="4">
        <v>2247</v>
      </c>
      <c r="D35" s="4">
        <f>E35/(650*(10^-6)*C35)</f>
        <v>27.028488026379804</v>
      </c>
      <c r="E35" s="3">
        <f>F35/(B35/C35)</f>
        <v>39.476458186929023</v>
      </c>
      <c r="F35" s="3">
        <f>G35*H35</f>
        <v>50</v>
      </c>
      <c r="G35" s="4">
        <v>0.5</v>
      </c>
      <c r="H35" s="3">
        <v>100</v>
      </c>
    </row>
    <row r="36" spans="1:8" ht="15.75" customHeight="1" x14ac:dyDescent="0.5">
      <c r="A36" t="s">
        <v>48</v>
      </c>
      <c r="B36" s="3">
        <v>2846</v>
      </c>
      <c r="C36" s="4">
        <v>2247</v>
      </c>
      <c r="D36" s="4">
        <v>50</v>
      </c>
      <c r="E36" s="3">
        <f>(650*C36*D36*(10^-6))</f>
        <v>73.027500000000003</v>
      </c>
      <c r="F36" s="3">
        <f>E36*(B36/C36)</f>
        <v>92.495000000000005</v>
      </c>
      <c r="G36" s="4">
        <f>F36/H36</f>
        <v>0.61663333333333337</v>
      </c>
      <c r="H36" s="14">
        <v>150</v>
      </c>
    </row>
    <row r="37" spans="1:8" ht="15.75" customHeight="1" x14ac:dyDescent="0.5"/>
    <row r="38" spans="1:8" ht="15.75" customHeight="1" x14ac:dyDescent="0.5"/>
    <row r="39" spans="1:8" ht="15.75" customHeight="1" x14ac:dyDescent="0.5"/>
    <row r="40" spans="1:8" ht="15.75" customHeight="1" x14ac:dyDescent="0.5"/>
    <row r="41" spans="1:8" ht="15.75" customHeight="1" x14ac:dyDescent="0.5"/>
    <row r="42" spans="1:8" ht="15.75" customHeight="1" x14ac:dyDescent="0.5"/>
    <row r="43" spans="1:8" ht="15.75" customHeight="1" x14ac:dyDescent="0.5"/>
    <row r="44" spans="1:8" ht="15.75" customHeight="1" x14ac:dyDescent="0.5"/>
    <row r="45" spans="1:8" ht="15.75" customHeight="1" x14ac:dyDescent="0.5"/>
    <row r="46" spans="1:8" ht="15.75" customHeight="1" x14ac:dyDescent="0.5"/>
    <row r="47" spans="1:8" ht="15.75" customHeight="1" x14ac:dyDescent="0.5"/>
    <row r="48" spans="1: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6A14-58B8-4560-B68F-79BF98740172}">
  <dimension ref="A1:N8"/>
  <sheetViews>
    <sheetView tabSelected="1" workbookViewId="0">
      <selection activeCell="B8" sqref="B8"/>
    </sheetView>
  </sheetViews>
  <sheetFormatPr defaultRowHeight="15.75" x14ac:dyDescent="0.5"/>
  <cols>
    <col min="3" max="3" width="10.6875" bestFit="1" customWidth="1"/>
    <col min="6" max="6" width="13.25" customWidth="1"/>
    <col min="7" max="7" width="14.8125" customWidth="1"/>
    <col min="8" max="8" width="11.6875" bestFit="1" customWidth="1"/>
    <col min="9" max="9" width="12.8125" customWidth="1"/>
    <col min="11" max="11" width="9.6875" bestFit="1" customWidth="1"/>
    <col min="13" max="13" width="13.9375" customWidth="1"/>
  </cols>
  <sheetData>
    <row r="1" spans="1:14" x14ac:dyDescent="0.5">
      <c r="A1" s="17" t="s">
        <v>50</v>
      </c>
      <c r="B1" s="1" t="s">
        <v>1</v>
      </c>
      <c r="C1" s="17" t="s">
        <v>51</v>
      </c>
      <c r="D1" s="1" t="s">
        <v>7</v>
      </c>
      <c r="E1" s="17" t="s">
        <v>12</v>
      </c>
      <c r="F1" s="1" t="s">
        <v>13</v>
      </c>
      <c r="G1" s="1" t="s">
        <v>14</v>
      </c>
      <c r="H1" s="1" t="s">
        <v>15</v>
      </c>
      <c r="I1" s="17" t="s">
        <v>49</v>
      </c>
      <c r="K1" s="17" t="s">
        <v>2</v>
      </c>
    </row>
    <row r="2" spans="1:14" x14ac:dyDescent="0.5">
      <c r="A2" s="3" t="s">
        <v>17</v>
      </c>
      <c r="B2" s="16">
        <v>3000</v>
      </c>
      <c r="C2" s="3">
        <v>200</v>
      </c>
      <c r="D2" s="3">
        <v>1000</v>
      </c>
      <c r="E2" s="3">
        <v>25</v>
      </c>
      <c r="F2" s="3">
        <f>(I2*D2*E2)</f>
        <v>16.25</v>
      </c>
      <c r="G2" s="3">
        <f>F2*B2/D2</f>
        <v>48.75</v>
      </c>
      <c r="H2" s="16">
        <v>0.5</v>
      </c>
      <c r="I2">
        <f>650*10^-6</f>
        <v>6.4999999999999997E-4</v>
      </c>
      <c r="K2" s="16">
        <f>((E2*B2*I2)/H2)*(D2/B2)</f>
        <v>32.5</v>
      </c>
    </row>
    <row r="3" spans="1:14" x14ac:dyDescent="0.5">
      <c r="A3" s="18" t="s">
        <v>17</v>
      </c>
      <c r="B3" s="18">
        <v>3292</v>
      </c>
      <c r="C3" s="18">
        <v>200</v>
      </c>
      <c r="D3" s="18">
        <v>1031</v>
      </c>
      <c r="E3" s="18">
        <v>25</v>
      </c>
      <c r="F3" s="3">
        <f>(I3*D3*E3)</f>
        <v>16.75375</v>
      </c>
      <c r="G3" s="18">
        <v>53.495000000000005</v>
      </c>
      <c r="H3" s="18">
        <v>0.5</v>
      </c>
      <c r="I3" s="18">
        <v>6.4999999999999997E-4</v>
      </c>
      <c r="K3" s="18">
        <f>(E3*B3*I3)/H3</f>
        <v>106.99</v>
      </c>
    </row>
    <row r="7" spans="1:14" x14ac:dyDescent="0.5">
      <c r="B7" s="16" t="s">
        <v>52</v>
      </c>
      <c r="C7" s="16" t="s">
        <v>53</v>
      </c>
      <c r="D7" s="16" t="s">
        <v>54</v>
      </c>
      <c r="F7" s="16" t="s">
        <v>55</v>
      </c>
      <c r="H7" s="16" t="s">
        <v>60</v>
      </c>
      <c r="I7" s="16" t="s">
        <v>56</v>
      </c>
      <c r="J7" s="16" t="s">
        <v>57</v>
      </c>
      <c r="K7" s="16" t="s">
        <v>58</v>
      </c>
      <c r="L7" s="16" t="s">
        <v>59</v>
      </c>
      <c r="M7" s="16" t="s">
        <v>61</v>
      </c>
    </row>
    <row r="8" spans="1:14" x14ac:dyDescent="0.5">
      <c r="B8" s="16">
        <f>50*(10^-15)</f>
        <v>5.0000000000000002E-14</v>
      </c>
      <c r="C8">
        <f>2.86*(10^-6)</f>
        <v>2.8599999999999997E-6</v>
      </c>
      <c r="D8">
        <f>B8/C8</f>
        <v>1.7482517482517483E-8</v>
      </c>
      <c r="F8">
        <f>650</f>
        <v>650</v>
      </c>
      <c r="H8">
        <f>F8*D8</f>
        <v>1.1363636363636365E-5</v>
      </c>
      <c r="I8">
        <v>2845</v>
      </c>
      <c r="J8">
        <v>2247</v>
      </c>
      <c r="K8">
        <f>J8/I8</f>
        <v>0.78980667838312835</v>
      </c>
      <c r="L8">
        <f>I8*H8</f>
        <v>3.2329545454545458E-2</v>
      </c>
      <c r="M8">
        <f>L8/K8</f>
        <v>4.0933492130922039E-2</v>
      </c>
      <c r="N8">
        <f>M8*(10^9)/(10^6)</f>
        <v>40.933492130922041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MoClo Golden Gate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Veerhoff, Miles</cp:lastModifiedBy>
  <dcterms:created xsi:type="dcterms:W3CDTF">2024-10-17T03:42:03Z</dcterms:created>
  <dcterms:modified xsi:type="dcterms:W3CDTF">2025-02-20T21:38:43Z</dcterms:modified>
</cp:coreProperties>
</file>