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oran\OneDrive\Escritorio\AUGUSTO\Maestria\TERMAS-FEDERACION\data\"/>
    </mc:Choice>
  </mc:AlternateContent>
  <xr:revisionPtr revIDLastSave="0" documentId="8_{D80FC607-CECC-4FFF-8563-35D3E240E9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Índice salarios (INDEC)" sheetId="1" r:id="rId1"/>
    <sheet name="Variación interanual INDEC (rea" sheetId="2" r:id="rId2"/>
    <sheet name="RIPTE" sheetId="3" r:id="rId3"/>
    <sheet name="Rem asalariados privados (Traba" sheetId="4" r:id="rId4"/>
    <sheet name="Salario Mínimo" sheetId="5" r:id="rId5"/>
    <sheet name="salario_real" sheetId="6" r:id="rId6"/>
    <sheet name="flourish" sheetId="7" r:id="rId7"/>
  </sheets>
  <definedNames>
    <definedName name="DEFLACTAR">_xludf.LAMBDA(valor_a_deflactar, mes_final, mes_del_valor_a_deflactar, VLOOKUP(VALUE(mes_final),importrange("https://docs.google.com/spreadsheets/d/10lp9ONQkSjYQkM_AL3livn7NCf4ZjFXv335i_Eqa_ng/edit","Hoja 1!A:B"),2,FALSE)/VLOOKUP(VALUE(mes_del_valor_a_deflactar),importrange("https://docs.google.com/spreadsheets/d/10lp9ONQkSjYQkM_AL3livn7NCf4ZjFXv335i_Eqa_ng/edit","Hoja 1!A:B"),2,FALSE)*valor_a_deflactar)</definedName>
    <definedName name="POR_HABITANTE">_xludf.LAMBDA(provincia, cantidad_tasa, valor_a_tasificar, (valor_a_tasificar*cantidad_tasa)/VLOOKUP(TRIM(UPPER(provincia)),importrange("https://docs.google.com/spreadsheets/d/10lp9ONQkSjYQkM_AL3livn7NCf4ZjFXv335i_Eqa_ng/edit","pob_prov!A1:B26"),2,FALSE))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0" i="7" l="1"/>
  <c r="C200" i="7"/>
  <c r="B200" i="7"/>
  <c r="D199" i="7"/>
  <c r="C199" i="7"/>
  <c r="B199" i="7"/>
  <c r="D198" i="7"/>
  <c r="C198" i="7"/>
  <c r="B198" i="7"/>
  <c r="D197" i="7"/>
  <c r="C197" i="7"/>
  <c r="B197" i="7"/>
  <c r="D196" i="7"/>
  <c r="C196" i="7"/>
  <c r="B196" i="7"/>
  <c r="D195" i="7"/>
  <c r="C195" i="7"/>
  <c r="B195" i="7"/>
  <c r="D194" i="7"/>
  <c r="C194" i="7"/>
  <c r="B194" i="7"/>
  <c r="D193" i="7"/>
  <c r="C193" i="7"/>
  <c r="B193" i="7"/>
  <c r="D192" i="7"/>
  <c r="C192" i="7"/>
  <c r="B192" i="7"/>
  <c r="D191" i="7"/>
  <c r="C191" i="7"/>
  <c r="B191" i="7"/>
  <c r="D190" i="7"/>
  <c r="C190" i="7"/>
  <c r="B190" i="7"/>
  <c r="D189" i="7"/>
  <c r="C189" i="7"/>
  <c r="B189" i="7"/>
  <c r="D188" i="7"/>
  <c r="C188" i="7"/>
  <c r="B188" i="7"/>
  <c r="D187" i="7"/>
  <c r="C187" i="7"/>
  <c r="B187" i="7"/>
  <c r="D186" i="7"/>
  <c r="C186" i="7"/>
  <c r="B186" i="7"/>
  <c r="D185" i="7"/>
  <c r="C185" i="7"/>
  <c r="B185" i="7"/>
  <c r="D184" i="7"/>
  <c r="C184" i="7"/>
  <c r="B184" i="7"/>
  <c r="D183" i="7"/>
  <c r="C183" i="7"/>
  <c r="B183" i="7"/>
  <c r="D181" i="7"/>
  <c r="C181" i="7"/>
  <c r="D155" i="7"/>
  <c r="C150" i="7"/>
  <c r="A39" i="7"/>
  <c r="D13" i="7"/>
  <c r="D12" i="7"/>
  <c r="D11" i="7"/>
  <c r="D10" i="7"/>
  <c r="D9" i="7"/>
  <c r="D8" i="7"/>
  <c r="D7" i="7"/>
  <c r="D6" i="7"/>
  <c r="D5" i="7"/>
  <c r="D4" i="7"/>
  <c r="D3" i="7"/>
  <c r="D2" i="7"/>
  <c r="D1" i="7"/>
  <c r="C1" i="7"/>
  <c r="B1" i="7"/>
  <c r="A1" i="7"/>
  <c r="C192" i="6"/>
  <c r="C191" i="6"/>
  <c r="C190" i="6"/>
  <c r="C189" i="6"/>
  <c r="C188" i="6"/>
  <c r="C187" i="6"/>
  <c r="C186" i="6"/>
  <c r="C185" i="6"/>
  <c r="C184" i="6"/>
  <c r="M183" i="6"/>
  <c r="L183" i="6"/>
  <c r="D182" i="7" s="1"/>
  <c r="K183" i="6"/>
  <c r="C182" i="7" s="1"/>
  <c r="C183" i="6"/>
  <c r="B183" i="6"/>
  <c r="M182" i="6"/>
  <c r="L182" i="6"/>
  <c r="K182" i="6"/>
  <c r="C182" i="6"/>
  <c r="B182" i="6" s="1"/>
  <c r="M181" i="6"/>
  <c r="L181" i="6"/>
  <c r="D180" i="7" s="1"/>
  <c r="K181" i="6"/>
  <c r="C180" i="7" s="1"/>
  <c r="C181" i="6"/>
  <c r="J181" i="6" s="1"/>
  <c r="B180" i="7" s="1"/>
  <c r="B181" i="6"/>
  <c r="M180" i="6"/>
  <c r="L180" i="6"/>
  <c r="D179" i="7" s="1"/>
  <c r="K180" i="6"/>
  <c r="C179" i="7" s="1"/>
  <c r="J180" i="6"/>
  <c r="B179" i="7" s="1"/>
  <c r="C180" i="6"/>
  <c r="B180" i="6" s="1"/>
  <c r="M179" i="6"/>
  <c r="L179" i="6"/>
  <c r="D178" i="7" s="1"/>
  <c r="K179" i="6"/>
  <c r="C178" i="7" s="1"/>
  <c r="C179" i="6"/>
  <c r="B179" i="6"/>
  <c r="M178" i="6"/>
  <c r="L178" i="6"/>
  <c r="D177" i="7" s="1"/>
  <c r="K178" i="6"/>
  <c r="C177" i="7" s="1"/>
  <c r="C178" i="6"/>
  <c r="B178" i="6" s="1"/>
  <c r="M177" i="6"/>
  <c r="L177" i="6"/>
  <c r="D176" i="7" s="1"/>
  <c r="K177" i="6"/>
  <c r="C176" i="7" s="1"/>
  <c r="C177" i="6"/>
  <c r="B177" i="6"/>
  <c r="M176" i="6"/>
  <c r="L176" i="6"/>
  <c r="D175" i="7" s="1"/>
  <c r="K176" i="6"/>
  <c r="C175" i="7" s="1"/>
  <c r="J176" i="6"/>
  <c r="B175" i="7" s="1"/>
  <c r="C176" i="6"/>
  <c r="B176" i="6" s="1"/>
  <c r="M175" i="6"/>
  <c r="L175" i="6"/>
  <c r="D174" i="7" s="1"/>
  <c r="K175" i="6"/>
  <c r="C174" i="7" s="1"/>
  <c r="C175" i="6"/>
  <c r="B175" i="6"/>
  <c r="M174" i="6"/>
  <c r="L174" i="6"/>
  <c r="D173" i="7" s="1"/>
  <c r="K174" i="6"/>
  <c r="C173" i="7" s="1"/>
  <c r="C174" i="6"/>
  <c r="B174" i="6" s="1"/>
  <c r="M173" i="6"/>
  <c r="L173" i="6"/>
  <c r="D172" i="7" s="1"/>
  <c r="K173" i="6"/>
  <c r="C172" i="7" s="1"/>
  <c r="C173" i="6"/>
  <c r="B173" i="6"/>
  <c r="M172" i="6"/>
  <c r="L172" i="6"/>
  <c r="D171" i="7" s="1"/>
  <c r="K172" i="6"/>
  <c r="C171" i="7" s="1"/>
  <c r="C172" i="6"/>
  <c r="B172" i="6" s="1"/>
  <c r="M171" i="6"/>
  <c r="L171" i="6"/>
  <c r="D170" i="7" s="1"/>
  <c r="K171" i="6"/>
  <c r="C170" i="7" s="1"/>
  <c r="C171" i="6"/>
  <c r="B171" i="6"/>
  <c r="M170" i="6"/>
  <c r="L170" i="6"/>
  <c r="D169" i="7" s="1"/>
  <c r="K170" i="6"/>
  <c r="C169" i="7" s="1"/>
  <c r="C170" i="6"/>
  <c r="B170" i="6" s="1"/>
  <c r="M169" i="6"/>
  <c r="L169" i="6"/>
  <c r="D168" i="7" s="1"/>
  <c r="K169" i="6"/>
  <c r="C168" i="7" s="1"/>
  <c r="C169" i="6"/>
  <c r="J169" i="6" s="1"/>
  <c r="B168" i="7" s="1"/>
  <c r="B169" i="6"/>
  <c r="M168" i="6"/>
  <c r="L168" i="6"/>
  <c r="D167" i="7" s="1"/>
  <c r="K168" i="6"/>
  <c r="C167" i="7" s="1"/>
  <c r="C168" i="6"/>
  <c r="B168" i="6" s="1"/>
  <c r="M167" i="6"/>
  <c r="L167" i="6"/>
  <c r="D166" i="7" s="1"/>
  <c r="K167" i="6"/>
  <c r="C166" i="7" s="1"/>
  <c r="C167" i="6"/>
  <c r="B167" i="6"/>
  <c r="M166" i="6"/>
  <c r="L166" i="6"/>
  <c r="D165" i="7" s="1"/>
  <c r="K166" i="6"/>
  <c r="C165" i="7" s="1"/>
  <c r="C166" i="6"/>
  <c r="B166" i="6" s="1"/>
  <c r="M165" i="6"/>
  <c r="L165" i="6"/>
  <c r="D164" i="7" s="1"/>
  <c r="K165" i="6"/>
  <c r="C164" i="7" s="1"/>
  <c r="C165" i="6"/>
  <c r="J165" i="6" s="1"/>
  <c r="B164" i="7" s="1"/>
  <c r="B165" i="6"/>
  <c r="A164" i="7" s="1"/>
  <c r="M164" i="6"/>
  <c r="L164" i="6"/>
  <c r="D163" i="7" s="1"/>
  <c r="K164" i="6"/>
  <c r="C163" i="7" s="1"/>
  <c r="J164" i="6"/>
  <c r="B163" i="7" s="1"/>
  <c r="C164" i="6"/>
  <c r="B164" i="6" s="1"/>
  <c r="A163" i="7" s="1"/>
  <c r="M163" i="6"/>
  <c r="L163" i="6"/>
  <c r="D162" i="7" s="1"/>
  <c r="K163" i="6"/>
  <c r="C162" i="7" s="1"/>
  <c r="C163" i="6"/>
  <c r="B163" i="6"/>
  <c r="A162" i="7" s="1"/>
  <c r="M162" i="6"/>
  <c r="L162" i="6"/>
  <c r="D161" i="7" s="1"/>
  <c r="K162" i="6"/>
  <c r="C161" i="7" s="1"/>
  <c r="C162" i="6"/>
  <c r="B162" i="6" s="1"/>
  <c r="A161" i="7" s="1"/>
  <c r="M161" i="6"/>
  <c r="L161" i="6"/>
  <c r="D160" i="7" s="1"/>
  <c r="K161" i="6"/>
  <c r="C160" i="7" s="1"/>
  <c r="C161" i="6"/>
  <c r="B161" i="6"/>
  <c r="A160" i="7" s="1"/>
  <c r="M160" i="6"/>
  <c r="L160" i="6"/>
  <c r="D159" i="7" s="1"/>
  <c r="K160" i="6"/>
  <c r="C159" i="7" s="1"/>
  <c r="J160" i="6"/>
  <c r="B159" i="7" s="1"/>
  <c r="C160" i="6"/>
  <c r="B160" i="6" s="1"/>
  <c r="A159" i="7" s="1"/>
  <c r="M159" i="6"/>
  <c r="L159" i="6"/>
  <c r="D158" i="7" s="1"/>
  <c r="K159" i="6"/>
  <c r="C158" i="7" s="1"/>
  <c r="C159" i="6"/>
  <c r="B159" i="6"/>
  <c r="A158" i="7" s="1"/>
  <c r="M158" i="6"/>
  <c r="L158" i="6"/>
  <c r="D157" i="7" s="1"/>
  <c r="K158" i="6"/>
  <c r="C157" i="7" s="1"/>
  <c r="C158" i="6"/>
  <c r="B158" i="6" s="1"/>
  <c r="A157" i="7" s="1"/>
  <c r="M157" i="6"/>
  <c r="L157" i="6"/>
  <c r="D156" i="7" s="1"/>
  <c r="K157" i="6"/>
  <c r="C156" i="7" s="1"/>
  <c r="C157" i="6"/>
  <c r="B157" i="6"/>
  <c r="A156" i="7" s="1"/>
  <c r="M156" i="6"/>
  <c r="L156" i="6"/>
  <c r="K156" i="6"/>
  <c r="C155" i="7" s="1"/>
  <c r="C156" i="6"/>
  <c r="B156" i="6" s="1"/>
  <c r="A155" i="7" s="1"/>
  <c r="M155" i="6"/>
  <c r="L155" i="6"/>
  <c r="D154" i="7" s="1"/>
  <c r="K155" i="6"/>
  <c r="C154" i="7" s="1"/>
  <c r="C155" i="6"/>
  <c r="B155" i="6"/>
  <c r="A154" i="7" s="1"/>
  <c r="M154" i="6"/>
  <c r="L154" i="6"/>
  <c r="D153" i="7" s="1"/>
  <c r="K154" i="6"/>
  <c r="C153" i="7" s="1"/>
  <c r="C154" i="6"/>
  <c r="B154" i="6" s="1"/>
  <c r="A153" i="7" s="1"/>
  <c r="M153" i="6"/>
  <c r="L153" i="6"/>
  <c r="D152" i="7" s="1"/>
  <c r="K153" i="6"/>
  <c r="C152" i="7" s="1"/>
  <c r="C153" i="6"/>
  <c r="J153" i="6" s="1"/>
  <c r="B152" i="7" s="1"/>
  <c r="B153" i="6"/>
  <c r="A152" i="7" s="1"/>
  <c r="M152" i="6"/>
  <c r="L152" i="6"/>
  <c r="D151" i="7" s="1"/>
  <c r="K152" i="6"/>
  <c r="C151" i="7" s="1"/>
  <c r="C152" i="6"/>
  <c r="B152" i="6" s="1"/>
  <c r="A151" i="7" s="1"/>
  <c r="M151" i="6"/>
  <c r="L151" i="6"/>
  <c r="D150" i="7" s="1"/>
  <c r="K151" i="6"/>
  <c r="C151" i="6"/>
  <c r="B151" i="6"/>
  <c r="A150" i="7" s="1"/>
  <c r="M150" i="6"/>
  <c r="L150" i="6"/>
  <c r="D149" i="7" s="1"/>
  <c r="K150" i="6"/>
  <c r="C149" i="7" s="1"/>
  <c r="C150" i="6"/>
  <c r="B150" i="6" s="1"/>
  <c r="A149" i="7" s="1"/>
  <c r="M149" i="6"/>
  <c r="L149" i="6"/>
  <c r="D148" i="7" s="1"/>
  <c r="K149" i="6"/>
  <c r="C148" i="7" s="1"/>
  <c r="C149" i="6"/>
  <c r="J149" i="6" s="1"/>
  <c r="B148" i="7" s="1"/>
  <c r="B149" i="6"/>
  <c r="A148" i="7" s="1"/>
  <c r="M148" i="6"/>
  <c r="L148" i="6"/>
  <c r="D147" i="7" s="1"/>
  <c r="K148" i="6"/>
  <c r="C147" i="7" s="1"/>
  <c r="J148" i="6"/>
  <c r="B147" i="7" s="1"/>
  <c r="C148" i="6"/>
  <c r="B148" i="6" s="1"/>
  <c r="A147" i="7" s="1"/>
  <c r="M147" i="6"/>
  <c r="L147" i="6"/>
  <c r="D146" i="7" s="1"/>
  <c r="K147" i="6"/>
  <c r="C146" i="7" s="1"/>
  <c r="C147" i="6"/>
  <c r="B147" i="6"/>
  <c r="A146" i="7" s="1"/>
  <c r="M146" i="6"/>
  <c r="L146" i="6"/>
  <c r="D145" i="7" s="1"/>
  <c r="K146" i="6"/>
  <c r="C145" i="7" s="1"/>
  <c r="C146" i="6"/>
  <c r="B146" i="6" s="1"/>
  <c r="A145" i="7" s="1"/>
  <c r="M145" i="6"/>
  <c r="F145" i="6"/>
  <c r="E145" i="6"/>
  <c r="D145" i="6"/>
  <c r="C145" i="6"/>
  <c r="B145" i="6"/>
  <c r="A144" i="7" s="1"/>
  <c r="M144" i="6"/>
  <c r="F144" i="6"/>
  <c r="E144" i="6"/>
  <c r="D144" i="6"/>
  <c r="C144" i="6"/>
  <c r="B144" i="6"/>
  <c r="A143" i="7" s="1"/>
  <c r="M143" i="6"/>
  <c r="F143" i="6"/>
  <c r="E143" i="6"/>
  <c r="D143" i="6"/>
  <c r="C143" i="6"/>
  <c r="B143" i="6" s="1"/>
  <c r="A142" i="7" s="1"/>
  <c r="M142" i="6"/>
  <c r="F142" i="6"/>
  <c r="E142" i="6"/>
  <c r="D142" i="6"/>
  <c r="K142" i="6" s="1"/>
  <c r="C141" i="7" s="1"/>
  <c r="C142" i="6"/>
  <c r="M141" i="6"/>
  <c r="F141" i="6"/>
  <c r="E141" i="6"/>
  <c r="D141" i="6"/>
  <c r="C141" i="6"/>
  <c r="B141" i="6"/>
  <c r="A140" i="7" s="1"/>
  <c r="M140" i="6"/>
  <c r="F140" i="6"/>
  <c r="E140" i="6"/>
  <c r="D140" i="6"/>
  <c r="C140" i="6"/>
  <c r="J140" i="6" s="1"/>
  <c r="B139" i="7" s="1"/>
  <c r="B140" i="6"/>
  <c r="A139" i="7" s="1"/>
  <c r="M139" i="6"/>
  <c r="F139" i="6"/>
  <c r="E139" i="6"/>
  <c r="D139" i="6"/>
  <c r="C139" i="6"/>
  <c r="B139" i="6" s="1"/>
  <c r="A138" i="7" s="1"/>
  <c r="M138" i="6"/>
  <c r="F138" i="6"/>
  <c r="E138" i="6"/>
  <c r="D138" i="6"/>
  <c r="C138" i="6"/>
  <c r="M137" i="6"/>
  <c r="F137" i="6"/>
  <c r="E137" i="6"/>
  <c r="D137" i="6"/>
  <c r="C137" i="6"/>
  <c r="B137" i="6"/>
  <c r="A136" i="7" s="1"/>
  <c r="M136" i="6"/>
  <c r="F136" i="6"/>
  <c r="E136" i="6"/>
  <c r="D136" i="6"/>
  <c r="C136" i="6"/>
  <c r="J136" i="6" s="1"/>
  <c r="B135" i="7" s="1"/>
  <c r="M135" i="6"/>
  <c r="F135" i="6"/>
  <c r="E135" i="6"/>
  <c r="D135" i="6"/>
  <c r="C135" i="6"/>
  <c r="B135" i="6" s="1"/>
  <c r="A134" i="7" s="1"/>
  <c r="M134" i="6"/>
  <c r="F134" i="6"/>
  <c r="E134" i="6"/>
  <c r="D134" i="6"/>
  <c r="C134" i="6"/>
  <c r="M133" i="6"/>
  <c r="F133" i="6"/>
  <c r="E133" i="6"/>
  <c r="D133" i="6"/>
  <c r="C133" i="6"/>
  <c r="J133" i="6" s="1"/>
  <c r="B132" i="7" s="1"/>
  <c r="B133" i="6"/>
  <c r="A132" i="7" s="1"/>
  <c r="M132" i="6"/>
  <c r="F132" i="6"/>
  <c r="E132" i="6"/>
  <c r="D132" i="6"/>
  <c r="C132" i="6"/>
  <c r="J132" i="6" s="1"/>
  <c r="B131" i="7" s="1"/>
  <c r="B132" i="6"/>
  <c r="A131" i="7" s="1"/>
  <c r="M131" i="6"/>
  <c r="F131" i="6"/>
  <c r="E131" i="6"/>
  <c r="D131" i="6"/>
  <c r="C131" i="6"/>
  <c r="B131" i="6" s="1"/>
  <c r="A130" i="7" s="1"/>
  <c r="M130" i="6"/>
  <c r="F130" i="6"/>
  <c r="E130" i="6"/>
  <c r="D130" i="6"/>
  <c r="C130" i="6"/>
  <c r="M129" i="6"/>
  <c r="F129" i="6"/>
  <c r="E129" i="6"/>
  <c r="D129" i="6"/>
  <c r="C129" i="6"/>
  <c r="J129" i="6" s="1"/>
  <c r="B128" i="7" s="1"/>
  <c r="B129" i="6"/>
  <c r="A128" i="7" s="1"/>
  <c r="M128" i="6"/>
  <c r="F128" i="6"/>
  <c r="E128" i="6"/>
  <c r="D128" i="6"/>
  <c r="C128" i="6"/>
  <c r="J128" i="6" s="1"/>
  <c r="B127" i="7" s="1"/>
  <c r="B128" i="6"/>
  <c r="A127" i="7" s="1"/>
  <c r="M127" i="6"/>
  <c r="F127" i="6"/>
  <c r="E127" i="6"/>
  <c r="D127" i="6"/>
  <c r="C127" i="6"/>
  <c r="B127" i="6" s="1"/>
  <c r="A126" i="7" s="1"/>
  <c r="M126" i="6"/>
  <c r="F126" i="6"/>
  <c r="E126" i="6"/>
  <c r="D126" i="6"/>
  <c r="C126" i="6"/>
  <c r="M125" i="6"/>
  <c r="F125" i="6"/>
  <c r="E125" i="6"/>
  <c r="D125" i="6"/>
  <c r="C125" i="6"/>
  <c r="B125" i="6"/>
  <c r="A124" i="7" s="1"/>
  <c r="M124" i="6"/>
  <c r="F124" i="6"/>
  <c r="E124" i="6"/>
  <c r="D124" i="6"/>
  <c r="C124" i="6"/>
  <c r="B124" i="6" s="1"/>
  <c r="A123" i="7" s="1"/>
  <c r="M123" i="6"/>
  <c r="F123" i="6"/>
  <c r="E123" i="6"/>
  <c r="D123" i="6"/>
  <c r="C123" i="6"/>
  <c r="B123" i="6" s="1"/>
  <c r="A122" i="7" s="1"/>
  <c r="M122" i="6"/>
  <c r="F122" i="6"/>
  <c r="E122" i="6"/>
  <c r="D122" i="6"/>
  <c r="C122" i="6"/>
  <c r="M121" i="6"/>
  <c r="F121" i="6"/>
  <c r="E121" i="6"/>
  <c r="D121" i="6"/>
  <c r="C121" i="6"/>
  <c r="B121" i="6"/>
  <c r="A120" i="7" s="1"/>
  <c r="M120" i="6"/>
  <c r="F120" i="6"/>
  <c r="E120" i="6"/>
  <c r="D120" i="6"/>
  <c r="C120" i="6"/>
  <c r="J120" i="6" s="1"/>
  <c r="B119" i="7" s="1"/>
  <c r="M119" i="6"/>
  <c r="F119" i="6"/>
  <c r="E119" i="6"/>
  <c r="D119" i="6"/>
  <c r="C119" i="6"/>
  <c r="B119" i="6" s="1"/>
  <c r="A118" i="7" s="1"/>
  <c r="M118" i="6"/>
  <c r="F118" i="6"/>
  <c r="E118" i="6"/>
  <c r="D118" i="6"/>
  <c r="C118" i="6"/>
  <c r="M117" i="6"/>
  <c r="F117" i="6"/>
  <c r="E117" i="6"/>
  <c r="D117" i="6"/>
  <c r="C117" i="6"/>
  <c r="J117" i="6" s="1"/>
  <c r="B116" i="7" s="1"/>
  <c r="B117" i="6"/>
  <c r="A116" i="7" s="1"/>
  <c r="M116" i="6"/>
  <c r="F116" i="6"/>
  <c r="E116" i="6"/>
  <c r="D116" i="6"/>
  <c r="C116" i="6"/>
  <c r="J116" i="6" s="1"/>
  <c r="B115" i="7" s="1"/>
  <c r="B116" i="6"/>
  <c r="A115" i="7" s="1"/>
  <c r="M115" i="6"/>
  <c r="F115" i="6"/>
  <c r="E115" i="6"/>
  <c r="D115" i="6"/>
  <c r="C115" i="6"/>
  <c r="B115" i="6" s="1"/>
  <c r="A114" i="7" s="1"/>
  <c r="M114" i="6"/>
  <c r="F114" i="6"/>
  <c r="E114" i="6"/>
  <c r="D114" i="6"/>
  <c r="C114" i="6"/>
  <c r="M113" i="6"/>
  <c r="F113" i="6"/>
  <c r="E113" i="6"/>
  <c r="D113" i="6"/>
  <c r="C113" i="6"/>
  <c r="J113" i="6" s="1"/>
  <c r="B112" i="7" s="1"/>
  <c r="B113" i="6"/>
  <c r="A112" i="7" s="1"/>
  <c r="M112" i="6"/>
  <c r="F112" i="6"/>
  <c r="E112" i="6"/>
  <c r="D112" i="6"/>
  <c r="C112" i="6"/>
  <c r="J112" i="6" s="1"/>
  <c r="B111" i="7" s="1"/>
  <c r="B112" i="6"/>
  <c r="A111" i="7" s="1"/>
  <c r="M111" i="6"/>
  <c r="F111" i="6"/>
  <c r="E111" i="6"/>
  <c r="D111" i="6"/>
  <c r="C111" i="6"/>
  <c r="B111" i="6" s="1"/>
  <c r="A110" i="7" s="1"/>
  <c r="M110" i="6"/>
  <c r="F110" i="6"/>
  <c r="E110" i="6"/>
  <c r="D110" i="6"/>
  <c r="C110" i="6"/>
  <c r="M109" i="6"/>
  <c r="F109" i="6"/>
  <c r="E109" i="6"/>
  <c r="D109" i="6"/>
  <c r="C109" i="6"/>
  <c r="B109" i="6"/>
  <c r="A108" i="7" s="1"/>
  <c r="M108" i="6"/>
  <c r="F108" i="6"/>
  <c r="E108" i="6"/>
  <c r="D108" i="6"/>
  <c r="C108" i="6"/>
  <c r="B108" i="6" s="1"/>
  <c r="A107" i="7" s="1"/>
  <c r="M107" i="6"/>
  <c r="E107" i="6"/>
  <c r="D107" i="6"/>
  <c r="C107" i="6"/>
  <c r="B107" i="6" s="1"/>
  <c r="A106" i="7" s="1"/>
  <c r="M106" i="6"/>
  <c r="E106" i="6"/>
  <c r="D106" i="6"/>
  <c r="C106" i="6"/>
  <c r="M105" i="6"/>
  <c r="E105" i="6"/>
  <c r="D105" i="6"/>
  <c r="C105" i="6"/>
  <c r="B105" i="6"/>
  <c r="A104" i="7" s="1"/>
  <c r="M104" i="6"/>
  <c r="E104" i="6"/>
  <c r="D104" i="6"/>
  <c r="C104" i="6"/>
  <c r="M103" i="6"/>
  <c r="E103" i="6"/>
  <c r="D103" i="6"/>
  <c r="C103" i="6"/>
  <c r="M102" i="6"/>
  <c r="F102" i="6"/>
  <c r="E102" i="6"/>
  <c r="D102" i="6"/>
  <c r="C102" i="6"/>
  <c r="J102" i="6" s="1"/>
  <c r="B101" i="7" s="1"/>
  <c r="M101" i="6"/>
  <c r="F101" i="6"/>
  <c r="E101" i="6"/>
  <c r="D101" i="6"/>
  <c r="C101" i="6"/>
  <c r="B101" i="6"/>
  <c r="A100" i="7" s="1"/>
  <c r="M100" i="6"/>
  <c r="H100" i="6"/>
  <c r="F100" i="6"/>
  <c r="E100" i="6"/>
  <c r="D100" i="6"/>
  <c r="C100" i="6"/>
  <c r="B100" i="6"/>
  <c r="A99" i="7" s="1"/>
  <c r="H99" i="6"/>
  <c r="M99" i="6" s="1"/>
  <c r="F99" i="6"/>
  <c r="E99" i="6"/>
  <c r="D99" i="6"/>
  <c r="C99" i="6"/>
  <c r="B99" i="6"/>
  <c r="A98" i="7" s="1"/>
  <c r="H98" i="6"/>
  <c r="E98" i="6"/>
  <c r="D98" i="6"/>
  <c r="C98" i="6"/>
  <c r="B98" i="6" s="1"/>
  <c r="A97" i="7" s="1"/>
  <c r="H97" i="6"/>
  <c r="E97" i="6"/>
  <c r="D97" i="6"/>
  <c r="C97" i="6"/>
  <c r="B97" i="6"/>
  <c r="A96" i="7" s="1"/>
  <c r="H96" i="6"/>
  <c r="E96" i="6"/>
  <c r="D96" i="6"/>
  <c r="C96" i="6"/>
  <c r="B96" i="6"/>
  <c r="A95" i="7" s="1"/>
  <c r="H95" i="6"/>
  <c r="E95" i="6"/>
  <c r="D95" i="6"/>
  <c r="C95" i="6"/>
  <c r="B95" i="6"/>
  <c r="A94" i="7" s="1"/>
  <c r="H94" i="6"/>
  <c r="E94" i="6"/>
  <c r="D94" i="6"/>
  <c r="C94" i="6"/>
  <c r="B94" i="6" s="1"/>
  <c r="A93" i="7" s="1"/>
  <c r="H93" i="6"/>
  <c r="E93" i="6"/>
  <c r="D93" i="6"/>
  <c r="C93" i="6"/>
  <c r="B93" i="6"/>
  <c r="A92" i="7" s="1"/>
  <c r="H92" i="6"/>
  <c r="E92" i="6"/>
  <c r="D92" i="6"/>
  <c r="C92" i="6"/>
  <c r="B92" i="6"/>
  <c r="A91" i="7" s="1"/>
  <c r="H91" i="6"/>
  <c r="E91" i="6"/>
  <c r="D91" i="6"/>
  <c r="C91" i="6"/>
  <c r="B91" i="6"/>
  <c r="A90" i="7" s="1"/>
  <c r="J90" i="6"/>
  <c r="B89" i="7" s="1"/>
  <c r="H90" i="6"/>
  <c r="F90" i="6"/>
  <c r="E90" i="6"/>
  <c r="D90" i="6"/>
  <c r="C90" i="6"/>
  <c r="B90" i="6" s="1"/>
  <c r="A89" i="7" s="1"/>
  <c r="H89" i="6"/>
  <c r="E89" i="6"/>
  <c r="D89" i="6"/>
  <c r="C89" i="6"/>
  <c r="B89" i="6"/>
  <c r="A88" i="7" s="1"/>
  <c r="H88" i="6"/>
  <c r="F88" i="6"/>
  <c r="J88" i="6" s="1"/>
  <c r="B87" i="7" s="1"/>
  <c r="E88" i="6"/>
  <c r="D88" i="6"/>
  <c r="C88" i="6"/>
  <c r="B88" i="6"/>
  <c r="A87" i="7" s="1"/>
  <c r="H87" i="6"/>
  <c r="F87" i="6"/>
  <c r="E87" i="6"/>
  <c r="D87" i="6"/>
  <c r="C87" i="6"/>
  <c r="B87" i="6"/>
  <c r="A86" i="7" s="1"/>
  <c r="J86" i="6"/>
  <c r="B85" i="7" s="1"/>
  <c r="H86" i="6"/>
  <c r="F86" i="6"/>
  <c r="E86" i="6"/>
  <c r="D86" i="6"/>
  <c r="C86" i="6"/>
  <c r="B86" i="6" s="1"/>
  <c r="A85" i="7" s="1"/>
  <c r="H85" i="6"/>
  <c r="M85" i="6" s="1"/>
  <c r="F85" i="6"/>
  <c r="E85" i="6"/>
  <c r="L85" i="6" s="1"/>
  <c r="D84" i="7" s="1"/>
  <c r="D85" i="6"/>
  <c r="C85" i="6"/>
  <c r="B85" i="6"/>
  <c r="A84" i="7" s="1"/>
  <c r="H84" i="6"/>
  <c r="M84" i="6" s="1"/>
  <c r="F84" i="6"/>
  <c r="E84" i="6"/>
  <c r="D84" i="6"/>
  <c r="C84" i="6"/>
  <c r="B84" i="6" s="1"/>
  <c r="A83" i="7" s="1"/>
  <c r="H83" i="6"/>
  <c r="F83" i="6"/>
  <c r="J83" i="6" s="1"/>
  <c r="B82" i="7" s="1"/>
  <c r="E83" i="6"/>
  <c r="L83" i="6" s="1"/>
  <c r="D82" i="7" s="1"/>
  <c r="D83" i="6"/>
  <c r="C83" i="6"/>
  <c r="B83" i="6"/>
  <c r="A82" i="7" s="1"/>
  <c r="H82" i="6"/>
  <c r="M82" i="6" s="1"/>
  <c r="F82" i="6"/>
  <c r="E82" i="6"/>
  <c r="D82" i="6"/>
  <c r="C82" i="6"/>
  <c r="B82" i="6" s="1"/>
  <c r="A81" i="7" s="1"/>
  <c r="H81" i="6"/>
  <c r="F81" i="6"/>
  <c r="J81" i="6" s="1"/>
  <c r="B80" i="7" s="1"/>
  <c r="E81" i="6"/>
  <c r="L81" i="6" s="1"/>
  <c r="D80" i="7" s="1"/>
  <c r="D81" i="6"/>
  <c r="C81" i="6"/>
  <c r="B81" i="6"/>
  <c r="A80" i="7" s="1"/>
  <c r="M80" i="6"/>
  <c r="H80" i="6"/>
  <c r="F80" i="6"/>
  <c r="E80" i="6"/>
  <c r="D80" i="6"/>
  <c r="C80" i="6"/>
  <c r="B80" i="6" s="1"/>
  <c r="A79" i="7" s="1"/>
  <c r="H79" i="6"/>
  <c r="F79" i="6"/>
  <c r="E79" i="6"/>
  <c r="L79" i="6" s="1"/>
  <c r="D78" i="7" s="1"/>
  <c r="D79" i="6"/>
  <c r="C79" i="6"/>
  <c r="B79" i="6"/>
  <c r="A78" i="7" s="1"/>
  <c r="M78" i="6"/>
  <c r="J78" i="6"/>
  <c r="B77" i="7" s="1"/>
  <c r="H78" i="6"/>
  <c r="F78" i="6"/>
  <c r="E78" i="6"/>
  <c r="D78" i="6"/>
  <c r="C78" i="6"/>
  <c r="B78" i="6" s="1"/>
  <c r="A77" i="7" s="1"/>
  <c r="H77" i="6"/>
  <c r="M77" i="6" s="1"/>
  <c r="F77" i="6"/>
  <c r="E77" i="6"/>
  <c r="L77" i="6" s="1"/>
  <c r="D76" i="7" s="1"/>
  <c r="D77" i="6"/>
  <c r="C77" i="6"/>
  <c r="B77" i="6"/>
  <c r="A76" i="7" s="1"/>
  <c r="H76" i="6"/>
  <c r="M76" i="6" s="1"/>
  <c r="F76" i="6"/>
  <c r="E76" i="6"/>
  <c r="D76" i="6"/>
  <c r="C76" i="6"/>
  <c r="B76" i="6" s="1"/>
  <c r="A75" i="7" s="1"/>
  <c r="H75" i="6"/>
  <c r="F75" i="6"/>
  <c r="J75" i="6" s="1"/>
  <c r="B74" i="7" s="1"/>
  <c r="E75" i="6"/>
  <c r="L75" i="6" s="1"/>
  <c r="D74" i="7" s="1"/>
  <c r="D75" i="6"/>
  <c r="C75" i="6"/>
  <c r="B75" i="6"/>
  <c r="A74" i="7" s="1"/>
  <c r="H74" i="6"/>
  <c r="M74" i="6" s="1"/>
  <c r="F74" i="6"/>
  <c r="L74" i="6" s="1"/>
  <c r="D73" i="7" s="1"/>
  <c r="E74" i="6"/>
  <c r="D74" i="6"/>
  <c r="C74" i="6"/>
  <c r="B74" i="6" s="1"/>
  <c r="A73" i="7" s="1"/>
  <c r="H73" i="6"/>
  <c r="F73" i="6"/>
  <c r="J73" i="6" s="1"/>
  <c r="B72" i="7" s="1"/>
  <c r="E73" i="6"/>
  <c r="L73" i="6" s="1"/>
  <c r="D72" i="7" s="1"/>
  <c r="D73" i="6"/>
  <c r="C73" i="6"/>
  <c r="B73" i="6"/>
  <c r="A72" i="7" s="1"/>
  <c r="M72" i="6"/>
  <c r="H72" i="6"/>
  <c r="F72" i="6"/>
  <c r="E72" i="6"/>
  <c r="D72" i="6"/>
  <c r="C72" i="6"/>
  <c r="B72" i="6" s="1"/>
  <c r="A71" i="7" s="1"/>
  <c r="H71" i="6"/>
  <c r="F71" i="6"/>
  <c r="E71" i="6"/>
  <c r="L71" i="6" s="1"/>
  <c r="D70" i="7" s="1"/>
  <c r="D71" i="6"/>
  <c r="C71" i="6"/>
  <c r="B71" i="6"/>
  <c r="A70" i="7" s="1"/>
  <c r="M70" i="6"/>
  <c r="J70" i="6"/>
  <c r="B69" i="7" s="1"/>
  <c r="H70" i="6"/>
  <c r="F70" i="6"/>
  <c r="E70" i="6"/>
  <c r="D70" i="6"/>
  <c r="C70" i="6"/>
  <c r="B70" i="6" s="1"/>
  <c r="A69" i="7" s="1"/>
  <c r="H69" i="6"/>
  <c r="M69" i="6" s="1"/>
  <c r="F69" i="6"/>
  <c r="E69" i="6"/>
  <c r="L69" i="6" s="1"/>
  <c r="D68" i="7" s="1"/>
  <c r="D69" i="6"/>
  <c r="C69" i="6"/>
  <c r="B69" i="6"/>
  <c r="A68" i="7" s="1"/>
  <c r="H68" i="6"/>
  <c r="M68" i="6" s="1"/>
  <c r="F68" i="6"/>
  <c r="E68" i="6"/>
  <c r="D68" i="6"/>
  <c r="C68" i="6"/>
  <c r="B68" i="6" s="1"/>
  <c r="A67" i="7" s="1"/>
  <c r="H67" i="6"/>
  <c r="F67" i="6"/>
  <c r="J67" i="6" s="1"/>
  <c r="B66" i="7" s="1"/>
  <c r="E67" i="6"/>
  <c r="L67" i="6" s="1"/>
  <c r="D66" i="7" s="1"/>
  <c r="D67" i="6"/>
  <c r="C67" i="6"/>
  <c r="B67" i="6"/>
  <c r="A66" i="7" s="1"/>
  <c r="H66" i="6"/>
  <c r="M66" i="6" s="1"/>
  <c r="F66" i="6"/>
  <c r="L66" i="6" s="1"/>
  <c r="D65" i="7" s="1"/>
  <c r="E66" i="6"/>
  <c r="D66" i="6"/>
  <c r="C66" i="6"/>
  <c r="B66" i="6" s="1"/>
  <c r="A65" i="7" s="1"/>
  <c r="H65" i="6"/>
  <c r="F65" i="6"/>
  <c r="J65" i="6" s="1"/>
  <c r="B64" i="7" s="1"/>
  <c r="E65" i="6"/>
  <c r="L65" i="6" s="1"/>
  <c r="D64" i="7" s="1"/>
  <c r="D65" i="6"/>
  <c r="C65" i="6"/>
  <c r="B65" i="6"/>
  <c r="A64" i="7" s="1"/>
  <c r="M64" i="6"/>
  <c r="H64" i="6"/>
  <c r="F64" i="6"/>
  <c r="E64" i="6"/>
  <c r="D64" i="6"/>
  <c r="C64" i="6"/>
  <c r="B64" i="6" s="1"/>
  <c r="A63" i="7" s="1"/>
  <c r="H63" i="6"/>
  <c r="F63" i="6"/>
  <c r="E63" i="6"/>
  <c r="L63" i="6" s="1"/>
  <c r="D62" i="7" s="1"/>
  <c r="D63" i="6"/>
  <c r="C63" i="6"/>
  <c r="B63" i="6"/>
  <c r="A62" i="7" s="1"/>
  <c r="M62" i="6"/>
  <c r="J62" i="6"/>
  <c r="B61" i="7" s="1"/>
  <c r="H62" i="6"/>
  <c r="F62" i="6"/>
  <c r="E62" i="6"/>
  <c r="D62" i="6"/>
  <c r="C62" i="6"/>
  <c r="B62" i="6" s="1"/>
  <c r="A61" i="7" s="1"/>
  <c r="H61" i="6"/>
  <c r="M61" i="6" s="1"/>
  <c r="F61" i="6"/>
  <c r="E61" i="6"/>
  <c r="L61" i="6" s="1"/>
  <c r="D60" i="7" s="1"/>
  <c r="D61" i="6"/>
  <c r="C61" i="6"/>
  <c r="J61" i="6" s="1"/>
  <c r="B60" i="7" s="1"/>
  <c r="B61" i="6"/>
  <c r="A60" i="7" s="1"/>
  <c r="H60" i="6"/>
  <c r="M60" i="6" s="1"/>
  <c r="F60" i="6"/>
  <c r="E60" i="6"/>
  <c r="D60" i="6"/>
  <c r="C60" i="6"/>
  <c r="B60" i="6" s="1"/>
  <c r="A59" i="7" s="1"/>
  <c r="H59" i="6"/>
  <c r="F59" i="6"/>
  <c r="K59" i="6" s="1"/>
  <c r="C58" i="7" s="1"/>
  <c r="E59" i="6"/>
  <c r="L59" i="6" s="1"/>
  <c r="D58" i="7" s="1"/>
  <c r="D59" i="6"/>
  <c r="C59" i="6"/>
  <c r="B59" i="6"/>
  <c r="A58" i="7" s="1"/>
  <c r="H58" i="6"/>
  <c r="M58" i="6" s="1"/>
  <c r="F58" i="6"/>
  <c r="E58" i="6"/>
  <c r="D58" i="6"/>
  <c r="C58" i="6"/>
  <c r="B58" i="6" s="1"/>
  <c r="A57" i="7" s="1"/>
  <c r="H57" i="6"/>
  <c r="F57" i="6"/>
  <c r="K57" i="6" s="1"/>
  <c r="C56" i="7" s="1"/>
  <c r="E57" i="6"/>
  <c r="L57" i="6" s="1"/>
  <c r="D56" i="7" s="1"/>
  <c r="D57" i="6"/>
  <c r="C57" i="6"/>
  <c r="B57" i="6"/>
  <c r="A56" i="7" s="1"/>
  <c r="M56" i="6"/>
  <c r="H56" i="6"/>
  <c r="F56" i="6"/>
  <c r="E56" i="6"/>
  <c r="L56" i="6" s="1"/>
  <c r="D55" i="7" s="1"/>
  <c r="D56" i="6"/>
  <c r="C56" i="6"/>
  <c r="B56" i="6" s="1"/>
  <c r="A55" i="7" s="1"/>
  <c r="H55" i="6"/>
  <c r="F55" i="6"/>
  <c r="E55" i="6"/>
  <c r="L55" i="6" s="1"/>
  <c r="D54" i="7" s="1"/>
  <c r="D55" i="6"/>
  <c r="C55" i="6"/>
  <c r="B55" i="6"/>
  <c r="A54" i="7" s="1"/>
  <c r="M54" i="6"/>
  <c r="J54" i="6"/>
  <c r="B53" i="7" s="1"/>
  <c r="H54" i="6"/>
  <c r="F54" i="6"/>
  <c r="E54" i="6"/>
  <c r="D54" i="6"/>
  <c r="C54" i="6"/>
  <c r="B54" i="6" s="1"/>
  <c r="A53" i="7" s="1"/>
  <c r="H53" i="6"/>
  <c r="M53" i="6" s="1"/>
  <c r="F53" i="6"/>
  <c r="E53" i="6"/>
  <c r="L53" i="6" s="1"/>
  <c r="D52" i="7" s="1"/>
  <c r="D53" i="6"/>
  <c r="C53" i="6"/>
  <c r="J53" i="6" s="1"/>
  <c r="B52" i="7" s="1"/>
  <c r="B53" i="6"/>
  <c r="A52" i="7" s="1"/>
  <c r="H52" i="6"/>
  <c r="M52" i="6" s="1"/>
  <c r="F52" i="6"/>
  <c r="E52" i="6"/>
  <c r="D52" i="6"/>
  <c r="C52" i="6"/>
  <c r="B52" i="6" s="1"/>
  <c r="A51" i="7" s="1"/>
  <c r="H51" i="6"/>
  <c r="F51" i="6"/>
  <c r="K51" i="6" s="1"/>
  <c r="C50" i="7" s="1"/>
  <c r="E51" i="6"/>
  <c r="L51" i="6" s="1"/>
  <c r="D50" i="7" s="1"/>
  <c r="D51" i="6"/>
  <c r="C51" i="6"/>
  <c r="B51" i="6"/>
  <c r="A50" i="7" s="1"/>
  <c r="H50" i="6"/>
  <c r="M50" i="6" s="1"/>
  <c r="F50" i="6"/>
  <c r="E50" i="6"/>
  <c r="D50" i="6"/>
  <c r="C50" i="6"/>
  <c r="B50" i="6" s="1"/>
  <c r="A49" i="7" s="1"/>
  <c r="H49" i="6"/>
  <c r="F49" i="6"/>
  <c r="K49" i="6" s="1"/>
  <c r="C48" i="7" s="1"/>
  <c r="E49" i="6"/>
  <c r="L49" i="6" s="1"/>
  <c r="D48" i="7" s="1"/>
  <c r="D49" i="6"/>
  <c r="C49" i="6"/>
  <c r="B49" i="6"/>
  <c r="A48" i="7" s="1"/>
  <c r="M48" i="6"/>
  <c r="H48" i="6"/>
  <c r="F48" i="6"/>
  <c r="E48" i="6"/>
  <c r="L48" i="6" s="1"/>
  <c r="D47" i="7" s="1"/>
  <c r="D48" i="6"/>
  <c r="C48" i="6"/>
  <c r="B48" i="6" s="1"/>
  <c r="A47" i="7" s="1"/>
  <c r="H47" i="6"/>
  <c r="F47" i="6"/>
  <c r="E47" i="6"/>
  <c r="L47" i="6" s="1"/>
  <c r="D46" i="7" s="1"/>
  <c r="D47" i="6"/>
  <c r="C47" i="6"/>
  <c r="B47" i="6"/>
  <c r="A46" i="7" s="1"/>
  <c r="M46" i="6"/>
  <c r="J46" i="6"/>
  <c r="B45" i="7" s="1"/>
  <c r="H46" i="6"/>
  <c r="F46" i="6"/>
  <c r="E46" i="6"/>
  <c r="D46" i="6"/>
  <c r="C46" i="6"/>
  <c r="B46" i="6" s="1"/>
  <c r="A45" i="7" s="1"/>
  <c r="H45" i="6"/>
  <c r="M45" i="6" s="1"/>
  <c r="F45" i="6"/>
  <c r="E45" i="6"/>
  <c r="L45" i="6" s="1"/>
  <c r="D44" i="7" s="1"/>
  <c r="D45" i="6"/>
  <c r="C45" i="6"/>
  <c r="J45" i="6" s="1"/>
  <c r="B44" i="7" s="1"/>
  <c r="B45" i="6"/>
  <c r="A44" i="7" s="1"/>
  <c r="H44" i="6"/>
  <c r="M44" i="6" s="1"/>
  <c r="F44" i="6"/>
  <c r="E44" i="6"/>
  <c r="D44" i="6"/>
  <c r="C44" i="6"/>
  <c r="B44" i="6" s="1"/>
  <c r="A43" i="7" s="1"/>
  <c r="H43" i="6"/>
  <c r="F43" i="6"/>
  <c r="K43" i="6" s="1"/>
  <c r="C42" i="7" s="1"/>
  <c r="E43" i="6"/>
  <c r="L43" i="6" s="1"/>
  <c r="D42" i="7" s="1"/>
  <c r="D43" i="6"/>
  <c r="C43" i="6"/>
  <c r="B43" i="6"/>
  <c r="A42" i="7" s="1"/>
  <c r="H42" i="6"/>
  <c r="M42" i="6" s="1"/>
  <c r="F42" i="6"/>
  <c r="E42" i="6"/>
  <c r="D42" i="6"/>
  <c r="C42" i="6"/>
  <c r="B42" i="6" s="1"/>
  <c r="A41" i="7" s="1"/>
  <c r="H41" i="6"/>
  <c r="F41" i="6"/>
  <c r="K41" i="6" s="1"/>
  <c r="C40" i="7" s="1"/>
  <c r="E41" i="6"/>
  <c r="L41" i="6" s="1"/>
  <c r="D40" i="7" s="1"/>
  <c r="D41" i="6"/>
  <c r="C41" i="6"/>
  <c r="B41" i="6"/>
  <c r="A40" i="7" s="1"/>
  <c r="M40" i="6"/>
  <c r="H40" i="6"/>
  <c r="F40" i="6"/>
  <c r="E40" i="6"/>
  <c r="L40" i="6" s="1"/>
  <c r="D39" i="7" s="1"/>
  <c r="D40" i="6"/>
  <c r="C40" i="6"/>
  <c r="B40" i="6" s="1"/>
  <c r="H39" i="6"/>
  <c r="F39" i="6"/>
  <c r="E39" i="6"/>
  <c r="L39" i="6" s="1"/>
  <c r="D38" i="7" s="1"/>
  <c r="D39" i="6"/>
  <c r="C39" i="6"/>
  <c r="B39" i="6"/>
  <c r="A38" i="7" s="1"/>
  <c r="M38" i="6"/>
  <c r="J38" i="6"/>
  <c r="B37" i="7" s="1"/>
  <c r="H38" i="6"/>
  <c r="F38" i="6"/>
  <c r="E38" i="6"/>
  <c r="D38" i="6"/>
  <c r="C38" i="6"/>
  <c r="B38" i="6" s="1"/>
  <c r="A37" i="7" s="1"/>
  <c r="H37" i="6"/>
  <c r="M37" i="6" s="1"/>
  <c r="F37" i="6"/>
  <c r="E37" i="6"/>
  <c r="L37" i="6" s="1"/>
  <c r="D36" i="7" s="1"/>
  <c r="D37" i="6"/>
  <c r="C37" i="6"/>
  <c r="J37" i="6" s="1"/>
  <c r="B36" i="7" s="1"/>
  <c r="B37" i="6"/>
  <c r="A36" i="7" s="1"/>
  <c r="H36" i="6"/>
  <c r="M36" i="6" s="1"/>
  <c r="F36" i="6"/>
  <c r="E36" i="6"/>
  <c r="D36" i="6"/>
  <c r="C36" i="6"/>
  <c r="B36" i="6" s="1"/>
  <c r="A35" i="7" s="1"/>
  <c r="H35" i="6"/>
  <c r="F35" i="6"/>
  <c r="K35" i="6" s="1"/>
  <c r="C34" i="7" s="1"/>
  <c r="E35" i="6"/>
  <c r="L35" i="6" s="1"/>
  <c r="D34" i="7" s="1"/>
  <c r="D35" i="6"/>
  <c r="C35" i="6"/>
  <c r="B35" i="6"/>
  <c r="A34" i="7" s="1"/>
  <c r="H34" i="6"/>
  <c r="M34" i="6" s="1"/>
  <c r="F34" i="6"/>
  <c r="E34" i="6"/>
  <c r="D34" i="6"/>
  <c r="C34" i="6"/>
  <c r="B34" i="6" s="1"/>
  <c r="A33" i="7" s="1"/>
  <c r="H33" i="6"/>
  <c r="F33" i="6"/>
  <c r="K33" i="6" s="1"/>
  <c r="C32" i="7" s="1"/>
  <c r="E33" i="6"/>
  <c r="L33" i="6" s="1"/>
  <c r="D32" i="7" s="1"/>
  <c r="D33" i="6"/>
  <c r="C33" i="6"/>
  <c r="B33" i="6"/>
  <c r="A32" i="7" s="1"/>
  <c r="M32" i="6"/>
  <c r="H32" i="6"/>
  <c r="F32" i="6"/>
  <c r="E32" i="6"/>
  <c r="D32" i="6"/>
  <c r="C32" i="6"/>
  <c r="B32" i="6" s="1"/>
  <c r="A31" i="7" s="1"/>
  <c r="H31" i="6"/>
  <c r="F31" i="6"/>
  <c r="K31" i="6" s="1"/>
  <c r="C30" i="7" s="1"/>
  <c r="E31" i="6"/>
  <c r="L31" i="6" s="1"/>
  <c r="D30" i="7" s="1"/>
  <c r="D31" i="6"/>
  <c r="C31" i="6"/>
  <c r="B31" i="6"/>
  <c r="A30" i="7" s="1"/>
  <c r="H30" i="6"/>
  <c r="M30" i="6" s="1"/>
  <c r="F30" i="6"/>
  <c r="E30" i="6"/>
  <c r="D30" i="6"/>
  <c r="K30" i="6" s="1"/>
  <c r="C29" i="7" s="1"/>
  <c r="C30" i="6"/>
  <c r="B30" i="6" s="1"/>
  <c r="A29" i="7" s="1"/>
  <c r="J29" i="6"/>
  <c r="B28" i="7" s="1"/>
  <c r="H29" i="6"/>
  <c r="M29" i="6" s="1"/>
  <c r="F29" i="6"/>
  <c r="E29" i="6"/>
  <c r="L29" i="6" s="1"/>
  <c r="D28" i="7" s="1"/>
  <c r="D29" i="6"/>
  <c r="K29" i="6" s="1"/>
  <c r="C28" i="7" s="1"/>
  <c r="C29" i="6"/>
  <c r="B29" i="6" s="1"/>
  <c r="A28" i="7" s="1"/>
  <c r="H28" i="6"/>
  <c r="M28" i="6" s="1"/>
  <c r="F28" i="6"/>
  <c r="K28" i="6" s="1"/>
  <c r="C27" i="7" s="1"/>
  <c r="E28" i="6"/>
  <c r="D28" i="6"/>
  <c r="C28" i="6"/>
  <c r="J28" i="6" s="1"/>
  <c r="B27" i="7" s="1"/>
  <c r="B28" i="6"/>
  <c r="A27" i="7" s="1"/>
  <c r="J27" i="6"/>
  <c r="B26" i="7" s="1"/>
  <c r="H27" i="6"/>
  <c r="M27" i="6" s="1"/>
  <c r="F27" i="6"/>
  <c r="E27" i="6"/>
  <c r="L27" i="6" s="1"/>
  <c r="D26" i="7" s="1"/>
  <c r="D27" i="6"/>
  <c r="K27" i="6" s="1"/>
  <c r="C26" i="7" s="1"/>
  <c r="C27" i="6"/>
  <c r="B27" i="6" s="1"/>
  <c r="A26" i="7" s="1"/>
  <c r="H26" i="6"/>
  <c r="M26" i="6" s="1"/>
  <c r="F26" i="6"/>
  <c r="K26" i="6" s="1"/>
  <c r="C25" i="7" s="1"/>
  <c r="E26" i="6"/>
  <c r="D26" i="6"/>
  <c r="C26" i="6"/>
  <c r="J26" i="6" s="1"/>
  <c r="B25" i="7" s="1"/>
  <c r="B26" i="6"/>
  <c r="A25" i="7" s="1"/>
  <c r="J25" i="6"/>
  <c r="B24" i="7" s="1"/>
  <c r="H25" i="6"/>
  <c r="M25" i="6" s="1"/>
  <c r="F25" i="6"/>
  <c r="E25" i="6"/>
  <c r="L25" i="6" s="1"/>
  <c r="D24" i="7" s="1"/>
  <c r="D25" i="6"/>
  <c r="K25" i="6" s="1"/>
  <c r="C24" i="7" s="1"/>
  <c r="C25" i="6"/>
  <c r="B25" i="6" s="1"/>
  <c r="A24" i="7" s="1"/>
  <c r="H24" i="6"/>
  <c r="M24" i="6" s="1"/>
  <c r="F24" i="6"/>
  <c r="K24" i="6" s="1"/>
  <c r="C23" i="7" s="1"/>
  <c r="E24" i="6"/>
  <c r="D24" i="6"/>
  <c r="C24" i="6"/>
  <c r="J24" i="6" s="1"/>
  <c r="B23" i="7" s="1"/>
  <c r="B24" i="6"/>
  <c r="A23" i="7" s="1"/>
  <c r="J23" i="6"/>
  <c r="B22" i="7" s="1"/>
  <c r="H23" i="6"/>
  <c r="M23" i="6" s="1"/>
  <c r="F23" i="6"/>
  <c r="E23" i="6"/>
  <c r="L23" i="6" s="1"/>
  <c r="D22" i="7" s="1"/>
  <c r="D23" i="6"/>
  <c r="K23" i="6" s="1"/>
  <c r="C22" i="7" s="1"/>
  <c r="C23" i="6"/>
  <c r="B23" i="6" s="1"/>
  <c r="A22" i="7" s="1"/>
  <c r="H22" i="6"/>
  <c r="M22" i="6" s="1"/>
  <c r="F22" i="6"/>
  <c r="K22" i="6" s="1"/>
  <c r="C21" i="7" s="1"/>
  <c r="E22" i="6"/>
  <c r="D22" i="6"/>
  <c r="C22" i="6"/>
  <c r="J22" i="6" s="1"/>
  <c r="B21" i="7" s="1"/>
  <c r="B22" i="6"/>
  <c r="A21" i="7" s="1"/>
  <c r="J21" i="6"/>
  <c r="B20" i="7" s="1"/>
  <c r="H21" i="6"/>
  <c r="M21" i="6" s="1"/>
  <c r="F21" i="6"/>
  <c r="E21" i="6"/>
  <c r="L21" i="6" s="1"/>
  <c r="D20" i="7" s="1"/>
  <c r="D21" i="6"/>
  <c r="K21" i="6" s="1"/>
  <c r="C20" i="7" s="1"/>
  <c r="C21" i="6"/>
  <c r="B21" i="6" s="1"/>
  <c r="A20" i="7" s="1"/>
  <c r="H20" i="6"/>
  <c r="M20" i="6" s="1"/>
  <c r="F20" i="6"/>
  <c r="K20" i="6" s="1"/>
  <c r="C19" i="7" s="1"/>
  <c r="E20" i="6"/>
  <c r="D20" i="6"/>
  <c r="C20" i="6"/>
  <c r="J20" i="6" s="1"/>
  <c r="B19" i="7" s="1"/>
  <c r="B20" i="6"/>
  <c r="A19" i="7" s="1"/>
  <c r="J19" i="6"/>
  <c r="B18" i="7" s="1"/>
  <c r="H19" i="6"/>
  <c r="M19" i="6" s="1"/>
  <c r="F19" i="6"/>
  <c r="E19" i="6"/>
  <c r="L19" i="6" s="1"/>
  <c r="D18" i="7" s="1"/>
  <c r="D19" i="6"/>
  <c r="K19" i="6" s="1"/>
  <c r="C18" i="7" s="1"/>
  <c r="C19" i="6"/>
  <c r="B19" i="6" s="1"/>
  <c r="A18" i="7" s="1"/>
  <c r="H18" i="6"/>
  <c r="M18" i="6" s="1"/>
  <c r="F18" i="6"/>
  <c r="K18" i="6" s="1"/>
  <c r="C17" i="7" s="1"/>
  <c r="E18" i="6"/>
  <c r="D18" i="6"/>
  <c r="C18" i="6"/>
  <c r="J18" i="6" s="1"/>
  <c r="B17" i="7" s="1"/>
  <c r="B18" i="6"/>
  <c r="A17" i="7" s="1"/>
  <c r="J17" i="6"/>
  <c r="B16" i="7" s="1"/>
  <c r="H17" i="6"/>
  <c r="M17" i="6" s="1"/>
  <c r="F17" i="6"/>
  <c r="E17" i="6"/>
  <c r="L17" i="6" s="1"/>
  <c r="D16" i="7" s="1"/>
  <c r="D17" i="6"/>
  <c r="K17" i="6" s="1"/>
  <c r="C16" i="7" s="1"/>
  <c r="C17" i="6"/>
  <c r="B17" i="6" s="1"/>
  <c r="A16" i="7" s="1"/>
  <c r="H16" i="6"/>
  <c r="M16" i="6" s="1"/>
  <c r="F16" i="6"/>
  <c r="K16" i="6" s="1"/>
  <c r="C15" i="7" s="1"/>
  <c r="E16" i="6"/>
  <c r="D16" i="6"/>
  <c r="C16" i="6"/>
  <c r="J16" i="6" s="1"/>
  <c r="B15" i="7" s="1"/>
  <c r="B16" i="6"/>
  <c r="A15" i="7" s="1"/>
  <c r="J15" i="6"/>
  <c r="B14" i="7" s="1"/>
  <c r="H15" i="6"/>
  <c r="M15" i="6" s="1"/>
  <c r="F15" i="6"/>
  <c r="E15" i="6"/>
  <c r="L125" i="6" s="1"/>
  <c r="D124" i="7" s="1"/>
  <c r="D15" i="6"/>
  <c r="K32" i="6" s="1"/>
  <c r="C31" i="7" s="1"/>
  <c r="C15" i="6"/>
  <c r="J172" i="6" s="1"/>
  <c r="B171" i="7" s="1"/>
  <c r="K14" i="6"/>
  <c r="C13" i="7" s="1"/>
  <c r="H14" i="6"/>
  <c r="F14" i="6"/>
  <c r="J14" i="6" s="1"/>
  <c r="B13" i="7" s="1"/>
  <c r="E14" i="6"/>
  <c r="D14" i="6"/>
  <c r="C14" i="6"/>
  <c r="B14" i="6"/>
  <c r="A13" i="7" s="1"/>
  <c r="H13" i="6"/>
  <c r="F13" i="6"/>
  <c r="K13" i="6" s="1"/>
  <c r="C12" i="7" s="1"/>
  <c r="E13" i="6"/>
  <c r="D13" i="6"/>
  <c r="C13" i="6"/>
  <c r="J13" i="6" s="1"/>
  <c r="B12" i="7" s="1"/>
  <c r="B13" i="6"/>
  <c r="A12" i="7" s="1"/>
  <c r="H12" i="6"/>
  <c r="M12" i="6" s="1"/>
  <c r="F12" i="6"/>
  <c r="E12" i="6"/>
  <c r="D12" i="6"/>
  <c r="K12" i="6" s="1"/>
  <c r="C11" i="7" s="1"/>
  <c r="C12" i="6"/>
  <c r="B12" i="6" s="1"/>
  <c r="A11" i="7" s="1"/>
  <c r="J11" i="6"/>
  <c r="B10" i="7" s="1"/>
  <c r="H11" i="6"/>
  <c r="M11" i="6" s="1"/>
  <c r="F11" i="6"/>
  <c r="E11" i="6"/>
  <c r="D11" i="6"/>
  <c r="K11" i="6" s="1"/>
  <c r="C10" i="7" s="1"/>
  <c r="C11" i="6"/>
  <c r="B11" i="6" s="1"/>
  <c r="A10" i="7" s="1"/>
  <c r="K10" i="6"/>
  <c r="C9" i="7" s="1"/>
  <c r="H10" i="6"/>
  <c r="F10" i="6"/>
  <c r="J10" i="6" s="1"/>
  <c r="B9" i="7" s="1"/>
  <c r="E10" i="6"/>
  <c r="D10" i="6"/>
  <c r="C10" i="6"/>
  <c r="B10" i="6"/>
  <c r="A9" i="7" s="1"/>
  <c r="H9" i="6"/>
  <c r="F9" i="6"/>
  <c r="K9" i="6" s="1"/>
  <c r="C8" i="7" s="1"/>
  <c r="E9" i="6"/>
  <c r="D9" i="6"/>
  <c r="C9" i="6"/>
  <c r="J9" i="6" s="1"/>
  <c r="B8" i="7" s="1"/>
  <c r="B9" i="6"/>
  <c r="A8" i="7" s="1"/>
  <c r="H8" i="6"/>
  <c r="M8" i="6" s="1"/>
  <c r="F8" i="6"/>
  <c r="E8" i="6"/>
  <c r="D8" i="6"/>
  <c r="K8" i="6" s="1"/>
  <c r="C7" i="7" s="1"/>
  <c r="C8" i="6"/>
  <c r="B8" i="6" s="1"/>
  <c r="A7" i="7" s="1"/>
  <c r="J7" i="6"/>
  <c r="B6" i="7" s="1"/>
  <c r="H7" i="6"/>
  <c r="M7" i="6" s="1"/>
  <c r="F7" i="6"/>
  <c r="E7" i="6"/>
  <c r="D7" i="6"/>
  <c r="K7" i="6" s="1"/>
  <c r="C6" i="7" s="1"/>
  <c r="C7" i="6"/>
  <c r="B7" i="6" s="1"/>
  <c r="A6" i="7" s="1"/>
  <c r="K6" i="6"/>
  <c r="C5" i="7" s="1"/>
  <c r="H6" i="6"/>
  <c r="F6" i="6"/>
  <c r="J6" i="6" s="1"/>
  <c r="B5" i="7" s="1"/>
  <c r="E6" i="6"/>
  <c r="D6" i="6"/>
  <c r="C6" i="6"/>
  <c r="B6" i="6"/>
  <c r="A5" i="7" s="1"/>
  <c r="H5" i="6"/>
  <c r="F5" i="6"/>
  <c r="K5" i="6" s="1"/>
  <c r="C4" i="7" s="1"/>
  <c r="E5" i="6"/>
  <c r="D5" i="6"/>
  <c r="C5" i="6"/>
  <c r="J5" i="6" s="1"/>
  <c r="B4" i="7" s="1"/>
  <c r="B5" i="6"/>
  <c r="A4" i="7" s="1"/>
  <c r="H4" i="6"/>
  <c r="M4" i="6" s="1"/>
  <c r="F4" i="6"/>
  <c r="E4" i="6"/>
  <c r="D4" i="6"/>
  <c r="K4" i="6" s="1"/>
  <c r="C3" i="7" s="1"/>
  <c r="C4" i="6"/>
  <c r="B4" i="6" s="1"/>
  <c r="A3" i="7" s="1"/>
  <c r="G3" i="6"/>
  <c r="H3" i="6" s="1"/>
  <c r="M3" i="6" s="1"/>
  <c r="F3" i="6"/>
  <c r="K3" i="6" s="1"/>
  <c r="C2" i="7" s="1"/>
  <c r="E3" i="6"/>
  <c r="D3" i="6"/>
  <c r="C3" i="6"/>
  <c r="B3" i="6" s="1"/>
  <c r="A2" i="7" s="1"/>
  <c r="I721" i="5"/>
  <c r="H721" i="5"/>
  <c r="G721" i="5"/>
  <c r="F721" i="5"/>
  <c r="I720" i="5"/>
  <c r="H720" i="5"/>
  <c r="G720" i="5"/>
  <c r="F720" i="5"/>
  <c r="I719" i="5"/>
  <c r="H719" i="5"/>
  <c r="G719" i="5"/>
  <c r="F719" i="5"/>
  <c r="I718" i="5"/>
  <c r="H718" i="5"/>
  <c r="G718" i="5"/>
  <c r="F718" i="5"/>
  <c r="J717" i="5"/>
  <c r="I717" i="5"/>
  <c r="H717" i="5"/>
  <c r="G717" i="5"/>
  <c r="F717" i="5"/>
  <c r="J716" i="5"/>
  <c r="I716" i="5"/>
  <c r="H716" i="5"/>
  <c r="G716" i="5"/>
  <c r="F716" i="5"/>
  <c r="J715" i="5"/>
  <c r="I715" i="5"/>
  <c r="H715" i="5"/>
  <c r="G715" i="5"/>
  <c r="F715" i="5"/>
  <c r="J714" i="5"/>
  <c r="I714" i="5"/>
  <c r="H714" i="5"/>
  <c r="G714" i="5"/>
  <c r="F714" i="5"/>
  <c r="J713" i="5"/>
  <c r="I713" i="5"/>
  <c r="H713" i="5"/>
  <c r="G713" i="5"/>
  <c r="F713" i="5"/>
  <c r="J712" i="5"/>
  <c r="I712" i="5"/>
  <c r="H712" i="5"/>
  <c r="G712" i="5"/>
  <c r="F712" i="5"/>
  <c r="J711" i="5"/>
  <c r="I711" i="5"/>
  <c r="H711" i="5"/>
  <c r="G711" i="5"/>
  <c r="F711" i="5"/>
  <c r="J710" i="5"/>
  <c r="I710" i="5"/>
  <c r="H710" i="5"/>
  <c r="G710" i="5"/>
  <c r="F710" i="5"/>
  <c r="J709" i="5"/>
  <c r="I709" i="5"/>
  <c r="H709" i="5"/>
  <c r="G709" i="5"/>
  <c r="F709" i="5"/>
  <c r="J708" i="5"/>
  <c r="I708" i="5"/>
  <c r="H708" i="5"/>
  <c r="G708" i="5"/>
  <c r="F708" i="5"/>
  <c r="J707" i="5"/>
  <c r="I707" i="5"/>
  <c r="H707" i="5"/>
  <c r="G707" i="5"/>
  <c r="F707" i="5"/>
  <c r="J706" i="5"/>
  <c r="I706" i="5"/>
  <c r="H706" i="5"/>
  <c r="G706" i="5"/>
  <c r="F706" i="5"/>
  <c r="J705" i="5"/>
  <c r="I705" i="5"/>
  <c r="H705" i="5"/>
  <c r="G705" i="5"/>
  <c r="F705" i="5"/>
  <c r="J704" i="5"/>
  <c r="I704" i="5"/>
  <c r="H704" i="5"/>
  <c r="G704" i="5"/>
  <c r="F704" i="5"/>
  <c r="J703" i="5"/>
  <c r="I703" i="5"/>
  <c r="H703" i="5"/>
  <c r="G703" i="5"/>
  <c r="F703" i="5"/>
  <c r="J702" i="5"/>
  <c r="I702" i="5"/>
  <c r="H702" i="5"/>
  <c r="G702" i="5"/>
  <c r="F702" i="5"/>
  <c r="J701" i="5"/>
  <c r="I701" i="5"/>
  <c r="H701" i="5"/>
  <c r="G701" i="5"/>
  <c r="F701" i="5"/>
  <c r="J700" i="5"/>
  <c r="I700" i="5"/>
  <c r="H700" i="5"/>
  <c r="G700" i="5"/>
  <c r="F700" i="5"/>
  <c r="K699" i="5"/>
  <c r="J699" i="5"/>
  <c r="I699" i="5"/>
  <c r="H699" i="5"/>
  <c r="G699" i="5"/>
  <c r="F699" i="5"/>
  <c r="J698" i="5"/>
  <c r="I698" i="5"/>
  <c r="H698" i="5"/>
  <c r="G698" i="5"/>
  <c r="F698" i="5"/>
  <c r="J697" i="5"/>
  <c r="I697" i="5"/>
  <c r="H697" i="5"/>
  <c r="G697" i="5"/>
  <c r="F697" i="5"/>
  <c r="J696" i="5"/>
  <c r="I696" i="5"/>
  <c r="H696" i="5"/>
  <c r="G696" i="5"/>
  <c r="F696" i="5"/>
  <c r="J695" i="5"/>
  <c r="I695" i="5"/>
  <c r="H695" i="5"/>
  <c r="G695" i="5"/>
  <c r="F695" i="5"/>
  <c r="J694" i="5"/>
  <c r="I694" i="5"/>
  <c r="H694" i="5"/>
  <c r="G694" i="5"/>
  <c r="F694" i="5"/>
  <c r="J693" i="5"/>
  <c r="I693" i="5"/>
  <c r="H693" i="5"/>
  <c r="G693" i="5"/>
  <c r="F693" i="5"/>
  <c r="J692" i="5"/>
  <c r="I692" i="5"/>
  <c r="H692" i="5"/>
  <c r="G692" i="5"/>
  <c r="F692" i="5"/>
  <c r="J691" i="5"/>
  <c r="I691" i="5"/>
  <c r="H691" i="5"/>
  <c r="G691" i="5"/>
  <c r="F691" i="5"/>
  <c r="J690" i="5"/>
  <c r="I690" i="5"/>
  <c r="H690" i="5"/>
  <c r="G690" i="5"/>
  <c r="F690" i="5"/>
  <c r="J689" i="5"/>
  <c r="I689" i="5"/>
  <c r="H689" i="5"/>
  <c r="G689" i="5"/>
  <c r="F689" i="5"/>
  <c r="J688" i="5"/>
  <c r="I688" i="5"/>
  <c r="H688" i="5"/>
  <c r="G688" i="5"/>
  <c r="F688" i="5"/>
  <c r="J687" i="5"/>
  <c r="I687" i="5"/>
  <c r="H687" i="5"/>
  <c r="G687" i="5"/>
  <c r="F687" i="5"/>
  <c r="J686" i="5"/>
  <c r="I686" i="5"/>
  <c r="H686" i="5"/>
  <c r="G686" i="5"/>
  <c r="F686" i="5"/>
  <c r="J685" i="5"/>
  <c r="I685" i="5"/>
  <c r="H685" i="5"/>
  <c r="G685" i="5"/>
  <c r="F685" i="5"/>
  <c r="J684" i="5"/>
  <c r="I684" i="5"/>
  <c r="H684" i="5"/>
  <c r="G684" i="5"/>
  <c r="F684" i="5"/>
  <c r="J683" i="5"/>
  <c r="I683" i="5"/>
  <c r="H683" i="5"/>
  <c r="G683" i="5"/>
  <c r="F683" i="5"/>
  <c r="J682" i="5"/>
  <c r="I682" i="5"/>
  <c r="H682" i="5"/>
  <c r="G682" i="5"/>
  <c r="F682" i="5"/>
  <c r="J681" i="5"/>
  <c r="I681" i="5"/>
  <c r="H681" i="5"/>
  <c r="G681" i="5"/>
  <c r="F681" i="5"/>
  <c r="I680" i="5"/>
  <c r="H680" i="5"/>
  <c r="G680" i="5"/>
  <c r="F680" i="5"/>
  <c r="J679" i="5"/>
  <c r="I679" i="5"/>
  <c r="H679" i="5"/>
  <c r="G679" i="5"/>
  <c r="F679" i="5"/>
  <c r="J678" i="5"/>
  <c r="I678" i="5"/>
  <c r="H678" i="5"/>
  <c r="G678" i="5"/>
  <c r="F678" i="5"/>
  <c r="J677" i="5"/>
  <c r="I677" i="5"/>
  <c r="H677" i="5"/>
  <c r="G677" i="5"/>
  <c r="F677" i="5"/>
  <c r="J676" i="5"/>
  <c r="I676" i="5"/>
  <c r="H676" i="5"/>
  <c r="G676" i="5"/>
  <c r="F676" i="5"/>
  <c r="J675" i="5"/>
  <c r="I675" i="5"/>
  <c r="H675" i="5"/>
  <c r="G675" i="5"/>
  <c r="F675" i="5"/>
  <c r="J674" i="5"/>
  <c r="I674" i="5"/>
  <c r="H674" i="5"/>
  <c r="G674" i="5"/>
  <c r="F674" i="5"/>
  <c r="J673" i="5"/>
  <c r="I673" i="5"/>
  <c r="H673" i="5"/>
  <c r="G673" i="5"/>
  <c r="F673" i="5"/>
  <c r="J672" i="5"/>
  <c r="I672" i="5"/>
  <c r="H672" i="5"/>
  <c r="G672" i="5"/>
  <c r="F672" i="5"/>
  <c r="J671" i="5"/>
  <c r="I671" i="5"/>
  <c r="H671" i="5"/>
  <c r="G671" i="5"/>
  <c r="F671" i="5"/>
  <c r="J670" i="5"/>
  <c r="I670" i="5"/>
  <c r="H670" i="5"/>
  <c r="G670" i="5"/>
  <c r="F670" i="5"/>
  <c r="J669" i="5"/>
  <c r="I669" i="5"/>
  <c r="H669" i="5"/>
  <c r="G669" i="5"/>
  <c r="F669" i="5"/>
  <c r="J668" i="5"/>
  <c r="I668" i="5"/>
  <c r="H668" i="5"/>
  <c r="G668" i="5"/>
  <c r="F668" i="5"/>
  <c r="J667" i="5"/>
  <c r="I667" i="5"/>
  <c r="H667" i="5"/>
  <c r="G667" i="5"/>
  <c r="F667" i="5"/>
  <c r="J666" i="5"/>
  <c r="I666" i="5"/>
  <c r="H666" i="5"/>
  <c r="G666" i="5"/>
  <c r="F666" i="5"/>
  <c r="J665" i="5"/>
  <c r="I665" i="5"/>
  <c r="H665" i="5"/>
  <c r="G665" i="5"/>
  <c r="F665" i="5"/>
  <c r="J664" i="5"/>
  <c r="I664" i="5"/>
  <c r="H664" i="5"/>
  <c r="G664" i="5"/>
  <c r="F664" i="5"/>
  <c r="J663" i="5"/>
  <c r="I663" i="5"/>
  <c r="H663" i="5"/>
  <c r="G663" i="5"/>
  <c r="F663" i="5"/>
  <c r="J662" i="5"/>
  <c r="I662" i="5"/>
  <c r="H662" i="5"/>
  <c r="G662" i="5"/>
  <c r="F662" i="5"/>
  <c r="J661" i="5"/>
  <c r="I661" i="5"/>
  <c r="H661" i="5"/>
  <c r="G661" i="5"/>
  <c r="F661" i="5"/>
  <c r="J660" i="5"/>
  <c r="I660" i="5"/>
  <c r="H660" i="5"/>
  <c r="G660" i="5"/>
  <c r="F660" i="5"/>
  <c r="J659" i="5"/>
  <c r="I659" i="5"/>
  <c r="H659" i="5"/>
  <c r="G659" i="5"/>
  <c r="F659" i="5"/>
  <c r="J658" i="5"/>
  <c r="I658" i="5"/>
  <c r="H658" i="5"/>
  <c r="G658" i="5"/>
  <c r="F658" i="5"/>
  <c r="J657" i="5"/>
  <c r="I657" i="5"/>
  <c r="H657" i="5"/>
  <c r="G657" i="5"/>
  <c r="F657" i="5"/>
  <c r="J656" i="5"/>
  <c r="I656" i="5"/>
  <c r="H656" i="5"/>
  <c r="G656" i="5"/>
  <c r="F656" i="5"/>
  <c r="J655" i="5"/>
  <c r="I655" i="5"/>
  <c r="H655" i="5"/>
  <c r="G655" i="5"/>
  <c r="F655" i="5"/>
  <c r="J654" i="5"/>
  <c r="I654" i="5"/>
  <c r="H654" i="5"/>
  <c r="G654" i="5"/>
  <c r="F654" i="5"/>
  <c r="J653" i="5"/>
  <c r="I653" i="5"/>
  <c r="H653" i="5"/>
  <c r="G653" i="5"/>
  <c r="F653" i="5"/>
  <c r="J652" i="5"/>
  <c r="I652" i="5"/>
  <c r="H652" i="5"/>
  <c r="G652" i="5"/>
  <c r="F652" i="5"/>
  <c r="J651" i="5"/>
  <c r="I651" i="5"/>
  <c r="H651" i="5"/>
  <c r="G651" i="5"/>
  <c r="F651" i="5"/>
  <c r="J650" i="5"/>
  <c r="I650" i="5"/>
  <c r="H650" i="5"/>
  <c r="G650" i="5"/>
  <c r="F650" i="5"/>
  <c r="J649" i="5"/>
  <c r="I649" i="5"/>
  <c r="H649" i="5"/>
  <c r="G649" i="5"/>
  <c r="F649" i="5"/>
  <c r="J648" i="5"/>
  <c r="I648" i="5"/>
  <c r="H648" i="5"/>
  <c r="G648" i="5"/>
  <c r="F648" i="5"/>
  <c r="J647" i="5"/>
  <c r="I647" i="5"/>
  <c r="H647" i="5"/>
  <c r="G647" i="5"/>
  <c r="F647" i="5"/>
  <c r="J646" i="5"/>
  <c r="I646" i="5"/>
  <c r="H646" i="5"/>
  <c r="G646" i="5"/>
  <c r="F646" i="5"/>
  <c r="J645" i="5"/>
  <c r="I645" i="5"/>
  <c r="H645" i="5"/>
  <c r="G645" i="5"/>
  <c r="F645" i="5"/>
  <c r="J644" i="5"/>
  <c r="I644" i="5"/>
  <c r="H644" i="5"/>
  <c r="G644" i="5"/>
  <c r="F644" i="5"/>
  <c r="J643" i="5"/>
  <c r="I643" i="5"/>
  <c r="H643" i="5"/>
  <c r="G643" i="5"/>
  <c r="F643" i="5"/>
  <c r="J642" i="5"/>
  <c r="I642" i="5"/>
  <c r="H642" i="5"/>
  <c r="G642" i="5"/>
  <c r="F642" i="5"/>
  <c r="J641" i="5"/>
  <c r="I641" i="5"/>
  <c r="H641" i="5"/>
  <c r="G641" i="5"/>
  <c r="F641" i="5"/>
  <c r="J640" i="5"/>
  <c r="I640" i="5"/>
  <c r="H640" i="5"/>
  <c r="G640" i="5"/>
  <c r="F640" i="5"/>
  <c r="J639" i="5"/>
  <c r="I639" i="5"/>
  <c r="H639" i="5"/>
  <c r="G639" i="5"/>
  <c r="F639" i="5"/>
  <c r="J638" i="5"/>
  <c r="I638" i="5"/>
  <c r="H638" i="5"/>
  <c r="G638" i="5"/>
  <c r="F638" i="5"/>
  <c r="J637" i="5"/>
  <c r="I637" i="5"/>
  <c r="H637" i="5"/>
  <c r="G637" i="5"/>
  <c r="F637" i="5"/>
  <c r="J636" i="5"/>
  <c r="I636" i="5"/>
  <c r="H636" i="5"/>
  <c r="G636" i="5"/>
  <c r="F636" i="5"/>
  <c r="J635" i="5"/>
  <c r="I635" i="5"/>
  <c r="H635" i="5"/>
  <c r="G635" i="5"/>
  <c r="F635" i="5"/>
  <c r="J634" i="5"/>
  <c r="I634" i="5"/>
  <c r="H634" i="5"/>
  <c r="G634" i="5"/>
  <c r="F634" i="5"/>
  <c r="J633" i="5"/>
  <c r="I633" i="5"/>
  <c r="H633" i="5"/>
  <c r="G633" i="5"/>
  <c r="F633" i="5"/>
  <c r="J632" i="5"/>
  <c r="I632" i="5"/>
  <c r="H632" i="5"/>
  <c r="G632" i="5"/>
  <c r="F632" i="5"/>
  <c r="J631" i="5"/>
  <c r="I631" i="5"/>
  <c r="H631" i="5"/>
  <c r="G631" i="5"/>
  <c r="F631" i="5"/>
  <c r="J630" i="5"/>
  <c r="I630" i="5"/>
  <c r="H630" i="5"/>
  <c r="G630" i="5"/>
  <c r="F630" i="5"/>
  <c r="J629" i="5"/>
  <c r="I629" i="5"/>
  <c r="H629" i="5"/>
  <c r="G629" i="5"/>
  <c r="F629" i="5"/>
  <c r="J628" i="5"/>
  <c r="I628" i="5"/>
  <c r="H628" i="5"/>
  <c r="G628" i="5"/>
  <c r="F628" i="5"/>
  <c r="J627" i="5"/>
  <c r="I627" i="5"/>
  <c r="H627" i="5"/>
  <c r="G627" i="5"/>
  <c r="F627" i="5"/>
  <c r="J626" i="5"/>
  <c r="I626" i="5"/>
  <c r="H626" i="5"/>
  <c r="G626" i="5"/>
  <c r="F626" i="5"/>
  <c r="J625" i="5"/>
  <c r="I625" i="5"/>
  <c r="H625" i="5"/>
  <c r="G625" i="5"/>
  <c r="F625" i="5"/>
  <c r="J624" i="5"/>
  <c r="I624" i="5"/>
  <c r="H624" i="5"/>
  <c r="G624" i="5"/>
  <c r="F624" i="5"/>
  <c r="J623" i="5"/>
  <c r="I623" i="5"/>
  <c r="H623" i="5"/>
  <c r="G623" i="5"/>
  <c r="F623" i="5"/>
  <c r="J622" i="5"/>
  <c r="I622" i="5"/>
  <c r="H622" i="5"/>
  <c r="G622" i="5"/>
  <c r="F622" i="5"/>
  <c r="J621" i="5"/>
  <c r="I621" i="5"/>
  <c r="H621" i="5"/>
  <c r="G621" i="5"/>
  <c r="F621" i="5"/>
  <c r="J620" i="5"/>
  <c r="I620" i="5"/>
  <c r="H620" i="5"/>
  <c r="G620" i="5"/>
  <c r="F620" i="5"/>
  <c r="J619" i="5"/>
  <c r="I619" i="5"/>
  <c r="H619" i="5"/>
  <c r="G619" i="5"/>
  <c r="F619" i="5"/>
  <c r="J618" i="5"/>
  <c r="I618" i="5"/>
  <c r="H618" i="5"/>
  <c r="G618" i="5"/>
  <c r="F618" i="5"/>
  <c r="J617" i="5"/>
  <c r="I617" i="5"/>
  <c r="H617" i="5"/>
  <c r="G617" i="5"/>
  <c r="F617" i="5"/>
  <c r="J616" i="5"/>
  <c r="I616" i="5"/>
  <c r="H616" i="5"/>
  <c r="G616" i="5"/>
  <c r="F616" i="5"/>
  <c r="J615" i="5"/>
  <c r="I615" i="5"/>
  <c r="H615" i="5"/>
  <c r="G615" i="5"/>
  <c r="F615" i="5"/>
  <c r="J614" i="5"/>
  <c r="I614" i="5"/>
  <c r="H614" i="5"/>
  <c r="G614" i="5"/>
  <c r="F614" i="5"/>
  <c r="J613" i="5"/>
  <c r="I613" i="5"/>
  <c r="H613" i="5"/>
  <c r="G613" i="5"/>
  <c r="F613" i="5"/>
  <c r="J612" i="5"/>
  <c r="I612" i="5"/>
  <c r="H612" i="5"/>
  <c r="G612" i="5"/>
  <c r="F612" i="5"/>
  <c r="J611" i="5"/>
  <c r="I611" i="5"/>
  <c r="H611" i="5"/>
  <c r="G611" i="5"/>
  <c r="F611" i="5"/>
  <c r="J610" i="5"/>
  <c r="I610" i="5"/>
  <c r="H610" i="5"/>
  <c r="G610" i="5"/>
  <c r="F610" i="5"/>
  <c r="J609" i="5"/>
  <c r="I609" i="5"/>
  <c r="H609" i="5"/>
  <c r="G609" i="5"/>
  <c r="F609" i="5"/>
  <c r="J608" i="5"/>
  <c r="I608" i="5"/>
  <c r="H608" i="5"/>
  <c r="G608" i="5"/>
  <c r="F608" i="5"/>
  <c r="J607" i="5"/>
  <c r="I607" i="5"/>
  <c r="H607" i="5"/>
  <c r="G607" i="5"/>
  <c r="F607" i="5"/>
  <c r="J606" i="5"/>
  <c r="I606" i="5"/>
  <c r="H606" i="5"/>
  <c r="G606" i="5"/>
  <c r="F606" i="5"/>
  <c r="J605" i="5"/>
  <c r="I605" i="5"/>
  <c r="H605" i="5"/>
  <c r="G605" i="5"/>
  <c r="F605" i="5"/>
  <c r="J604" i="5"/>
  <c r="I604" i="5"/>
  <c r="H604" i="5"/>
  <c r="G604" i="5"/>
  <c r="F604" i="5"/>
  <c r="J603" i="5"/>
  <c r="I603" i="5"/>
  <c r="H603" i="5"/>
  <c r="G603" i="5"/>
  <c r="F603" i="5"/>
  <c r="J602" i="5"/>
  <c r="I602" i="5"/>
  <c r="H602" i="5"/>
  <c r="G602" i="5"/>
  <c r="F602" i="5"/>
  <c r="J601" i="5"/>
  <c r="I601" i="5"/>
  <c r="H601" i="5"/>
  <c r="G601" i="5"/>
  <c r="F601" i="5"/>
  <c r="J600" i="5"/>
  <c r="I600" i="5"/>
  <c r="H600" i="5"/>
  <c r="G600" i="5"/>
  <c r="F600" i="5"/>
  <c r="J599" i="5"/>
  <c r="I599" i="5"/>
  <c r="H599" i="5"/>
  <c r="G599" i="5"/>
  <c r="F599" i="5"/>
  <c r="J598" i="5"/>
  <c r="I598" i="5"/>
  <c r="H598" i="5"/>
  <c r="G598" i="5"/>
  <c r="F598" i="5"/>
  <c r="J597" i="5"/>
  <c r="I597" i="5"/>
  <c r="H597" i="5"/>
  <c r="G597" i="5"/>
  <c r="F597" i="5"/>
  <c r="J596" i="5"/>
  <c r="I596" i="5"/>
  <c r="H596" i="5"/>
  <c r="G596" i="5"/>
  <c r="F596" i="5"/>
  <c r="J595" i="5"/>
  <c r="I595" i="5"/>
  <c r="H595" i="5"/>
  <c r="G595" i="5"/>
  <c r="F595" i="5"/>
  <c r="J594" i="5"/>
  <c r="I594" i="5"/>
  <c r="H594" i="5"/>
  <c r="G594" i="5"/>
  <c r="F594" i="5"/>
  <c r="J593" i="5"/>
  <c r="I593" i="5"/>
  <c r="H593" i="5"/>
  <c r="G593" i="5"/>
  <c r="F593" i="5"/>
  <c r="J592" i="5"/>
  <c r="I592" i="5"/>
  <c r="H592" i="5"/>
  <c r="G592" i="5"/>
  <c r="F592" i="5"/>
  <c r="J591" i="5"/>
  <c r="I591" i="5"/>
  <c r="H591" i="5"/>
  <c r="G591" i="5"/>
  <c r="F591" i="5"/>
  <c r="J590" i="5"/>
  <c r="I590" i="5"/>
  <c r="H590" i="5"/>
  <c r="G590" i="5"/>
  <c r="F590" i="5"/>
  <c r="J589" i="5"/>
  <c r="I589" i="5"/>
  <c r="H589" i="5"/>
  <c r="G589" i="5"/>
  <c r="F589" i="5"/>
  <c r="J588" i="5"/>
  <c r="I588" i="5"/>
  <c r="H588" i="5"/>
  <c r="G588" i="5"/>
  <c r="F588" i="5"/>
  <c r="J587" i="5"/>
  <c r="I587" i="5"/>
  <c r="H587" i="5"/>
  <c r="G587" i="5"/>
  <c r="F587" i="5"/>
  <c r="J586" i="5"/>
  <c r="I586" i="5"/>
  <c r="H586" i="5"/>
  <c r="G586" i="5"/>
  <c r="F586" i="5"/>
  <c r="J585" i="5"/>
  <c r="I585" i="5"/>
  <c r="H585" i="5"/>
  <c r="G585" i="5"/>
  <c r="F585" i="5"/>
  <c r="J584" i="5"/>
  <c r="I584" i="5"/>
  <c r="H584" i="5"/>
  <c r="G584" i="5"/>
  <c r="F584" i="5"/>
  <c r="J583" i="5"/>
  <c r="I583" i="5"/>
  <c r="H583" i="5"/>
  <c r="G583" i="5"/>
  <c r="F583" i="5"/>
  <c r="J582" i="5"/>
  <c r="I582" i="5"/>
  <c r="H582" i="5"/>
  <c r="G582" i="5"/>
  <c r="F582" i="5"/>
  <c r="J581" i="5"/>
  <c r="I581" i="5"/>
  <c r="H581" i="5"/>
  <c r="G581" i="5"/>
  <c r="F581" i="5"/>
  <c r="J580" i="5"/>
  <c r="I580" i="5"/>
  <c r="H580" i="5"/>
  <c r="G580" i="5"/>
  <c r="F580" i="5"/>
  <c r="J579" i="5"/>
  <c r="I579" i="5"/>
  <c r="H579" i="5"/>
  <c r="G579" i="5"/>
  <c r="F579" i="5"/>
  <c r="J578" i="5"/>
  <c r="I578" i="5"/>
  <c r="H578" i="5"/>
  <c r="G578" i="5"/>
  <c r="F578" i="5"/>
  <c r="J577" i="5"/>
  <c r="I577" i="5"/>
  <c r="H577" i="5"/>
  <c r="G577" i="5"/>
  <c r="F577" i="5"/>
  <c r="J576" i="5"/>
  <c r="I576" i="5"/>
  <c r="H576" i="5"/>
  <c r="G576" i="5"/>
  <c r="F576" i="5"/>
  <c r="J575" i="5"/>
  <c r="I575" i="5"/>
  <c r="H575" i="5"/>
  <c r="G575" i="5"/>
  <c r="F575" i="5"/>
  <c r="J574" i="5"/>
  <c r="I574" i="5"/>
  <c r="H574" i="5"/>
  <c r="G574" i="5"/>
  <c r="F574" i="5"/>
  <c r="J573" i="5"/>
  <c r="I573" i="5"/>
  <c r="H573" i="5"/>
  <c r="G573" i="5"/>
  <c r="F573" i="5"/>
  <c r="J572" i="5"/>
  <c r="I572" i="5"/>
  <c r="H572" i="5"/>
  <c r="G572" i="5"/>
  <c r="F572" i="5"/>
  <c r="J571" i="5"/>
  <c r="I571" i="5"/>
  <c r="H571" i="5"/>
  <c r="G571" i="5"/>
  <c r="F571" i="5"/>
  <c r="J570" i="5"/>
  <c r="I570" i="5"/>
  <c r="H570" i="5"/>
  <c r="G570" i="5"/>
  <c r="F570" i="5"/>
  <c r="J569" i="5"/>
  <c r="I569" i="5"/>
  <c r="H569" i="5"/>
  <c r="G569" i="5"/>
  <c r="F569" i="5"/>
  <c r="J568" i="5"/>
  <c r="I568" i="5"/>
  <c r="H568" i="5"/>
  <c r="G568" i="5"/>
  <c r="F568" i="5"/>
  <c r="J567" i="5"/>
  <c r="I567" i="5"/>
  <c r="H567" i="5"/>
  <c r="G567" i="5"/>
  <c r="F567" i="5"/>
  <c r="J566" i="5"/>
  <c r="I566" i="5"/>
  <c r="H566" i="5"/>
  <c r="G566" i="5"/>
  <c r="F566" i="5"/>
  <c r="J565" i="5"/>
  <c r="I565" i="5"/>
  <c r="H565" i="5"/>
  <c r="G565" i="5"/>
  <c r="F565" i="5"/>
  <c r="J564" i="5"/>
  <c r="I564" i="5"/>
  <c r="H564" i="5"/>
  <c r="G564" i="5"/>
  <c r="F564" i="5"/>
  <c r="J563" i="5"/>
  <c r="I563" i="5"/>
  <c r="H563" i="5"/>
  <c r="G563" i="5"/>
  <c r="F563" i="5"/>
  <c r="J562" i="5"/>
  <c r="I562" i="5"/>
  <c r="H562" i="5"/>
  <c r="G562" i="5"/>
  <c r="F562" i="5"/>
  <c r="J561" i="5"/>
  <c r="I561" i="5"/>
  <c r="H561" i="5"/>
  <c r="G561" i="5"/>
  <c r="F561" i="5"/>
  <c r="J560" i="5"/>
  <c r="I560" i="5"/>
  <c r="H560" i="5"/>
  <c r="G560" i="5"/>
  <c r="F560" i="5"/>
  <c r="J559" i="5"/>
  <c r="I559" i="5"/>
  <c r="H559" i="5"/>
  <c r="G559" i="5"/>
  <c r="F559" i="5"/>
  <c r="J558" i="5"/>
  <c r="I558" i="5"/>
  <c r="H558" i="5"/>
  <c r="G558" i="5"/>
  <c r="F558" i="5"/>
  <c r="J557" i="5"/>
  <c r="I557" i="5"/>
  <c r="H557" i="5"/>
  <c r="G557" i="5"/>
  <c r="F557" i="5"/>
  <c r="J556" i="5"/>
  <c r="I556" i="5"/>
  <c r="H556" i="5"/>
  <c r="G556" i="5"/>
  <c r="F556" i="5"/>
  <c r="J555" i="5"/>
  <c r="I555" i="5"/>
  <c r="H555" i="5"/>
  <c r="G555" i="5"/>
  <c r="F555" i="5"/>
  <c r="J554" i="5"/>
  <c r="I554" i="5"/>
  <c r="H554" i="5"/>
  <c r="G554" i="5"/>
  <c r="F554" i="5"/>
  <c r="J553" i="5"/>
  <c r="I553" i="5"/>
  <c r="H553" i="5"/>
  <c r="G553" i="5"/>
  <c r="F553" i="5"/>
  <c r="J552" i="5"/>
  <c r="I552" i="5"/>
  <c r="H552" i="5"/>
  <c r="G552" i="5"/>
  <c r="F552" i="5"/>
  <c r="J551" i="5"/>
  <c r="I551" i="5"/>
  <c r="H551" i="5"/>
  <c r="G551" i="5"/>
  <c r="F551" i="5"/>
  <c r="J550" i="5"/>
  <c r="I550" i="5"/>
  <c r="H550" i="5"/>
  <c r="G550" i="5"/>
  <c r="F550" i="5"/>
  <c r="J549" i="5"/>
  <c r="I549" i="5"/>
  <c r="H549" i="5"/>
  <c r="G549" i="5"/>
  <c r="F549" i="5"/>
  <c r="J548" i="5"/>
  <c r="I548" i="5"/>
  <c r="H548" i="5"/>
  <c r="G548" i="5"/>
  <c r="F548" i="5"/>
  <c r="J547" i="5"/>
  <c r="I547" i="5"/>
  <c r="H547" i="5"/>
  <c r="G547" i="5"/>
  <c r="F547" i="5"/>
  <c r="J546" i="5"/>
  <c r="I546" i="5"/>
  <c r="H546" i="5"/>
  <c r="G546" i="5"/>
  <c r="F546" i="5"/>
  <c r="J545" i="5"/>
  <c r="I545" i="5"/>
  <c r="H545" i="5"/>
  <c r="G545" i="5"/>
  <c r="F545" i="5"/>
  <c r="J544" i="5"/>
  <c r="I544" i="5"/>
  <c r="H544" i="5"/>
  <c r="G544" i="5"/>
  <c r="F544" i="5"/>
  <c r="J543" i="5"/>
  <c r="I543" i="5"/>
  <c r="H543" i="5"/>
  <c r="G543" i="5"/>
  <c r="F543" i="5"/>
  <c r="J542" i="5"/>
  <c r="I542" i="5"/>
  <c r="H542" i="5"/>
  <c r="G542" i="5"/>
  <c r="F542" i="5"/>
  <c r="J541" i="5"/>
  <c r="I541" i="5"/>
  <c r="H541" i="5"/>
  <c r="G541" i="5"/>
  <c r="F541" i="5"/>
  <c r="J540" i="5"/>
  <c r="I540" i="5"/>
  <c r="H540" i="5"/>
  <c r="G540" i="5"/>
  <c r="F540" i="5"/>
  <c r="J539" i="5"/>
  <c r="I539" i="5"/>
  <c r="H539" i="5"/>
  <c r="G539" i="5"/>
  <c r="F539" i="5"/>
  <c r="J538" i="5"/>
  <c r="I538" i="5"/>
  <c r="H538" i="5"/>
  <c r="G538" i="5"/>
  <c r="F538" i="5"/>
  <c r="J537" i="5"/>
  <c r="I537" i="5"/>
  <c r="H537" i="5"/>
  <c r="G537" i="5"/>
  <c r="F537" i="5"/>
  <c r="J536" i="5"/>
  <c r="I536" i="5"/>
  <c r="H536" i="5"/>
  <c r="G536" i="5"/>
  <c r="F536" i="5"/>
  <c r="J535" i="5"/>
  <c r="I535" i="5"/>
  <c r="H535" i="5"/>
  <c r="G535" i="5"/>
  <c r="F535" i="5"/>
  <c r="J534" i="5"/>
  <c r="I534" i="5"/>
  <c r="H534" i="5"/>
  <c r="G534" i="5"/>
  <c r="F534" i="5"/>
  <c r="J533" i="5"/>
  <c r="I533" i="5"/>
  <c r="H533" i="5"/>
  <c r="G533" i="5"/>
  <c r="F533" i="5"/>
  <c r="J532" i="5"/>
  <c r="I532" i="5"/>
  <c r="H532" i="5"/>
  <c r="G532" i="5"/>
  <c r="F532" i="5"/>
  <c r="J531" i="5"/>
  <c r="I531" i="5"/>
  <c r="H531" i="5"/>
  <c r="G531" i="5"/>
  <c r="F531" i="5"/>
  <c r="J530" i="5"/>
  <c r="I530" i="5"/>
  <c r="H530" i="5"/>
  <c r="G530" i="5"/>
  <c r="F530" i="5"/>
  <c r="J529" i="5"/>
  <c r="I529" i="5"/>
  <c r="H529" i="5"/>
  <c r="G529" i="5"/>
  <c r="F529" i="5"/>
  <c r="J528" i="5"/>
  <c r="I528" i="5"/>
  <c r="H528" i="5"/>
  <c r="G528" i="5"/>
  <c r="F528" i="5"/>
  <c r="J527" i="5"/>
  <c r="I527" i="5"/>
  <c r="H527" i="5"/>
  <c r="G527" i="5"/>
  <c r="F527" i="5"/>
  <c r="J526" i="5"/>
  <c r="I526" i="5"/>
  <c r="H526" i="5"/>
  <c r="G526" i="5"/>
  <c r="F526" i="5"/>
  <c r="J525" i="5"/>
  <c r="I525" i="5"/>
  <c r="H525" i="5"/>
  <c r="G525" i="5"/>
  <c r="F525" i="5"/>
  <c r="J524" i="5"/>
  <c r="I524" i="5"/>
  <c r="H524" i="5"/>
  <c r="G524" i="5"/>
  <c r="F524" i="5"/>
  <c r="J523" i="5"/>
  <c r="I523" i="5"/>
  <c r="H523" i="5"/>
  <c r="G523" i="5"/>
  <c r="F523" i="5"/>
  <c r="J522" i="5"/>
  <c r="I522" i="5"/>
  <c r="H522" i="5"/>
  <c r="G522" i="5"/>
  <c r="F522" i="5"/>
  <c r="J521" i="5"/>
  <c r="I521" i="5"/>
  <c r="H521" i="5"/>
  <c r="G521" i="5"/>
  <c r="F521" i="5"/>
  <c r="J520" i="5"/>
  <c r="I520" i="5"/>
  <c r="H520" i="5"/>
  <c r="G520" i="5"/>
  <c r="F520" i="5"/>
  <c r="J519" i="5"/>
  <c r="I519" i="5"/>
  <c r="H519" i="5"/>
  <c r="G519" i="5"/>
  <c r="F519" i="5"/>
  <c r="J518" i="5"/>
  <c r="I518" i="5"/>
  <c r="H518" i="5"/>
  <c r="G518" i="5"/>
  <c r="F518" i="5"/>
  <c r="J517" i="5"/>
  <c r="I517" i="5"/>
  <c r="H517" i="5"/>
  <c r="G517" i="5"/>
  <c r="F517" i="5"/>
  <c r="J516" i="5"/>
  <c r="I516" i="5"/>
  <c r="H516" i="5"/>
  <c r="G516" i="5"/>
  <c r="F516" i="5"/>
  <c r="J515" i="5"/>
  <c r="I515" i="5"/>
  <c r="H515" i="5"/>
  <c r="G515" i="5"/>
  <c r="F515" i="5"/>
  <c r="J514" i="5"/>
  <c r="I514" i="5"/>
  <c r="H514" i="5"/>
  <c r="G514" i="5"/>
  <c r="F514" i="5"/>
  <c r="J513" i="5"/>
  <c r="I513" i="5"/>
  <c r="H513" i="5"/>
  <c r="G513" i="5"/>
  <c r="F513" i="5"/>
  <c r="J512" i="5"/>
  <c r="I512" i="5"/>
  <c r="H512" i="5"/>
  <c r="G512" i="5"/>
  <c r="F512" i="5"/>
  <c r="J511" i="5"/>
  <c r="I511" i="5"/>
  <c r="H511" i="5"/>
  <c r="G511" i="5"/>
  <c r="F511" i="5"/>
  <c r="J510" i="5"/>
  <c r="I510" i="5"/>
  <c r="H510" i="5"/>
  <c r="G510" i="5"/>
  <c r="F510" i="5"/>
  <c r="J509" i="5"/>
  <c r="I509" i="5"/>
  <c r="H509" i="5"/>
  <c r="G509" i="5"/>
  <c r="F509" i="5"/>
  <c r="J508" i="5"/>
  <c r="I508" i="5"/>
  <c r="H508" i="5"/>
  <c r="G508" i="5"/>
  <c r="F508" i="5"/>
  <c r="J507" i="5"/>
  <c r="I507" i="5"/>
  <c r="H507" i="5"/>
  <c r="G507" i="5"/>
  <c r="F507" i="5"/>
  <c r="J506" i="5"/>
  <c r="I506" i="5"/>
  <c r="H506" i="5"/>
  <c r="G506" i="5"/>
  <c r="F506" i="5"/>
  <c r="J505" i="5"/>
  <c r="I505" i="5"/>
  <c r="H505" i="5"/>
  <c r="G505" i="5"/>
  <c r="F505" i="5"/>
  <c r="J504" i="5"/>
  <c r="I504" i="5"/>
  <c r="H504" i="5"/>
  <c r="G504" i="5"/>
  <c r="F504" i="5"/>
  <c r="J503" i="5"/>
  <c r="I503" i="5"/>
  <c r="H503" i="5"/>
  <c r="G503" i="5"/>
  <c r="F503" i="5"/>
  <c r="J502" i="5"/>
  <c r="I502" i="5"/>
  <c r="H502" i="5"/>
  <c r="G502" i="5"/>
  <c r="F502" i="5"/>
  <c r="J501" i="5"/>
  <c r="I501" i="5"/>
  <c r="H501" i="5"/>
  <c r="G501" i="5"/>
  <c r="F501" i="5"/>
  <c r="J500" i="5"/>
  <c r="I500" i="5"/>
  <c r="H500" i="5"/>
  <c r="G500" i="5"/>
  <c r="F500" i="5"/>
  <c r="J499" i="5"/>
  <c r="I499" i="5"/>
  <c r="H499" i="5"/>
  <c r="G499" i="5"/>
  <c r="F499" i="5"/>
  <c r="J498" i="5"/>
  <c r="I498" i="5"/>
  <c r="H498" i="5"/>
  <c r="G498" i="5"/>
  <c r="F498" i="5"/>
  <c r="J497" i="5"/>
  <c r="I497" i="5"/>
  <c r="H497" i="5"/>
  <c r="G497" i="5"/>
  <c r="F497" i="5"/>
  <c r="J496" i="5"/>
  <c r="I496" i="5"/>
  <c r="H496" i="5"/>
  <c r="G496" i="5"/>
  <c r="F496" i="5"/>
  <c r="J495" i="5"/>
  <c r="I495" i="5"/>
  <c r="H495" i="5"/>
  <c r="G495" i="5"/>
  <c r="F495" i="5"/>
  <c r="J494" i="5"/>
  <c r="I494" i="5"/>
  <c r="H494" i="5"/>
  <c r="G494" i="5"/>
  <c r="F494" i="5"/>
  <c r="J493" i="5"/>
  <c r="I493" i="5"/>
  <c r="H493" i="5"/>
  <c r="G493" i="5"/>
  <c r="F493" i="5"/>
  <c r="J492" i="5"/>
  <c r="I492" i="5"/>
  <c r="H492" i="5"/>
  <c r="G492" i="5"/>
  <c r="F492" i="5"/>
  <c r="J491" i="5"/>
  <c r="I491" i="5"/>
  <c r="H491" i="5"/>
  <c r="G491" i="5"/>
  <c r="F491" i="5"/>
  <c r="J490" i="5"/>
  <c r="I490" i="5"/>
  <c r="H490" i="5"/>
  <c r="G490" i="5"/>
  <c r="F490" i="5"/>
  <c r="J489" i="5"/>
  <c r="I489" i="5"/>
  <c r="H489" i="5"/>
  <c r="G489" i="5"/>
  <c r="F489" i="5"/>
  <c r="J488" i="5"/>
  <c r="I488" i="5"/>
  <c r="H488" i="5"/>
  <c r="G488" i="5"/>
  <c r="F488" i="5"/>
  <c r="J487" i="5"/>
  <c r="I487" i="5"/>
  <c r="H487" i="5"/>
  <c r="G487" i="5"/>
  <c r="F487" i="5"/>
  <c r="J486" i="5"/>
  <c r="I486" i="5"/>
  <c r="H486" i="5"/>
  <c r="G486" i="5"/>
  <c r="F486" i="5"/>
  <c r="J485" i="5"/>
  <c r="I485" i="5"/>
  <c r="H485" i="5"/>
  <c r="G485" i="5"/>
  <c r="F485" i="5"/>
  <c r="J484" i="5"/>
  <c r="I484" i="5"/>
  <c r="H484" i="5"/>
  <c r="G484" i="5"/>
  <c r="F484" i="5"/>
  <c r="J483" i="5"/>
  <c r="I483" i="5"/>
  <c r="H483" i="5"/>
  <c r="G483" i="5"/>
  <c r="F483" i="5"/>
  <c r="J482" i="5"/>
  <c r="I482" i="5"/>
  <c r="H482" i="5"/>
  <c r="G482" i="5"/>
  <c r="F482" i="5"/>
  <c r="J481" i="5"/>
  <c r="I481" i="5"/>
  <c r="H481" i="5"/>
  <c r="G481" i="5"/>
  <c r="F481" i="5"/>
  <c r="J480" i="5"/>
  <c r="I480" i="5"/>
  <c r="H480" i="5"/>
  <c r="G480" i="5"/>
  <c r="F480" i="5"/>
  <c r="J479" i="5"/>
  <c r="I479" i="5"/>
  <c r="H479" i="5"/>
  <c r="G479" i="5"/>
  <c r="F479" i="5"/>
  <c r="J478" i="5"/>
  <c r="I478" i="5"/>
  <c r="H478" i="5"/>
  <c r="G478" i="5"/>
  <c r="F478" i="5"/>
  <c r="J477" i="5"/>
  <c r="I477" i="5"/>
  <c r="H477" i="5"/>
  <c r="G477" i="5"/>
  <c r="F477" i="5"/>
  <c r="J476" i="5"/>
  <c r="I476" i="5"/>
  <c r="H476" i="5"/>
  <c r="G476" i="5"/>
  <c r="F476" i="5"/>
  <c r="J475" i="5"/>
  <c r="I475" i="5"/>
  <c r="H475" i="5"/>
  <c r="G475" i="5"/>
  <c r="F475" i="5"/>
  <c r="J474" i="5"/>
  <c r="I474" i="5"/>
  <c r="H474" i="5"/>
  <c r="G474" i="5"/>
  <c r="F474" i="5"/>
  <c r="J473" i="5"/>
  <c r="I473" i="5"/>
  <c r="H473" i="5"/>
  <c r="G473" i="5"/>
  <c r="F473" i="5"/>
  <c r="K472" i="5"/>
  <c r="J472" i="5"/>
  <c r="I472" i="5"/>
  <c r="H472" i="5"/>
  <c r="G472" i="5"/>
  <c r="F472" i="5"/>
  <c r="K471" i="5"/>
  <c r="J471" i="5"/>
  <c r="I471" i="5"/>
  <c r="H471" i="5"/>
  <c r="G471" i="5"/>
  <c r="F471" i="5"/>
  <c r="K470" i="5"/>
  <c r="J470" i="5"/>
  <c r="I470" i="5"/>
  <c r="H470" i="5"/>
  <c r="G470" i="5"/>
  <c r="F470" i="5"/>
  <c r="K469" i="5"/>
  <c r="J469" i="5"/>
  <c r="I469" i="5"/>
  <c r="H469" i="5"/>
  <c r="G469" i="5"/>
  <c r="F469" i="5"/>
  <c r="K468" i="5"/>
  <c r="J468" i="5"/>
  <c r="I468" i="5"/>
  <c r="H468" i="5"/>
  <c r="G468" i="5"/>
  <c r="F468" i="5"/>
  <c r="K467" i="5"/>
  <c r="J467" i="5"/>
  <c r="I467" i="5"/>
  <c r="H467" i="5"/>
  <c r="G467" i="5"/>
  <c r="F467" i="5"/>
  <c r="K466" i="5"/>
  <c r="J466" i="5"/>
  <c r="I466" i="5"/>
  <c r="H466" i="5"/>
  <c r="G466" i="5"/>
  <c r="F466" i="5"/>
  <c r="K465" i="5"/>
  <c r="J465" i="5"/>
  <c r="I465" i="5"/>
  <c r="H465" i="5"/>
  <c r="G465" i="5"/>
  <c r="F465" i="5"/>
  <c r="K464" i="5"/>
  <c r="J464" i="5"/>
  <c r="I464" i="5"/>
  <c r="H464" i="5"/>
  <c r="G464" i="5"/>
  <c r="F464" i="5"/>
  <c r="K463" i="5"/>
  <c r="J463" i="5"/>
  <c r="I463" i="5"/>
  <c r="H463" i="5"/>
  <c r="G463" i="5"/>
  <c r="F463" i="5"/>
  <c r="K462" i="5"/>
  <c r="J462" i="5"/>
  <c r="I462" i="5"/>
  <c r="H462" i="5"/>
  <c r="G462" i="5"/>
  <c r="F462" i="5"/>
  <c r="K461" i="5"/>
  <c r="J461" i="5"/>
  <c r="I461" i="5"/>
  <c r="H461" i="5"/>
  <c r="G461" i="5"/>
  <c r="F461" i="5"/>
  <c r="K460" i="5"/>
  <c r="J460" i="5"/>
  <c r="I460" i="5"/>
  <c r="H460" i="5"/>
  <c r="G460" i="5"/>
  <c r="F460" i="5"/>
  <c r="K459" i="5"/>
  <c r="J459" i="5"/>
  <c r="I459" i="5"/>
  <c r="H459" i="5"/>
  <c r="G459" i="5"/>
  <c r="F459" i="5"/>
  <c r="K458" i="5"/>
  <c r="J458" i="5"/>
  <c r="I458" i="5"/>
  <c r="H458" i="5"/>
  <c r="G458" i="5"/>
  <c r="F458" i="5"/>
  <c r="K457" i="5"/>
  <c r="J457" i="5"/>
  <c r="I457" i="5"/>
  <c r="H457" i="5"/>
  <c r="G457" i="5"/>
  <c r="F457" i="5"/>
  <c r="K456" i="5"/>
  <c r="J456" i="5"/>
  <c r="I456" i="5"/>
  <c r="H456" i="5"/>
  <c r="G456" i="5"/>
  <c r="F456" i="5"/>
  <c r="K455" i="5"/>
  <c r="J455" i="5"/>
  <c r="I455" i="5"/>
  <c r="H455" i="5"/>
  <c r="G455" i="5"/>
  <c r="F455" i="5"/>
  <c r="K454" i="5"/>
  <c r="J454" i="5"/>
  <c r="I454" i="5"/>
  <c r="H454" i="5"/>
  <c r="G454" i="5"/>
  <c r="F454" i="5"/>
  <c r="K453" i="5"/>
  <c r="J453" i="5"/>
  <c r="I453" i="5"/>
  <c r="H453" i="5"/>
  <c r="G453" i="5"/>
  <c r="F453" i="5"/>
  <c r="K452" i="5"/>
  <c r="J452" i="5"/>
  <c r="I452" i="5"/>
  <c r="H452" i="5"/>
  <c r="G452" i="5"/>
  <c r="F452" i="5"/>
  <c r="K451" i="5"/>
  <c r="J451" i="5"/>
  <c r="I451" i="5"/>
  <c r="H451" i="5"/>
  <c r="G451" i="5"/>
  <c r="F451" i="5"/>
  <c r="K450" i="5"/>
  <c r="J450" i="5"/>
  <c r="I450" i="5"/>
  <c r="H450" i="5"/>
  <c r="G450" i="5"/>
  <c r="F450" i="5"/>
  <c r="K449" i="5"/>
  <c r="J449" i="5"/>
  <c r="I449" i="5"/>
  <c r="H449" i="5"/>
  <c r="G449" i="5"/>
  <c r="F449" i="5"/>
  <c r="K448" i="5"/>
  <c r="J448" i="5"/>
  <c r="I448" i="5"/>
  <c r="H448" i="5"/>
  <c r="G448" i="5"/>
  <c r="F448" i="5"/>
  <c r="K447" i="5"/>
  <c r="J447" i="5"/>
  <c r="I447" i="5"/>
  <c r="H447" i="5"/>
  <c r="G447" i="5"/>
  <c r="F447" i="5"/>
  <c r="K446" i="5"/>
  <c r="J446" i="5"/>
  <c r="I446" i="5"/>
  <c r="H446" i="5"/>
  <c r="G446" i="5"/>
  <c r="F446" i="5"/>
  <c r="K445" i="5"/>
  <c r="J445" i="5"/>
  <c r="I445" i="5"/>
  <c r="H445" i="5"/>
  <c r="G445" i="5"/>
  <c r="F445" i="5"/>
  <c r="K444" i="5"/>
  <c r="J444" i="5"/>
  <c r="I444" i="5"/>
  <c r="H444" i="5"/>
  <c r="G444" i="5"/>
  <c r="F444" i="5"/>
  <c r="K443" i="5"/>
  <c r="J443" i="5"/>
  <c r="I443" i="5"/>
  <c r="H443" i="5"/>
  <c r="G443" i="5"/>
  <c r="F443" i="5"/>
  <c r="K442" i="5"/>
  <c r="J442" i="5"/>
  <c r="I442" i="5"/>
  <c r="H442" i="5"/>
  <c r="G442" i="5"/>
  <c r="F442" i="5"/>
  <c r="K441" i="5"/>
  <c r="J441" i="5"/>
  <c r="I441" i="5"/>
  <c r="H441" i="5"/>
  <c r="G441" i="5"/>
  <c r="F441" i="5"/>
  <c r="K440" i="5"/>
  <c r="J440" i="5"/>
  <c r="I440" i="5"/>
  <c r="H440" i="5"/>
  <c r="G440" i="5"/>
  <c r="F440" i="5"/>
  <c r="K439" i="5"/>
  <c r="J439" i="5"/>
  <c r="I439" i="5"/>
  <c r="H439" i="5"/>
  <c r="G439" i="5"/>
  <c r="F439" i="5"/>
  <c r="K438" i="5"/>
  <c r="J438" i="5"/>
  <c r="I438" i="5"/>
  <c r="H438" i="5"/>
  <c r="G438" i="5"/>
  <c r="F438" i="5"/>
  <c r="K437" i="5"/>
  <c r="J437" i="5"/>
  <c r="I437" i="5"/>
  <c r="H437" i="5"/>
  <c r="G437" i="5"/>
  <c r="F437" i="5"/>
  <c r="K436" i="5"/>
  <c r="J436" i="5"/>
  <c r="I436" i="5"/>
  <c r="H436" i="5"/>
  <c r="G436" i="5"/>
  <c r="F436" i="5"/>
  <c r="K435" i="5"/>
  <c r="J435" i="5"/>
  <c r="I435" i="5"/>
  <c r="H435" i="5"/>
  <c r="G435" i="5"/>
  <c r="F435" i="5"/>
  <c r="K434" i="5"/>
  <c r="J434" i="5"/>
  <c r="I434" i="5"/>
  <c r="H434" i="5"/>
  <c r="G434" i="5"/>
  <c r="F434" i="5"/>
  <c r="K433" i="5"/>
  <c r="J433" i="5"/>
  <c r="I433" i="5"/>
  <c r="H433" i="5"/>
  <c r="G433" i="5"/>
  <c r="F433" i="5"/>
  <c r="K432" i="5"/>
  <c r="J432" i="5"/>
  <c r="I432" i="5"/>
  <c r="H432" i="5"/>
  <c r="G432" i="5"/>
  <c r="F432" i="5"/>
  <c r="K431" i="5"/>
  <c r="J431" i="5"/>
  <c r="I431" i="5"/>
  <c r="H431" i="5"/>
  <c r="G431" i="5"/>
  <c r="F431" i="5"/>
  <c r="K430" i="5"/>
  <c r="J430" i="5"/>
  <c r="I430" i="5"/>
  <c r="H430" i="5"/>
  <c r="G430" i="5"/>
  <c r="F430" i="5"/>
  <c r="K429" i="5"/>
  <c r="J429" i="5"/>
  <c r="I429" i="5"/>
  <c r="H429" i="5"/>
  <c r="G429" i="5"/>
  <c r="F429" i="5"/>
  <c r="K428" i="5"/>
  <c r="J428" i="5"/>
  <c r="I428" i="5"/>
  <c r="H428" i="5"/>
  <c r="G428" i="5"/>
  <c r="F428" i="5"/>
  <c r="K427" i="5"/>
  <c r="J427" i="5"/>
  <c r="I427" i="5"/>
  <c r="H427" i="5"/>
  <c r="G427" i="5"/>
  <c r="F427" i="5"/>
  <c r="K426" i="5"/>
  <c r="J426" i="5"/>
  <c r="I426" i="5"/>
  <c r="H426" i="5"/>
  <c r="G426" i="5"/>
  <c r="F426" i="5"/>
  <c r="K425" i="5"/>
  <c r="J425" i="5"/>
  <c r="I425" i="5"/>
  <c r="H425" i="5"/>
  <c r="G425" i="5"/>
  <c r="F425" i="5"/>
  <c r="K424" i="5"/>
  <c r="J424" i="5"/>
  <c r="I424" i="5"/>
  <c r="H424" i="5"/>
  <c r="G424" i="5"/>
  <c r="F424" i="5"/>
  <c r="K423" i="5"/>
  <c r="J423" i="5"/>
  <c r="I423" i="5"/>
  <c r="H423" i="5"/>
  <c r="G423" i="5"/>
  <c r="F423" i="5"/>
  <c r="K422" i="5"/>
  <c r="J422" i="5"/>
  <c r="I422" i="5"/>
  <c r="H422" i="5"/>
  <c r="G422" i="5"/>
  <c r="F422" i="5"/>
  <c r="K421" i="5"/>
  <c r="J421" i="5"/>
  <c r="I421" i="5"/>
  <c r="H421" i="5"/>
  <c r="G421" i="5"/>
  <c r="F421" i="5"/>
  <c r="K420" i="5"/>
  <c r="J420" i="5"/>
  <c r="I420" i="5"/>
  <c r="H420" i="5"/>
  <c r="G420" i="5"/>
  <c r="F420" i="5"/>
  <c r="K419" i="5"/>
  <c r="J419" i="5"/>
  <c r="I419" i="5"/>
  <c r="H419" i="5"/>
  <c r="G419" i="5"/>
  <c r="F419" i="5"/>
  <c r="K418" i="5"/>
  <c r="J418" i="5"/>
  <c r="I418" i="5"/>
  <c r="H418" i="5"/>
  <c r="G418" i="5"/>
  <c r="F418" i="5"/>
  <c r="K417" i="5"/>
  <c r="J417" i="5"/>
  <c r="I417" i="5"/>
  <c r="H417" i="5"/>
  <c r="G417" i="5"/>
  <c r="F417" i="5"/>
  <c r="K416" i="5"/>
  <c r="J416" i="5"/>
  <c r="I416" i="5"/>
  <c r="H416" i="5"/>
  <c r="G416" i="5"/>
  <c r="F416" i="5"/>
  <c r="K415" i="5"/>
  <c r="J415" i="5"/>
  <c r="I415" i="5"/>
  <c r="H415" i="5"/>
  <c r="G415" i="5"/>
  <c r="F415" i="5"/>
  <c r="K414" i="5"/>
  <c r="J414" i="5"/>
  <c r="I414" i="5"/>
  <c r="H414" i="5"/>
  <c r="G414" i="5"/>
  <c r="F414" i="5"/>
  <c r="K413" i="5"/>
  <c r="J413" i="5"/>
  <c r="I413" i="5"/>
  <c r="H413" i="5"/>
  <c r="G413" i="5"/>
  <c r="F413" i="5"/>
  <c r="K412" i="5"/>
  <c r="J412" i="5"/>
  <c r="I412" i="5"/>
  <c r="H412" i="5"/>
  <c r="G412" i="5"/>
  <c r="F412" i="5"/>
  <c r="K411" i="5"/>
  <c r="J411" i="5"/>
  <c r="I411" i="5"/>
  <c r="H411" i="5"/>
  <c r="G411" i="5"/>
  <c r="F411" i="5"/>
  <c r="K410" i="5"/>
  <c r="J410" i="5"/>
  <c r="I410" i="5"/>
  <c r="H410" i="5"/>
  <c r="G410" i="5"/>
  <c r="F410" i="5"/>
  <c r="K409" i="5"/>
  <c r="J409" i="5"/>
  <c r="I409" i="5"/>
  <c r="H409" i="5"/>
  <c r="G409" i="5"/>
  <c r="F409" i="5"/>
  <c r="K408" i="5"/>
  <c r="J408" i="5"/>
  <c r="I408" i="5"/>
  <c r="H408" i="5"/>
  <c r="G408" i="5"/>
  <c r="F408" i="5"/>
  <c r="K407" i="5"/>
  <c r="J407" i="5"/>
  <c r="I407" i="5"/>
  <c r="H407" i="5"/>
  <c r="G407" i="5"/>
  <c r="F407" i="5"/>
  <c r="K406" i="5"/>
  <c r="J406" i="5"/>
  <c r="I406" i="5"/>
  <c r="H406" i="5"/>
  <c r="G406" i="5"/>
  <c r="F406" i="5"/>
  <c r="K405" i="5"/>
  <c r="J405" i="5"/>
  <c r="I405" i="5"/>
  <c r="H405" i="5"/>
  <c r="G405" i="5"/>
  <c r="F405" i="5"/>
  <c r="K404" i="5"/>
  <c r="J404" i="5"/>
  <c r="I404" i="5"/>
  <c r="H404" i="5"/>
  <c r="G404" i="5"/>
  <c r="F404" i="5"/>
  <c r="K403" i="5"/>
  <c r="J403" i="5"/>
  <c r="I403" i="5"/>
  <c r="H403" i="5"/>
  <c r="G403" i="5"/>
  <c r="F403" i="5"/>
  <c r="K402" i="5"/>
  <c r="J402" i="5"/>
  <c r="I402" i="5"/>
  <c r="H402" i="5"/>
  <c r="G402" i="5"/>
  <c r="F402" i="5"/>
  <c r="K401" i="5"/>
  <c r="J401" i="5"/>
  <c r="I401" i="5"/>
  <c r="H401" i="5"/>
  <c r="G401" i="5"/>
  <c r="F401" i="5"/>
  <c r="K400" i="5"/>
  <c r="J400" i="5"/>
  <c r="I400" i="5"/>
  <c r="H400" i="5"/>
  <c r="G400" i="5"/>
  <c r="F400" i="5"/>
  <c r="K399" i="5"/>
  <c r="J399" i="5"/>
  <c r="I399" i="5"/>
  <c r="H399" i="5"/>
  <c r="G399" i="5"/>
  <c r="F399" i="5"/>
  <c r="K398" i="5"/>
  <c r="J398" i="5"/>
  <c r="I398" i="5"/>
  <c r="H398" i="5"/>
  <c r="G398" i="5"/>
  <c r="F398" i="5"/>
  <c r="K397" i="5"/>
  <c r="J397" i="5"/>
  <c r="I397" i="5"/>
  <c r="H397" i="5"/>
  <c r="G397" i="5"/>
  <c r="F397" i="5"/>
  <c r="K396" i="5"/>
  <c r="J396" i="5"/>
  <c r="I396" i="5"/>
  <c r="H396" i="5"/>
  <c r="G396" i="5"/>
  <c r="F396" i="5"/>
  <c r="K395" i="5"/>
  <c r="J395" i="5"/>
  <c r="I395" i="5"/>
  <c r="H395" i="5"/>
  <c r="G395" i="5"/>
  <c r="F395" i="5"/>
  <c r="K394" i="5"/>
  <c r="J394" i="5"/>
  <c r="I394" i="5"/>
  <c r="H394" i="5"/>
  <c r="G394" i="5"/>
  <c r="F394" i="5"/>
  <c r="K393" i="5"/>
  <c r="J393" i="5"/>
  <c r="I393" i="5"/>
  <c r="H393" i="5"/>
  <c r="G393" i="5"/>
  <c r="F393" i="5"/>
  <c r="K392" i="5"/>
  <c r="J392" i="5"/>
  <c r="I392" i="5"/>
  <c r="H392" i="5"/>
  <c r="G392" i="5"/>
  <c r="F392" i="5"/>
  <c r="K391" i="5"/>
  <c r="J391" i="5"/>
  <c r="I391" i="5"/>
  <c r="H391" i="5"/>
  <c r="G391" i="5"/>
  <c r="F391" i="5"/>
  <c r="K390" i="5"/>
  <c r="J390" i="5"/>
  <c r="I390" i="5"/>
  <c r="H390" i="5"/>
  <c r="G390" i="5"/>
  <c r="F390" i="5"/>
  <c r="K389" i="5"/>
  <c r="J389" i="5"/>
  <c r="I389" i="5"/>
  <c r="H389" i="5"/>
  <c r="G389" i="5"/>
  <c r="F389" i="5"/>
  <c r="K388" i="5"/>
  <c r="J388" i="5"/>
  <c r="I388" i="5"/>
  <c r="H388" i="5"/>
  <c r="G388" i="5"/>
  <c r="F388" i="5"/>
  <c r="K387" i="5"/>
  <c r="J387" i="5"/>
  <c r="I387" i="5"/>
  <c r="H387" i="5"/>
  <c r="G387" i="5"/>
  <c r="F387" i="5"/>
  <c r="K386" i="5"/>
  <c r="J386" i="5"/>
  <c r="I386" i="5"/>
  <c r="H386" i="5"/>
  <c r="G386" i="5"/>
  <c r="F386" i="5"/>
  <c r="K385" i="5"/>
  <c r="J385" i="5"/>
  <c r="I385" i="5"/>
  <c r="H385" i="5"/>
  <c r="G385" i="5"/>
  <c r="F385" i="5"/>
  <c r="K384" i="5"/>
  <c r="J384" i="5"/>
  <c r="I384" i="5"/>
  <c r="H384" i="5"/>
  <c r="G384" i="5"/>
  <c r="F384" i="5"/>
  <c r="K383" i="5"/>
  <c r="J383" i="5"/>
  <c r="I383" i="5"/>
  <c r="H383" i="5"/>
  <c r="G383" i="5"/>
  <c r="F383" i="5"/>
  <c r="K382" i="5"/>
  <c r="J382" i="5"/>
  <c r="I382" i="5"/>
  <c r="H382" i="5"/>
  <c r="G382" i="5"/>
  <c r="F382" i="5"/>
  <c r="K381" i="5"/>
  <c r="J381" i="5"/>
  <c r="I381" i="5"/>
  <c r="H381" i="5"/>
  <c r="G381" i="5"/>
  <c r="F381" i="5"/>
  <c r="K380" i="5"/>
  <c r="J380" i="5"/>
  <c r="I380" i="5"/>
  <c r="H380" i="5"/>
  <c r="G380" i="5"/>
  <c r="F380" i="5"/>
  <c r="K379" i="5"/>
  <c r="J379" i="5"/>
  <c r="I379" i="5"/>
  <c r="H379" i="5"/>
  <c r="G379" i="5"/>
  <c r="F379" i="5"/>
  <c r="K378" i="5"/>
  <c r="J378" i="5"/>
  <c r="I378" i="5"/>
  <c r="H378" i="5"/>
  <c r="G378" i="5"/>
  <c r="F378" i="5"/>
  <c r="K377" i="5"/>
  <c r="J377" i="5"/>
  <c r="I377" i="5"/>
  <c r="H377" i="5"/>
  <c r="G377" i="5"/>
  <c r="F377" i="5"/>
  <c r="K376" i="5"/>
  <c r="J376" i="5"/>
  <c r="I376" i="5"/>
  <c r="H376" i="5"/>
  <c r="G376" i="5"/>
  <c r="F376" i="5"/>
  <c r="K375" i="5"/>
  <c r="J375" i="5"/>
  <c r="I375" i="5"/>
  <c r="H375" i="5"/>
  <c r="G375" i="5"/>
  <c r="F375" i="5"/>
  <c r="K374" i="5"/>
  <c r="J374" i="5"/>
  <c r="I374" i="5"/>
  <c r="H374" i="5"/>
  <c r="G374" i="5"/>
  <c r="F374" i="5"/>
  <c r="K373" i="5"/>
  <c r="J373" i="5"/>
  <c r="I373" i="5"/>
  <c r="H373" i="5"/>
  <c r="G373" i="5"/>
  <c r="F373" i="5"/>
  <c r="K372" i="5"/>
  <c r="J372" i="5"/>
  <c r="I372" i="5"/>
  <c r="H372" i="5"/>
  <c r="G372" i="5"/>
  <c r="F372" i="5"/>
  <c r="K371" i="5"/>
  <c r="J371" i="5"/>
  <c r="I371" i="5"/>
  <c r="H371" i="5"/>
  <c r="G371" i="5"/>
  <c r="F371" i="5"/>
  <c r="K370" i="5"/>
  <c r="J370" i="5"/>
  <c r="I370" i="5"/>
  <c r="H370" i="5"/>
  <c r="G370" i="5"/>
  <c r="F370" i="5"/>
  <c r="K369" i="5"/>
  <c r="J369" i="5"/>
  <c r="I369" i="5"/>
  <c r="H369" i="5"/>
  <c r="G369" i="5"/>
  <c r="F369" i="5"/>
  <c r="K368" i="5"/>
  <c r="J368" i="5"/>
  <c r="I368" i="5"/>
  <c r="H368" i="5"/>
  <c r="G368" i="5"/>
  <c r="F368" i="5"/>
  <c r="K367" i="5"/>
  <c r="J367" i="5"/>
  <c r="I367" i="5"/>
  <c r="H367" i="5"/>
  <c r="G367" i="5"/>
  <c r="F367" i="5"/>
  <c r="K366" i="5"/>
  <c r="J366" i="5"/>
  <c r="I366" i="5"/>
  <c r="H366" i="5"/>
  <c r="G366" i="5"/>
  <c r="F366" i="5"/>
  <c r="K365" i="5"/>
  <c r="J365" i="5"/>
  <c r="I365" i="5"/>
  <c r="H365" i="5"/>
  <c r="G365" i="5"/>
  <c r="F365" i="5"/>
  <c r="K364" i="5"/>
  <c r="J364" i="5"/>
  <c r="I364" i="5"/>
  <c r="H364" i="5"/>
  <c r="G364" i="5"/>
  <c r="F364" i="5"/>
  <c r="K363" i="5"/>
  <c r="J363" i="5"/>
  <c r="I363" i="5"/>
  <c r="H363" i="5"/>
  <c r="G363" i="5"/>
  <c r="F363" i="5"/>
  <c r="K362" i="5"/>
  <c r="J362" i="5"/>
  <c r="I362" i="5"/>
  <c r="H362" i="5"/>
  <c r="G362" i="5"/>
  <c r="F362" i="5"/>
  <c r="K361" i="5"/>
  <c r="J361" i="5"/>
  <c r="I361" i="5"/>
  <c r="H361" i="5"/>
  <c r="G361" i="5"/>
  <c r="F361" i="5"/>
  <c r="K360" i="5"/>
  <c r="J360" i="5"/>
  <c r="I360" i="5"/>
  <c r="H360" i="5"/>
  <c r="G360" i="5"/>
  <c r="F360" i="5"/>
  <c r="K359" i="5"/>
  <c r="J359" i="5"/>
  <c r="I359" i="5"/>
  <c r="H359" i="5"/>
  <c r="G359" i="5"/>
  <c r="F359" i="5"/>
  <c r="K358" i="5"/>
  <c r="J358" i="5"/>
  <c r="I358" i="5"/>
  <c r="H358" i="5"/>
  <c r="G358" i="5"/>
  <c r="F358" i="5"/>
  <c r="K357" i="5"/>
  <c r="J357" i="5"/>
  <c r="I357" i="5"/>
  <c r="H357" i="5"/>
  <c r="G357" i="5"/>
  <c r="F357" i="5"/>
  <c r="K356" i="5"/>
  <c r="J356" i="5"/>
  <c r="I356" i="5"/>
  <c r="H356" i="5"/>
  <c r="G356" i="5"/>
  <c r="F356" i="5"/>
  <c r="K355" i="5"/>
  <c r="J355" i="5"/>
  <c r="I355" i="5"/>
  <c r="H355" i="5"/>
  <c r="G355" i="5"/>
  <c r="F355" i="5"/>
  <c r="K354" i="5"/>
  <c r="J354" i="5"/>
  <c r="I354" i="5"/>
  <c r="H354" i="5"/>
  <c r="G354" i="5"/>
  <c r="F354" i="5"/>
  <c r="K353" i="5"/>
  <c r="J353" i="5"/>
  <c r="I353" i="5"/>
  <c r="H353" i="5"/>
  <c r="G353" i="5"/>
  <c r="F353" i="5"/>
  <c r="K352" i="5"/>
  <c r="J352" i="5"/>
  <c r="I352" i="5"/>
  <c r="H352" i="5"/>
  <c r="G352" i="5"/>
  <c r="F352" i="5"/>
  <c r="K351" i="5"/>
  <c r="J351" i="5"/>
  <c r="I351" i="5"/>
  <c r="H351" i="5"/>
  <c r="G351" i="5"/>
  <c r="F351" i="5"/>
  <c r="K350" i="5"/>
  <c r="J350" i="5"/>
  <c r="I350" i="5"/>
  <c r="H350" i="5"/>
  <c r="G350" i="5"/>
  <c r="F350" i="5"/>
  <c r="K349" i="5"/>
  <c r="J349" i="5"/>
  <c r="I349" i="5"/>
  <c r="H349" i="5"/>
  <c r="G349" i="5"/>
  <c r="F349" i="5"/>
  <c r="K348" i="5"/>
  <c r="J348" i="5"/>
  <c r="I348" i="5"/>
  <c r="H348" i="5"/>
  <c r="G348" i="5"/>
  <c r="F348" i="5"/>
  <c r="K347" i="5"/>
  <c r="J347" i="5"/>
  <c r="I347" i="5"/>
  <c r="H347" i="5"/>
  <c r="G347" i="5"/>
  <c r="F347" i="5"/>
  <c r="K346" i="5"/>
  <c r="J346" i="5"/>
  <c r="I346" i="5"/>
  <c r="H346" i="5"/>
  <c r="G346" i="5"/>
  <c r="F346" i="5"/>
  <c r="K345" i="5"/>
  <c r="J345" i="5"/>
  <c r="I345" i="5"/>
  <c r="H345" i="5"/>
  <c r="G345" i="5"/>
  <c r="F345" i="5"/>
  <c r="K344" i="5"/>
  <c r="J344" i="5"/>
  <c r="I344" i="5"/>
  <c r="H344" i="5"/>
  <c r="G344" i="5"/>
  <c r="F344" i="5"/>
  <c r="K343" i="5"/>
  <c r="J343" i="5"/>
  <c r="I343" i="5"/>
  <c r="H343" i="5"/>
  <c r="G343" i="5"/>
  <c r="F343" i="5"/>
  <c r="K342" i="5"/>
  <c r="J342" i="5"/>
  <c r="I342" i="5"/>
  <c r="H342" i="5"/>
  <c r="G342" i="5"/>
  <c r="F342" i="5"/>
  <c r="K341" i="5"/>
  <c r="J341" i="5"/>
  <c r="I341" i="5"/>
  <c r="H341" i="5"/>
  <c r="G341" i="5"/>
  <c r="F341" i="5"/>
  <c r="K340" i="5"/>
  <c r="J340" i="5"/>
  <c r="I340" i="5"/>
  <c r="H340" i="5"/>
  <c r="G340" i="5"/>
  <c r="F340" i="5"/>
  <c r="K339" i="5"/>
  <c r="J339" i="5"/>
  <c r="I339" i="5"/>
  <c r="H339" i="5"/>
  <c r="G339" i="5"/>
  <c r="F339" i="5"/>
  <c r="K338" i="5"/>
  <c r="J338" i="5"/>
  <c r="I338" i="5"/>
  <c r="H338" i="5"/>
  <c r="G338" i="5"/>
  <c r="F338" i="5"/>
  <c r="K337" i="5"/>
  <c r="J337" i="5"/>
  <c r="I337" i="5"/>
  <c r="H337" i="5"/>
  <c r="G337" i="5"/>
  <c r="F337" i="5"/>
  <c r="K336" i="5"/>
  <c r="J336" i="5"/>
  <c r="I336" i="5"/>
  <c r="H336" i="5"/>
  <c r="G336" i="5"/>
  <c r="F336" i="5"/>
  <c r="K335" i="5"/>
  <c r="J335" i="5"/>
  <c r="I335" i="5"/>
  <c r="H335" i="5"/>
  <c r="G335" i="5"/>
  <c r="F335" i="5"/>
  <c r="K334" i="5"/>
  <c r="J334" i="5"/>
  <c r="I334" i="5"/>
  <c r="H334" i="5"/>
  <c r="G334" i="5"/>
  <c r="F334" i="5"/>
  <c r="K333" i="5"/>
  <c r="J333" i="5"/>
  <c r="I333" i="5"/>
  <c r="H333" i="5"/>
  <c r="G333" i="5"/>
  <c r="F333" i="5"/>
  <c r="K332" i="5"/>
  <c r="J332" i="5"/>
  <c r="I332" i="5"/>
  <c r="H332" i="5"/>
  <c r="G332" i="5"/>
  <c r="F332" i="5"/>
  <c r="K331" i="5"/>
  <c r="J331" i="5"/>
  <c r="I331" i="5"/>
  <c r="H331" i="5"/>
  <c r="G331" i="5"/>
  <c r="F331" i="5"/>
  <c r="K330" i="5"/>
  <c r="J330" i="5"/>
  <c r="I330" i="5"/>
  <c r="H330" i="5"/>
  <c r="G330" i="5"/>
  <c r="F330" i="5"/>
  <c r="K329" i="5"/>
  <c r="J329" i="5"/>
  <c r="I329" i="5"/>
  <c r="H329" i="5"/>
  <c r="G329" i="5"/>
  <c r="F329" i="5"/>
  <c r="K328" i="5"/>
  <c r="J328" i="5"/>
  <c r="I328" i="5"/>
  <c r="H328" i="5"/>
  <c r="G328" i="5"/>
  <c r="F328" i="5"/>
  <c r="K327" i="5"/>
  <c r="J327" i="5"/>
  <c r="I327" i="5"/>
  <c r="H327" i="5"/>
  <c r="G327" i="5"/>
  <c r="F327" i="5"/>
  <c r="K326" i="5"/>
  <c r="J326" i="5"/>
  <c r="I326" i="5"/>
  <c r="H326" i="5"/>
  <c r="G326" i="5"/>
  <c r="F326" i="5"/>
  <c r="K325" i="5"/>
  <c r="J325" i="5"/>
  <c r="I325" i="5"/>
  <c r="H325" i="5"/>
  <c r="G325" i="5"/>
  <c r="F325" i="5"/>
  <c r="K324" i="5"/>
  <c r="J324" i="5"/>
  <c r="I324" i="5"/>
  <c r="H324" i="5"/>
  <c r="G324" i="5"/>
  <c r="F324" i="5"/>
  <c r="K323" i="5"/>
  <c r="J323" i="5"/>
  <c r="I323" i="5"/>
  <c r="H323" i="5"/>
  <c r="G323" i="5"/>
  <c r="F323" i="5"/>
  <c r="K322" i="5"/>
  <c r="J322" i="5"/>
  <c r="I322" i="5"/>
  <c r="H322" i="5"/>
  <c r="G322" i="5"/>
  <c r="F322" i="5"/>
  <c r="K321" i="5"/>
  <c r="J321" i="5"/>
  <c r="I321" i="5"/>
  <c r="H321" i="5"/>
  <c r="G321" i="5"/>
  <c r="F321" i="5"/>
  <c r="K320" i="5"/>
  <c r="J320" i="5"/>
  <c r="I320" i="5"/>
  <c r="H320" i="5"/>
  <c r="G320" i="5"/>
  <c r="F320" i="5"/>
  <c r="K319" i="5"/>
  <c r="J319" i="5"/>
  <c r="I319" i="5"/>
  <c r="H319" i="5"/>
  <c r="G319" i="5"/>
  <c r="F319" i="5"/>
  <c r="K318" i="5"/>
  <c r="J318" i="5"/>
  <c r="I318" i="5"/>
  <c r="H318" i="5"/>
  <c r="G318" i="5"/>
  <c r="F318" i="5"/>
  <c r="K317" i="5"/>
  <c r="J317" i="5"/>
  <c r="I317" i="5"/>
  <c r="H317" i="5"/>
  <c r="G317" i="5"/>
  <c r="F317" i="5"/>
  <c r="K316" i="5"/>
  <c r="J316" i="5"/>
  <c r="I316" i="5"/>
  <c r="H316" i="5"/>
  <c r="G316" i="5"/>
  <c r="F316" i="5"/>
  <c r="K315" i="5"/>
  <c r="J315" i="5"/>
  <c r="I315" i="5"/>
  <c r="H315" i="5"/>
  <c r="G315" i="5"/>
  <c r="F315" i="5"/>
  <c r="K314" i="5"/>
  <c r="J314" i="5"/>
  <c r="I314" i="5"/>
  <c r="H314" i="5"/>
  <c r="G314" i="5"/>
  <c r="F314" i="5"/>
  <c r="K313" i="5"/>
  <c r="J313" i="5"/>
  <c r="I313" i="5"/>
  <c r="H313" i="5"/>
  <c r="G313" i="5"/>
  <c r="F313" i="5"/>
  <c r="K312" i="5"/>
  <c r="J312" i="5"/>
  <c r="I312" i="5"/>
  <c r="H312" i="5"/>
  <c r="G312" i="5"/>
  <c r="F312" i="5"/>
  <c r="K311" i="5"/>
  <c r="J311" i="5"/>
  <c r="I311" i="5"/>
  <c r="H311" i="5"/>
  <c r="G311" i="5"/>
  <c r="F311" i="5"/>
  <c r="K310" i="5"/>
  <c r="J310" i="5"/>
  <c r="I310" i="5"/>
  <c r="H310" i="5"/>
  <c r="G310" i="5"/>
  <c r="F310" i="5"/>
  <c r="K309" i="5"/>
  <c r="J309" i="5"/>
  <c r="I309" i="5"/>
  <c r="H309" i="5"/>
  <c r="G309" i="5"/>
  <c r="F309" i="5"/>
  <c r="K308" i="5"/>
  <c r="J308" i="5"/>
  <c r="I308" i="5"/>
  <c r="H308" i="5"/>
  <c r="G308" i="5"/>
  <c r="F308" i="5"/>
  <c r="K307" i="5"/>
  <c r="J307" i="5"/>
  <c r="I307" i="5"/>
  <c r="H307" i="5"/>
  <c r="G307" i="5"/>
  <c r="F307" i="5"/>
  <c r="K306" i="5"/>
  <c r="J306" i="5"/>
  <c r="I306" i="5"/>
  <c r="H306" i="5"/>
  <c r="G306" i="5"/>
  <c r="F306" i="5"/>
  <c r="K305" i="5"/>
  <c r="J305" i="5"/>
  <c r="I305" i="5"/>
  <c r="H305" i="5"/>
  <c r="G305" i="5"/>
  <c r="F305" i="5"/>
  <c r="K304" i="5"/>
  <c r="J304" i="5"/>
  <c r="I304" i="5"/>
  <c r="H304" i="5"/>
  <c r="G304" i="5"/>
  <c r="F304" i="5"/>
  <c r="K303" i="5"/>
  <c r="J303" i="5"/>
  <c r="I303" i="5"/>
  <c r="H303" i="5"/>
  <c r="G303" i="5"/>
  <c r="F303" i="5"/>
  <c r="K302" i="5"/>
  <c r="J302" i="5"/>
  <c r="I302" i="5"/>
  <c r="H302" i="5"/>
  <c r="G302" i="5"/>
  <c r="F302" i="5"/>
  <c r="K301" i="5"/>
  <c r="J301" i="5"/>
  <c r="I301" i="5"/>
  <c r="H301" i="5"/>
  <c r="G301" i="5"/>
  <c r="F301" i="5"/>
  <c r="K300" i="5"/>
  <c r="J300" i="5"/>
  <c r="I300" i="5"/>
  <c r="H300" i="5"/>
  <c r="G300" i="5"/>
  <c r="F300" i="5"/>
  <c r="K299" i="5"/>
  <c r="J299" i="5"/>
  <c r="I299" i="5"/>
  <c r="H299" i="5"/>
  <c r="G299" i="5"/>
  <c r="F299" i="5"/>
  <c r="K298" i="5"/>
  <c r="J298" i="5"/>
  <c r="I298" i="5"/>
  <c r="H298" i="5"/>
  <c r="G298" i="5"/>
  <c r="F298" i="5"/>
  <c r="K297" i="5"/>
  <c r="J297" i="5"/>
  <c r="I297" i="5"/>
  <c r="H297" i="5"/>
  <c r="G297" i="5"/>
  <c r="F297" i="5"/>
  <c r="K296" i="5"/>
  <c r="J296" i="5"/>
  <c r="I296" i="5"/>
  <c r="H296" i="5"/>
  <c r="G296" i="5"/>
  <c r="F296" i="5"/>
  <c r="K295" i="5"/>
  <c r="J295" i="5"/>
  <c r="I295" i="5"/>
  <c r="H295" i="5"/>
  <c r="G295" i="5"/>
  <c r="F295" i="5"/>
  <c r="K294" i="5"/>
  <c r="J294" i="5"/>
  <c r="I294" i="5"/>
  <c r="H294" i="5"/>
  <c r="G294" i="5"/>
  <c r="F294" i="5"/>
  <c r="K293" i="5"/>
  <c r="J293" i="5"/>
  <c r="I293" i="5"/>
  <c r="H293" i="5"/>
  <c r="G293" i="5"/>
  <c r="F293" i="5"/>
  <c r="K292" i="5"/>
  <c r="J292" i="5"/>
  <c r="I292" i="5"/>
  <c r="H292" i="5"/>
  <c r="G292" i="5"/>
  <c r="F292" i="5"/>
  <c r="K291" i="5"/>
  <c r="J291" i="5"/>
  <c r="I291" i="5"/>
  <c r="H291" i="5"/>
  <c r="G291" i="5"/>
  <c r="F291" i="5"/>
  <c r="K290" i="5"/>
  <c r="J290" i="5"/>
  <c r="I290" i="5"/>
  <c r="H290" i="5"/>
  <c r="G290" i="5"/>
  <c r="F290" i="5"/>
  <c r="K289" i="5"/>
  <c r="J289" i="5"/>
  <c r="I289" i="5"/>
  <c r="H289" i="5"/>
  <c r="G289" i="5"/>
  <c r="F289" i="5"/>
  <c r="K288" i="5"/>
  <c r="J288" i="5"/>
  <c r="I288" i="5"/>
  <c r="H288" i="5"/>
  <c r="G288" i="5"/>
  <c r="F288" i="5"/>
  <c r="K287" i="5"/>
  <c r="J287" i="5"/>
  <c r="I287" i="5"/>
  <c r="H287" i="5"/>
  <c r="G287" i="5"/>
  <c r="F287" i="5"/>
  <c r="K286" i="5"/>
  <c r="J286" i="5"/>
  <c r="I286" i="5"/>
  <c r="H286" i="5"/>
  <c r="G286" i="5"/>
  <c r="F286" i="5"/>
  <c r="K285" i="5"/>
  <c r="J285" i="5"/>
  <c r="I285" i="5"/>
  <c r="H285" i="5"/>
  <c r="G285" i="5"/>
  <c r="F285" i="5"/>
  <c r="K284" i="5"/>
  <c r="J284" i="5"/>
  <c r="I284" i="5"/>
  <c r="H284" i="5"/>
  <c r="G284" i="5"/>
  <c r="F284" i="5"/>
  <c r="K283" i="5"/>
  <c r="J283" i="5"/>
  <c r="I283" i="5"/>
  <c r="H283" i="5"/>
  <c r="G283" i="5"/>
  <c r="F283" i="5"/>
  <c r="K282" i="5"/>
  <c r="J282" i="5"/>
  <c r="I282" i="5"/>
  <c r="H282" i="5"/>
  <c r="G282" i="5"/>
  <c r="F282" i="5"/>
  <c r="K281" i="5"/>
  <c r="J281" i="5"/>
  <c r="I281" i="5"/>
  <c r="H281" i="5"/>
  <c r="G281" i="5"/>
  <c r="F281" i="5"/>
  <c r="K280" i="5"/>
  <c r="J280" i="5"/>
  <c r="I280" i="5"/>
  <c r="H280" i="5"/>
  <c r="G280" i="5"/>
  <c r="F280" i="5"/>
  <c r="K279" i="5"/>
  <c r="J279" i="5"/>
  <c r="I279" i="5"/>
  <c r="H279" i="5"/>
  <c r="G279" i="5"/>
  <c r="F279" i="5"/>
  <c r="K278" i="5"/>
  <c r="J278" i="5"/>
  <c r="I278" i="5"/>
  <c r="H278" i="5"/>
  <c r="G278" i="5"/>
  <c r="F278" i="5"/>
  <c r="K277" i="5"/>
  <c r="J277" i="5"/>
  <c r="I277" i="5"/>
  <c r="H277" i="5"/>
  <c r="G277" i="5"/>
  <c r="F277" i="5"/>
  <c r="K276" i="5"/>
  <c r="J276" i="5"/>
  <c r="I276" i="5"/>
  <c r="H276" i="5"/>
  <c r="G276" i="5"/>
  <c r="F276" i="5"/>
  <c r="K275" i="5"/>
  <c r="J275" i="5"/>
  <c r="I275" i="5"/>
  <c r="H275" i="5"/>
  <c r="G275" i="5"/>
  <c r="F275" i="5"/>
  <c r="K274" i="5"/>
  <c r="J274" i="5"/>
  <c r="I274" i="5"/>
  <c r="H274" i="5"/>
  <c r="G274" i="5"/>
  <c r="F274" i="5"/>
  <c r="K273" i="5"/>
  <c r="J273" i="5"/>
  <c r="I273" i="5"/>
  <c r="H273" i="5"/>
  <c r="G273" i="5"/>
  <c r="F273" i="5"/>
  <c r="K272" i="5"/>
  <c r="J272" i="5"/>
  <c r="I272" i="5"/>
  <c r="H272" i="5"/>
  <c r="G272" i="5"/>
  <c r="F272" i="5"/>
  <c r="K271" i="5"/>
  <c r="J271" i="5"/>
  <c r="I271" i="5"/>
  <c r="H271" i="5"/>
  <c r="G271" i="5"/>
  <c r="F271" i="5"/>
  <c r="K270" i="5"/>
  <c r="J270" i="5"/>
  <c r="I270" i="5"/>
  <c r="H270" i="5"/>
  <c r="G270" i="5"/>
  <c r="F270" i="5"/>
  <c r="K269" i="5"/>
  <c r="J269" i="5"/>
  <c r="I269" i="5"/>
  <c r="H269" i="5"/>
  <c r="G269" i="5"/>
  <c r="F269" i="5"/>
  <c r="K268" i="5"/>
  <c r="J268" i="5"/>
  <c r="I268" i="5"/>
  <c r="H268" i="5"/>
  <c r="G268" i="5"/>
  <c r="F268" i="5"/>
  <c r="K267" i="5"/>
  <c r="J267" i="5"/>
  <c r="I267" i="5"/>
  <c r="H267" i="5"/>
  <c r="G267" i="5"/>
  <c r="F267" i="5"/>
  <c r="K266" i="5"/>
  <c r="J266" i="5"/>
  <c r="I266" i="5"/>
  <c r="H266" i="5"/>
  <c r="G266" i="5"/>
  <c r="F266" i="5"/>
  <c r="K265" i="5"/>
  <c r="J265" i="5"/>
  <c r="I265" i="5"/>
  <c r="H265" i="5"/>
  <c r="G265" i="5"/>
  <c r="F265" i="5"/>
  <c r="K264" i="5"/>
  <c r="J264" i="5"/>
  <c r="I264" i="5"/>
  <c r="H264" i="5"/>
  <c r="G264" i="5"/>
  <c r="F264" i="5"/>
  <c r="K263" i="5"/>
  <c r="J263" i="5"/>
  <c r="I263" i="5"/>
  <c r="H263" i="5"/>
  <c r="G263" i="5"/>
  <c r="F263" i="5"/>
  <c r="K262" i="5"/>
  <c r="J262" i="5"/>
  <c r="I262" i="5"/>
  <c r="H262" i="5"/>
  <c r="G262" i="5"/>
  <c r="F262" i="5"/>
  <c r="K261" i="5"/>
  <c r="J261" i="5"/>
  <c r="I261" i="5"/>
  <c r="H261" i="5"/>
  <c r="G261" i="5"/>
  <c r="F261" i="5"/>
  <c r="K260" i="5"/>
  <c r="J260" i="5"/>
  <c r="I260" i="5"/>
  <c r="H260" i="5"/>
  <c r="G260" i="5"/>
  <c r="F260" i="5"/>
  <c r="K259" i="5"/>
  <c r="J259" i="5"/>
  <c r="I259" i="5"/>
  <c r="H259" i="5"/>
  <c r="G259" i="5"/>
  <c r="F259" i="5"/>
  <c r="K258" i="5"/>
  <c r="J258" i="5"/>
  <c r="I258" i="5"/>
  <c r="H258" i="5"/>
  <c r="G258" i="5"/>
  <c r="F258" i="5"/>
  <c r="K257" i="5"/>
  <c r="J257" i="5"/>
  <c r="I257" i="5"/>
  <c r="H257" i="5"/>
  <c r="G257" i="5"/>
  <c r="F257" i="5"/>
  <c r="K256" i="5"/>
  <c r="J256" i="5"/>
  <c r="I256" i="5"/>
  <c r="H256" i="5"/>
  <c r="G256" i="5"/>
  <c r="F256" i="5"/>
  <c r="K255" i="5"/>
  <c r="J255" i="5"/>
  <c r="I255" i="5"/>
  <c r="H255" i="5"/>
  <c r="G255" i="5"/>
  <c r="F255" i="5"/>
  <c r="K254" i="5"/>
  <c r="J254" i="5"/>
  <c r="I254" i="5"/>
  <c r="H254" i="5"/>
  <c r="G254" i="5"/>
  <c r="F254" i="5"/>
  <c r="K253" i="5"/>
  <c r="J253" i="5"/>
  <c r="I253" i="5"/>
  <c r="H253" i="5"/>
  <c r="G253" i="5"/>
  <c r="F253" i="5"/>
  <c r="K252" i="5"/>
  <c r="J252" i="5"/>
  <c r="I252" i="5"/>
  <c r="H252" i="5"/>
  <c r="G252" i="5"/>
  <c r="F252" i="5"/>
  <c r="K251" i="5"/>
  <c r="J251" i="5"/>
  <c r="I251" i="5"/>
  <c r="H251" i="5"/>
  <c r="G251" i="5"/>
  <c r="F251" i="5"/>
  <c r="K250" i="5"/>
  <c r="J250" i="5"/>
  <c r="I250" i="5"/>
  <c r="H250" i="5"/>
  <c r="G250" i="5"/>
  <c r="F250" i="5"/>
  <c r="K249" i="5"/>
  <c r="J249" i="5"/>
  <c r="I249" i="5"/>
  <c r="H249" i="5"/>
  <c r="G249" i="5"/>
  <c r="F249" i="5"/>
  <c r="K248" i="5"/>
  <c r="J248" i="5"/>
  <c r="I248" i="5"/>
  <c r="H248" i="5"/>
  <c r="G248" i="5"/>
  <c r="F248" i="5"/>
  <c r="K247" i="5"/>
  <c r="J247" i="5"/>
  <c r="I247" i="5"/>
  <c r="H247" i="5"/>
  <c r="G247" i="5"/>
  <c r="F247" i="5"/>
  <c r="K246" i="5"/>
  <c r="J246" i="5"/>
  <c r="I246" i="5"/>
  <c r="H246" i="5"/>
  <c r="G246" i="5"/>
  <c r="F246" i="5"/>
  <c r="K245" i="5"/>
  <c r="J245" i="5"/>
  <c r="I245" i="5"/>
  <c r="H245" i="5"/>
  <c r="G245" i="5"/>
  <c r="F245" i="5"/>
  <c r="K244" i="5"/>
  <c r="J244" i="5"/>
  <c r="I244" i="5"/>
  <c r="H244" i="5"/>
  <c r="G244" i="5"/>
  <c r="F244" i="5"/>
  <c r="K243" i="5"/>
  <c r="J243" i="5"/>
  <c r="I243" i="5"/>
  <c r="H243" i="5"/>
  <c r="G243" i="5"/>
  <c r="F243" i="5"/>
  <c r="K242" i="5"/>
  <c r="J242" i="5"/>
  <c r="I242" i="5"/>
  <c r="H242" i="5"/>
  <c r="G242" i="5"/>
  <c r="F242" i="5"/>
  <c r="K241" i="5"/>
  <c r="J241" i="5"/>
  <c r="I241" i="5"/>
  <c r="H241" i="5"/>
  <c r="G241" i="5"/>
  <c r="F241" i="5"/>
  <c r="K240" i="5"/>
  <c r="J240" i="5"/>
  <c r="I240" i="5"/>
  <c r="H240" i="5"/>
  <c r="G240" i="5"/>
  <c r="F240" i="5"/>
  <c r="K239" i="5"/>
  <c r="J239" i="5"/>
  <c r="I239" i="5"/>
  <c r="H239" i="5"/>
  <c r="G239" i="5"/>
  <c r="F239" i="5"/>
  <c r="K238" i="5"/>
  <c r="J238" i="5"/>
  <c r="I238" i="5"/>
  <c r="H238" i="5"/>
  <c r="G238" i="5"/>
  <c r="F238" i="5"/>
  <c r="K237" i="5"/>
  <c r="J237" i="5"/>
  <c r="I237" i="5"/>
  <c r="H237" i="5"/>
  <c r="G237" i="5"/>
  <c r="F237" i="5"/>
  <c r="K236" i="5"/>
  <c r="J236" i="5"/>
  <c r="I236" i="5"/>
  <c r="H236" i="5"/>
  <c r="G236" i="5"/>
  <c r="F236" i="5"/>
  <c r="K235" i="5"/>
  <c r="J235" i="5"/>
  <c r="I235" i="5"/>
  <c r="H235" i="5"/>
  <c r="G235" i="5"/>
  <c r="F235" i="5"/>
  <c r="K234" i="5"/>
  <c r="J234" i="5"/>
  <c r="I234" i="5"/>
  <c r="H234" i="5"/>
  <c r="G234" i="5"/>
  <c r="F234" i="5"/>
  <c r="K233" i="5"/>
  <c r="J233" i="5"/>
  <c r="I233" i="5"/>
  <c r="H233" i="5"/>
  <c r="G233" i="5"/>
  <c r="F233" i="5"/>
  <c r="K232" i="5"/>
  <c r="J232" i="5"/>
  <c r="I232" i="5"/>
  <c r="H232" i="5"/>
  <c r="G232" i="5"/>
  <c r="F232" i="5"/>
  <c r="K231" i="5"/>
  <c r="J231" i="5"/>
  <c r="I231" i="5"/>
  <c r="H231" i="5"/>
  <c r="G231" i="5"/>
  <c r="F231" i="5"/>
  <c r="K230" i="5"/>
  <c r="J230" i="5"/>
  <c r="I230" i="5"/>
  <c r="H230" i="5"/>
  <c r="G230" i="5"/>
  <c r="F230" i="5"/>
  <c r="K229" i="5"/>
  <c r="J229" i="5"/>
  <c r="I229" i="5"/>
  <c r="H229" i="5"/>
  <c r="G229" i="5"/>
  <c r="F229" i="5"/>
  <c r="K228" i="5"/>
  <c r="J228" i="5"/>
  <c r="I228" i="5"/>
  <c r="H228" i="5"/>
  <c r="G228" i="5"/>
  <c r="F228" i="5"/>
  <c r="K227" i="5"/>
  <c r="J227" i="5"/>
  <c r="I227" i="5"/>
  <c r="H227" i="5"/>
  <c r="G227" i="5"/>
  <c r="F227" i="5"/>
  <c r="K226" i="5"/>
  <c r="J226" i="5"/>
  <c r="I226" i="5"/>
  <c r="H226" i="5"/>
  <c r="G226" i="5"/>
  <c r="F226" i="5"/>
  <c r="K225" i="5"/>
  <c r="J225" i="5"/>
  <c r="I225" i="5"/>
  <c r="H225" i="5"/>
  <c r="G225" i="5"/>
  <c r="F225" i="5"/>
  <c r="K224" i="5"/>
  <c r="J224" i="5"/>
  <c r="I224" i="5"/>
  <c r="H224" i="5"/>
  <c r="G224" i="5"/>
  <c r="F224" i="5"/>
  <c r="K223" i="5"/>
  <c r="J223" i="5"/>
  <c r="I223" i="5"/>
  <c r="H223" i="5"/>
  <c r="G223" i="5"/>
  <c r="F223" i="5"/>
  <c r="K222" i="5"/>
  <c r="J222" i="5"/>
  <c r="I222" i="5"/>
  <c r="H222" i="5"/>
  <c r="G222" i="5"/>
  <c r="F222" i="5"/>
  <c r="K221" i="5"/>
  <c r="J221" i="5"/>
  <c r="I221" i="5"/>
  <c r="H221" i="5"/>
  <c r="G221" i="5"/>
  <c r="F221" i="5"/>
  <c r="K220" i="5"/>
  <c r="J220" i="5"/>
  <c r="I220" i="5"/>
  <c r="H220" i="5"/>
  <c r="G220" i="5"/>
  <c r="F220" i="5"/>
  <c r="K219" i="5"/>
  <c r="J219" i="5"/>
  <c r="I219" i="5"/>
  <c r="H219" i="5"/>
  <c r="G219" i="5"/>
  <c r="F219" i="5"/>
  <c r="K218" i="5"/>
  <c r="J218" i="5"/>
  <c r="I218" i="5"/>
  <c r="H218" i="5"/>
  <c r="G218" i="5"/>
  <c r="F218" i="5"/>
  <c r="K217" i="5"/>
  <c r="J217" i="5"/>
  <c r="I217" i="5"/>
  <c r="H217" i="5"/>
  <c r="G217" i="5"/>
  <c r="F217" i="5"/>
  <c r="K216" i="5"/>
  <c r="J216" i="5"/>
  <c r="I216" i="5"/>
  <c r="H216" i="5"/>
  <c r="G216" i="5"/>
  <c r="F216" i="5"/>
  <c r="K215" i="5"/>
  <c r="J215" i="5"/>
  <c r="I215" i="5"/>
  <c r="H215" i="5"/>
  <c r="G215" i="5"/>
  <c r="F215" i="5"/>
  <c r="K214" i="5"/>
  <c r="J214" i="5"/>
  <c r="I214" i="5"/>
  <c r="H214" i="5"/>
  <c r="G214" i="5"/>
  <c r="F214" i="5"/>
  <c r="K213" i="5"/>
  <c r="J213" i="5"/>
  <c r="I213" i="5"/>
  <c r="H213" i="5"/>
  <c r="G213" i="5"/>
  <c r="F213" i="5"/>
  <c r="K212" i="5"/>
  <c r="J212" i="5"/>
  <c r="I212" i="5"/>
  <c r="H212" i="5"/>
  <c r="G212" i="5"/>
  <c r="F212" i="5"/>
  <c r="K211" i="5"/>
  <c r="J211" i="5"/>
  <c r="I211" i="5"/>
  <c r="H211" i="5"/>
  <c r="G211" i="5"/>
  <c r="F211" i="5"/>
  <c r="K210" i="5"/>
  <c r="J210" i="5"/>
  <c r="I210" i="5"/>
  <c r="H210" i="5"/>
  <c r="G210" i="5"/>
  <c r="F210" i="5"/>
  <c r="K209" i="5"/>
  <c r="J209" i="5"/>
  <c r="I209" i="5"/>
  <c r="H209" i="5"/>
  <c r="G209" i="5"/>
  <c r="F209" i="5"/>
  <c r="K208" i="5"/>
  <c r="J208" i="5"/>
  <c r="I208" i="5"/>
  <c r="H208" i="5"/>
  <c r="G208" i="5"/>
  <c r="F208" i="5"/>
  <c r="K207" i="5"/>
  <c r="J207" i="5"/>
  <c r="I207" i="5"/>
  <c r="H207" i="5"/>
  <c r="G207" i="5"/>
  <c r="F207" i="5"/>
  <c r="K206" i="5"/>
  <c r="J206" i="5"/>
  <c r="I206" i="5"/>
  <c r="H206" i="5"/>
  <c r="G206" i="5"/>
  <c r="F206" i="5"/>
  <c r="K205" i="5"/>
  <c r="J205" i="5"/>
  <c r="I205" i="5"/>
  <c r="H205" i="5"/>
  <c r="G205" i="5"/>
  <c r="F205" i="5"/>
  <c r="K204" i="5"/>
  <c r="J204" i="5"/>
  <c r="I204" i="5"/>
  <c r="H204" i="5"/>
  <c r="G204" i="5"/>
  <c r="F204" i="5"/>
  <c r="K203" i="5"/>
  <c r="J203" i="5"/>
  <c r="I203" i="5"/>
  <c r="H203" i="5"/>
  <c r="G203" i="5"/>
  <c r="F203" i="5"/>
  <c r="K202" i="5"/>
  <c r="J202" i="5"/>
  <c r="I202" i="5"/>
  <c r="H202" i="5"/>
  <c r="G202" i="5"/>
  <c r="F202" i="5"/>
  <c r="K201" i="5"/>
  <c r="J201" i="5"/>
  <c r="I201" i="5"/>
  <c r="H201" i="5"/>
  <c r="G201" i="5"/>
  <c r="F201" i="5"/>
  <c r="K200" i="5"/>
  <c r="J200" i="5"/>
  <c r="I200" i="5"/>
  <c r="H200" i="5"/>
  <c r="G200" i="5"/>
  <c r="F200" i="5"/>
  <c r="K199" i="5"/>
  <c r="J199" i="5"/>
  <c r="I199" i="5"/>
  <c r="H199" i="5"/>
  <c r="G199" i="5"/>
  <c r="F199" i="5"/>
  <c r="K198" i="5"/>
  <c r="J198" i="5"/>
  <c r="I198" i="5"/>
  <c r="H198" i="5"/>
  <c r="G198" i="5"/>
  <c r="F198" i="5"/>
  <c r="K197" i="5"/>
  <c r="J197" i="5"/>
  <c r="I197" i="5"/>
  <c r="H197" i="5"/>
  <c r="G197" i="5"/>
  <c r="F197" i="5"/>
  <c r="K196" i="5"/>
  <c r="J196" i="5"/>
  <c r="I196" i="5"/>
  <c r="H196" i="5"/>
  <c r="G196" i="5"/>
  <c r="F196" i="5"/>
  <c r="K195" i="5"/>
  <c r="J195" i="5"/>
  <c r="I195" i="5"/>
  <c r="H195" i="5"/>
  <c r="G195" i="5"/>
  <c r="F195" i="5"/>
  <c r="K194" i="5"/>
  <c r="J194" i="5"/>
  <c r="I194" i="5"/>
  <c r="H194" i="5"/>
  <c r="G194" i="5"/>
  <c r="F194" i="5"/>
  <c r="K193" i="5"/>
  <c r="J193" i="5"/>
  <c r="I193" i="5"/>
  <c r="H193" i="5"/>
  <c r="G193" i="5"/>
  <c r="F193" i="5"/>
  <c r="K192" i="5"/>
  <c r="J192" i="5"/>
  <c r="I192" i="5"/>
  <c r="H192" i="5"/>
  <c r="G192" i="5"/>
  <c r="F192" i="5"/>
  <c r="K191" i="5"/>
  <c r="J191" i="5"/>
  <c r="I191" i="5"/>
  <c r="H191" i="5"/>
  <c r="G191" i="5"/>
  <c r="F191" i="5"/>
  <c r="K190" i="5"/>
  <c r="J190" i="5"/>
  <c r="I190" i="5"/>
  <c r="H190" i="5"/>
  <c r="G190" i="5"/>
  <c r="F190" i="5"/>
  <c r="K189" i="5"/>
  <c r="J189" i="5"/>
  <c r="I189" i="5"/>
  <c r="H189" i="5"/>
  <c r="G189" i="5"/>
  <c r="F189" i="5"/>
  <c r="K188" i="5"/>
  <c r="J188" i="5"/>
  <c r="I188" i="5"/>
  <c r="H188" i="5"/>
  <c r="G188" i="5"/>
  <c r="F188" i="5"/>
  <c r="K187" i="5"/>
  <c r="J187" i="5"/>
  <c r="I187" i="5"/>
  <c r="H187" i="5"/>
  <c r="G187" i="5"/>
  <c r="F187" i="5"/>
  <c r="K186" i="5"/>
  <c r="J186" i="5"/>
  <c r="I186" i="5"/>
  <c r="H186" i="5"/>
  <c r="G186" i="5"/>
  <c r="F186" i="5"/>
  <c r="K185" i="5"/>
  <c r="J185" i="5"/>
  <c r="I185" i="5"/>
  <c r="H185" i="5"/>
  <c r="G185" i="5"/>
  <c r="F185" i="5"/>
  <c r="K184" i="5"/>
  <c r="J184" i="5"/>
  <c r="I184" i="5"/>
  <c r="H184" i="5"/>
  <c r="G184" i="5"/>
  <c r="F184" i="5"/>
  <c r="K183" i="5"/>
  <c r="J183" i="5"/>
  <c r="I183" i="5"/>
  <c r="H183" i="5"/>
  <c r="G183" i="5"/>
  <c r="F183" i="5"/>
  <c r="K182" i="5"/>
  <c r="J182" i="5"/>
  <c r="I182" i="5"/>
  <c r="H182" i="5"/>
  <c r="G182" i="5"/>
  <c r="F182" i="5"/>
  <c r="K181" i="5"/>
  <c r="J181" i="5"/>
  <c r="I181" i="5"/>
  <c r="H181" i="5"/>
  <c r="G181" i="5"/>
  <c r="F181" i="5"/>
  <c r="K180" i="5"/>
  <c r="J180" i="5"/>
  <c r="I180" i="5"/>
  <c r="H180" i="5"/>
  <c r="G180" i="5"/>
  <c r="F180" i="5"/>
  <c r="K179" i="5"/>
  <c r="J179" i="5"/>
  <c r="I179" i="5"/>
  <c r="H179" i="5"/>
  <c r="G179" i="5"/>
  <c r="F179" i="5"/>
  <c r="K178" i="5"/>
  <c r="J178" i="5"/>
  <c r="I178" i="5"/>
  <c r="H178" i="5"/>
  <c r="G178" i="5"/>
  <c r="F178" i="5"/>
  <c r="K177" i="5"/>
  <c r="J177" i="5"/>
  <c r="I177" i="5"/>
  <c r="H177" i="5"/>
  <c r="G177" i="5"/>
  <c r="F177" i="5"/>
  <c r="K176" i="5"/>
  <c r="J176" i="5"/>
  <c r="I176" i="5"/>
  <c r="H176" i="5"/>
  <c r="G176" i="5"/>
  <c r="F176" i="5"/>
  <c r="K175" i="5"/>
  <c r="J175" i="5"/>
  <c r="I175" i="5"/>
  <c r="H175" i="5"/>
  <c r="G175" i="5"/>
  <c r="F175" i="5"/>
  <c r="K174" i="5"/>
  <c r="J174" i="5"/>
  <c r="I174" i="5"/>
  <c r="H174" i="5"/>
  <c r="G174" i="5"/>
  <c r="F174" i="5"/>
  <c r="K173" i="5"/>
  <c r="J173" i="5"/>
  <c r="I173" i="5"/>
  <c r="H173" i="5"/>
  <c r="G173" i="5"/>
  <c r="F173" i="5"/>
  <c r="K172" i="5"/>
  <c r="J172" i="5"/>
  <c r="I172" i="5"/>
  <c r="H172" i="5"/>
  <c r="G172" i="5"/>
  <c r="F172" i="5"/>
  <c r="K171" i="5"/>
  <c r="J171" i="5"/>
  <c r="I171" i="5"/>
  <c r="H171" i="5"/>
  <c r="G171" i="5"/>
  <c r="F171" i="5"/>
  <c r="K170" i="5"/>
  <c r="J170" i="5"/>
  <c r="I170" i="5"/>
  <c r="H170" i="5"/>
  <c r="G170" i="5"/>
  <c r="F170" i="5"/>
  <c r="K169" i="5"/>
  <c r="J169" i="5"/>
  <c r="I169" i="5"/>
  <c r="H169" i="5"/>
  <c r="G169" i="5"/>
  <c r="F169" i="5"/>
  <c r="K168" i="5"/>
  <c r="J168" i="5"/>
  <c r="I168" i="5"/>
  <c r="H168" i="5"/>
  <c r="G168" i="5"/>
  <c r="F168" i="5"/>
  <c r="K167" i="5"/>
  <c r="J167" i="5"/>
  <c r="I167" i="5"/>
  <c r="H167" i="5"/>
  <c r="G167" i="5"/>
  <c r="F167" i="5"/>
  <c r="K166" i="5"/>
  <c r="J166" i="5"/>
  <c r="I166" i="5"/>
  <c r="H166" i="5"/>
  <c r="G166" i="5"/>
  <c r="F166" i="5"/>
  <c r="K165" i="5"/>
  <c r="J165" i="5"/>
  <c r="I165" i="5"/>
  <c r="H165" i="5"/>
  <c r="G165" i="5"/>
  <c r="F165" i="5"/>
  <c r="K164" i="5"/>
  <c r="J164" i="5"/>
  <c r="I164" i="5"/>
  <c r="H164" i="5"/>
  <c r="G164" i="5"/>
  <c r="F164" i="5"/>
  <c r="K163" i="5"/>
  <c r="J163" i="5"/>
  <c r="I163" i="5"/>
  <c r="H163" i="5"/>
  <c r="G163" i="5"/>
  <c r="F163" i="5"/>
  <c r="K162" i="5"/>
  <c r="J162" i="5"/>
  <c r="I162" i="5"/>
  <c r="H162" i="5"/>
  <c r="G162" i="5"/>
  <c r="F162" i="5"/>
  <c r="K161" i="5"/>
  <c r="J161" i="5"/>
  <c r="I161" i="5"/>
  <c r="H161" i="5"/>
  <c r="G161" i="5"/>
  <c r="F161" i="5"/>
  <c r="K160" i="5"/>
  <c r="J160" i="5"/>
  <c r="I160" i="5"/>
  <c r="H160" i="5"/>
  <c r="G160" i="5"/>
  <c r="F160" i="5"/>
  <c r="K159" i="5"/>
  <c r="J159" i="5"/>
  <c r="I159" i="5"/>
  <c r="H159" i="5"/>
  <c r="G159" i="5"/>
  <c r="F159" i="5"/>
  <c r="K158" i="5"/>
  <c r="J158" i="5"/>
  <c r="I158" i="5"/>
  <c r="H158" i="5"/>
  <c r="G158" i="5"/>
  <c r="F158" i="5"/>
  <c r="K157" i="5"/>
  <c r="J157" i="5"/>
  <c r="I157" i="5"/>
  <c r="H157" i="5"/>
  <c r="G157" i="5"/>
  <c r="F157" i="5"/>
  <c r="K156" i="5"/>
  <c r="J156" i="5"/>
  <c r="I156" i="5"/>
  <c r="H156" i="5"/>
  <c r="G156" i="5"/>
  <c r="F156" i="5"/>
  <c r="K155" i="5"/>
  <c r="J155" i="5"/>
  <c r="I155" i="5"/>
  <c r="H155" i="5"/>
  <c r="G155" i="5"/>
  <c r="F155" i="5"/>
  <c r="K154" i="5"/>
  <c r="J154" i="5"/>
  <c r="I154" i="5"/>
  <c r="H154" i="5"/>
  <c r="G154" i="5"/>
  <c r="F154" i="5"/>
  <c r="K153" i="5"/>
  <c r="J153" i="5"/>
  <c r="I153" i="5"/>
  <c r="H153" i="5"/>
  <c r="G153" i="5"/>
  <c r="F153" i="5"/>
  <c r="K152" i="5"/>
  <c r="J152" i="5"/>
  <c r="I152" i="5"/>
  <c r="H152" i="5"/>
  <c r="G152" i="5"/>
  <c r="F152" i="5"/>
  <c r="K151" i="5"/>
  <c r="J151" i="5"/>
  <c r="I151" i="5"/>
  <c r="H151" i="5"/>
  <c r="G151" i="5"/>
  <c r="F151" i="5"/>
  <c r="K150" i="5"/>
  <c r="J150" i="5"/>
  <c r="I150" i="5"/>
  <c r="H150" i="5"/>
  <c r="G150" i="5"/>
  <c r="F150" i="5"/>
  <c r="K149" i="5"/>
  <c r="J149" i="5"/>
  <c r="I149" i="5"/>
  <c r="H149" i="5"/>
  <c r="G149" i="5"/>
  <c r="F149" i="5"/>
  <c r="K148" i="5"/>
  <c r="J148" i="5"/>
  <c r="I148" i="5"/>
  <c r="H148" i="5"/>
  <c r="G148" i="5"/>
  <c r="F148" i="5"/>
  <c r="K147" i="5"/>
  <c r="J147" i="5"/>
  <c r="I147" i="5"/>
  <c r="H147" i="5"/>
  <c r="G147" i="5"/>
  <c r="F147" i="5"/>
  <c r="K146" i="5"/>
  <c r="J146" i="5"/>
  <c r="I146" i="5"/>
  <c r="H146" i="5"/>
  <c r="G146" i="5"/>
  <c r="F146" i="5"/>
  <c r="K145" i="5"/>
  <c r="J145" i="5"/>
  <c r="I145" i="5"/>
  <c r="H145" i="5"/>
  <c r="G145" i="5"/>
  <c r="F145" i="5"/>
  <c r="K144" i="5"/>
  <c r="J144" i="5"/>
  <c r="I144" i="5"/>
  <c r="H144" i="5"/>
  <c r="G144" i="5"/>
  <c r="F144" i="5"/>
  <c r="K143" i="5"/>
  <c r="J143" i="5"/>
  <c r="I143" i="5"/>
  <c r="H143" i="5"/>
  <c r="G143" i="5"/>
  <c r="F143" i="5"/>
  <c r="K142" i="5"/>
  <c r="J142" i="5"/>
  <c r="I142" i="5"/>
  <c r="H142" i="5"/>
  <c r="G142" i="5"/>
  <c r="F142" i="5"/>
  <c r="K141" i="5"/>
  <c r="J141" i="5"/>
  <c r="I141" i="5"/>
  <c r="H141" i="5"/>
  <c r="G141" i="5"/>
  <c r="F141" i="5"/>
  <c r="K140" i="5"/>
  <c r="J140" i="5"/>
  <c r="I140" i="5"/>
  <c r="H140" i="5"/>
  <c r="G140" i="5"/>
  <c r="F140" i="5"/>
  <c r="K139" i="5"/>
  <c r="J139" i="5"/>
  <c r="I139" i="5"/>
  <c r="H139" i="5"/>
  <c r="G139" i="5"/>
  <c r="F139" i="5"/>
  <c r="K138" i="5"/>
  <c r="J138" i="5"/>
  <c r="I138" i="5"/>
  <c r="H138" i="5"/>
  <c r="G138" i="5"/>
  <c r="F138" i="5"/>
  <c r="K137" i="5"/>
  <c r="J137" i="5"/>
  <c r="I137" i="5"/>
  <c r="H137" i="5"/>
  <c r="G137" i="5"/>
  <c r="F137" i="5"/>
  <c r="K136" i="5"/>
  <c r="J136" i="5"/>
  <c r="I136" i="5"/>
  <c r="H136" i="5"/>
  <c r="G136" i="5"/>
  <c r="F136" i="5"/>
  <c r="K135" i="5"/>
  <c r="J135" i="5"/>
  <c r="I135" i="5"/>
  <c r="H135" i="5"/>
  <c r="G135" i="5"/>
  <c r="F135" i="5"/>
  <c r="K134" i="5"/>
  <c r="J134" i="5"/>
  <c r="I134" i="5"/>
  <c r="H134" i="5"/>
  <c r="G134" i="5"/>
  <c r="F134" i="5"/>
  <c r="K133" i="5"/>
  <c r="J133" i="5"/>
  <c r="I133" i="5"/>
  <c r="H133" i="5"/>
  <c r="G133" i="5"/>
  <c r="F133" i="5"/>
  <c r="K132" i="5"/>
  <c r="J132" i="5"/>
  <c r="I132" i="5"/>
  <c r="H132" i="5"/>
  <c r="G132" i="5"/>
  <c r="F132" i="5"/>
  <c r="K131" i="5"/>
  <c r="J131" i="5"/>
  <c r="I131" i="5"/>
  <c r="H131" i="5"/>
  <c r="G131" i="5"/>
  <c r="F131" i="5"/>
  <c r="K130" i="5"/>
  <c r="J130" i="5"/>
  <c r="I130" i="5"/>
  <c r="H130" i="5"/>
  <c r="G130" i="5"/>
  <c r="F130" i="5"/>
  <c r="K129" i="5"/>
  <c r="J129" i="5"/>
  <c r="I129" i="5"/>
  <c r="H129" i="5"/>
  <c r="G129" i="5"/>
  <c r="F129" i="5"/>
  <c r="K128" i="5"/>
  <c r="J128" i="5"/>
  <c r="I128" i="5"/>
  <c r="H128" i="5"/>
  <c r="G128" i="5"/>
  <c r="F128" i="5"/>
  <c r="K127" i="5"/>
  <c r="J127" i="5"/>
  <c r="I127" i="5"/>
  <c r="H127" i="5"/>
  <c r="G127" i="5"/>
  <c r="F127" i="5"/>
  <c r="K126" i="5"/>
  <c r="J126" i="5"/>
  <c r="I126" i="5"/>
  <c r="H126" i="5"/>
  <c r="G126" i="5"/>
  <c r="F126" i="5"/>
  <c r="K125" i="5"/>
  <c r="J125" i="5"/>
  <c r="I125" i="5"/>
  <c r="H125" i="5"/>
  <c r="G125" i="5"/>
  <c r="F125" i="5"/>
  <c r="K124" i="5"/>
  <c r="J124" i="5"/>
  <c r="I124" i="5"/>
  <c r="H124" i="5"/>
  <c r="G124" i="5"/>
  <c r="F124" i="5"/>
  <c r="K123" i="5"/>
  <c r="J123" i="5"/>
  <c r="I123" i="5"/>
  <c r="H123" i="5"/>
  <c r="G123" i="5"/>
  <c r="F123" i="5"/>
  <c r="K122" i="5"/>
  <c r="J122" i="5"/>
  <c r="I122" i="5"/>
  <c r="H122" i="5"/>
  <c r="G122" i="5"/>
  <c r="F122" i="5"/>
  <c r="K121" i="5"/>
  <c r="J121" i="5"/>
  <c r="I121" i="5"/>
  <c r="H121" i="5"/>
  <c r="G121" i="5"/>
  <c r="F121" i="5"/>
  <c r="K120" i="5"/>
  <c r="J120" i="5"/>
  <c r="I120" i="5"/>
  <c r="H120" i="5"/>
  <c r="G120" i="5"/>
  <c r="F120" i="5"/>
  <c r="K119" i="5"/>
  <c r="J119" i="5"/>
  <c r="I119" i="5"/>
  <c r="H119" i="5"/>
  <c r="G119" i="5"/>
  <c r="F119" i="5"/>
  <c r="K118" i="5"/>
  <c r="J118" i="5"/>
  <c r="I118" i="5"/>
  <c r="H118" i="5"/>
  <c r="G118" i="5"/>
  <c r="F118" i="5"/>
  <c r="K117" i="5"/>
  <c r="J117" i="5"/>
  <c r="I117" i="5"/>
  <c r="H117" i="5"/>
  <c r="G117" i="5"/>
  <c r="F117" i="5"/>
  <c r="K116" i="5"/>
  <c r="J116" i="5"/>
  <c r="I116" i="5"/>
  <c r="H116" i="5"/>
  <c r="G116" i="5"/>
  <c r="F116" i="5"/>
  <c r="K115" i="5"/>
  <c r="J115" i="5"/>
  <c r="I115" i="5"/>
  <c r="H115" i="5"/>
  <c r="G115" i="5"/>
  <c r="F115" i="5"/>
  <c r="K114" i="5"/>
  <c r="J114" i="5"/>
  <c r="I114" i="5"/>
  <c r="H114" i="5"/>
  <c r="G114" i="5"/>
  <c r="F114" i="5"/>
  <c r="K113" i="5"/>
  <c r="J113" i="5"/>
  <c r="I113" i="5"/>
  <c r="H113" i="5"/>
  <c r="G113" i="5"/>
  <c r="F113" i="5"/>
  <c r="K112" i="5"/>
  <c r="J112" i="5"/>
  <c r="I112" i="5"/>
  <c r="H112" i="5"/>
  <c r="G112" i="5"/>
  <c r="F112" i="5"/>
  <c r="K111" i="5"/>
  <c r="J111" i="5"/>
  <c r="I111" i="5"/>
  <c r="H111" i="5"/>
  <c r="G111" i="5"/>
  <c r="F111" i="5"/>
  <c r="K110" i="5"/>
  <c r="J110" i="5"/>
  <c r="I110" i="5"/>
  <c r="H110" i="5"/>
  <c r="G110" i="5"/>
  <c r="F110" i="5"/>
  <c r="K109" i="5"/>
  <c r="J109" i="5"/>
  <c r="I109" i="5"/>
  <c r="H109" i="5"/>
  <c r="G109" i="5"/>
  <c r="F109" i="5"/>
  <c r="K108" i="5"/>
  <c r="J108" i="5"/>
  <c r="I108" i="5"/>
  <c r="H108" i="5"/>
  <c r="G108" i="5"/>
  <c r="F108" i="5"/>
  <c r="K107" i="5"/>
  <c r="J107" i="5"/>
  <c r="I107" i="5"/>
  <c r="H107" i="5"/>
  <c r="G107" i="5"/>
  <c r="F107" i="5"/>
  <c r="K106" i="5"/>
  <c r="J106" i="5"/>
  <c r="I106" i="5"/>
  <c r="H106" i="5"/>
  <c r="G106" i="5"/>
  <c r="F106" i="5"/>
  <c r="K105" i="5"/>
  <c r="J105" i="5"/>
  <c r="I105" i="5"/>
  <c r="H105" i="5"/>
  <c r="G105" i="5"/>
  <c r="F105" i="5"/>
  <c r="K104" i="5"/>
  <c r="J104" i="5"/>
  <c r="I104" i="5"/>
  <c r="H104" i="5"/>
  <c r="G104" i="5"/>
  <c r="F104" i="5"/>
  <c r="K103" i="5"/>
  <c r="J103" i="5"/>
  <c r="I103" i="5"/>
  <c r="H103" i="5"/>
  <c r="G103" i="5"/>
  <c r="F103" i="5"/>
  <c r="K102" i="5"/>
  <c r="J102" i="5"/>
  <c r="I102" i="5"/>
  <c r="H102" i="5"/>
  <c r="G102" i="5"/>
  <c r="F102" i="5"/>
  <c r="K101" i="5"/>
  <c r="J101" i="5"/>
  <c r="I101" i="5"/>
  <c r="H101" i="5"/>
  <c r="G101" i="5"/>
  <c r="F101" i="5"/>
  <c r="K100" i="5"/>
  <c r="J100" i="5"/>
  <c r="I100" i="5"/>
  <c r="H100" i="5"/>
  <c r="G100" i="5"/>
  <c r="F100" i="5"/>
  <c r="K99" i="5"/>
  <c r="J99" i="5"/>
  <c r="I99" i="5"/>
  <c r="H99" i="5"/>
  <c r="G99" i="5"/>
  <c r="F99" i="5"/>
  <c r="K98" i="5"/>
  <c r="J98" i="5"/>
  <c r="I98" i="5"/>
  <c r="H98" i="5"/>
  <c r="G98" i="5"/>
  <c r="F98" i="5"/>
  <c r="K97" i="5"/>
  <c r="J97" i="5"/>
  <c r="I97" i="5"/>
  <c r="H97" i="5"/>
  <c r="G97" i="5"/>
  <c r="F97" i="5"/>
  <c r="K96" i="5"/>
  <c r="J96" i="5"/>
  <c r="I96" i="5"/>
  <c r="H96" i="5"/>
  <c r="G96" i="5"/>
  <c r="F96" i="5"/>
  <c r="K95" i="5"/>
  <c r="J95" i="5"/>
  <c r="I95" i="5"/>
  <c r="H95" i="5"/>
  <c r="G95" i="5"/>
  <c r="F95" i="5"/>
  <c r="K94" i="5"/>
  <c r="J94" i="5"/>
  <c r="I94" i="5"/>
  <c r="H94" i="5"/>
  <c r="G94" i="5"/>
  <c r="F94" i="5"/>
  <c r="K93" i="5"/>
  <c r="J93" i="5"/>
  <c r="I93" i="5"/>
  <c r="H93" i="5"/>
  <c r="G93" i="5"/>
  <c r="F93" i="5"/>
  <c r="K92" i="5"/>
  <c r="J92" i="5"/>
  <c r="I92" i="5"/>
  <c r="H92" i="5"/>
  <c r="G92" i="5"/>
  <c r="F92" i="5"/>
  <c r="K91" i="5"/>
  <c r="J91" i="5"/>
  <c r="I91" i="5"/>
  <c r="H91" i="5"/>
  <c r="G91" i="5"/>
  <c r="F91" i="5"/>
  <c r="D91" i="5"/>
  <c r="C91" i="5"/>
  <c r="C92" i="5" s="1"/>
  <c r="I90" i="5"/>
  <c r="H90" i="5"/>
  <c r="G90" i="5"/>
  <c r="F90" i="5"/>
  <c r="K89" i="5"/>
  <c r="J89" i="5"/>
  <c r="I89" i="5"/>
  <c r="H89" i="5"/>
  <c r="G89" i="5"/>
  <c r="F89" i="5"/>
  <c r="D89" i="5"/>
  <c r="K88" i="5"/>
  <c r="J88" i="5"/>
  <c r="I88" i="5"/>
  <c r="H88" i="5"/>
  <c r="G88" i="5"/>
  <c r="F88" i="5"/>
  <c r="D88" i="5"/>
  <c r="K87" i="5"/>
  <c r="J87" i="5"/>
  <c r="I87" i="5"/>
  <c r="H87" i="5"/>
  <c r="G87" i="5"/>
  <c r="F87" i="5"/>
  <c r="D87" i="5"/>
  <c r="K86" i="5"/>
  <c r="J86" i="5"/>
  <c r="I86" i="5"/>
  <c r="H86" i="5"/>
  <c r="G86" i="5"/>
  <c r="F86" i="5"/>
  <c r="D86" i="5"/>
  <c r="K85" i="5"/>
  <c r="J85" i="5"/>
  <c r="I85" i="5"/>
  <c r="H85" i="5"/>
  <c r="G85" i="5"/>
  <c r="F85" i="5"/>
  <c r="D85" i="5"/>
  <c r="K84" i="5"/>
  <c r="J84" i="5"/>
  <c r="I84" i="5"/>
  <c r="H84" i="5"/>
  <c r="G84" i="5"/>
  <c r="F84" i="5"/>
  <c r="D84" i="5"/>
  <c r="K83" i="5"/>
  <c r="J83" i="5"/>
  <c r="I83" i="5"/>
  <c r="H83" i="5"/>
  <c r="G83" i="5"/>
  <c r="F83" i="5"/>
  <c r="D83" i="5"/>
  <c r="K82" i="5"/>
  <c r="J82" i="5"/>
  <c r="I82" i="5"/>
  <c r="H82" i="5"/>
  <c r="G82" i="5"/>
  <c r="F82" i="5"/>
  <c r="D82" i="5"/>
  <c r="K81" i="5"/>
  <c r="J81" i="5"/>
  <c r="I81" i="5"/>
  <c r="H81" i="5"/>
  <c r="G81" i="5"/>
  <c r="F81" i="5"/>
  <c r="D81" i="5"/>
  <c r="K80" i="5"/>
  <c r="J80" i="5"/>
  <c r="I80" i="5"/>
  <c r="H80" i="5"/>
  <c r="G80" i="5"/>
  <c r="F80" i="5"/>
  <c r="D80" i="5"/>
  <c r="K79" i="5"/>
  <c r="J79" i="5"/>
  <c r="I79" i="5"/>
  <c r="H79" i="5"/>
  <c r="G79" i="5"/>
  <c r="F79" i="5"/>
  <c r="D79" i="5"/>
  <c r="K78" i="5"/>
  <c r="J78" i="5"/>
  <c r="I78" i="5"/>
  <c r="H78" i="5"/>
  <c r="G78" i="5"/>
  <c r="F78" i="5"/>
  <c r="D78" i="5"/>
  <c r="K77" i="5"/>
  <c r="J77" i="5"/>
  <c r="I77" i="5"/>
  <c r="H77" i="5"/>
  <c r="G77" i="5"/>
  <c r="F77" i="5"/>
  <c r="K76" i="5"/>
  <c r="J76" i="5"/>
  <c r="I76" i="5"/>
  <c r="H76" i="5"/>
  <c r="G76" i="5"/>
  <c r="F76" i="5"/>
  <c r="D76" i="5"/>
  <c r="K75" i="5"/>
  <c r="J75" i="5"/>
  <c r="I75" i="5"/>
  <c r="H75" i="5"/>
  <c r="G75" i="5"/>
  <c r="F75" i="5"/>
  <c r="D75" i="5"/>
  <c r="K74" i="5"/>
  <c r="J74" i="5"/>
  <c r="I74" i="5"/>
  <c r="H74" i="5"/>
  <c r="G74" i="5"/>
  <c r="F74" i="5"/>
  <c r="D74" i="5"/>
  <c r="K73" i="5"/>
  <c r="J73" i="5"/>
  <c r="I73" i="5"/>
  <c r="H73" i="5"/>
  <c r="G73" i="5"/>
  <c r="F73" i="5"/>
  <c r="D73" i="5"/>
  <c r="K72" i="5"/>
  <c r="J72" i="5"/>
  <c r="I72" i="5"/>
  <c r="H72" i="5"/>
  <c r="G72" i="5"/>
  <c r="F72" i="5"/>
  <c r="D72" i="5"/>
  <c r="K71" i="5"/>
  <c r="J71" i="5"/>
  <c r="I71" i="5"/>
  <c r="H71" i="5"/>
  <c r="G71" i="5"/>
  <c r="F71" i="5"/>
  <c r="K70" i="5"/>
  <c r="J70" i="5"/>
  <c r="I70" i="5"/>
  <c r="H70" i="5"/>
  <c r="G70" i="5"/>
  <c r="F70" i="5"/>
  <c r="D70" i="5"/>
  <c r="K69" i="5"/>
  <c r="J69" i="5"/>
  <c r="I69" i="5"/>
  <c r="H69" i="5"/>
  <c r="G69" i="5"/>
  <c r="F69" i="5"/>
  <c r="D69" i="5"/>
  <c r="K68" i="5"/>
  <c r="J68" i="5"/>
  <c r="I68" i="5"/>
  <c r="H68" i="5"/>
  <c r="G68" i="5"/>
  <c r="F68" i="5"/>
  <c r="D68" i="5"/>
  <c r="K67" i="5"/>
  <c r="J67" i="5"/>
  <c r="I67" i="5"/>
  <c r="H67" i="5"/>
  <c r="G67" i="5"/>
  <c r="F67" i="5"/>
  <c r="D67" i="5"/>
  <c r="K66" i="5"/>
  <c r="J66" i="5"/>
  <c r="I66" i="5"/>
  <c r="H66" i="5"/>
  <c r="G66" i="5"/>
  <c r="F66" i="5"/>
  <c r="D66" i="5"/>
  <c r="K65" i="5"/>
  <c r="J65" i="5"/>
  <c r="I65" i="5"/>
  <c r="H65" i="5"/>
  <c r="G65" i="5"/>
  <c r="F65" i="5"/>
  <c r="D65" i="5"/>
  <c r="K64" i="5"/>
  <c r="J64" i="5"/>
  <c r="I64" i="5"/>
  <c r="H64" i="5"/>
  <c r="G64" i="5"/>
  <c r="F64" i="5"/>
  <c r="D64" i="5"/>
  <c r="K63" i="5"/>
  <c r="J63" i="5"/>
  <c r="I63" i="5"/>
  <c r="H63" i="5"/>
  <c r="G63" i="5"/>
  <c r="F63" i="5"/>
  <c r="D63" i="5"/>
  <c r="K62" i="5"/>
  <c r="J62" i="5"/>
  <c r="I62" i="5"/>
  <c r="H62" i="5"/>
  <c r="G62" i="5"/>
  <c r="F62" i="5"/>
  <c r="K61" i="5"/>
  <c r="J61" i="5"/>
  <c r="I61" i="5"/>
  <c r="H61" i="5"/>
  <c r="G61" i="5"/>
  <c r="F61" i="5"/>
  <c r="D61" i="5"/>
  <c r="K60" i="5"/>
  <c r="J60" i="5"/>
  <c r="I60" i="5"/>
  <c r="H60" i="5"/>
  <c r="G60" i="5"/>
  <c r="F60" i="5"/>
  <c r="D60" i="5"/>
  <c r="K59" i="5"/>
  <c r="J59" i="5"/>
  <c r="I59" i="5"/>
  <c r="H59" i="5"/>
  <c r="G59" i="5"/>
  <c r="F59" i="5"/>
  <c r="K58" i="5"/>
  <c r="J58" i="5"/>
  <c r="I58" i="5"/>
  <c r="H58" i="5"/>
  <c r="G58" i="5"/>
  <c r="F58" i="5"/>
  <c r="D58" i="5"/>
  <c r="K57" i="5"/>
  <c r="J57" i="5"/>
  <c r="I57" i="5"/>
  <c r="H57" i="5"/>
  <c r="G57" i="5"/>
  <c r="F57" i="5"/>
  <c r="D57" i="5"/>
  <c r="K56" i="5"/>
  <c r="J56" i="5"/>
  <c r="I56" i="5"/>
  <c r="H56" i="5"/>
  <c r="G56" i="5"/>
  <c r="F56" i="5"/>
  <c r="D56" i="5"/>
  <c r="K55" i="5"/>
  <c r="J55" i="5"/>
  <c r="I55" i="5"/>
  <c r="H55" i="5"/>
  <c r="G55" i="5"/>
  <c r="F55" i="5"/>
  <c r="D55" i="5"/>
  <c r="K54" i="5"/>
  <c r="J54" i="5"/>
  <c r="I54" i="5"/>
  <c r="H54" i="5"/>
  <c r="G54" i="5"/>
  <c r="F54" i="5"/>
  <c r="D54" i="5"/>
  <c r="K53" i="5"/>
  <c r="J53" i="5"/>
  <c r="I53" i="5"/>
  <c r="H53" i="5"/>
  <c r="G53" i="5"/>
  <c r="F53" i="5"/>
  <c r="K52" i="5"/>
  <c r="J52" i="5"/>
  <c r="I52" i="5"/>
  <c r="H52" i="5"/>
  <c r="G52" i="5"/>
  <c r="F52" i="5"/>
  <c r="D52" i="5"/>
  <c r="K51" i="5"/>
  <c r="J51" i="5"/>
  <c r="I51" i="5"/>
  <c r="H51" i="5"/>
  <c r="G51" i="5"/>
  <c r="F51" i="5"/>
  <c r="D51" i="5"/>
  <c r="K50" i="5"/>
  <c r="J50" i="5"/>
  <c r="I50" i="5"/>
  <c r="H50" i="5"/>
  <c r="G50" i="5"/>
  <c r="F50" i="5"/>
  <c r="D50" i="5"/>
  <c r="K49" i="5"/>
  <c r="J49" i="5"/>
  <c r="I49" i="5"/>
  <c r="H49" i="5"/>
  <c r="G49" i="5"/>
  <c r="F49" i="5"/>
  <c r="D49" i="5"/>
  <c r="K48" i="5"/>
  <c r="J48" i="5"/>
  <c r="I48" i="5"/>
  <c r="H48" i="5"/>
  <c r="G48" i="5"/>
  <c r="F48" i="5"/>
  <c r="K47" i="5"/>
  <c r="J47" i="5"/>
  <c r="I47" i="5"/>
  <c r="H47" i="5"/>
  <c r="G47" i="5"/>
  <c r="F47" i="5"/>
  <c r="D47" i="5"/>
  <c r="K46" i="5"/>
  <c r="J46" i="5"/>
  <c r="I46" i="5"/>
  <c r="H46" i="5"/>
  <c r="G46" i="5"/>
  <c r="F46" i="5"/>
  <c r="D46" i="5"/>
  <c r="K45" i="5"/>
  <c r="J45" i="5"/>
  <c r="I45" i="5"/>
  <c r="H45" i="5"/>
  <c r="G45" i="5"/>
  <c r="F45" i="5"/>
  <c r="K44" i="5"/>
  <c r="J44" i="5"/>
  <c r="I44" i="5"/>
  <c r="H44" i="5"/>
  <c r="G44" i="5"/>
  <c r="F44" i="5"/>
  <c r="D44" i="5"/>
  <c r="K43" i="5"/>
  <c r="J43" i="5"/>
  <c r="I43" i="5"/>
  <c r="H43" i="5"/>
  <c r="G43" i="5"/>
  <c r="F43" i="5"/>
  <c r="D43" i="5"/>
  <c r="K42" i="5"/>
  <c r="J42" i="5"/>
  <c r="I42" i="5"/>
  <c r="H42" i="5"/>
  <c r="G42" i="5"/>
  <c r="F42" i="5"/>
  <c r="D42" i="5"/>
  <c r="K41" i="5"/>
  <c r="J41" i="5"/>
  <c r="I41" i="5"/>
  <c r="H41" i="5"/>
  <c r="G41" i="5"/>
  <c r="F41" i="5"/>
  <c r="K40" i="5"/>
  <c r="J40" i="5"/>
  <c r="I40" i="5"/>
  <c r="H40" i="5"/>
  <c r="G40" i="5"/>
  <c r="F40" i="5"/>
  <c r="D40" i="5"/>
  <c r="K39" i="5"/>
  <c r="J39" i="5"/>
  <c r="I39" i="5"/>
  <c r="H39" i="5"/>
  <c r="G39" i="5"/>
  <c r="F39" i="5"/>
  <c r="D39" i="5"/>
  <c r="K38" i="5"/>
  <c r="J38" i="5"/>
  <c r="I38" i="5"/>
  <c r="H38" i="5"/>
  <c r="G38" i="5"/>
  <c r="F38" i="5"/>
  <c r="K37" i="5"/>
  <c r="J37" i="5"/>
  <c r="I37" i="5"/>
  <c r="H37" i="5"/>
  <c r="G37" i="5"/>
  <c r="F37" i="5"/>
  <c r="D37" i="5"/>
  <c r="K36" i="5"/>
  <c r="J36" i="5"/>
  <c r="I36" i="5"/>
  <c r="H36" i="5"/>
  <c r="G36" i="5"/>
  <c r="F36" i="5"/>
  <c r="D36" i="5"/>
  <c r="K35" i="5"/>
  <c r="J35" i="5"/>
  <c r="I35" i="5"/>
  <c r="H35" i="5"/>
  <c r="G35" i="5"/>
  <c r="F35" i="5"/>
  <c r="K34" i="5"/>
  <c r="J34" i="5"/>
  <c r="I34" i="5"/>
  <c r="H34" i="5"/>
  <c r="G34" i="5"/>
  <c r="F34" i="5"/>
  <c r="D34" i="5"/>
  <c r="K33" i="5"/>
  <c r="J33" i="5"/>
  <c r="I33" i="5"/>
  <c r="H33" i="5"/>
  <c r="G33" i="5"/>
  <c r="F33" i="5"/>
  <c r="D33" i="5"/>
  <c r="K32" i="5"/>
  <c r="J32" i="5"/>
  <c r="I32" i="5"/>
  <c r="H32" i="5"/>
  <c r="G32" i="5"/>
  <c r="F32" i="5"/>
  <c r="K31" i="5"/>
  <c r="J31" i="5"/>
  <c r="I31" i="5"/>
  <c r="H31" i="5"/>
  <c r="G31" i="5"/>
  <c r="F31" i="5"/>
  <c r="D31" i="5"/>
  <c r="K30" i="5"/>
  <c r="J30" i="5"/>
  <c r="I30" i="5"/>
  <c r="H30" i="5"/>
  <c r="G30" i="5"/>
  <c r="F30" i="5"/>
  <c r="K29" i="5"/>
  <c r="J29" i="5"/>
  <c r="I29" i="5"/>
  <c r="H29" i="5"/>
  <c r="G29" i="5"/>
  <c r="F29" i="5"/>
  <c r="D29" i="5"/>
  <c r="K28" i="5"/>
  <c r="J28" i="5"/>
  <c r="I28" i="5"/>
  <c r="H28" i="5"/>
  <c r="G28" i="5"/>
  <c r="F28" i="5"/>
  <c r="D28" i="5"/>
  <c r="K27" i="5"/>
  <c r="J27" i="5"/>
  <c r="I27" i="5"/>
  <c r="H27" i="5"/>
  <c r="G27" i="5"/>
  <c r="F27" i="5"/>
  <c r="K26" i="5"/>
  <c r="J26" i="5"/>
  <c r="I26" i="5"/>
  <c r="H26" i="5"/>
  <c r="G26" i="5"/>
  <c r="F26" i="5"/>
  <c r="D26" i="5"/>
  <c r="K25" i="5"/>
  <c r="J25" i="5"/>
  <c r="I25" i="5"/>
  <c r="H25" i="5"/>
  <c r="G25" i="5"/>
  <c r="F25" i="5"/>
  <c r="D25" i="5"/>
  <c r="K24" i="5"/>
  <c r="J24" i="5"/>
  <c r="I24" i="5"/>
  <c r="H24" i="5"/>
  <c r="G24" i="5"/>
  <c r="F24" i="5"/>
  <c r="K23" i="5"/>
  <c r="J23" i="5"/>
  <c r="I23" i="5"/>
  <c r="H23" i="5"/>
  <c r="G23" i="5"/>
  <c r="F23" i="5"/>
  <c r="D23" i="5"/>
  <c r="K22" i="5"/>
  <c r="J22" i="5"/>
  <c r="I22" i="5"/>
  <c r="H22" i="5"/>
  <c r="G22" i="5"/>
  <c r="F22" i="5"/>
  <c r="D22" i="5"/>
  <c r="K21" i="5"/>
  <c r="J21" i="5"/>
  <c r="I21" i="5"/>
  <c r="H21" i="5"/>
  <c r="G21" i="5"/>
  <c r="F21" i="5"/>
  <c r="K20" i="5"/>
  <c r="J20" i="5"/>
  <c r="I20" i="5"/>
  <c r="H20" i="5"/>
  <c r="G20" i="5"/>
  <c r="F20" i="5"/>
  <c r="D20" i="5"/>
  <c r="K19" i="5"/>
  <c r="J19" i="5"/>
  <c r="I19" i="5"/>
  <c r="H19" i="5"/>
  <c r="G19" i="5"/>
  <c r="F19" i="5"/>
  <c r="D19" i="5"/>
  <c r="K18" i="5"/>
  <c r="J18" i="5"/>
  <c r="I18" i="5"/>
  <c r="H18" i="5"/>
  <c r="G18" i="5"/>
  <c r="F18" i="5"/>
  <c r="K17" i="5"/>
  <c r="J17" i="5"/>
  <c r="I17" i="5"/>
  <c r="H17" i="5"/>
  <c r="G17" i="5"/>
  <c r="F17" i="5"/>
  <c r="D17" i="5"/>
  <c r="K16" i="5"/>
  <c r="J16" i="5"/>
  <c r="I16" i="5"/>
  <c r="H16" i="5"/>
  <c r="G16" i="5"/>
  <c r="F16" i="5"/>
  <c r="D16" i="5"/>
  <c r="K15" i="5"/>
  <c r="J15" i="5"/>
  <c r="I15" i="5"/>
  <c r="H15" i="5"/>
  <c r="G15" i="5"/>
  <c r="F15" i="5"/>
  <c r="D15" i="5"/>
  <c r="K14" i="5"/>
  <c r="J14" i="5"/>
  <c r="I14" i="5"/>
  <c r="H14" i="5"/>
  <c r="G14" i="5"/>
  <c r="F14" i="5"/>
  <c r="K13" i="5"/>
  <c r="J13" i="5"/>
  <c r="I13" i="5"/>
  <c r="H13" i="5"/>
  <c r="G13" i="5"/>
  <c r="F13" i="5"/>
  <c r="D13" i="5"/>
  <c r="K12" i="5"/>
  <c r="J12" i="5"/>
  <c r="I12" i="5"/>
  <c r="H12" i="5"/>
  <c r="G12" i="5"/>
  <c r="F12" i="5"/>
  <c r="D12" i="5"/>
  <c r="K11" i="5"/>
  <c r="J11" i="5"/>
  <c r="I11" i="5"/>
  <c r="H11" i="5"/>
  <c r="G11" i="5"/>
  <c r="F11" i="5"/>
  <c r="D11" i="5"/>
  <c r="K10" i="5"/>
  <c r="J10" i="5"/>
  <c r="I10" i="5"/>
  <c r="H10" i="5"/>
  <c r="G10" i="5"/>
  <c r="F10" i="5"/>
  <c r="O9" i="5"/>
  <c r="N9" i="5"/>
  <c r="K9" i="5"/>
  <c r="J9" i="5"/>
  <c r="I9" i="5"/>
  <c r="H9" i="5"/>
  <c r="G9" i="5"/>
  <c r="F9" i="5"/>
  <c r="D9" i="5"/>
  <c r="K8" i="5"/>
  <c r="J8" i="5"/>
  <c r="I8" i="5"/>
  <c r="H8" i="5"/>
  <c r="G8" i="5"/>
  <c r="F8" i="5"/>
  <c r="D8" i="5"/>
  <c r="K7" i="5"/>
  <c r="J7" i="5"/>
  <c r="I7" i="5"/>
  <c r="H7" i="5"/>
  <c r="G7" i="5"/>
  <c r="F7" i="5"/>
  <c r="D7" i="5"/>
  <c r="K6" i="5"/>
  <c r="J6" i="5"/>
  <c r="I6" i="5"/>
  <c r="H6" i="5"/>
  <c r="G6" i="5"/>
  <c r="F6" i="5"/>
  <c r="K5" i="5"/>
  <c r="J5" i="5"/>
  <c r="I5" i="5"/>
  <c r="H5" i="5"/>
  <c r="G5" i="5"/>
  <c r="F5" i="5"/>
  <c r="D5" i="5"/>
  <c r="K4" i="5"/>
  <c r="J4" i="5"/>
  <c r="I4" i="5"/>
  <c r="H4" i="5"/>
  <c r="G4" i="5"/>
  <c r="F4" i="5"/>
  <c r="I3" i="5"/>
  <c r="H3" i="5"/>
  <c r="G3" i="5"/>
  <c r="F3" i="5"/>
  <c r="D371" i="4"/>
  <c r="D367" i="4"/>
  <c r="D369" i="4" s="1"/>
  <c r="D370" i="4" s="1"/>
  <c r="D372" i="4" s="1"/>
  <c r="D373" i="4" s="1"/>
  <c r="D374" i="4" s="1"/>
  <c r="D375" i="4" s="1"/>
  <c r="D376" i="4" s="1"/>
  <c r="D377" i="4" s="1"/>
  <c r="D378" i="4" s="1"/>
  <c r="D379" i="4" s="1"/>
  <c r="D380" i="4" s="1"/>
  <c r="D382" i="4" s="1"/>
  <c r="D366" i="4"/>
  <c r="D365" i="4"/>
  <c r="D379" i="3"/>
  <c r="D380" i="3" s="1"/>
  <c r="D381" i="3" s="1"/>
  <c r="D382" i="3" s="1"/>
  <c r="D383" i="3" s="1"/>
  <c r="D384" i="3" s="1"/>
  <c r="D385" i="3" s="1"/>
  <c r="D386" i="3" s="1"/>
  <c r="D387" i="3" s="1"/>
  <c r="D389" i="3" s="1"/>
  <c r="D378" i="3"/>
  <c r="D377" i="3"/>
  <c r="H376" i="3"/>
  <c r="D373" i="3"/>
  <c r="H363" i="3"/>
  <c r="H350" i="3"/>
  <c r="H337" i="3"/>
  <c r="C88" i="3"/>
  <c r="C87" i="3"/>
  <c r="C86" i="3"/>
  <c r="C85" i="3"/>
  <c r="C84" i="3"/>
  <c r="C83" i="3"/>
  <c r="C82" i="3"/>
  <c r="C81" i="3"/>
  <c r="C80" i="3"/>
  <c r="C79" i="3"/>
  <c r="C78" i="3"/>
  <c r="C77" i="3"/>
  <c r="C75" i="3"/>
  <c r="C74" i="3"/>
  <c r="C73" i="3"/>
  <c r="C72" i="3"/>
  <c r="C71" i="3"/>
  <c r="C70" i="3"/>
  <c r="C69" i="3"/>
  <c r="C68" i="3"/>
  <c r="C67" i="3"/>
  <c r="C66" i="3"/>
  <c r="C65" i="3"/>
  <c r="C64" i="3"/>
  <c r="C62" i="3"/>
  <c r="C61" i="3"/>
  <c r="C60" i="3"/>
  <c r="C59" i="3"/>
  <c r="C58" i="3"/>
  <c r="C57" i="3"/>
  <c r="C56" i="3"/>
  <c r="C55" i="3"/>
  <c r="C54" i="3"/>
  <c r="C53" i="3"/>
  <c r="C52" i="3"/>
  <c r="C51" i="3"/>
  <c r="C49" i="3"/>
  <c r="C48" i="3"/>
  <c r="C47" i="3"/>
  <c r="C46" i="3"/>
  <c r="C45" i="3"/>
  <c r="C44" i="3"/>
  <c r="C43" i="3"/>
  <c r="C42" i="3"/>
  <c r="C41" i="3"/>
  <c r="C40" i="3"/>
  <c r="C39" i="3"/>
  <c r="C38" i="3"/>
  <c r="C36" i="3"/>
  <c r="C35" i="3"/>
  <c r="C34" i="3"/>
  <c r="C33" i="3"/>
  <c r="C32" i="3"/>
  <c r="C31" i="3"/>
  <c r="C30" i="3"/>
  <c r="C29" i="3"/>
  <c r="C28" i="3"/>
  <c r="C27" i="3"/>
  <c r="C26" i="3"/>
  <c r="C25" i="3"/>
  <c r="C23" i="3"/>
  <c r="C22" i="3"/>
  <c r="C21" i="3"/>
  <c r="C20" i="3"/>
  <c r="C19" i="3"/>
  <c r="C18" i="3"/>
  <c r="C17" i="3"/>
  <c r="C16" i="3"/>
  <c r="C15" i="3"/>
  <c r="C14" i="3"/>
  <c r="C13" i="3"/>
  <c r="L12" i="3" a="1"/>
  <c r="L12" i="3"/>
  <c r="K12" i="3" a="1"/>
  <c r="K12" i="3" s="1"/>
  <c r="C12" i="3"/>
  <c r="C10" i="3"/>
  <c r="C9" i="3"/>
  <c r="C8" i="3"/>
  <c r="C7" i="3"/>
  <c r="C6" i="3"/>
  <c r="D5" i="3"/>
  <c r="D6" i="3" s="1"/>
  <c r="D7" i="3" s="1"/>
  <c r="D8" i="3" s="1"/>
  <c r="D9" i="3" s="1"/>
  <c r="D10" i="3" s="1"/>
  <c r="F93" i="2"/>
  <c r="E90" i="2"/>
  <c r="E80" i="2"/>
  <c r="G78" i="2"/>
  <c r="F77" i="2"/>
  <c r="D77" i="2"/>
  <c r="F75" i="2"/>
  <c r="G74" i="2"/>
  <c r="E74" i="2"/>
  <c r="C74" i="2"/>
  <c r="E72" i="2"/>
  <c r="D71" i="2"/>
  <c r="D69" i="2"/>
  <c r="E68" i="2"/>
  <c r="C68" i="2"/>
  <c r="F67" i="2"/>
  <c r="C66" i="2"/>
  <c r="D65" i="2"/>
  <c r="G64" i="2"/>
  <c r="E64" i="2"/>
  <c r="G62" i="2"/>
  <c r="C62" i="2"/>
  <c r="F61" i="2"/>
  <c r="D61" i="2"/>
  <c r="F59" i="2"/>
  <c r="G58" i="2"/>
  <c r="E58" i="2"/>
  <c r="C58" i="2"/>
  <c r="E56" i="2"/>
  <c r="F55" i="2"/>
  <c r="D55" i="2"/>
  <c r="G54" i="2"/>
  <c r="D53" i="2"/>
  <c r="E52" i="2"/>
  <c r="C52" i="2"/>
  <c r="F51" i="2"/>
  <c r="C50" i="2"/>
  <c r="D49" i="2"/>
  <c r="G48" i="2"/>
  <c r="E48" i="2"/>
  <c r="G46" i="2"/>
  <c r="C46" i="2"/>
  <c r="F45" i="2"/>
  <c r="D45" i="2"/>
  <c r="F43" i="2"/>
  <c r="G42" i="2"/>
  <c r="E42" i="2"/>
  <c r="C42" i="2"/>
  <c r="E40" i="2"/>
  <c r="F39" i="2"/>
  <c r="D39" i="2"/>
  <c r="G38" i="2"/>
  <c r="D37" i="2"/>
  <c r="E36" i="2"/>
  <c r="C36" i="2"/>
  <c r="F35" i="2"/>
  <c r="C34" i="2"/>
  <c r="D33" i="2"/>
  <c r="G32" i="2"/>
  <c r="E32" i="2"/>
  <c r="G30" i="2"/>
  <c r="C30" i="2"/>
  <c r="F29" i="2"/>
  <c r="D29" i="2"/>
  <c r="F27" i="2"/>
  <c r="E26" i="2"/>
  <c r="E24" i="2"/>
  <c r="F23" i="2"/>
  <c r="D23" i="2"/>
  <c r="D21" i="2"/>
  <c r="C20" i="2"/>
  <c r="F19" i="2"/>
  <c r="C18" i="2"/>
  <c r="C16" i="2"/>
  <c r="D14" i="2"/>
  <c r="D13" i="2"/>
  <c r="C13" i="2"/>
  <c r="D9" i="2"/>
  <c r="C9" i="2"/>
  <c r="D7" i="2"/>
  <c r="M110" i="1"/>
  <c r="L110" i="1"/>
  <c r="K110" i="1"/>
  <c r="J110" i="1"/>
  <c r="I110" i="1"/>
  <c r="M109" i="1"/>
  <c r="L109" i="1"/>
  <c r="K109" i="1"/>
  <c r="J109" i="1"/>
  <c r="I109" i="1"/>
  <c r="M108" i="1"/>
  <c r="L108" i="1"/>
  <c r="K108" i="1"/>
  <c r="J108" i="1"/>
  <c r="I108" i="1"/>
  <c r="H108" i="1"/>
  <c r="T107" i="1"/>
  <c r="M107" i="1"/>
  <c r="L107" i="1"/>
  <c r="K107" i="1"/>
  <c r="J107" i="1"/>
  <c r="I107" i="1"/>
  <c r="H107" i="1"/>
  <c r="X106" i="1"/>
  <c r="AC106" i="1" s="1"/>
  <c r="W106" i="1"/>
  <c r="M106" i="1"/>
  <c r="L106" i="1"/>
  <c r="K106" i="1"/>
  <c r="J106" i="1"/>
  <c r="I106" i="1"/>
  <c r="H106" i="1"/>
  <c r="AB105" i="1"/>
  <c r="X105" i="1"/>
  <c r="G93" i="2" s="1"/>
  <c r="W105" i="1"/>
  <c r="V105" i="1"/>
  <c r="U105" i="1"/>
  <c r="Z105" i="1" s="1"/>
  <c r="T105" i="1"/>
  <c r="C93" i="2" s="1"/>
  <c r="N105" i="1"/>
  <c r="M105" i="1"/>
  <c r="L105" i="1"/>
  <c r="K105" i="1"/>
  <c r="J105" i="1"/>
  <c r="I105" i="1"/>
  <c r="AC104" i="1"/>
  <c r="Z104" i="1"/>
  <c r="X104" i="1"/>
  <c r="W104" i="1"/>
  <c r="AB104" i="1" s="1"/>
  <c r="V104" i="1"/>
  <c r="E92" i="2" s="1"/>
  <c r="U104" i="1"/>
  <c r="T104" i="1"/>
  <c r="N104" i="1"/>
  <c r="O104" i="1" s="1"/>
  <c r="M104" i="1"/>
  <c r="L104" i="1"/>
  <c r="K104" i="1"/>
  <c r="J104" i="1"/>
  <c r="I104" i="1"/>
  <c r="Z103" i="1"/>
  <c r="X103" i="1"/>
  <c r="W103" i="1"/>
  <c r="AB103" i="1" s="1"/>
  <c r="V103" i="1"/>
  <c r="E91" i="2" s="1"/>
  <c r="U103" i="1"/>
  <c r="T103" i="1"/>
  <c r="N103" i="1"/>
  <c r="O103" i="1" s="1"/>
  <c r="M103" i="1"/>
  <c r="L103" i="1"/>
  <c r="K103" i="1"/>
  <c r="J103" i="1"/>
  <c r="I103" i="1"/>
  <c r="AA102" i="1"/>
  <c r="Y102" i="1"/>
  <c r="X102" i="1"/>
  <c r="AC102" i="1" s="1"/>
  <c r="W102" i="1"/>
  <c r="F90" i="2" s="1"/>
  <c r="V102" i="1"/>
  <c r="U102" i="1"/>
  <c r="Z102" i="1" s="1"/>
  <c r="T102" i="1"/>
  <c r="N102" i="1"/>
  <c r="M102" i="1"/>
  <c r="O102" i="1" s="1"/>
  <c r="L102" i="1"/>
  <c r="K102" i="1"/>
  <c r="J102" i="1"/>
  <c r="I102" i="1"/>
  <c r="M101" i="1"/>
  <c r="L101" i="1"/>
  <c r="K101" i="1"/>
  <c r="J101" i="1"/>
  <c r="I101" i="1"/>
  <c r="M100" i="1"/>
  <c r="L100" i="1"/>
  <c r="K100" i="1"/>
  <c r="J100" i="1"/>
  <c r="I100" i="1"/>
  <c r="M99" i="1"/>
  <c r="L99" i="1"/>
  <c r="K99" i="1"/>
  <c r="J99" i="1"/>
  <c r="I99" i="1"/>
  <c r="M98" i="1"/>
  <c r="L98" i="1"/>
  <c r="K98" i="1"/>
  <c r="J98" i="1"/>
  <c r="I98" i="1"/>
  <c r="M97" i="1"/>
  <c r="L97" i="1"/>
  <c r="K97" i="1"/>
  <c r="J97" i="1"/>
  <c r="I97" i="1"/>
  <c r="M96" i="1"/>
  <c r="L96" i="1"/>
  <c r="K96" i="1"/>
  <c r="J96" i="1"/>
  <c r="I96" i="1"/>
  <c r="M95" i="1"/>
  <c r="L95" i="1"/>
  <c r="K95" i="1"/>
  <c r="J95" i="1"/>
  <c r="I95" i="1"/>
  <c r="M94" i="1"/>
  <c r="L94" i="1"/>
  <c r="K94" i="1"/>
  <c r="J94" i="1"/>
  <c r="I94" i="1"/>
  <c r="H94" i="1"/>
  <c r="N106" i="1" s="1"/>
  <c r="O106" i="1" s="1"/>
  <c r="Y93" i="1"/>
  <c r="X93" i="1"/>
  <c r="W93" i="1"/>
  <c r="V93" i="1"/>
  <c r="AA93" i="1" s="1"/>
  <c r="U93" i="1"/>
  <c r="D81" i="2" s="1"/>
  <c r="T93" i="1"/>
  <c r="N93" i="1"/>
  <c r="M93" i="1"/>
  <c r="O93" i="1" s="1"/>
  <c r="L93" i="1"/>
  <c r="K93" i="1"/>
  <c r="J93" i="1"/>
  <c r="I93" i="1"/>
  <c r="W92" i="1"/>
  <c r="AB92" i="1" s="1"/>
  <c r="V92" i="1"/>
  <c r="AA92" i="1" s="1"/>
  <c r="U92" i="1"/>
  <c r="N92" i="1"/>
  <c r="O92" i="1" s="1"/>
  <c r="M92" i="1"/>
  <c r="L92" i="1"/>
  <c r="K92" i="1"/>
  <c r="J92" i="1"/>
  <c r="I92" i="1"/>
  <c r="H92" i="1"/>
  <c r="F89" i="6" s="1"/>
  <c r="J89" i="6" s="1"/>
  <c r="B88" i="7" s="1"/>
  <c r="X91" i="1"/>
  <c r="G91" i="2" s="1"/>
  <c r="W91" i="1"/>
  <c r="F79" i="2" s="1"/>
  <c r="V91" i="1"/>
  <c r="U91" i="1"/>
  <c r="T91" i="1"/>
  <c r="C91" i="2" s="1"/>
  <c r="O91" i="1"/>
  <c r="N91" i="1"/>
  <c r="M91" i="1"/>
  <c r="L91" i="1"/>
  <c r="K91" i="1"/>
  <c r="J91" i="1"/>
  <c r="I91" i="1"/>
  <c r="AB90" i="1"/>
  <c r="X90" i="1"/>
  <c r="G90" i="2" s="1"/>
  <c r="W90" i="1"/>
  <c r="F78" i="2" s="1"/>
  <c r="V90" i="1"/>
  <c r="U90" i="1"/>
  <c r="Z90" i="1" s="1"/>
  <c r="T90" i="1"/>
  <c r="C90" i="2" s="1"/>
  <c r="N90" i="1"/>
  <c r="M90" i="1"/>
  <c r="L90" i="1"/>
  <c r="K90" i="1"/>
  <c r="J90" i="1"/>
  <c r="I90" i="1"/>
  <c r="AC89" i="1"/>
  <c r="Z89" i="1"/>
  <c r="X89" i="1"/>
  <c r="W89" i="1"/>
  <c r="AB89" i="1" s="1"/>
  <c r="V89" i="1"/>
  <c r="E77" i="2" s="1"/>
  <c r="U89" i="1"/>
  <c r="T89" i="1"/>
  <c r="N89" i="1"/>
  <c r="O89" i="1" s="1"/>
  <c r="M89" i="1"/>
  <c r="L89" i="1"/>
  <c r="K89" i="1"/>
  <c r="J89" i="1"/>
  <c r="I89" i="1"/>
  <c r="Z88" i="1"/>
  <c r="X88" i="1"/>
  <c r="W88" i="1"/>
  <c r="AB88" i="1" s="1"/>
  <c r="V88" i="1"/>
  <c r="E76" i="2" s="1"/>
  <c r="U88" i="1"/>
  <c r="D76" i="2" s="1"/>
  <c r="T88" i="1"/>
  <c r="N88" i="1"/>
  <c r="O88" i="1" s="1"/>
  <c r="M88" i="1"/>
  <c r="L88" i="1"/>
  <c r="K88" i="1"/>
  <c r="J88" i="1"/>
  <c r="I88" i="1"/>
  <c r="AA87" i="1"/>
  <c r="Y87" i="1"/>
  <c r="X87" i="1"/>
  <c r="AC87" i="1" s="1"/>
  <c r="W87" i="1"/>
  <c r="AB87" i="1" s="1"/>
  <c r="V87" i="1"/>
  <c r="E75" i="2" s="1"/>
  <c r="U87" i="1"/>
  <c r="Z87" i="1" s="1"/>
  <c r="T87" i="1"/>
  <c r="N87" i="1"/>
  <c r="M87" i="1"/>
  <c r="O87" i="1" s="1"/>
  <c r="L87" i="1"/>
  <c r="K87" i="1"/>
  <c r="J87" i="1"/>
  <c r="I87" i="1"/>
  <c r="Y86" i="1"/>
  <c r="X86" i="1"/>
  <c r="AC86" i="1" s="1"/>
  <c r="W86" i="1"/>
  <c r="V86" i="1"/>
  <c r="AA86" i="1" s="1"/>
  <c r="U86" i="1"/>
  <c r="D74" i="2" s="1"/>
  <c r="T86" i="1"/>
  <c r="N86" i="1"/>
  <c r="M86" i="1"/>
  <c r="O86" i="1" s="1"/>
  <c r="L86" i="1"/>
  <c r="K86" i="1"/>
  <c r="J86" i="1"/>
  <c r="I86" i="1"/>
  <c r="AC85" i="1"/>
  <c r="X85" i="1"/>
  <c r="G73" i="2" s="1"/>
  <c r="W85" i="1"/>
  <c r="V85" i="1"/>
  <c r="AA85" i="1" s="1"/>
  <c r="U85" i="1"/>
  <c r="D73" i="2" s="1"/>
  <c r="T85" i="1"/>
  <c r="C73" i="2" s="1"/>
  <c r="N85" i="1"/>
  <c r="M85" i="1"/>
  <c r="O85" i="1" s="1"/>
  <c r="L85" i="1"/>
  <c r="K85" i="1"/>
  <c r="J85" i="1"/>
  <c r="I85" i="1"/>
  <c r="X84" i="1"/>
  <c r="AC84" i="1" s="1"/>
  <c r="W84" i="1"/>
  <c r="F72" i="2" s="1"/>
  <c r="V84" i="1"/>
  <c r="AA84" i="1" s="1"/>
  <c r="U84" i="1"/>
  <c r="T84" i="1"/>
  <c r="O84" i="1"/>
  <c r="N84" i="1"/>
  <c r="M84" i="1"/>
  <c r="L84" i="1"/>
  <c r="K84" i="1"/>
  <c r="J84" i="1"/>
  <c r="I84" i="1"/>
  <c r="AB83" i="1"/>
  <c r="X83" i="1"/>
  <c r="G71" i="2" s="1"/>
  <c r="W83" i="1"/>
  <c r="F71" i="2" s="1"/>
  <c r="V83" i="1"/>
  <c r="U83" i="1"/>
  <c r="T83" i="1"/>
  <c r="C71" i="2" s="1"/>
  <c r="O83" i="1"/>
  <c r="N83" i="1"/>
  <c r="M83" i="1"/>
  <c r="L83" i="1"/>
  <c r="K83" i="1"/>
  <c r="J83" i="1"/>
  <c r="I83" i="1"/>
  <c r="AB82" i="1"/>
  <c r="X82" i="1"/>
  <c r="G70" i="2" s="1"/>
  <c r="W82" i="1"/>
  <c r="F70" i="2" s="1"/>
  <c r="V82" i="1"/>
  <c r="U82" i="1"/>
  <c r="Z82" i="1" s="1"/>
  <c r="T82" i="1"/>
  <c r="C70" i="2" s="1"/>
  <c r="N82" i="1"/>
  <c r="M82" i="1"/>
  <c r="L82" i="1"/>
  <c r="K82" i="1"/>
  <c r="J82" i="1"/>
  <c r="I82" i="1"/>
  <c r="Z81" i="1"/>
  <c r="X81" i="1"/>
  <c r="W81" i="1"/>
  <c r="AB81" i="1" s="1"/>
  <c r="V81" i="1"/>
  <c r="E69" i="2" s="1"/>
  <c r="U81" i="1"/>
  <c r="T81" i="1"/>
  <c r="N81" i="1"/>
  <c r="O81" i="1" s="1"/>
  <c r="M81" i="1"/>
  <c r="L81" i="1"/>
  <c r="K81" i="1"/>
  <c r="J81" i="1"/>
  <c r="I81" i="1"/>
  <c r="AA80" i="1"/>
  <c r="X80" i="1"/>
  <c r="G68" i="2" s="1"/>
  <c r="W80" i="1"/>
  <c r="F68" i="2" s="1"/>
  <c r="V80" i="1"/>
  <c r="U80" i="1"/>
  <c r="T80" i="1"/>
  <c r="Y80" i="1" s="1"/>
  <c r="O80" i="1"/>
  <c r="N80" i="1"/>
  <c r="M80" i="1"/>
  <c r="L80" i="1"/>
  <c r="K80" i="1"/>
  <c r="J80" i="1"/>
  <c r="I80" i="1"/>
  <c r="AB79" i="1"/>
  <c r="X79" i="1"/>
  <c r="G67" i="2" s="1"/>
  <c r="W79" i="1"/>
  <c r="V79" i="1"/>
  <c r="U79" i="1"/>
  <c r="Z79" i="1" s="1"/>
  <c r="T79" i="1"/>
  <c r="Y79" i="1" s="1"/>
  <c r="N79" i="1"/>
  <c r="O79" i="1" s="1"/>
  <c r="M79" i="1"/>
  <c r="L79" i="1"/>
  <c r="K79" i="1"/>
  <c r="J79" i="1"/>
  <c r="I79" i="1"/>
  <c r="AC78" i="1"/>
  <c r="Y78" i="1"/>
  <c r="X78" i="1"/>
  <c r="G66" i="2" s="1"/>
  <c r="W78" i="1"/>
  <c r="V78" i="1"/>
  <c r="E66" i="2" s="1"/>
  <c r="U78" i="1"/>
  <c r="D66" i="2" s="1"/>
  <c r="T78" i="1"/>
  <c r="N78" i="1"/>
  <c r="O78" i="1" s="1"/>
  <c r="M78" i="1"/>
  <c r="L78" i="1"/>
  <c r="K78" i="1"/>
  <c r="J78" i="1"/>
  <c r="I78" i="1"/>
  <c r="Z77" i="1"/>
  <c r="X77" i="1"/>
  <c r="W77" i="1"/>
  <c r="F65" i="2" s="1"/>
  <c r="V77" i="1"/>
  <c r="E65" i="2" s="1"/>
  <c r="U77" i="1"/>
  <c r="T77" i="1"/>
  <c r="N77" i="1"/>
  <c r="O77" i="1" s="1"/>
  <c r="M77" i="1"/>
  <c r="L77" i="1"/>
  <c r="K77" i="1"/>
  <c r="J77" i="1"/>
  <c r="I77" i="1"/>
  <c r="AA76" i="1"/>
  <c r="X76" i="1"/>
  <c r="AC76" i="1" s="1"/>
  <c r="W76" i="1"/>
  <c r="F64" i="2" s="1"/>
  <c r="V76" i="1"/>
  <c r="U76" i="1"/>
  <c r="T76" i="1"/>
  <c r="C76" i="2" s="1"/>
  <c r="O76" i="1"/>
  <c r="N76" i="1"/>
  <c r="M76" i="1"/>
  <c r="L76" i="1"/>
  <c r="K76" i="1"/>
  <c r="J76" i="1"/>
  <c r="I76" i="1"/>
  <c r="AB75" i="1"/>
  <c r="X75" i="1"/>
  <c r="G75" i="2" s="1"/>
  <c r="W75" i="1"/>
  <c r="F63" i="2" s="1"/>
  <c r="V75" i="1"/>
  <c r="U75" i="1"/>
  <c r="D63" i="2" s="1"/>
  <c r="T75" i="1"/>
  <c r="C75" i="2" s="1"/>
  <c r="N75" i="1"/>
  <c r="O75" i="1" s="1"/>
  <c r="M75" i="1"/>
  <c r="L75" i="1"/>
  <c r="K75" i="1"/>
  <c r="J75" i="1"/>
  <c r="I75" i="1"/>
  <c r="AC74" i="1"/>
  <c r="Y74" i="1"/>
  <c r="X74" i="1"/>
  <c r="W74" i="1"/>
  <c r="V74" i="1"/>
  <c r="E62" i="2" s="1"/>
  <c r="U74" i="1"/>
  <c r="D62" i="2" s="1"/>
  <c r="T74" i="1"/>
  <c r="N74" i="1"/>
  <c r="O74" i="1" s="1"/>
  <c r="M74" i="1"/>
  <c r="L74" i="1"/>
  <c r="K74" i="1"/>
  <c r="J74" i="1"/>
  <c r="I74" i="1"/>
  <c r="Z73" i="1"/>
  <c r="X73" i="1"/>
  <c r="W73" i="1"/>
  <c r="AB73" i="1" s="1"/>
  <c r="V73" i="1"/>
  <c r="E61" i="2" s="1"/>
  <c r="U73" i="1"/>
  <c r="T73" i="1"/>
  <c r="N73" i="1"/>
  <c r="O73" i="1" s="1"/>
  <c r="M73" i="1"/>
  <c r="L73" i="1"/>
  <c r="K73" i="1"/>
  <c r="J73" i="1"/>
  <c r="I73" i="1"/>
  <c r="AA72" i="1"/>
  <c r="X72" i="1"/>
  <c r="AC72" i="1" s="1"/>
  <c r="W72" i="1"/>
  <c r="F60" i="2" s="1"/>
  <c r="V72" i="1"/>
  <c r="E60" i="2" s="1"/>
  <c r="U72" i="1"/>
  <c r="T72" i="1"/>
  <c r="C60" i="2" s="1"/>
  <c r="O72" i="1"/>
  <c r="N72" i="1"/>
  <c r="M72" i="1"/>
  <c r="L72" i="1"/>
  <c r="K72" i="1"/>
  <c r="J72" i="1"/>
  <c r="I72" i="1"/>
  <c r="AB71" i="1"/>
  <c r="X71" i="1"/>
  <c r="G59" i="2" s="1"/>
  <c r="W71" i="1"/>
  <c r="V71" i="1"/>
  <c r="U71" i="1"/>
  <c r="D59" i="2" s="1"/>
  <c r="T71" i="1"/>
  <c r="C59" i="2" s="1"/>
  <c r="N71" i="1"/>
  <c r="M71" i="1"/>
  <c r="O71" i="1" s="1"/>
  <c r="L71" i="1"/>
  <c r="K71" i="1"/>
  <c r="J71" i="1"/>
  <c r="I71" i="1"/>
  <c r="AC70" i="1"/>
  <c r="Y70" i="1"/>
  <c r="X70" i="1"/>
  <c r="W70" i="1"/>
  <c r="V70" i="1"/>
  <c r="AA70" i="1" s="1"/>
  <c r="U70" i="1"/>
  <c r="D58" i="2" s="1"/>
  <c r="T70" i="1"/>
  <c r="N70" i="1"/>
  <c r="M70" i="1"/>
  <c r="O70" i="1" s="1"/>
  <c r="L70" i="1"/>
  <c r="K70" i="1"/>
  <c r="J70" i="1"/>
  <c r="I70" i="1"/>
  <c r="Z69" i="1"/>
  <c r="X69" i="1"/>
  <c r="W69" i="1"/>
  <c r="AB69" i="1" s="1"/>
  <c r="V69" i="1"/>
  <c r="AA69" i="1" s="1"/>
  <c r="U69" i="1"/>
  <c r="D57" i="2" s="1"/>
  <c r="T69" i="1"/>
  <c r="N69" i="1"/>
  <c r="O69" i="1" s="1"/>
  <c r="M69" i="1"/>
  <c r="L69" i="1"/>
  <c r="K69" i="1"/>
  <c r="J69" i="1"/>
  <c r="I69" i="1"/>
  <c r="AA68" i="1"/>
  <c r="X68" i="1"/>
  <c r="G56" i="2" s="1"/>
  <c r="W68" i="1"/>
  <c r="F56" i="2" s="1"/>
  <c r="V68" i="1"/>
  <c r="U68" i="1"/>
  <c r="T68" i="1"/>
  <c r="C56" i="2" s="1"/>
  <c r="O68" i="1"/>
  <c r="N68" i="1"/>
  <c r="M68" i="1"/>
  <c r="L68" i="1"/>
  <c r="K68" i="1"/>
  <c r="J68" i="1"/>
  <c r="I68" i="1"/>
  <c r="AB67" i="1"/>
  <c r="X67" i="1"/>
  <c r="G55" i="2" s="1"/>
  <c r="W67" i="1"/>
  <c r="V67" i="1"/>
  <c r="U67" i="1"/>
  <c r="Z67" i="1" s="1"/>
  <c r="T67" i="1"/>
  <c r="C55" i="2" s="1"/>
  <c r="N67" i="1"/>
  <c r="M67" i="1"/>
  <c r="O67" i="1" s="1"/>
  <c r="L67" i="1"/>
  <c r="K67" i="1"/>
  <c r="J67" i="1"/>
  <c r="I67" i="1"/>
  <c r="AC66" i="1"/>
  <c r="Y66" i="1"/>
  <c r="X66" i="1"/>
  <c r="W66" i="1"/>
  <c r="V66" i="1"/>
  <c r="AA66" i="1" s="1"/>
  <c r="U66" i="1"/>
  <c r="Z66" i="1" s="1"/>
  <c r="T66" i="1"/>
  <c r="C54" i="2" s="1"/>
  <c r="N66" i="1"/>
  <c r="M66" i="1"/>
  <c r="O66" i="1" s="1"/>
  <c r="L66" i="1"/>
  <c r="K66" i="1"/>
  <c r="J66" i="1"/>
  <c r="I66" i="1"/>
  <c r="Z65" i="1"/>
  <c r="X65" i="1"/>
  <c r="W65" i="1"/>
  <c r="F53" i="2" s="1"/>
  <c r="V65" i="1"/>
  <c r="E53" i="2" s="1"/>
  <c r="U65" i="1"/>
  <c r="T65" i="1"/>
  <c r="N65" i="1"/>
  <c r="O65" i="1" s="1"/>
  <c r="M65" i="1"/>
  <c r="L65" i="1"/>
  <c r="K65" i="1"/>
  <c r="J65" i="1"/>
  <c r="I65" i="1"/>
  <c r="AA64" i="1"/>
  <c r="X64" i="1"/>
  <c r="G52" i="2" s="1"/>
  <c r="W64" i="1"/>
  <c r="F52" i="2" s="1"/>
  <c r="V64" i="1"/>
  <c r="U64" i="1"/>
  <c r="T64" i="1"/>
  <c r="Y64" i="1" s="1"/>
  <c r="O64" i="1"/>
  <c r="N64" i="1"/>
  <c r="M64" i="1"/>
  <c r="L64" i="1"/>
  <c r="K64" i="1"/>
  <c r="J64" i="1"/>
  <c r="I64" i="1"/>
  <c r="AB63" i="1"/>
  <c r="X63" i="1"/>
  <c r="G51" i="2" s="1"/>
  <c r="W63" i="1"/>
  <c r="V63" i="1"/>
  <c r="U63" i="1"/>
  <c r="Z63" i="1" s="1"/>
  <c r="T63" i="1"/>
  <c r="Y63" i="1" s="1"/>
  <c r="N63" i="1"/>
  <c r="M63" i="1"/>
  <c r="O63" i="1" s="1"/>
  <c r="L63" i="1"/>
  <c r="K63" i="1"/>
  <c r="J63" i="1"/>
  <c r="I63" i="1"/>
  <c r="AC62" i="1"/>
  <c r="Y62" i="1"/>
  <c r="X62" i="1"/>
  <c r="G50" i="2" s="1"/>
  <c r="W62" i="1"/>
  <c r="V62" i="1"/>
  <c r="E50" i="2" s="1"/>
  <c r="U62" i="1"/>
  <c r="D50" i="2" s="1"/>
  <c r="T62" i="1"/>
  <c r="N62" i="1"/>
  <c r="M62" i="1"/>
  <c r="O62" i="1" s="1"/>
  <c r="L62" i="1"/>
  <c r="K62" i="1"/>
  <c r="J62" i="1"/>
  <c r="I62" i="1"/>
  <c r="Z61" i="1"/>
  <c r="X61" i="1"/>
  <c r="W61" i="1"/>
  <c r="F49" i="2" s="1"/>
  <c r="V61" i="1"/>
  <c r="E49" i="2" s="1"/>
  <c r="U61" i="1"/>
  <c r="T61" i="1"/>
  <c r="N61" i="1"/>
  <c r="O61" i="1" s="1"/>
  <c r="M61" i="1"/>
  <c r="L61" i="1"/>
  <c r="K61" i="1"/>
  <c r="J61" i="1"/>
  <c r="I61" i="1"/>
  <c r="AA60" i="1"/>
  <c r="X60" i="1"/>
  <c r="AC60" i="1" s="1"/>
  <c r="W60" i="1"/>
  <c r="F48" i="2" s="1"/>
  <c r="V60" i="1"/>
  <c r="U60" i="1"/>
  <c r="T60" i="1"/>
  <c r="Y60" i="1" s="1"/>
  <c r="O60" i="1"/>
  <c r="N60" i="1"/>
  <c r="M60" i="1"/>
  <c r="L60" i="1"/>
  <c r="K60" i="1"/>
  <c r="J60" i="1"/>
  <c r="I60" i="1"/>
  <c r="AB59" i="1"/>
  <c r="X59" i="1"/>
  <c r="AC59" i="1" s="1"/>
  <c r="W59" i="1"/>
  <c r="F47" i="2" s="1"/>
  <c r="V59" i="1"/>
  <c r="U59" i="1"/>
  <c r="D47" i="2" s="1"/>
  <c r="T59" i="1"/>
  <c r="C47" i="2" s="1"/>
  <c r="N59" i="1"/>
  <c r="M59" i="1"/>
  <c r="O59" i="1" s="1"/>
  <c r="L59" i="1"/>
  <c r="K59" i="1"/>
  <c r="J59" i="1"/>
  <c r="I59" i="1"/>
  <c r="AC58" i="1"/>
  <c r="Y58" i="1"/>
  <c r="X58" i="1"/>
  <c r="W58" i="1"/>
  <c r="V58" i="1"/>
  <c r="E46" i="2" s="1"/>
  <c r="U58" i="1"/>
  <c r="D46" i="2" s="1"/>
  <c r="T58" i="1"/>
  <c r="N58" i="1"/>
  <c r="M58" i="1"/>
  <c r="O58" i="1" s="1"/>
  <c r="L58" i="1"/>
  <c r="K58" i="1"/>
  <c r="J58" i="1"/>
  <c r="I58" i="1"/>
  <c r="Z57" i="1"/>
  <c r="X57" i="1"/>
  <c r="W57" i="1"/>
  <c r="AB57" i="1" s="1"/>
  <c r="V57" i="1"/>
  <c r="E45" i="2" s="1"/>
  <c r="U57" i="1"/>
  <c r="T57" i="1"/>
  <c r="N57" i="1"/>
  <c r="O57" i="1" s="1"/>
  <c r="M57" i="1"/>
  <c r="L57" i="1"/>
  <c r="K57" i="1"/>
  <c r="J57" i="1"/>
  <c r="I57" i="1"/>
  <c r="AA56" i="1"/>
  <c r="X56" i="1"/>
  <c r="AC56" i="1" s="1"/>
  <c r="W56" i="1"/>
  <c r="F44" i="2" s="1"/>
  <c r="V56" i="1"/>
  <c r="E44" i="2" s="1"/>
  <c r="U56" i="1"/>
  <c r="T56" i="1"/>
  <c r="C44" i="2" s="1"/>
  <c r="O56" i="1"/>
  <c r="N56" i="1"/>
  <c r="M56" i="1"/>
  <c r="L56" i="1"/>
  <c r="K56" i="1"/>
  <c r="J56" i="1"/>
  <c r="I56" i="1"/>
  <c r="AB55" i="1"/>
  <c r="X55" i="1"/>
  <c r="G43" i="2" s="1"/>
  <c r="W55" i="1"/>
  <c r="V55" i="1"/>
  <c r="U55" i="1"/>
  <c r="D43" i="2" s="1"/>
  <c r="T55" i="1"/>
  <c r="C43" i="2" s="1"/>
  <c r="N55" i="1"/>
  <c r="M55" i="1"/>
  <c r="O55" i="1" s="1"/>
  <c r="L55" i="1"/>
  <c r="K55" i="1"/>
  <c r="J55" i="1"/>
  <c r="I55" i="1"/>
  <c r="AC54" i="1"/>
  <c r="Y54" i="1"/>
  <c r="X54" i="1"/>
  <c r="W54" i="1"/>
  <c r="V54" i="1"/>
  <c r="AA54" i="1" s="1"/>
  <c r="U54" i="1"/>
  <c r="D42" i="2" s="1"/>
  <c r="T54" i="1"/>
  <c r="N54" i="1"/>
  <c r="M54" i="1"/>
  <c r="O54" i="1" s="1"/>
  <c r="L54" i="1"/>
  <c r="K54" i="1"/>
  <c r="J54" i="1"/>
  <c r="I54" i="1"/>
  <c r="Z53" i="1"/>
  <c r="X53" i="1"/>
  <c r="W53" i="1"/>
  <c r="AB53" i="1" s="1"/>
  <c r="V53" i="1"/>
  <c r="AA53" i="1" s="1"/>
  <c r="U53" i="1"/>
  <c r="D41" i="2" s="1"/>
  <c r="T53" i="1"/>
  <c r="N53" i="1"/>
  <c r="O53" i="1" s="1"/>
  <c r="M53" i="1"/>
  <c r="L53" i="1"/>
  <c r="K53" i="1"/>
  <c r="J53" i="1"/>
  <c r="I53" i="1"/>
  <c r="AA52" i="1"/>
  <c r="X52" i="1"/>
  <c r="G40" i="2" s="1"/>
  <c r="W52" i="1"/>
  <c r="F40" i="2" s="1"/>
  <c r="V52" i="1"/>
  <c r="U52" i="1"/>
  <c r="T52" i="1"/>
  <c r="C40" i="2" s="1"/>
  <c r="O52" i="1"/>
  <c r="N52" i="1"/>
  <c r="M52" i="1"/>
  <c r="L52" i="1"/>
  <c r="K52" i="1"/>
  <c r="J52" i="1"/>
  <c r="I52" i="1"/>
  <c r="AB51" i="1"/>
  <c r="X51" i="1"/>
  <c r="G39" i="2" s="1"/>
  <c r="W51" i="1"/>
  <c r="V51" i="1"/>
  <c r="U51" i="1"/>
  <c r="Z51" i="1" s="1"/>
  <c r="T51" i="1"/>
  <c r="C39" i="2" s="1"/>
  <c r="N51" i="1"/>
  <c r="M51" i="1"/>
  <c r="O51" i="1" s="1"/>
  <c r="L51" i="1"/>
  <c r="K51" i="1"/>
  <c r="J51" i="1"/>
  <c r="I51" i="1"/>
  <c r="AC50" i="1"/>
  <c r="Y50" i="1"/>
  <c r="X50" i="1"/>
  <c r="W50" i="1"/>
  <c r="V50" i="1"/>
  <c r="AA50" i="1" s="1"/>
  <c r="U50" i="1"/>
  <c r="D38" i="2" s="1"/>
  <c r="T50" i="1"/>
  <c r="C38" i="2" s="1"/>
  <c r="N50" i="1"/>
  <c r="M50" i="1"/>
  <c r="O50" i="1" s="1"/>
  <c r="L50" i="1"/>
  <c r="K50" i="1"/>
  <c r="J50" i="1"/>
  <c r="I50" i="1"/>
  <c r="Z49" i="1"/>
  <c r="X49" i="1"/>
  <c r="W49" i="1"/>
  <c r="F37" i="2" s="1"/>
  <c r="V49" i="1"/>
  <c r="E37" i="2" s="1"/>
  <c r="U49" i="1"/>
  <c r="T49" i="1"/>
  <c r="N49" i="1"/>
  <c r="O49" i="1" s="1"/>
  <c r="M49" i="1"/>
  <c r="L49" i="1"/>
  <c r="K49" i="1"/>
  <c r="J49" i="1"/>
  <c r="I49" i="1"/>
  <c r="AA48" i="1"/>
  <c r="X48" i="1"/>
  <c r="G36" i="2" s="1"/>
  <c r="W48" i="1"/>
  <c r="F36" i="2" s="1"/>
  <c r="V48" i="1"/>
  <c r="U48" i="1"/>
  <c r="T48" i="1"/>
  <c r="Y48" i="1" s="1"/>
  <c r="O48" i="1"/>
  <c r="N48" i="1"/>
  <c r="M48" i="1"/>
  <c r="L48" i="1"/>
  <c r="K48" i="1"/>
  <c r="J48" i="1"/>
  <c r="I48" i="1"/>
  <c r="AB47" i="1"/>
  <c r="X47" i="1"/>
  <c r="G35" i="2" s="1"/>
  <c r="W47" i="1"/>
  <c r="V47" i="1"/>
  <c r="U47" i="1"/>
  <c r="Z47" i="1" s="1"/>
  <c r="T47" i="1"/>
  <c r="Y47" i="1" s="1"/>
  <c r="N47" i="1"/>
  <c r="M47" i="1"/>
  <c r="O47" i="1" s="1"/>
  <c r="L47" i="1"/>
  <c r="K47" i="1"/>
  <c r="J47" i="1"/>
  <c r="I47" i="1"/>
  <c r="AC46" i="1"/>
  <c r="Y46" i="1"/>
  <c r="X46" i="1"/>
  <c r="G34" i="2" s="1"/>
  <c r="W46" i="1"/>
  <c r="V46" i="1"/>
  <c r="E34" i="2" s="1"/>
  <c r="U46" i="1"/>
  <c r="Z46" i="1" s="1"/>
  <c r="T46" i="1"/>
  <c r="N46" i="1"/>
  <c r="M46" i="1"/>
  <c r="O46" i="1" s="1"/>
  <c r="L46" i="1"/>
  <c r="K46" i="1"/>
  <c r="J46" i="1"/>
  <c r="I46" i="1"/>
  <c r="Z45" i="1"/>
  <c r="X45" i="1"/>
  <c r="W45" i="1"/>
  <c r="F33" i="2" s="1"/>
  <c r="V45" i="1"/>
  <c r="E33" i="2" s="1"/>
  <c r="U45" i="1"/>
  <c r="T45" i="1"/>
  <c r="N45" i="1"/>
  <c r="O45" i="1" s="1"/>
  <c r="M45" i="1"/>
  <c r="L45" i="1"/>
  <c r="K45" i="1"/>
  <c r="J45" i="1"/>
  <c r="I45" i="1"/>
  <c r="AA44" i="1"/>
  <c r="X44" i="1"/>
  <c r="AC44" i="1" s="1"/>
  <c r="W44" i="1"/>
  <c r="F32" i="2" s="1"/>
  <c r="V44" i="1"/>
  <c r="U44" i="1"/>
  <c r="T44" i="1"/>
  <c r="Y44" i="1" s="1"/>
  <c r="O44" i="1"/>
  <c r="N44" i="1"/>
  <c r="M44" i="1"/>
  <c r="L44" i="1"/>
  <c r="K44" i="1"/>
  <c r="J44" i="1"/>
  <c r="I44" i="1"/>
  <c r="AB43" i="1"/>
  <c r="X43" i="1"/>
  <c r="AC43" i="1" s="1"/>
  <c r="W43" i="1"/>
  <c r="F31" i="2" s="1"/>
  <c r="V43" i="1"/>
  <c r="U43" i="1"/>
  <c r="D31" i="2" s="1"/>
  <c r="T43" i="1"/>
  <c r="C31" i="2" s="1"/>
  <c r="N43" i="1"/>
  <c r="M43" i="1"/>
  <c r="O43" i="1" s="1"/>
  <c r="L43" i="1"/>
  <c r="K43" i="1"/>
  <c r="J43" i="1"/>
  <c r="I43" i="1"/>
  <c r="AC42" i="1"/>
  <c r="Y42" i="1"/>
  <c r="X42" i="1"/>
  <c r="W42" i="1"/>
  <c r="V42" i="1"/>
  <c r="E30" i="2" s="1"/>
  <c r="U42" i="1"/>
  <c r="D30" i="2" s="1"/>
  <c r="T42" i="1"/>
  <c r="N42" i="1"/>
  <c r="M42" i="1"/>
  <c r="O42" i="1" s="1"/>
  <c r="L42" i="1"/>
  <c r="K42" i="1"/>
  <c r="J42" i="1"/>
  <c r="I42" i="1"/>
  <c r="Z41" i="1"/>
  <c r="X41" i="1"/>
  <c r="W41" i="1"/>
  <c r="AB41" i="1" s="1"/>
  <c r="V41" i="1"/>
  <c r="E29" i="2" s="1"/>
  <c r="U41" i="1"/>
  <c r="T41" i="1"/>
  <c r="N41" i="1"/>
  <c r="O41" i="1" s="1"/>
  <c r="M41" i="1"/>
  <c r="L41" i="1"/>
  <c r="K41" i="1"/>
  <c r="J41" i="1"/>
  <c r="I41" i="1"/>
  <c r="AA40" i="1"/>
  <c r="X40" i="1"/>
  <c r="AC40" i="1" s="1"/>
  <c r="W40" i="1"/>
  <c r="AB40" i="1" s="1"/>
  <c r="V40" i="1"/>
  <c r="E28" i="2" s="1"/>
  <c r="U40" i="1"/>
  <c r="T40" i="1"/>
  <c r="C28" i="2" s="1"/>
  <c r="O40" i="1"/>
  <c r="N40" i="1"/>
  <c r="M40" i="1"/>
  <c r="L40" i="1"/>
  <c r="K40" i="1"/>
  <c r="J40" i="1"/>
  <c r="I40" i="1"/>
  <c r="AB39" i="1"/>
  <c r="X39" i="1"/>
  <c r="AC39" i="1" s="1"/>
  <c r="W39" i="1"/>
  <c r="V39" i="1"/>
  <c r="U39" i="1"/>
  <c r="D27" i="2" s="1"/>
  <c r="T39" i="1"/>
  <c r="C27" i="2" s="1"/>
  <c r="N39" i="1"/>
  <c r="M39" i="1"/>
  <c r="O39" i="1" s="1"/>
  <c r="L39" i="1"/>
  <c r="K39" i="1"/>
  <c r="J39" i="1"/>
  <c r="I39" i="1"/>
  <c r="AC38" i="1"/>
  <c r="Y38" i="1"/>
  <c r="X38" i="1"/>
  <c r="W38" i="1"/>
  <c r="V38" i="1"/>
  <c r="AA38" i="1" s="1"/>
  <c r="U38" i="1"/>
  <c r="D26" i="2" s="1"/>
  <c r="T38" i="1"/>
  <c r="N38" i="1"/>
  <c r="M38" i="1"/>
  <c r="O38" i="1" s="1"/>
  <c r="L38" i="1"/>
  <c r="K38" i="1"/>
  <c r="J38" i="1"/>
  <c r="I38" i="1"/>
  <c r="Z37" i="1"/>
  <c r="X37" i="1"/>
  <c r="W37" i="1"/>
  <c r="AB37" i="1" s="1"/>
  <c r="V37" i="1"/>
  <c r="AA37" i="1" s="1"/>
  <c r="U37" i="1"/>
  <c r="D25" i="2" s="1"/>
  <c r="T37" i="1"/>
  <c r="N37" i="1"/>
  <c r="O37" i="1" s="1"/>
  <c r="M37" i="1"/>
  <c r="L37" i="1"/>
  <c r="K37" i="1"/>
  <c r="J37" i="1"/>
  <c r="I37" i="1"/>
  <c r="AA36" i="1"/>
  <c r="X36" i="1"/>
  <c r="G24" i="2" s="1"/>
  <c r="W36" i="1"/>
  <c r="AB36" i="1" s="1"/>
  <c r="V36" i="1"/>
  <c r="U36" i="1"/>
  <c r="T36" i="1"/>
  <c r="C24" i="2" s="1"/>
  <c r="O36" i="1"/>
  <c r="N36" i="1"/>
  <c r="M36" i="1"/>
  <c r="L36" i="1"/>
  <c r="K36" i="1"/>
  <c r="J36" i="1"/>
  <c r="I36" i="1"/>
  <c r="AB35" i="1"/>
  <c r="X35" i="1"/>
  <c r="G23" i="2" s="1"/>
  <c r="W35" i="1"/>
  <c r="V35" i="1"/>
  <c r="U35" i="1"/>
  <c r="Z35" i="1" s="1"/>
  <c r="T35" i="1"/>
  <c r="C23" i="2" s="1"/>
  <c r="N35" i="1"/>
  <c r="M35" i="1"/>
  <c r="O35" i="1" s="1"/>
  <c r="L35" i="1"/>
  <c r="K35" i="1"/>
  <c r="J35" i="1"/>
  <c r="I35" i="1"/>
  <c r="AC34" i="1"/>
  <c r="Y34" i="1"/>
  <c r="X34" i="1"/>
  <c r="W34" i="1"/>
  <c r="V34" i="1"/>
  <c r="AA34" i="1" s="1"/>
  <c r="U34" i="1"/>
  <c r="Z34" i="1" s="1"/>
  <c r="T34" i="1"/>
  <c r="C22" i="2" s="1"/>
  <c r="N34" i="1"/>
  <c r="M34" i="1"/>
  <c r="O34" i="1" s="1"/>
  <c r="L34" i="1"/>
  <c r="K34" i="1"/>
  <c r="J34" i="1"/>
  <c r="I34" i="1"/>
  <c r="Z33" i="1"/>
  <c r="X33" i="1"/>
  <c r="W33" i="1"/>
  <c r="F21" i="2" s="1"/>
  <c r="V33" i="1"/>
  <c r="E21" i="2" s="1"/>
  <c r="U33" i="1"/>
  <c r="T33" i="1"/>
  <c r="N33" i="1"/>
  <c r="O33" i="1" s="1"/>
  <c r="M33" i="1"/>
  <c r="L33" i="1"/>
  <c r="K33" i="1"/>
  <c r="J33" i="1"/>
  <c r="I33" i="1"/>
  <c r="AA32" i="1"/>
  <c r="X32" i="1"/>
  <c r="G20" i="2" s="1"/>
  <c r="W32" i="1"/>
  <c r="F20" i="2" s="1"/>
  <c r="V32" i="1"/>
  <c r="U32" i="1"/>
  <c r="T32" i="1"/>
  <c r="Y32" i="1" s="1"/>
  <c r="O32" i="1"/>
  <c r="N32" i="1"/>
  <c r="M32" i="1"/>
  <c r="L32" i="1"/>
  <c r="K32" i="1"/>
  <c r="J32" i="1"/>
  <c r="I32" i="1"/>
  <c r="AB31" i="1"/>
  <c r="X31" i="1"/>
  <c r="G19" i="2" s="1"/>
  <c r="W31" i="1"/>
  <c r="V31" i="1"/>
  <c r="U31" i="1"/>
  <c r="Z31" i="1" s="1"/>
  <c r="T31" i="1"/>
  <c r="Y31" i="1" s="1"/>
  <c r="N31" i="1"/>
  <c r="M31" i="1"/>
  <c r="O31" i="1" s="1"/>
  <c r="L31" i="1"/>
  <c r="K31" i="1"/>
  <c r="J31" i="1"/>
  <c r="I31" i="1"/>
  <c r="AC30" i="1"/>
  <c r="Y30" i="1"/>
  <c r="X30" i="1"/>
  <c r="G18" i="2" s="1"/>
  <c r="W30" i="1"/>
  <c r="V30" i="1"/>
  <c r="E18" i="2" s="1"/>
  <c r="U30" i="1"/>
  <c r="D18" i="2" s="1"/>
  <c r="T30" i="1"/>
  <c r="N30" i="1"/>
  <c r="M30" i="1"/>
  <c r="O30" i="1" s="1"/>
  <c r="L30" i="1"/>
  <c r="K30" i="1"/>
  <c r="J30" i="1"/>
  <c r="I30" i="1"/>
  <c r="Z29" i="1"/>
  <c r="X29" i="1"/>
  <c r="AC29" i="1" s="1"/>
  <c r="W29" i="1"/>
  <c r="AB29" i="1" s="1"/>
  <c r="V29" i="1"/>
  <c r="U29" i="1"/>
  <c r="D17" i="2" s="1"/>
  <c r="T29" i="1"/>
  <c r="Y29" i="1" s="1"/>
  <c r="N29" i="1"/>
  <c r="O29" i="1" s="1"/>
  <c r="K29" i="1"/>
  <c r="J29" i="1"/>
  <c r="I29" i="1"/>
  <c r="AC28" i="1"/>
  <c r="Y28" i="1"/>
  <c r="X28" i="1"/>
  <c r="W28" i="1"/>
  <c r="AB28" i="1" s="1"/>
  <c r="V28" i="1"/>
  <c r="AA28" i="1" s="1"/>
  <c r="U28" i="1"/>
  <c r="D16" i="2" s="1"/>
  <c r="T28" i="1"/>
  <c r="N28" i="1"/>
  <c r="K28" i="1"/>
  <c r="O28" i="1" s="1"/>
  <c r="J28" i="1"/>
  <c r="I28" i="1"/>
  <c r="AB27" i="1"/>
  <c r="X27" i="1"/>
  <c r="AC27" i="1" s="1"/>
  <c r="W27" i="1"/>
  <c r="V27" i="1"/>
  <c r="E15" i="2" s="1"/>
  <c r="U27" i="1"/>
  <c r="D15" i="2" s="1"/>
  <c r="T27" i="1"/>
  <c r="C15" i="2" s="1"/>
  <c r="N27" i="1"/>
  <c r="K27" i="1"/>
  <c r="O27" i="1" s="1"/>
  <c r="J27" i="1"/>
  <c r="I27" i="1"/>
  <c r="AA26" i="1"/>
  <c r="X26" i="1"/>
  <c r="AC26" i="1" s="1"/>
  <c r="W26" i="1"/>
  <c r="AB26" i="1" s="1"/>
  <c r="V26" i="1"/>
  <c r="U26" i="1"/>
  <c r="Z26" i="1" s="1"/>
  <c r="T26" i="1"/>
  <c r="C14" i="2" s="1"/>
  <c r="O26" i="1"/>
  <c r="N26" i="1"/>
  <c r="K26" i="1"/>
  <c r="J26" i="1"/>
  <c r="I26" i="1"/>
  <c r="Z25" i="1"/>
  <c r="X25" i="1"/>
  <c r="AC25" i="1" s="1"/>
  <c r="W25" i="1"/>
  <c r="AB25" i="1" s="1"/>
  <c r="V25" i="1"/>
  <c r="U25" i="1"/>
  <c r="T25" i="1"/>
  <c r="Y25" i="1" s="1"/>
  <c r="N25" i="1"/>
  <c r="O25" i="1" s="1"/>
  <c r="K25" i="1"/>
  <c r="J25" i="1"/>
  <c r="I25" i="1"/>
  <c r="AC24" i="1"/>
  <c r="Y24" i="1"/>
  <c r="X24" i="1"/>
  <c r="W24" i="1"/>
  <c r="AB24" i="1" s="1"/>
  <c r="V24" i="1"/>
  <c r="AA24" i="1" s="1"/>
  <c r="U24" i="1"/>
  <c r="D12" i="2" s="1"/>
  <c r="T24" i="1"/>
  <c r="C12" i="2" s="1"/>
  <c r="N24" i="1"/>
  <c r="K24" i="1"/>
  <c r="O24" i="1" s="1"/>
  <c r="J24" i="1"/>
  <c r="I24" i="1"/>
  <c r="AB23" i="1"/>
  <c r="X23" i="1"/>
  <c r="AC23" i="1" s="1"/>
  <c r="W23" i="1"/>
  <c r="V23" i="1"/>
  <c r="AA23" i="1" s="1"/>
  <c r="U23" i="1"/>
  <c r="Z23" i="1" s="1"/>
  <c r="T23" i="1"/>
  <c r="C11" i="2" s="1"/>
  <c r="N23" i="1"/>
  <c r="K23" i="1"/>
  <c r="O23" i="1" s="1"/>
  <c r="J23" i="1"/>
  <c r="I23" i="1"/>
  <c r="AA22" i="1"/>
  <c r="X22" i="1"/>
  <c r="G22" i="2" s="1"/>
  <c r="W22" i="1"/>
  <c r="AB22" i="1" s="1"/>
  <c r="V22" i="1"/>
  <c r="U22" i="1"/>
  <c r="D10" i="2" s="1"/>
  <c r="T22" i="1"/>
  <c r="C10" i="2" s="1"/>
  <c r="O22" i="1"/>
  <c r="N22" i="1"/>
  <c r="K22" i="1"/>
  <c r="J22" i="1"/>
  <c r="I22" i="1"/>
  <c r="Z21" i="1"/>
  <c r="X21" i="1"/>
  <c r="AC21" i="1" s="1"/>
  <c r="W21" i="1"/>
  <c r="AB21" i="1" s="1"/>
  <c r="V21" i="1"/>
  <c r="U21" i="1"/>
  <c r="T21" i="1"/>
  <c r="Y21" i="1" s="1"/>
  <c r="N21" i="1"/>
  <c r="O21" i="1" s="1"/>
  <c r="K21" i="1"/>
  <c r="J21" i="1"/>
  <c r="I21" i="1"/>
  <c r="AC20" i="1"/>
  <c r="Y20" i="1"/>
  <c r="X20" i="1"/>
  <c r="W20" i="1"/>
  <c r="AB20" i="1" s="1"/>
  <c r="V20" i="1"/>
  <c r="E8" i="2" s="1"/>
  <c r="U20" i="1"/>
  <c r="D8" i="2" s="1"/>
  <c r="T20" i="1"/>
  <c r="N20" i="1"/>
  <c r="K20" i="1"/>
  <c r="O20" i="1" s="1"/>
  <c r="J20" i="1"/>
  <c r="I20" i="1"/>
  <c r="AB19" i="1"/>
  <c r="X19" i="1"/>
  <c r="AC19" i="1" s="1"/>
  <c r="W19" i="1"/>
  <c r="V19" i="1"/>
  <c r="AA19" i="1" s="1"/>
  <c r="U19" i="1"/>
  <c r="Z19" i="1" s="1"/>
  <c r="T19" i="1"/>
  <c r="C7" i="2" s="1"/>
  <c r="N19" i="1"/>
  <c r="K19" i="1"/>
  <c r="O19" i="1" s="1"/>
  <c r="J19" i="1"/>
  <c r="I19" i="1"/>
  <c r="Y18" i="1"/>
  <c r="X18" i="1"/>
  <c r="W18" i="1"/>
  <c r="AB93" i="1" s="1"/>
  <c r="V18" i="1"/>
  <c r="E6" i="2" s="1"/>
  <c r="U18" i="1"/>
  <c r="D6" i="2" s="1"/>
  <c r="T18" i="1"/>
  <c r="N18" i="1"/>
  <c r="K18" i="1"/>
  <c r="O18" i="1" s="1"/>
  <c r="J18" i="1"/>
  <c r="I18" i="1"/>
  <c r="AC17" i="1"/>
  <c r="AB17" i="1"/>
  <c r="V17" i="1"/>
  <c r="AA17" i="1" s="1"/>
  <c r="U17" i="1"/>
  <c r="T17" i="1"/>
  <c r="AC16" i="1"/>
  <c r="AB16" i="1"/>
  <c r="V16" i="1"/>
  <c r="AA16" i="1" s="1"/>
  <c r="U16" i="1"/>
  <c r="T16" i="1"/>
  <c r="AC15" i="1"/>
  <c r="AB15" i="1"/>
  <c r="V15" i="1"/>
  <c r="AA15" i="1" s="1"/>
  <c r="U15" i="1"/>
  <c r="T15" i="1"/>
  <c r="AC14" i="1"/>
  <c r="AB14" i="1"/>
  <c r="V14" i="1"/>
  <c r="AA14" i="1" s="1"/>
  <c r="U14" i="1"/>
  <c r="T14" i="1"/>
  <c r="AC13" i="1"/>
  <c r="AB13" i="1"/>
  <c r="V13" i="1"/>
  <c r="AA13" i="1" s="1"/>
  <c r="U13" i="1"/>
  <c r="T13" i="1"/>
  <c r="AC12" i="1"/>
  <c r="AB12" i="1"/>
  <c r="V12" i="1"/>
  <c r="AA12" i="1" s="1"/>
  <c r="U12" i="1"/>
  <c r="T12" i="1"/>
  <c r="AC11" i="1"/>
  <c r="AB11" i="1"/>
  <c r="V11" i="1"/>
  <c r="AA11" i="1" s="1"/>
  <c r="U11" i="1"/>
  <c r="T11" i="1"/>
  <c r="AC10" i="1"/>
  <c r="AB10" i="1"/>
  <c r="V10" i="1"/>
  <c r="AA10" i="1" s="1"/>
  <c r="U10" i="1"/>
  <c r="T10" i="1"/>
  <c r="AC9" i="1"/>
  <c r="AB9" i="1"/>
  <c r="V9" i="1"/>
  <c r="AA9" i="1" s="1"/>
  <c r="U9" i="1"/>
  <c r="T9" i="1"/>
  <c r="AC8" i="1"/>
  <c r="AB8" i="1"/>
  <c r="V8" i="1"/>
  <c r="AA8" i="1" s="1"/>
  <c r="U8" i="1"/>
  <c r="T8" i="1"/>
  <c r="C8" i="2" s="1"/>
  <c r="AC7" i="1"/>
  <c r="AB7" i="1"/>
  <c r="V7" i="1"/>
  <c r="AA7" i="1" s="1"/>
  <c r="U7" i="1"/>
  <c r="T7" i="1"/>
  <c r="AC6" i="1"/>
  <c r="AB6" i="1"/>
  <c r="V6" i="1"/>
  <c r="AA91" i="1" s="1"/>
  <c r="U6" i="1"/>
  <c r="Z84" i="1" s="1"/>
  <c r="T6" i="1"/>
  <c r="Y104" i="1" s="1"/>
  <c r="O10" i="5" l="1" a="1"/>
  <c r="O10" i="5" s="1"/>
  <c r="N10" i="5" a="1"/>
  <c r="N10" i="5" s="1"/>
  <c r="E363" i="4"/>
  <c r="E359" i="4"/>
  <c r="E354" i="4"/>
  <c r="E350" i="4"/>
  <c r="E346" i="4"/>
  <c r="E341" i="4"/>
  <c r="E337" i="4"/>
  <c r="E333" i="4"/>
  <c r="D383" i="4"/>
  <c r="D384" i="4" s="1"/>
  <c r="D385" i="4" s="1"/>
  <c r="D386" i="4" s="1"/>
  <c r="E386" i="4" s="1"/>
  <c r="E379" i="4"/>
  <c r="E375" i="4"/>
  <c r="E371" i="4"/>
  <c r="E366" i="4"/>
  <c r="E358" i="4"/>
  <c r="E356" i="4"/>
  <c r="E348" i="4"/>
  <c r="E340" i="4"/>
  <c r="E338" i="4"/>
  <c r="E331" i="4"/>
  <c r="E327" i="4"/>
  <c r="E323" i="4"/>
  <c r="E319" i="4"/>
  <c r="E314" i="4"/>
  <c r="E310" i="4"/>
  <c r="E306" i="4"/>
  <c r="E301" i="4"/>
  <c r="E297" i="4"/>
  <c r="E293" i="4"/>
  <c r="E288" i="4"/>
  <c r="E284" i="4"/>
  <c r="E280" i="4"/>
  <c r="E275" i="4"/>
  <c r="E271" i="4"/>
  <c r="E267" i="4"/>
  <c r="E262" i="4"/>
  <c r="E258" i="4"/>
  <c r="E254" i="4"/>
  <c r="E249" i="4"/>
  <c r="E245" i="4"/>
  <c r="E241" i="4"/>
  <c r="E236" i="4"/>
  <c r="E232" i="4"/>
  <c r="E228" i="4"/>
  <c r="E223" i="4"/>
  <c r="E219" i="4"/>
  <c r="E215" i="4"/>
  <c r="E210" i="4"/>
  <c r="E206" i="4"/>
  <c r="E202" i="4"/>
  <c r="E197" i="4"/>
  <c r="E193" i="4"/>
  <c r="E189" i="4"/>
  <c r="E184" i="4"/>
  <c r="E180" i="4"/>
  <c r="E176" i="4"/>
  <c r="E171" i="4"/>
  <c r="E167" i="4"/>
  <c r="E163" i="4"/>
  <c r="E158" i="4"/>
  <c r="E154" i="4"/>
  <c r="E150" i="4"/>
  <c r="E145" i="4"/>
  <c r="E141" i="4"/>
  <c r="E137" i="4"/>
  <c r="E132" i="4"/>
  <c r="E128" i="4"/>
  <c r="E124" i="4"/>
  <c r="E119" i="4"/>
  <c r="E115" i="4"/>
  <c r="E111" i="4"/>
  <c r="E106" i="4"/>
  <c r="E102" i="4"/>
  <c r="E98" i="4"/>
  <c r="E93" i="4"/>
  <c r="E89" i="4"/>
  <c r="E85" i="4"/>
  <c r="E80" i="4"/>
  <c r="E76" i="4"/>
  <c r="E72" i="4"/>
  <c r="E67" i="4"/>
  <c r="E63" i="4"/>
  <c r="E59" i="4"/>
  <c r="E54" i="4"/>
  <c r="E50" i="4"/>
  <c r="E46" i="4"/>
  <c r="E41" i="4"/>
  <c r="E37" i="4"/>
  <c r="E33" i="4"/>
  <c r="E28" i="4"/>
  <c r="E24" i="4"/>
  <c r="E20" i="4"/>
  <c r="E16" i="4"/>
  <c r="E14" i="4"/>
  <c r="C14" i="4" s="1"/>
  <c r="E12" i="4"/>
  <c r="E10" i="4"/>
  <c r="E8" i="4"/>
  <c r="E6" i="4"/>
  <c r="C6" i="4" s="1"/>
  <c r="E382" i="4"/>
  <c r="E374" i="4"/>
  <c r="E372" i="4"/>
  <c r="E360" i="4"/>
  <c r="E352" i="4"/>
  <c r="E347" i="4"/>
  <c r="E345" i="4"/>
  <c r="E339" i="4"/>
  <c r="E334" i="4"/>
  <c r="E332" i="4"/>
  <c r="E325" i="4"/>
  <c r="E318" i="4"/>
  <c r="E315" i="4"/>
  <c r="E308" i="4"/>
  <c r="E300" i="4"/>
  <c r="E298" i="4"/>
  <c r="E291" i="4"/>
  <c r="E283" i="4"/>
  <c r="E281" i="4"/>
  <c r="E273" i="4"/>
  <c r="E266" i="4"/>
  <c r="E263" i="4"/>
  <c r="E256" i="4"/>
  <c r="E248" i="4"/>
  <c r="E246" i="4"/>
  <c r="E239" i="4"/>
  <c r="E231" i="4"/>
  <c r="E229" i="4"/>
  <c r="E221" i="4"/>
  <c r="E214" i="4"/>
  <c r="E211" i="4"/>
  <c r="E204" i="4"/>
  <c r="E196" i="4"/>
  <c r="E194" i="4"/>
  <c r="E187" i="4"/>
  <c r="E179" i="4"/>
  <c r="E177" i="4"/>
  <c r="E169" i="4"/>
  <c r="E162" i="4"/>
  <c r="E159" i="4"/>
  <c r="E152" i="4"/>
  <c r="E144" i="4"/>
  <c r="E142" i="4"/>
  <c r="E135" i="4"/>
  <c r="E127" i="4"/>
  <c r="E125" i="4"/>
  <c r="E117" i="4"/>
  <c r="E110" i="4"/>
  <c r="E107" i="4"/>
  <c r="E100" i="4"/>
  <c r="E92" i="4"/>
  <c r="E90" i="4"/>
  <c r="E83" i="4"/>
  <c r="E75" i="4"/>
  <c r="E73" i="4"/>
  <c r="E65" i="4"/>
  <c r="E58" i="4"/>
  <c r="E55" i="4"/>
  <c r="E48" i="4"/>
  <c r="E40" i="4"/>
  <c r="E38" i="4"/>
  <c r="E31" i="4"/>
  <c r="E23" i="4"/>
  <c r="E21" i="4"/>
  <c r="E11" i="4"/>
  <c r="E377" i="4"/>
  <c r="E370" i="4"/>
  <c r="E367" i="4"/>
  <c r="E364" i="4"/>
  <c r="E362" i="4"/>
  <c r="E357" i="4"/>
  <c r="E351" i="4"/>
  <c r="E349" i="4"/>
  <c r="E344" i="4"/>
  <c r="E336" i="4"/>
  <c r="E328" i="4"/>
  <c r="E321" i="4"/>
  <c r="E313" i="4"/>
  <c r="E311" i="4"/>
  <c r="E304" i="4"/>
  <c r="E296" i="4"/>
  <c r="E294" i="4"/>
  <c r="E286" i="4"/>
  <c r="E279" i="4"/>
  <c r="E276" i="4"/>
  <c r="E269" i="4"/>
  <c r="E261" i="4"/>
  <c r="E259" i="4"/>
  <c r="E252" i="4"/>
  <c r="E244" i="4"/>
  <c r="E242" i="4"/>
  <c r="E234" i="4"/>
  <c r="E227" i="4"/>
  <c r="E224" i="4"/>
  <c r="E217" i="4"/>
  <c r="E209" i="4"/>
  <c r="E207" i="4"/>
  <c r="E200" i="4"/>
  <c r="E192" i="4"/>
  <c r="E190" i="4"/>
  <c r="E182" i="4"/>
  <c r="E175" i="4"/>
  <c r="E172" i="4"/>
  <c r="E165" i="4"/>
  <c r="E157" i="4"/>
  <c r="E155" i="4"/>
  <c r="E148" i="4"/>
  <c r="E140" i="4"/>
  <c r="E138" i="4"/>
  <c r="E130" i="4"/>
  <c r="E123" i="4"/>
  <c r="E120" i="4"/>
  <c r="E113" i="4"/>
  <c r="E105" i="4"/>
  <c r="E103" i="4"/>
  <c r="E96" i="4"/>
  <c r="E88" i="4"/>
  <c r="E86" i="4"/>
  <c r="E78" i="4"/>
  <c r="E71" i="4"/>
  <c r="E68" i="4"/>
  <c r="E61" i="4"/>
  <c r="E53" i="4"/>
  <c r="E51" i="4"/>
  <c r="E44" i="4"/>
  <c r="E36" i="4"/>
  <c r="E34" i="4"/>
  <c r="E26" i="4"/>
  <c r="E19" i="4"/>
  <c r="E13" i="4"/>
  <c r="E380" i="4"/>
  <c r="E373" i="4"/>
  <c r="E343" i="4"/>
  <c r="E320" i="4"/>
  <c r="E312" i="4"/>
  <c r="E305" i="4"/>
  <c r="E285" i="4"/>
  <c r="E278" i="4"/>
  <c r="E270" i="4"/>
  <c r="E250" i="4"/>
  <c r="E243" i="4"/>
  <c r="E235" i="4"/>
  <c r="E216" i="4"/>
  <c r="E208" i="4"/>
  <c r="E201" i="4"/>
  <c r="E181" i="4"/>
  <c r="E174" i="4"/>
  <c r="E166" i="4"/>
  <c r="E146" i="4"/>
  <c r="E139" i="4"/>
  <c r="E131" i="4"/>
  <c r="E112" i="4"/>
  <c r="E104" i="4"/>
  <c r="E97" i="4"/>
  <c r="E77" i="4"/>
  <c r="E70" i="4"/>
  <c r="E62" i="4"/>
  <c r="E42" i="4"/>
  <c r="E35" i="4"/>
  <c r="E27" i="4"/>
  <c r="E9" i="4"/>
  <c r="E5" i="4"/>
  <c r="E376" i="4"/>
  <c r="E369" i="4"/>
  <c r="E365" i="4"/>
  <c r="E361" i="4"/>
  <c r="E326" i="4"/>
  <c r="E307" i="4"/>
  <c r="E299" i="4"/>
  <c r="E292" i="4"/>
  <c r="E272" i="4"/>
  <c r="E265" i="4"/>
  <c r="E257" i="4"/>
  <c r="E237" i="4"/>
  <c r="E230" i="4"/>
  <c r="E222" i="4"/>
  <c r="E203" i="4"/>
  <c r="E195" i="4"/>
  <c r="E188" i="4"/>
  <c r="E168" i="4"/>
  <c r="E161" i="4"/>
  <c r="E153" i="4"/>
  <c r="E133" i="4"/>
  <c r="E126" i="4"/>
  <c r="E118" i="4"/>
  <c r="E99" i="4"/>
  <c r="E91" i="4"/>
  <c r="E84" i="4"/>
  <c r="E64" i="4"/>
  <c r="E57" i="4"/>
  <c r="E49" i="4"/>
  <c r="E29" i="4"/>
  <c r="E22" i="4"/>
  <c r="E335" i="4"/>
  <c r="E330" i="4"/>
  <c r="E322" i="4"/>
  <c r="E295" i="4"/>
  <c r="E287" i="4"/>
  <c r="E268" i="4"/>
  <c r="E260" i="4"/>
  <c r="E253" i="4"/>
  <c r="E198" i="4"/>
  <c r="E191" i="4"/>
  <c r="E129" i="4"/>
  <c r="E122" i="4"/>
  <c r="E87" i="4"/>
  <c r="E79" i="4"/>
  <c r="E302" i="4"/>
  <c r="E233" i="4"/>
  <c r="E226" i="4"/>
  <c r="E218" i="4"/>
  <c r="E183" i="4"/>
  <c r="E164" i="4"/>
  <c r="E156" i="4"/>
  <c r="E149" i="4"/>
  <c r="E114" i="4"/>
  <c r="E94" i="4"/>
  <c r="E60" i="4"/>
  <c r="E52" i="4"/>
  <c r="E45" i="4"/>
  <c r="E25" i="4"/>
  <c r="E18" i="4"/>
  <c r="E7" i="4"/>
  <c r="E378" i="4"/>
  <c r="E353" i="4"/>
  <c r="E324" i="4"/>
  <c r="E317" i="4"/>
  <c r="E309" i="4"/>
  <c r="E289" i="4"/>
  <c r="E282" i="4"/>
  <c r="E274" i="4"/>
  <c r="E255" i="4"/>
  <c r="E247" i="4"/>
  <c r="E240" i="4"/>
  <c r="E220" i="4"/>
  <c r="E213" i="4"/>
  <c r="E205" i="4"/>
  <c r="E185" i="4"/>
  <c r="E178" i="4"/>
  <c r="E170" i="4"/>
  <c r="E151" i="4"/>
  <c r="E143" i="4"/>
  <c r="E136" i="4"/>
  <c r="E116" i="4"/>
  <c r="E109" i="4"/>
  <c r="E101" i="4"/>
  <c r="E81" i="4"/>
  <c r="E74" i="4"/>
  <c r="E66" i="4"/>
  <c r="E47" i="4"/>
  <c r="E39" i="4"/>
  <c r="E32" i="4"/>
  <c r="E15" i="4"/>
  <c r="C15" i="4" s="1"/>
  <c r="E373" i="3"/>
  <c r="E372" i="3"/>
  <c r="E368" i="3"/>
  <c r="E364" i="3"/>
  <c r="E363" i="3"/>
  <c r="E358" i="3"/>
  <c r="D390" i="3"/>
  <c r="D391" i="3" s="1"/>
  <c r="D392" i="3" s="1"/>
  <c r="D393" i="3" s="1"/>
  <c r="D394" i="3" s="1"/>
  <c r="E386" i="3"/>
  <c r="E382" i="3"/>
  <c r="E378" i="3"/>
  <c r="E366" i="3"/>
  <c r="E360" i="3"/>
  <c r="E355" i="3"/>
  <c r="E351" i="3"/>
  <c r="E350" i="3"/>
  <c r="E345" i="3"/>
  <c r="E341" i="3"/>
  <c r="E335" i="3"/>
  <c r="E331" i="3"/>
  <c r="E327" i="3"/>
  <c r="E322" i="3"/>
  <c r="E318" i="3"/>
  <c r="E314" i="3"/>
  <c r="E309" i="3"/>
  <c r="E305" i="3"/>
  <c r="E301" i="3"/>
  <c r="E296" i="3"/>
  <c r="E292" i="3"/>
  <c r="E288" i="3"/>
  <c r="E283" i="3"/>
  <c r="E279" i="3"/>
  <c r="E276" i="3"/>
  <c r="E272" i="3"/>
  <c r="E268" i="3"/>
  <c r="E262" i="3"/>
  <c r="E257" i="3"/>
  <c r="E253" i="3"/>
  <c r="E249" i="3"/>
  <c r="E244" i="3"/>
  <c r="E240" i="3"/>
  <c r="E236" i="3"/>
  <c r="E231" i="3"/>
  <c r="E227" i="3"/>
  <c r="E223" i="3"/>
  <c r="E218" i="3"/>
  <c r="E214" i="3"/>
  <c r="E210" i="3"/>
  <c r="E205" i="3"/>
  <c r="E201" i="3"/>
  <c r="E197" i="3"/>
  <c r="E192" i="3"/>
  <c r="E188" i="3"/>
  <c r="E184" i="3"/>
  <c r="E179" i="3"/>
  <c r="E175" i="3"/>
  <c r="E171" i="3"/>
  <c r="E166" i="3"/>
  <c r="E162" i="3"/>
  <c r="E158" i="3"/>
  <c r="E153" i="3"/>
  <c r="E149" i="3"/>
  <c r="E145" i="3"/>
  <c r="E140" i="3"/>
  <c r="E136" i="3"/>
  <c r="E132" i="3"/>
  <c r="E127" i="3"/>
  <c r="E123" i="3"/>
  <c r="E119" i="3"/>
  <c r="E114" i="3"/>
  <c r="E110" i="3"/>
  <c r="E106" i="3"/>
  <c r="E88" i="3"/>
  <c r="E87" i="3"/>
  <c r="E86" i="3"/>
  <c r="E85" i="3"/>
  <c r="E84" i="3"/>
  <c r="E83" i="3"/>
  <c r="E82" i="3"/>
  <c r="E81" i="3"/>
  <c r="E80" i="3"/>
  <c r="E79" i="3"/>
  <c r="E78" i="3"/>
  <c r="E77" i="3"/>
  <c r="E75" i="3"/>
  <c r="E74" i="3"/>
  <c r="E73" i="3"/>
  <c r="E72" i="3"/>
  <c r="E71" i="3"/>
  <c r="E70" i="3"/>
  <c r="E69" i="3"/>
  <c r="E68" i="3"/>
  <c r="E67" i="3"/>
  <c r="E66" i="3"/>
  <c r="E65" i="3"/>
  <c r="E64" i="3"/>
  <c r="E62" i="3"/>
  <c r="E61" i="3"/>
  <c r="E60" i="3"/>
  <c r="E59" i="3"/>
  <c r="E58" i="3"/>
  <c r="E57" i="3"/>
  <c r="E56" i="3"/>
  <c r="E55" i="3"/>
  <c r="E54" i="3"/>
  <c r="E53" i="3"/>
  <c r="E52" i="3"/>
  <c r="E51" i="3"/>
  <c r="E49" i="3"/>
  <c r="E48" i="3"/>
  <c r="E47" i="3"/>
  <c r="E46" i="3"/>
  <c r="E45" i="3"/>
  <c r="E44" i="3"/>
  <c r="E43" i="3"/>
  <c r="E42" i="3"/>
  <c r="E41" i="3"/>
  <c r="E40" i="3"/>
  <c r="E39" i="3"/>
  <c r="E38" i="3"/>
  <c r="E36" i="3"/>
  <c r="E35" i="3"/>
  <c r="E34" i="3"/>
  <c r="E33" i="3"/>
  <c r="E32" i="3"/>
  <c r="E31" i="3"/>
  <c r="E30" i="3"/>
  <c r="E29" i="3"/>
  <c r="E28" i="3"/>
  <c r="E27" i="3"/>
  <c r="E26" i="3"/>
  <c r="E25" i="3"/>
  <c r="E23" i="3"/>
  <c r="E22" i="3"/>
  <c r="E21" i="3"/>
  <c r="E20" i="3"/>
  <c r="E19" i="3"/>
  <c r="E18" i="3"/>
  <c r="E14" i="3"/>
  <c r="E393" i="3"/>
  <c r="E385" i="3"/>
  <c r="E383" i="3"/>
  <c r="E370" i="3"/>
  <c r="E365" i="3"/>
  <c r="E344" i="3"/>
  <c r="E342" i="3"/>
  <c r="E337" i="3"/>
  <c r="E329" i="3"/>
  <c r="E321" i="3"/>
  <c r="E319" i="3"/>
  <c r="E312" i="3"/>
  <c r="E304" i="3"/>
  <c r="E302" i="3"/>
  <c r="E294" i="3"/>
  <c r="E287" i="3"/>
  <c r="E285" i="3"/>
  <c r="E275" i="3"/>
  <c r="E273" i="3"/>
  <c r="E270" i="3"/>
  <c r="E264" i="3"/>
  <c r="E256" i="3"/>
  <c r="E254" i="3"/>
  <c r="E247" i="3"/>
  <c r="E239" i="3"/>
  <c r="E237" i="3"/>
  <c r="E229" i="3"/>
  <c r="E222" i="3"/>
  <c r="E220" i="3"/>
  <c r="E212" i="3"/>
  <c r="E204" i="3"/>
  <c r="E202" i="3"/>
  <c r="E195" i="3"/>
  <c r="E187" i="3"/>
  <c r="E185" i="3"/>
  <c r="E177" i="3"/>
  <c r="E170" i="3"/>
  <c r="E168" i="3"/>
  <c r="E160" i="3"/>
  <c r="E152" i="3"/>
  <c r="E150" i="3"/>
  <c r="E143" i="3"/>
  <c r="E135" i="3"/>
  <c r="E133" i="3"/>
  <c r="E125" i="3"/>
  <c r="E118" i="3"/>
  <c r="E116" i="3"/>
  <c r="E108" i="3"/>
  <c r="E99" i="3"/>
  <c r="G99" i="3" s="1"/>
  <c r="E96" i="3"/>
  <c r="G96" i="3" s="1"/>
  <c r="E91" i="3"/>
  <c r="G91" i="3" s="1"/>
  <c r="E16" i="3"/>
  <c r="G16" i="3" s="1"/>
  <c r="E7" i="3"/>
  <c r="G7" i="3" s="1"/>
  <c r="E389" i="3"/>
  <c r="E381" i="3"/>
  <c r="E379" i="3"/>
  <c r="E369" i="3"/>
  <c r="E367" i="3"/>
  <c r="E359" i="3"/>
  <c r="E357" i="3"/>
  <c r="E353" i="3"/>
  <c r="E347" i="3"/>
  <c r="E340" i="3"/>
  <c r="E338" i="3"/>
  <c r="E334" i="3"/>
  <c r="E332" i="3"/>
  <c r="E325" i="3"/>
  <c r="E317" i="3"/>
  <c r="E315" i="3"/>
  <c r="E307" i="3"/>
  <c r="E300" i="3"/>
  <c r="E298" i="3"/>
  <c r="E290" i="3"/>
  <c r="E282" i="3"/>
  <c r="E280" i="3"/>
  <c r="E278" i="3"/>
  <c r="G278" i="3" s="1"/>
  <c r="E266" i="3"/>
  <c r="E260" i="3"/>
  <c r="E252" i="3"/>
  <c r="E250" i="3"/>
  <c r="E242" i="3"/>
  <c r="E235" i="3"/>
  <c r="E233" i="3"/>
  <c r="E225" i="3"/>
  <c r="E217" i="3"/>
  <c r="E215" i="3"/>
  <c r="E208" i="3"/>
  <c r="E200" i="3"/>
  <c r="E198" i="3"/>
  <c r="E190" i="3"/>
  <c r="E183" i="3"/>
  <c r="E181" i="3"/>
  <c r="E173" i="3"/>
  <c r="E165" i="3"/>
  <c r="E163" i="3"/>
  <c r="E156" i="3"/>
  <c r="E148" i="3"/>
  <c r="E146" i="3"/>
  <c r="E138" i="3"/>
  <c r="E131" i="3"/>
  <c r="E129" i="3"/>
  <c r="E121" i="3"/>
  <c r="E113" i="3"/>
  <c r="E111" i="3"/>
  <c r="E104" i="3"/>
  <c r="E101" i="3"/>
  <c r="G101" i="3" s="1"/>
  <c r="E98" i="3"/>
  <c r="G98" i="3" s="1"/>
  <c r="E93" i="3"/>
  <c r="G93" i="3" s="1"/>
  <c r="E90" i="3"/>
  <c r="G90" i="3" s="1"/>
  <c r="E17" i="3"/>
  <c r="G17" i="3" s="1"/>
  <c r="E12" i="3"/>
  <c r="G12" i="3" s="1"/>
  <c r="E8" i="3"/>
  <c r="G8" i="3" s="1"/>
  <c r="E394" i="3"/>
  <c r="E384" i="3"/>
  <c r="E328" i="3"/>
  <c r="E313" i="3"/>
  <c r="E295" i="3"/>
  <c r="E263" i="3"/>
  <c r="E255" i="3"/>
  <c r="E246" i="3"/>
  <c r="E238" i="3"/>
  <c r="E228" i="3"/>
  <c r="E221" i="3"/>
  <c r="E211" i="3"/>
  <c r="E194" i="3"/>
  <c r="E186" i="3"/>
  <c r="E176" i="3"/>
  <c r="E159" i="3"/>
  <c r="E151" i="3"/>
  <c r="E142" i="3"/>
  <c r="E126" i="3"/>
  <c r="E107" i="3"/>
  <c r="E95" i="3"/>
  <c r="G95" i="3" s="1"/>
  <c r="E15" i="3"/>
  <c r="G15" i="3" s="1"/>
  <c r="E9" i="3"/>
  <c r="G9" i="3" s="1"/>
  <c r="E234" i="3"/>
  <c r="E130" i="3"/>
  <c r="E112" i="3"/>
  <c r="E103" i="3"/>
  <c r="E94" i="3"/>
  <c r="G94" i="3" s="1"/>
  <c r="E392" i="3"/>
  <c r="E377" i="3"/>
  <c r="E376" i="3"/>
  <c r="E371" i="3"/>
  <c r="E361" i="3"/>
  <c r="E356" i="3"/>
  <c r="E343" i="3"/>
  <c r="E330" i="3"/>
  <c r="E320" i="3"/>
  <c r="E311" i="3"/>
  <c r="E303" i="3"/>
  <c r="E293" i="3"/>
  <c r="E286" i="3"/>
  <c r="E274" i="3"/>
  <c r="E269" i="3"/>
  <c r="E265" i="3"/>
  <c r="E248" i="3"/>
  <c r="E230" i="3"/>
  <c r="E213" i="3"/>
  <c r="E203" i="3"/>
  <c r="E196" i="3"/>
  <c r="E178" i="3"/>
  <c r="E169" i="3"/>
  <c r="E161" i="3"/>
  <c r="E144" i="3"/>
  <c r="E134" i="3"/>
  <c r="E124" i="3"/>
  <c r="E117" i="3"/>
  <c r="E109" i="3"/>
  <c r="E100" i="3"/>
  <c r="G100" i="3" s="1"/>
  <c r="E92" i="3"/>
  <c r="G92" i="3" s="1"/>
  <c r="E5" i="3"/>
  <c r="G5" i="3" s="1"/>
  <c r="E105" i="3"/>
  <c r="E6" i="3"/>
  <c r="G6" i="3" s="1"/>
  <c r="E390" i="3"/>
  <c r="E387" i="3"/>
  <c r="E380" i="3"/>
  <c r="E374" i="3"/>
  <c r="E354" i="3"/>
  <c r="E352" i="3"/>
  <c r="E348" i="3"/>
  <c r="E346" i="3"/>
  <c r="E339" i="3"/>
  <c r="E333" i="3"/>
  <c r="E326" i="3"/>
  <c r="E324" i="3"/>
  <c r="E316" i="3"/>
  <c r="E308" i="3"/>
  <c r="E306" i="3"/>
  <c r="E299" i="3"/>
  <c r="E291" i="3"/>
  <c r="E289" i="3"/>
  <c r="E281" i="3"/>
  <c r="E277" i="3"/>
  <c r="E267" i="3"/>
  <c r="E261" i="3"/>
  <c r="E259" i="3"/>
  <c r="E251" i="3"/>
  <c r="E243" i="3"/>
  <c r="E241" i="3"/>
  <c r="E226" i="3"/>
  <c r="E224" i="3"/>
  <c r="E216" i="3"/>
  <c r="E209" i="3"/>
  <c r="E207" i="3"/>
  <c r="E199" i="3"/>
  <c r="E191" i="3"/>
  <c r="E189" i="3"/>
  <c r="E182" i="3"/>
  <c r="E174" i="3"/>
  <c r="E172" i="3"/>
  <c r="E164" i="3"/>
  <c r="E157" i="3"/>
  <c r="E155" i="3"/>
  <c r="E147" i="3"/>
  <c r="E139" i="3"/>
  <c r="E137" i="3"/>
  <c r="E122" i="3"/>
  <c r="E120" i="3"/>
  <c r="E97" i="3"/>
  <c r="G97" i="3" s="1"/>
  <c r="E13" i="3"/>
  <c r="G13" i="3" s="1"/>
  <c r="E10" i="3"/>
  <c r="G10" i="3" s="1"/>
  <c r="E9" i="2"/>
  <c r="AB91" i="1"/>
  <c r="Y107" i="1"/>
  <c r="E25" i="2"/>
  <c r="G31" i="2"/>
  <c r="E41" i="2"/>
  <c r="G47" i="2"/>
  <c r="C51" i="2"/>
  <c r="D54" i="2"/>
  <c r="G63" i="2"/>
  <c r="D70" i="2"/>
  <c r="F76" i="2"/>
  <c r="L697" i="5"/>
  <c r="L716" i="5"/>
  <c r="L698" i="5"/>
  <c r="L717" i="5"/>
  <c r="L715" i="5"/>
  <c r="L713" i="5"/>
  <c r="L711" i="5"/>
  <c r="L709" i="5"/>
  <c r="L707" i="5"/>
  <c r="L705" i="5"/>
  <c r="L703" i="5"/>
  <c r="L701" i="5"/>
  <c r="L699" i="5"/>
  <c r="L679" i="5"/>
  <c r="L677" i="5"/>
  <c r="L675" i="5"/>
  <c r="L673" i="5"/>
  <c r="L671" i="5"/>
  <c r="L669" i="5"/>
  <c r="L667" i="5"/>
  <c r="L665" i="5"/>
  <c r="L663" i="5"/>
  <c r="L661" i="5"/>
  <c r="L659" i="5"/>
  <c r="L657" i="5"/>
  <c r="L655" i="5"/>
  <c r="L653" i="5"/>
  <c r="L651" i="5"/>
  <c r="L649" i="5"/>
  <c r="L647" i="5"/>
  <c r="L645" i="5"/>
  <c r="L643" i="5"/>
  <c r="L641" i="5"/>
  <c r="L639" i="5"/>
  <c r="L637" i="5"/>
  <c r="L635" i="5"/>
  <c r="L633" i="5"/>
  <c r="L631" i="5"/>
  <c r="L629" i="5"/>
  <c r="L627" i="5"/>
  <c r="L625" i="5"/>
  <c r="L623" i="5"/>
  <c r="L621" i="5"/>
  <c r="L619" i="5"/>
  <c r="L617" i="5"/>
  <c r="L615" i="5"/>
  <c r="L613" i="5"/>
  <c r="L611" i="5"/>
  <c r="L609" i="5"/>
  <c r="L607" i="5"/>
  <c r="L605" i="5"/>
  <c r="L603" i="5"/>
  <c r="L601" i="5"/>
  <c r="L599" i="5"/>
  <c r="L597" i="5"/>
  <c r="L595" i="5"/>
  <c r="L593" i="5"/>
  <c r="L591" i="5"/>
  <c r="L589" i="5"/>
  <c r="L587" i="5"/>
  <c r="L585" i="5"/>
  <c r="L583" i="5"/>
  <c r="L581" i="5"/>
  <c r="L579" i="5"/>
  <c r="L577" i="5"/>
  <c r="L575" i="5"/>
  <c r="L573" i="5"/>
  <c r="L571" i="5"/>
  <c r="L569" i="5"/>
  <c r="L567" i="5"/>
  <c r="L565" i="5"/>
  <c r="L563" i="5"/>
  <c r="L561" i="5"/>
  <c r="L559" i="5"/>
  <c r="L557" i="5"/>
  <c r="L555" i="5"/>
  <c r="L553" i="5"/>
  <c r="L551" i="5"/>
  <c r="L549" i="5"/>
  <c r="L547" i="5"/>
  <c r="L545" i="5"/>
  <c r="L543" i="5"/>
  <c r="L541" i="5"/>
  <c r="L539" i="5"/>
  <c r="L537" i="5"/>
  <c r="L535" i="5"/>
  <c r="L533" i="5"/>
  <c r="L531" i="5"/>
  <c r="L529" i="5"/>
  <c r="L527" i="5"/>
  <c r="L525" i="5"/>
  <c r="L523" i="5"/>
  <c r="L521" i="5"/>
  <c r="L519" i="5"/>
  <c r="L517" i="5"/>
  <c r="L515" i="5"/>
  <c r="L513" i="5"/>
  <c r="L511" i="5"/>
  <c r="L509" i="5"/>
  <c r="L507" i="5"/>
  <c r="L505" i="5"/>
  <c r="L503" i="5"/>
  <c r="L501" i="5"/>
  <c r="L499" i="5"/>
  <c r="L497" i="5"/>
  <c r="L708" i="5"/>
  <c r="L700" i="5"/>
  <c r="L695" i="5"/>
  <c r="L693" i="5"/>
  <c r="L691" i="5"/>
  <c r="L689" i="5"/>
  <c r="L687" i="5"/>
  <c r="L685" i="5"/>
  <c r="L683" i="5"/>
  <c r="L681" i="5"/>
  <c r="L678" i="5"/>
  <c r="L670" i="5"/>
  <c r="L662" i="5"/>
  <c r="L654" i="5"/>
  <c r="L646" i="5"/>
  <c r="L638" i="5"/>
  <c r="L630" i="5"/>
  <c r="L622" i="5"/>
  <c r="L614" i="5"/>
  <c r="L606" i="5"/>
  <c r="L598" i="5"/>
  <c r="L590" i="5"/>
  <c r="L582" i="5"/>
  <c r="L574" i="5"/>
  <c r="L566" i="5"/>
  <c r="L558" i="5"/>
  <c r="L550" i="5"/>
  <c r="L542" i="5"/>
  <c r="L534" i="5"/>
  <c r="L526" i="5"/>
  <c r="L518" i="5"/>
  <c r="L510" i="5"/>
  <c r="L502" i="5"/>
  <c r="L471" i="5"/>
  <c r="L467" i="5"/>
  <c r="L463" i="5"/>
  <c r="L459" i="5"/>
  <c r="L455" i="5"/>
  <c r="L451" i="5"/>
  <c r="L447" i="5"/>
  <c r="L443" i="5"/>
  <c r="L439" i="5"/>
  <c r="L435" i="5"/>
  <c r="L431" i="5"/>
  <c r="L427" i="5"/>
  <c r="L423" i="5"/>
  <c r="L419" i="5"/>
  <c r="L415" i="5"/>
  <c r="L411" i="5"/>
  <c r="L407" i="5"/>
  <c r="L403" i="5"/>
  <c r="L399" i="5"/>
  <c r="L395" i="5"/>
  <c r="L391" i="5"/>
  <c r="L387" i="5"/>
  <c r="L383" i="5"/>
  <c r="L379" i="5"/>
  <c r="L375" i="5"/>
  <c r="L371" i="5"/>
  <c r="L367" i="5"/>
  <c r="L710" i="5"/>
  <c r="L702" i="5"/>
  <c r="L672" i="5"/>
  <c r="L664" i="5"/>
  <c r="L656" i="5"/>
  <c r="L648" i="5"/>
  <c r="L640" i="5"/>
  <c r="L632" i="5"/>
  <c r="L624" i="5"/>
  <c r="L616" i="5"/>
  <c r="L608" i="5"/>
  <c r="L600" i="5"/>
  <c r="L592" i="5"/>
  <c r="L584" i="5"/>
  <c r="L576" i="5"/>
  <c r="L568" i="5"/>
  <c r="L560" i="5"/>
  <c r="L552" i="5"/>
  <c r="L544" i="5"/>
  <c r="L536" i="5"/>
  <c r="L528" i="5"/>
  <c r="L520" i="5"/>
  <c r="L512" i="5"/>
  <c r="L504" i="5"/>
  <c r="L496" i="5"/>
  <c r="L494" i="5"/>
  <c r="L492" i="5"/>
  <c r="L490" i="5"/>
  <c r="L488" i="5"/>
  <c r="L486" i="5"/>
  <c r="L484" i="5"/>
  <c r="L482" i="5"/>
  <c r="L480" i="5"/>
  <c r="L478" i="5"/>
  <c r="L476" i="5"/>
  <c r="L474" i="5"/>
  <c r="L472" i="5"/>
  <c r="L468" i="5"/>
  <c r="L464" i="5"/>
  <c r="L460" i="5"/>
  <c r="L456" i="5"/>
  <c r="L452" i="5"/>
  <c r="L448" i="5"/>
  <c r="L444" i="5"/>
  <c r="L440" i="5"/>
  <c r="L436" i="5"/>
  <c r="L432" i="5"/>
  <c r="L428" i="5"/>
  <c r="L424" i="5"/>
  <c r="L420" i="5"/>
  <c r="L416" i="5"/>
  <c r="L412" i="5"/>
  <c r="L408" i="5"/>
  <c r="L404" i="5"/>
  <c r="L400" i="5"/>
  <c r="L396" i="5"/>
  <c r="L392" i="5"/>
  <c r="L388" i="5"/>
  <c r="L384" i="5"/>
  <c r="L380" i="5"/>
  <c r="L376" i="5"/>
  <c r="L372" i="5"/>
  <c r="L368" i="5"/>
  <c r="L364" i="5"/>
  <c r="L712" i="5"/>
  <c r="L696" i="5"/>
  <c r="L688" i="5"/>
  <c r="L680" i="5"/>
  <c r="L676" i="5"/>
  <c r="L660" i="5"/>
  <c r="L644" i="5"/>
  <c r="L628" i="5"/>
  <c r="L612" i="5"/>
  <c r="L596" i="5"/>
  <c r="L580" i="5"/>
  <c r="L564" i="5"/>
  <c r="L548" i="5"/>
  <c r="L532" i="5"/>
  <c r="L516" i="5"/>
  <c r="L500" i="5"/>
  <c r="L489" i="5"/>
  <c r="L481" i="5"/>
  <c r="L473" i="5"/>
  <c r="L466" i="5"/>
  <c r="L458" i="5"/>
  <c r="L450" i="5"/>
  <c r="L442" i="5"/>
  <c r="L434" i="5"/>
  <c r="L426" i="5"/>
  <c r="L418" i="5"/>
  <c r="L410" i="5"/>
  <c r="L402" i="5"/>
  <c r="L394" i="5"/>
  <c r="L386" i="5"/>
  <c r="L378" i="5"/>
  <c r="L370" i="5"/>
  <c r="L714" i="5"/>
  <c r="L690" i="5"/>
  <c r="L682" i="5"/>
  <c r="L666" i="5"/>
  <c r="L650" i="5"/>
  <c r="L634" i="5"/>
  <c r="L618" i="5"/>
  <c r="L602" i="5"/>
  <c r="L586" i="5"/>
  <c r="L570" i="5"/>
  <c r="L554" i="5"/>
  <c r="L538" i="5"/>
  <c r="L522" i="5"/>
  <c r="L506" i="5"/>
  <c r="L491" i="5"/>
  <c r="L483" i="5"/>
  <c r="L475" i="5"/>
  <c r="L469" i="5"/>
  <c r="L461" i="5"/>
  <c r="L453" i="5"/>
  <c r="L445" i="5"/>
  <c r="L437" i="5"/>
  <c r="L429" i="5"/>
  <c r="L421" i="5"/>
  <c r="L413" i="5"/>
  <c r="L405" i="5"/>
  <c r="L397" i="5"/>
  <c r="L389" i="5"/>
  <c r="L381" i="5"/>
  <c r="L373" i="5"/>
  <c r="L365" i="5"/>
  <c r="L704" i="5"/>
  <c r="L692" i="5"/>
  <c r="L684" i="5"/>
  <c r="L668" i="5"/>
  <c r="L652" i="5"/>
  <c r="L636" i="5"/>
  <c r="L620" i="5"/>
  <c r="L604" i="5"/>
  <c r="L588" i="5"/>
  <c r="L572" i="5"/>
  <c r="L556" i="5"/>
  <c r="L540" i="5"/>
  <c r="L524" i="5"/>
  <c r="L508" i="5"/>
  <c r="L493" i="5"/>
  <c r="L485" i="5"/>
  <c r="L477" i="5"/>
  <c r="L470" i="5"/>
  <c r="L462" i="5"/>
  <c r="L454" i="5"/>
  <c r="L446" i="5"/>
  <c r="L438" i="5"/>
  <c r="L430" i="5"/>
  <c r="L422" i="5"/>
  <c r="L414" i="5"/>
  <c r="L406" i="5"/>
  <c r="L398" i="5"/>
  <c r="L390" i="5"/>
  <c r="L382" i="5"/>
  <c r="L374" i="5"/>
  <c r="L366" i="5"/>
  <c r="L686" i="5"/>
  <c r="L674" i="5"/>
  <c r="L610" i="5"/>
  <c r="L546" i="5"/>
  <c r="L487" i="5"/>
  <c r="L457" i="5"/>
  <c r="L425" i="5"/>
  <c r="L393" i="5"/>
  <c r="L706" i="5"/>
  <c r="L658" i="5"/>
  <c r="L594" i="5"/>
  <c r="L530" i="5"/>
  <c r="L479" i="5"/>
  <c r="L449" i="5"/>
  <c r="L417" i="5"/>
  <c r="L385" i="5"/>
  <c r="L578" i="5"/>
  <c r="L409" i="5"/>
  <c r="L562" i="5"/>
  <c r="L465" i="5"/>
  <c r="L401" i="5"/>
  <c r="L694" i="5"/>
  <c r="L642" i="5"/>
  <c r="L514" i="5"/>
  <c r="L441" i="5"/>
  <c r="L377" i="5"/>
  <c r="E13" i="2"/>
  <c r="AB84" i="1"/>
  <c r="F91" i="6"/>
  <c r="U94" i="1"/>
  <c r="F94" i="2"/>
  <c r="C19" i="2"/>
  <c r="D22" i="2"/>
  <c r="F28" i="2"/>
  <c r="C35" i="2"/>
  <c r="E57" i="2"/>
  <c r="C67" i="2"/>
  <c r="E73" i="2"/>
  <c r="G79" i="2"/>
  <c r="F91" i="2"/>
  <c r="F92" i="2"/>
  <c r="Y9" i="1"/>
  <c r="Y10" i="1"/>
  <c r="Y12" i="1"/>
  <c r="Y13" i="1"/>
  <c r="Y14" i="1"/>
  <c r="Y15" i="1"/>
  <c r="Y16" i="1"/>
  <c r="Z18" i="1"/>
  <c r="AA21" i="1"/>
  <c r="Z24" i="1"/>
  <c r="AA25" i="1"/>
  <c r="AB32" i="1"/>
  <c r="Y35" i="1"/>
  <c r="Y43" i="1"/>
  <c r="AA45" i="1"/>
  <c r="AC47" i="1"/>
  <c r="AA49" i="1"/>
  <c r="Z50" i="1"/>
  <c r="Y51" i="1"/>
  <c r="AB52" i="1"/>
  <c r="Y55" i="1"/>
  <c r="AC55" i="1"/>
  <c r="AB56" i="1"/>
  <c r="AA57" i="1"/>
  <c r="Z58" i="1"/>
  <c r="Y59" i="1"/>
  <c r="AB60" i="1"/>
  <c r="AA61" i="1"/>
  <c r="Z62" i="1"/>
  <c r="AC63" i="1"/>
  <c r="AB64" i="1"/>
  <c r="AA65" i="1"/>
  <c r="Y67" i="1"/>
  <c r="AC67" i="1"/>
  <c r="AB68" i="1"/>
  <c r="Z70" i="1"/>
  <c r="Y71" i="1"/>
  <c r="AC71" i="1"/>
  <c r="AB72" i="1"/>
  <c r="AA73" i="1"/>
  <c r="Z74" i="1"/>
  <c r="AB76" i="1"/>
  <c r="AA77" i="1"/>
  <c r="Z78" i="1"/>
  <c r="AC79" i="1"/>
  <c r="Y84" i="1"/>
  <c r="V94" i="1"/>
  <c r="AC105" i="1"/>
  <c r="E7" i="2"/>
  <c r="E16" i="2"/>
  <c r="E20" i="2"/>
  <c r="E22" i="2"/>
  <c r="F24" i="2"/>
  <c r="F25" i="2"/>
  <c r="G27" i="2"/>
  <c r="G28" i="2"/>
  <c r="C32" i="2"/>
  <c r="D34" i="2"/>
  <c r="D35" i="2"/>
  <c r="E38" i="2"/>
  <c r="F41" i="2"/>
  <c r="E54" i="2"/>
  <c r="F57" i="2"/>
  <c r="G60" i="2"/>
  <c r="C63" i="2"/>
  <c r="C64" i="2"/>
  <c r="D67" i="2"/>
  <c r="E70" i="2"/>
  <c r="G76" i="2"/>
  <c r="C79" i="2"/>
  <c r="E17" i="2"/>
  <c r="T94" i="1"/>
  <c r="AB106" i="1"/>
  <c r="F105" i="6"/>
  <c r="U108" i="1"/>
  <c r="T108" i="1"/>
  <c r="E10" i="2"/>
  <c r="E12" i="2"/>
  <c r="Y7" i="1"/>
  <c r="Y8" i="1"/>
  <c r="Y11" i="1"/>
  <c r="Y17" i="1"/>
  <c r="Y19" i="1"/>
  <c r="Z20" i="1"/>
  <c r="Y23" i="1"/>
  <c r="Y27" i="1"/>
  <c r="Z28" i="1"/>
  <c r="AA29" i="1"/>
  <c r="Z30" i="1"/>
  <c r="AC31" i="1"/>
  <c r="AA33" i="1"/>
  <c r="AC35" i="1"/>
  <c r="Z38" i="1"/>
  <c r="Y39" i="1"/>
  <c r="AA41" i="1"/>
  <c r="Z42" i="1"/>
  <c r="AB44" i="1"/>
  <c r="AB48" i="1"/>
  <c r="AC51" i="1"/>
  <c r="Z54" i="1"/>
  <c r="Y75" i="1"/>
  <c r="AC75" i="1"/>
  <c r="AB80" i="1"/>
  <c r="AA81" i="1"/>
  <c r="AC82" i="1"/>
  <c r="AC83" i="1"/>
  <c r="Y85" i="1"/>
  <c r="Z86" i="1"/>
  <c r="AA88" i="1"/>
  <c r="AA89" i="1"/>
  <c r="AC90" i="1"/>
  <c r="AC91" i="1"/>
  <c r="Z93" i="1"/>
  <c r="AA103" i="1"/>
  <c r="AA104" i="1"/>
  <c r="F104" i="6"/>
  <c r="W107" i="1"/>
  <c r="U107" i="1"/>
  <c r="V108" i="1"/>
  <c r="C6" i="2"/>
  <c r="D11" i="2"/>
  <c r="E14" i="2"/>
  <c r="D19" i="2"/>
  <c r="G26" i="2"/>
  <c r="G44" i="2"/>
  <c r="C48" i="2"/>
  <c r="D51" i="2"/>
  <c r="F73" i="2"/>
  <c r="C78" i="2"/>
  <c r="L495" i="5"/>
  <c r="L498" i="5"/>
  <c r="Z7" i="1"/>
  <c r="Z8" i="1"/>
  <c r="Z9" i="1"/>
  <c r="Z10" i="1"/>
  <c r="Z11" i="1"/>
  <c r="Z12" i="1"/>
  <c r="Z13" i="1"/>
  <c r="Z14" i="1"/>
  <c r="Z15" i="1"/>
  <c r="Z16" i="1"/>
  <c r="Z17" i="1"/>
  <c r="AA18" i="1"/>
  <c r="AA20" i="1"/>
  <c r="Y22" i="1"/>
  <c r="AC22" i="1"/>
  <c r="Y26" i="1"/>
  <c r="Z27" i="1"/>
  <c r="F18" i="2"/>
  <c r="AA30" i="1"/>
  <c r="E19" i="2"/>
  <c r="D20" i="2"/>
  <c r="AC32" i="1"/>
  <c r="C21" i="2"/>
  <c r="G21" i="2"/>
  <c r="AB33" i="1"/>
  <c r="F22" i="2"/>
  <c r="E23" i="2"/>
  <c r="D24" i="2"/>
  <c r="Y36" i="1"/>
  <c r="AC36" i="1"/>
  <c r="C25" i="2"/>
  <c r="G25" i="2"/>
  <c r="F26" i="2"/>
  <c r="E27" i="2"/>
  <c r="Z39" i="1"/>
  <c r="D28" i="2"/>
  <c r="Y40" i="1"/>
  <c r="C29" i="2"/>
  <c r="G29" i="2"/>
  <c r="F30" i="2"/>
  <c r="AA42" i="1"/>
  <c r="E31" i="2"/>
  <c r="Z43" i="1"/>
  <c r="D32" i="2"/>
  <c r="C33" i="2"/>
  <c r="G33" i="2"/>
  <c r="AB45" i="1"/>
  <c r="F34" i="2"/>
  <c r="AA46" i="1"/>
  <c r="E35" i="2"/>
  <c r="D36" i="2"/>
  <c r="AC48" i="1"/>
  <c r="C37" i="2"/>
  <c r="G37" i="2"/>
  <c r="AB49" i="1"/>
  <c r="F38" i="2"/>
  <c r="E39" i="2"/>
  <c r="D40" i="2"/>
  <c r="Y52" i="1"/>
  <c r="AC52" i="1"/>
  <c r="C41" i="2"/>
  <c r="G41" i="2"/>
  <c r="F42" i="2"/>
  <c r="E43" i="2"/>
  <c r="Z55" i="1"/>
  <c r="D44" i="2"/>
  <c r="Y56" i="1"/>
  <c r="C45" i="2"/>
  <c r="G45" i="2"/>
  <c r="F46" i="2"/>
  <c r="AA58" i="1"/>
  <c r="E47" i="2"/>
  <c r="Z59" i="1"/>
  <c r="D48" i="2"/>
  <c r="C49" i="2"/>
  <c r="G49" i="2"/>
  <c r="AB61" i="1"/>
  <c r="F50" i="2"/>
  <c r="AA62" i="1"/>
  <c r="E51" i="2"/>
  <c r="D52" i="2"/>
  <c r="AC64" i="1"/>
  <c r="C53" i="2"/>
  <c r="G53" i="2"/>
  <c r="AB65" i="1"/>
  <c r="F54" i="2"/>
  <c r="E55" i="2"/>
  <c r="D56" i="2"/>
  <c r="Y68" i="1"/>
  <c r="AC68" i="1"/>
  <c r="C57" i="2"/>
  <c r="G57" i="2"/>
  <c r="F58" i="2"/>
  <c r="E59" i="2"/>
  <c r="Z71" i="1"/>
  <c r="D60" i="2"/>
  <c r="Y72" i="1"/>
  <c r="C61" i="2"/>
  <c r="G61" i="2"/>
  <c r="F62" i="2"/>
  <c r="AA74" i="1"/>
  <c r="E63" i="2"/>
  <c r="Z75" i="1"/>
  <c r="D64" i="2"/>
  <c r="Y76" i="1"/>
  <c r="C65" i="2"/>
  <c r="G65" i="2"/>
  <c r="AB77" i="1"/>
  <c r="F66" i="2"/>
  <c r="AA78" i="1"/>
  <c r="E67" i="2"/>
  <c r="D68" i="2"/>
  <c r="AC80" i="1"/>
  <c r="C69" i="2"/>
  <c r="G69" i="2"/>
  <c r="AC81" i="1"/>
  <c r="Y82" i="1"/>
  <c r="Z83" i="1"/>
  <c r="Y83" i="1"/>
  <c r="D72" i="2"/>
  <c r="Z85" i="1"/>
  <c r="F74" i="2"/>
  <c r="AB86" i="1"/>
  <c r="C77" i="2"/>
  <c r="G77" i="2"/>
  <c r="Y90" i="1"/>
  <c r="Z91" i="1"/>
  <c r="Y91" i="1"/>
  <c r="D80" i="2"/>
  <c r="Z92" i="1"/>
  <c r="N94" i="1"/>
  <c r="O94" i="1" s="1"/>
  <c r="W94" i="1"/>
  <c r="AB102" i="1"/>
  <c r="Y105" i="1"/>
  <c r="F103" i="6"/>
  <c r="U106" i="1"/>
  <c r="T106" i="1"/>
  <c r="V107" i="1"/>
  <c r="W108" i="1"/>
  <c r="E11" i="2"/>
  <c r="C17" i="2"/>
  <c r="C26" i="2"/>
  <c r="F69" i="2"/>
  <c r="G72" i="2"/>
  <c r="D78" i="2"/>
  <c r="D79" i="2"/>
  <c r="E81" i="2"/>
  <c r="D93" i="2"/>
  <c r="L369" i="5"/>
  <c r="L626" i="5"/>
  <c r="Z22" i="1"/>
  <c r="AA27" i="1"/>
  <c r="AB30" i="1"/>
  <c r="AA31" i="1"/>
  <c r="Z32" i="1"/>
  <c r="Y33" i="1"/>
  <c r="AC33" i="1"/>
  <c r="AB34" i="1"/>
  <c r="AA35" i="1"/>
  <c r="Z36" i="1"/>
  <c r="Y37" i="1"/>
  <c r="AC37" i="1"/>
  <c r="AB38" i="1"/>
  <c r="AA39" i="1"/>
  <c r="Z40" i="1"/>
  <c r="Y41" i="1"/>
  <c r="AC41" i="1"/>
  <c r="AB42" i="1"/>
  <c r="AA43" i="1"/>
  <c r="Z44" i="1"/>
  <c r="Y45" i="1"/>
  <c r="AC45" i="1"/>
  <c r="AB46" i="1"/>
  <c r="AA47" i="1"/>
  <c r="Z48" i="1"/>
  <c r="Y49" i="1"/>
  <c r="AC49" i="1"/>
  <c r="AB50" i="1"/>
  <c r="AA51" i="1"/>
  <c r="Z52" i="1"/>
  <c r="Y53" i="1"/>
  <c r="AC53" i="1"/>
  <c r="AB54" i="1"/>
  <c r="AA55" i="1"/>
  <c r="Z56" i="1"/>
  <c r="Y57" i="1"/>
  <c r="AC57" i="1"/>
  <c r="AB58" i="1"/>
  <c r="AA59" i="1"/>
  <c r="Z60" i="1"/>
  <c r="Y61" i="1"/>
  <c r="AC61" i="1"/>
  <c r="AB62" i="1"/>
  <c r="AA63" i="1"/>
  <c r="Z64" i="1"/>
  <c r="Y65" i="1"/>
  <c r="AC65" i="1"/>
  <c r="AB66" i="1"/>
  <c r="AA67" i="1"/>
  <c r="Z68" i="1"/>
  <c r="Y69" i="1"/>
  <c r="AC69" i="1"/>
  <c r="AB70" i="1"/>
  <c r="AA71" i="1"/>
  <c r="Z72" i="1"/>
  <c r="Y73" i="1"/>
  <c r="AC73" i="1"/>
  <c r="AB74" i="1"/>
  <c r="AA75" i="1"/>
  <c r="Z76" i="1"/>
  <c r="Y77" i="1"/>
  <c r="AC77" i="1"/>
  <c r="AB78" i="1"/>
  <c r="AA79" i="1"/>
  <c r="Z80" i="1"/>
  <c r="Y81" i="1"/>
  <c r="O82" i="1"/>
  <c r="AA82" i="1"/>
  <c r="E71" i="2"/>
  <c r="AA83" i="1"/>
  <c r="AB85" i="1"/>
  <c r="Y88" i="1"/>
  <c r="AC88" i="1"/>
  <c r="Y89" i="1"/>
  <c r="O90" i="1"/>
  <c r="AA90" i="1"/>
  <c r="E79" i="2"/>
  <c r="C81" i="2"/>
  <c r="G81" i="2"/>
  <c r="AC93" i="1"/>
  <c r="X94" i="1"/>
  <c r="H95" i="1"/>
  <c r="Y103" i="1"/>
  <c r="AC103" i="1"/>
  <c r="D92" i="2"/>
  <c r="O105" i="1"/>
  <c r="AA105" i="1"/>
  <c r="V106" i="1"/>
  <c r="X107" i="1"/>
  <c r="X108" i="1"/>
  <c r="H109" i="1"/>
  <c r="C72" i="2"/>
  <c r="D75" i="2"/>
  <c r="E78" i="2"/>
  <c r="F80" i="2"/>
  <c r="F81" i="2"/>
  <c r="D90" i="2"/>
  <c r="D91" i="2"/>
  <c r="E93" i="2"/>
  <c r="L433" i="5"/>
  <c r="T92" i="1"/>
  <c r="X92" i="1"/>
  <c r="D92" i="5"/>
  <c r="C93" i="5"/>
  <c r="K89" i="6"/>
  <c r="C88" i="7" s="1"/>
  <c r="J3" i="6"/>
  <c r="B2" i="7" s="1"/>
  <c r="M5" i="6"/>
  <c r="M9" i="6"/>
  <c r="M13" i="6"/>
  <c r="L16" i="6"/>
  <c r="D15" i="7" s="1"/>
  <c r="L18" i="6"/>
  <c r="D17" i="7" s="1"/>
  <c r="L20" i="6"/>
  <c r="D19" i="7" s="1"/>
  <c r="L22" i="6"/>
  <c r="D21" i="7" s="1"/>
  <c r="L24" i="6"/>
  <c r="D23" i="7" s="1"/>
  <c r="L26" i="6"/>
  <c r="D25" i="7" s="1"/>
  <c r="L28" i="6"/>
  <c r="D27" i="7" s="1"/>
  <c r="M31" i="6"/>
  <c r="K38" i="6"/>
  <c r="C37" i="7" s="1"/>
  <c r="K39" i="6"/>
  <c r="C38" i="7" s="1"/>
  <c r="K46" i="6"/>
  <c r="C45" i="7" s="1"/>
  <c r="K47" i="6"/>
  <c r="C46" i="7" s="1"/>
  <c r="K54" i="6"/>
  <c r="C53" i="7" s="1"/>
  <c r="K55" i="6"/>
  <c r="C54" i="7" s="1"/>
  <c r="K62" i="6"/>
  <c r="C61" i="7" s="1"/>
  <c r="K63" i="6"/>
  <c r="C62" i="7" s="1"/>
  <c r="K70" i="6"/>
  <c r="C69" i="7" s="1"/>
  <c r="K71" i="6"/>
  <c r="C70" i="7" s="1"/>
  <c r="K78" i="6"/>
  <c r="C77" i="7" s="1"/>
  <c r="K79" i="6"/>
  <c r="C78" i="7" s="1"/>
  <c r="L82" i="6"/>
  <c r="D81" i="7" s="1"/>
  <c r="K86" i="6"/>
  <c r="C85" i="7" s="1"/>
  <c r="K90" i="6"/>
  <c r="C89" i="7" s="1"/>
  <c r="L100" i="6"/>
  <c r="D99" i="7" s="1"/>
  <c r="K101" i="6"/>
  <c r="C100" i="7" s="1"/>
  <c r="K102" i="6"/>
  <c r="C101" i="7" s="1"/>
  <c r="K104" i="6"/>
  <c r="C103" i="7" s="1"/>
  <c r="J108" i="6"/>
  <c r="B107" i="7" s="1"/>
  <c r="K109" i="6"/>
  <c r="C108" i="7" s="1"/>
  <c r="L113" i="6"/>
  <c r="D112" i="7" s="1"/>
  <c r="L114" i="6"/>
  <c r="D113" i="7" s="1"/>
  <c r="K115" i="6"/>
  <c r="C114" i="7" s="1"/>
  <c r="K118" i="6"/>
  <c r="C117" i="7" s="1"/>
  <c r="J119" i="6"/>
  <c r="B118" i="7" s="1"/>
  <c r="J124" i="6"/>
  <c r="B123" i="7" s="1"/>
  <c r="K125" i="6"/>
  <c r="C124" i="7" s="1"/>
  <c r="L129" i="6"/>
  <c r="D128" i="7" s="1"/>
  <c r="L130" i="6"/>
  <c r="D129" i="7" s="1"/>
  <c r="K131" i="6"/>
  <c r="C130" i="7" s="1"/>
  <c r="K134" i="6"/>
  <c r="C133" i="7" s="1"/>
  <c r="J135" i="6"/>
  <c r="B134" i="7" s="1"/>
  <c r="L141" i="6"/>
  <c r="D140" i="7" s="1"/>
  <c r="J4" i="6"/>
  <c r="B3" i="7" s="1"/>
  <c r="M6" i="6"/>
  <c r="J8" i="6"/>
  <c r="B7" i="7" s="1"/>
  <c r="M10" i="6"/>
  <c r="J12" i="6"/>
  <c r="B11" i="7" s="1"/>
  <c r="M14" i="6"/>
  <c r="K15" i="6"/>
  <c r="C14" i="7" s="1"/>
  <c r="J30" i="6"/>
  <c r="B29" i="7" s="1"/>
  <c r="J31" i="6"/>
  <c r="B30" i="7" s="1"/>
  <c r="J35" i="6"/>
  <c r="B34" i="7" s="1"/>
  <c r="M35" i="6"/>
  <c r="K36" i="6"/>
  <c r="C35" i="7" s="1"/>
  <c r="J36" i="6"/>
  <c r="B35" i="7" s="1"/>
  <c r="K37" i="6"/>
  <c r="C36" i="7" s="1"/>
  <c r="L38" i="6"/>
  <c r="D37" i="7" s="1"/>
  <c r="J43" i="6"/>
  <c r="B42" i="7" s="1"/>
  <c r="M43" i="6"/>
  <c r="K44" i="6"/>
  <c r="C43" i="7" s="1"/>
  <c r="J44" i="6"/>
  <c r="B43" i="7" s="1"/>
  <c r="K45" i="6"/>
  <c r="C44" i="7" s="1"/>
  <c r="L46" i="6"/>
  <c r="D45" i="7" s="1"/>
  <c r="J51" i="6"/>
  <c r="B50" i="7" s="1"/>
  <c r="M51" i="6"/>
  <c r="K52" i="6"/>
  <c r="C51" i="7" s="1"/>
  <c r="J52" i="6"/>
  <c r="B51" i="7" s="1"/>
  <c r="K53" i="6"/>
  <c r="C52" i="7" s="1"/>
  <c r="L54" i="6"/>
  <c r="D53" i="7" s="1"/>
  <c r="J59" i="6"/>
  <c r="B58" i="7" s="1"/>
  <c r="M59" i="6"/>
  <c r="K60" i="6"/>
  <c r="C59" i="7" s="1"/>
  <c r="J60" i="6"/>
  <c r="B59" i="7" s="1"/>
  <c r="K61" i="6"/>
  <c r="C60" i="7" s="1"/>
  <c r="L64" i="6"/>
  <c r="D63" i="7" s="1"/>
  <c r="M67" i="6"/>
  <c r="K68" i="6"/>
  <c r="C67" i="7" s="1"/>
  <c r="J68" i="6"/>
  <c r="B67" i="7" s="1"/>
  <c r="K69" i="6"/>
  <c r="C68" i="7" s="1"/>
  <c r="L72" i="6"/>
  <c r="D71" i="7" s="1"/>
  <c r="M75" i="6"/>
  <c r="K76" i="6"/>
  <c r="C75" i="7" s="1"/>
  <c r="J76" i="6"/>
  <c r="B75" i="7" s="1"/>
  <c r="K77" i="6"/>
  <c r="C76" i="7" s="1"/>
  <c r="L80" i="6"/>
  <c r="D79" i="7" s="1"/>
  <c r="M83" i="6"/>
  <c r="K84" i="6"/>
  <c r="C83" i="7" s="1"/>
  <c r="J84" i="6"/>
  <c r="B83" i="7" s="1"/>
  <c r="K85" i="6"/>
  <c r="C84" i="7" s="1"/>
  <c r="L86" i="6"/>
  <c r="D85" i="7" s="1"/>
  <c r="K87" i="6"/>
  <c r="C86" i="7" s="1"/>
  <c r="J87" i="6"/>
  <c r="B86" i="7" s="1"/>
  <c r="L99" i="6"/>
  <c r="D98" i="7" s="1"/>
  <c r="L101" i="6"/>
  <c r="D100" i="7" s="1"/>
  <c r="K103" i="6"/>
  <c r="C102" i="7" s="1"/>
  <c r="L104" i="6"/>
  <c r="D103" i="7" s="1"/>
  <c r="K113" i="6"/>
  <c r="C112" i="7" s="1"/>
  <c r="L117" i="6"/>
  <c r="D116" i="7" s="1"/>
  <c r="L118" i="6"/>
  <c r="D117" i="7" s="1"/>
  <c r="K119" i="6"/>
  <c r="C118" i="7" s="1"/>
  <c r="K122" i="6"/>
  <c r="C121" i="7" s="1"/>
  <c r="J123" i="6"/>
  <c r="B122" i="7" s="1"/>
  <c r="K129" i="6"/>
  <c r="C128" i="7" s="1"/>
  <c r="L133" i="6"/>
  <c r="D132" i="7" s="1"/>
  <c r="L134" i="6"/>
  <c r="D133" i="7" s="1"/>
  <c r="K135" i="6"/>
  <c r="C134" i="7" s="1"/>
  <c r="K138" i="6"/>
  <c r="C137" i="7" s="1"/>
  <c r="J139" i="6"/>
  <c r="B138" i="7" s="1"/>
  <c r="K140" i="6"/>
  <c r="C139" i="7" s="1"/>
  <c r="B15" i="6"/>
  <c r="A14" i="7" s="1"/>
  <c r="L15" i="6"/>
  <c r="D14" i="7" s="1"/>
  <c r="L30" i="6"/>
  <c r="D29" i="7" s="1"/>
  <c r="J32" i="6"/>
  <c r="B31" i="7" s="1"/>
  <c r="J33" i="6"/>
  <c r="B32" i="7" s="1"/>
  <c r="M33" i="6"/>
  <c r="K34" i="6"/>
  <c r="C33" i="7" s="1"/>
  <c r="J34" i="6"/>
  <c r="B33" i="7" s="1"/>
  <c r="L36" i="6"/>
  <c r="D35" i="7" s="1"/>
  <c r="J41" i="6"/>
  <c r="B40" i="7" s="1"/>
  <c r="M41" i="6"/>
  <c r="K42" i="6"/>
  <c r="C41" i="7" s="1"/>
  <c r="J42" i="6"/>
  <c r="B41" i="7" s="1"/>
  <c r="L44" i="6"/>
  <c r="D43" i="7" s="1"/>
  <c r="J49" i="6"/>
  <c r="B48" i="7" s="1"/>
  <c r="M49" i="6"/>
  <c r="K50" i="6"/>
  <c r="C49" i="7" s="1"/>
  <c r="J50" i="6"/>
  <c r="B49" i="7" s="1"/>
  <c r="L52" i="6"/>
  <c r="D51" i="7" s="1"/>
  <c r="J57" i="6"/>
  <c r="B56" i="7" s="1"/>
  <c r="M57" i="6"/>
  <c r="K58" i="6"/>
  <c r="C57" i="7" s="1"/>
  <c r="J58" i="6"/>
  <c r="B57" i="7" s="1"/>
  <c r="L60" i="6"/>
  <c r="D59" i="7" s="1"/>
  <c r="L62" i="6"/>
  <c r="D61" i="7" s="1"/>
  <c r="J63" i="6"/>
  <c r="B62" i="7" s="1"/>
  <c r="M65" i="6"/>
  <c r="K66" i="6"/>
  <c r="C65" i="7" s="1"/>
  <c r="J66" i="6"/>
  <c r="B65" i="7" s="1"/>
  <c r="K67" i="6"/>
  <c r="C66" i="7" s="1"/>
  <c r="L70" i="6"/>
  <c r="D69" i="7" s="1"/>
  <c r="J71" i="6"/>
  <c r="B70" i="7" s="1"/>
  <c r="M73" i="6"/>
  <c r="K74" i="6"/>
  <c r="C73" i="7" s="1"/>
  <c r="J74" i="6"/>
  <c r="B73" i="7" s="1"/>
  <c r="K75" i="6"/>
  <c r="C74" i="7" s="1"/>
  <c r="L78" i="6"/>
  <c r="D77" i="7" s="1"/>
  <c r="J79" i="6"/>
  <c r="B78" i="7" s="1"/>
  <c r="M81" i="6"/>
  <c r="K82" i="6"/>
  <c r="C81" i="7" s="1"/>
  <c r="J82" i="6"/>
  <c r="B81" i="7" s="1"/>
  <c r="K83" i="6"/>
  <c r="C82" i="7" s="1"/>
  <c r="M87" i="6"/>
  <c r="L88" i="6"/>
  <c r="D87" i="7" s="1"/>
  <c r="L90" i="6"/>
  <c r="D89" i="7" s="1"/>
  <c r="M91" i="6"/>
  <c r="J100" i="6"/>
  <c r="B99" i="7" s="1"/>
  <c r="L102" i="6"/>
  <c r="D101" i="7" s="1"/>
  <c r="B103" i="6"/>
  <c r="A102" i="7" s="1"/>
  <c r="J103" i="6"/>
  <c r="B102" i="7" s="1"/>
  <c r="L105" i="6"/>
  <c r="D104" i="7" s="1"/>
  <c r="K110" i="6"/>
  <c r="C109" i="7" s="1"/>
  <c r="J111" i="6"/>
  <c r="B110" i="7" s="1"/>
  <c r="K117" i="6"/>
  <c r="C116" i="7" s="1"/>
  <c r="B120" i="6"/>
  <c r="A119" i="7" s="1"/>
  <c r="J121" i="6"/>
  <c r="B120" i="7" s="1"/>
  <c r="L121" i="6"/>
  <c r="D120" i="7" s="1"/>
  <c r="L122" i="6"/>
  <c r="D121" i="7" s="1"/>
  <c r="K123" i="6"/>
  <c r="C122" i="7" s="1"/>
  <c r="K126" i="6"/>
  <c r="C125" i="7" s="1"/>
  <c r="J127" i="6"/>
  <c r="B126" i="7" s="1"/>
  <c r="K133" i="6"/>
  <c r="C132" i="7" s="1"/>
  <c r="B136" i="6"/>
  <c r="A135" i="7" s="1"/>
  <c r="J137" i="6"/>
  <c r="B136" i="7" s="1"/>
  <c r="L137" i="6"/>
  <c r="D136" i="7" s="1"/>
  <c r="L138" i="6"/>
  <c r="D137" i="7" s="1"/>
  <c r="K145" i="6"/>
  <c r="C144" i="7" s="1"/>
  <c r="J156" i="6"/>
  <c r="B155" i="7" s="1"/>
  <c r="J161" i="6"/>
  <c r="B160" i="7" s="1"/>
  <c r="J177" i="6"/>
  <c r="B176" i="7" s="1"/>
  <c r="J182" i="6"/>
  <c r="B181" i="7" s="1"/>
  <c r="J178" i="6"/>
  <c r="B177" i="7" s="1"/>
  <c r="J174" i="6"/>
  <c r="B173" i="7" s="1"/>
  <c r="J170" i="6"/>
  <c r="B169" i="7" s="1"/>
  <c r="J166" i="6"/>
  <c r="B165" i="7" s="1"/>
  <c r="J162" i="6"/>
  <c r="B161" i="7" s="1"/>
  <c r="J158" i="6"/>
  <c r="B157" i="7" s="1"/>
  <c r="J154" i="6"/>
  <c r="B153" i="7" s="1"/>
  <c r="J150" i="6"/>
  <c r="B149" i="7" s="1"/>
  <c r="J146" i="6"/>
  <c r="B145" i="7" s="1"/>
  <c r="L32" i="6"/>
  <c r="D31" i="7" s="1"/>
  <c r="L34" i="6"/>
  <c r="D33" i="7" s="1"/>
  <c r="J39" i="6"/>
  <c r="B38" i="7" s="1"/>
  <c r="M39" i="6"/>
  <c r="K40" i="6"/>
  <c r="C39" i="7" s="1"/>
  <c r="J40" i="6"/>
  <c r="B39" i="7" s="1"/>
  <c r="L42" i="6"/>
  <c r="D41" i="7" s="1"/>
  <c r="J47" i="6"/>
  <c r="B46" i="7" s="1"/>
  <c r="M47" i="6"/>
  <c r="K48" i="6"/>
  <c r="C47" i="7" s="1"/>
  <c r="J48" i="6"/>
  <c r="B47" i="7" s="1"/>
  <c r="L50" i="6"/>
  <c r="D49" i="7" s="1"/>
  <c r="J55" i="6"/>
  <c r="B54" i="7" s="1"/>
  <c r="M55" i="6"/>
  <c r="K56" i="6"/>
  <c r="C55" i="7" s="1"/>
  <c r="J56" i="6"/>
  <c r="B55" i="7" s="1"/>
  <c r="L58" i="6"/>
  <c r="D57" i="7" s="1"/>
  <c r="M63" i="6"/>
  <c r="K64" i="6"/>
  <c r="C63" i="7" s="1"/>
  <c r="J64" i="6"/>
  <c r="B63" i="7" s="1"/>
  <c r="K65" i="6"/>
  <c r="C64" i="7" s="1"/>
  <c r="L68" i="6"/>
  <c r="D67" i="7" s="1"/>
  <c r="J69" i="6"/>
  <c r="B68" i="7" s="1"/>
  <c r="M71" i="6"/>
  <c r="K72" i="6"/>
  <c r="C71" i="7" s="1"/>
  <c r="J72" i="6"/>
  <c r="B71" i="7" s="1"/>
  <c r="K73" i="6"/>
  <c r="C72" i="7" s="1"/>
  <c r="L76" i="6"/>
  <c r="D75" i="7" s="1"/>
  <c r="J77" i="6"/>
  <c r="B76" i="7" s="1"/>
  <c r="M79" i="6"/>
  <c r="K80" i="6"/>
  <c r="C79" i="7" s="1"/>
  <c r="J80" i="6"/>
  <c r="B79" i="7" s="1"/>
  <c r="K81" i="6"/>
  <c r="C80" i="7" s="1"/>
  <c r="L84" i="6"/>
  <c r="D83" i="7" s="1"/>
  <c r="J85" i="6"/>
  <c r="B84" i="7" s="1"/>
  <c r="M86" i="6"/>
  <c r="L87" i="6"/>
  <c r="D86" i="7" s="1"/>
  <c r="M88" i="6"/>
  <c r="L89" i="6"/>
  <c r="D88" i="7" s="1"/>
  <c r="M90" i="6"/>
  <c r="K99" i="6"/>
  <c r="C98" i="7" s="1"/>
  <c r="J99" i="6"/>
  <c r="B98" i="7" s="1"/>
  <c r="J104" i="6"/>
  <c r="B103" i="7" s="1"/>
  <c r="J109" i="6"/>
  <c r="B108" i="7" s="1"/>
  <c r="L109" i="6"/>
  <c r="D108" i="7" s="1"/>
  <c r="L110" i="6"/>
  <c r="D109" i="7" s="1"/>
  <c r="K111" i="6"/>
  <c r="C110" i="7" s="1"/>
  <c r="K114" i="6"/>
  <c r="C113" i="7" s="1"/>
  <c r="J115" i="6"/>
  <c r="B114" i="7" s="1"/>
  <c r="K121" i="6"/>
  <c r="C120" i="7" s="1"/>
  <c r="J125" i="6"/>
  <c r="B124" i="7" s="1"/>
  <c r="L126" i="6"/>
  <c r="D125" i="7" s="1"/>
  <c r="K127" i="6"/>
  <c r="C126" i="7" s="1"/>
  <c r="K130" i="6"/>
  <c r="C129" i="7" s="1"/>
  <c r="J131" i="6"/>
  <c r="B130" i="7" s="1"/>
  <c r="K137" i="6"/>
  <c r="C136" i="7" s="1"/>
  <c r="J142" i="6"/>
  <c r="B141" i="7" s="1"/>
  <c r="L143" i="6"/>
  <c r="D142" i="7" s="1"/>
  <c r="J144" i="6"/>
  <c r="B143" i="7" s="1"/>
  <c r="L145" i="6"/>
  <c r="D144" i="7" s="1"/>
  <c r="J152" i="6"/>
  <c r="B151" i="7" s="1"/>
  <c r="J157" i="6"/>
  <c r="B156" i="7" s="1"/>
  <c r="J168" i="6"/>
  <c r="B167" i="7" s="1"/>
  <c r="J173" i="6"/>
  <c r="B172" i="7" s="1"/>
  <c r="L103" i="6"/>
  <c r="D102" i="7" s="1"/>
  <c r="B104" i="6"/>
  <c r="A103" i="7" s="1"/>
  <c r="J105" i="6"/>
  <c r="B104" i="7" s="1"/>
  <c r="K108" i="6"/>
  <c r="C107" i="7" s="1"/>
  <c r="J110" i="6"/>
  <c r="B109" i="7" s="1"/>
  <c r="K112" i="6"/>
  <c r="C111" i="7" s="1"/>
  <c r="J114" i="6"/>
  <c r="B113" i="7" s="1"/>
  <c r="K116" i="6"/>
  <c r="C115" i="7" s="1"/>
  <c r="J118" i="6"/>
  <c r="B117" i="7" s="1"/>
  <c r="K120" i="6"/>
  <c r="C119" i="7" s="1"/>
  <c r="J122" i="6"/>
  <c r="B121" i="7" s="1"/>
  <c r="K124" i="6"/>
  <c r="C123" i="7" s="1"/>
  <c r="J126" i="6"/>
  <c r="B125" i="7" s="1"/>
  <c r="K128" i="6"/>
  <c r="C127" i="7" s="1"/>
  <c r="J130" i="6"/>
  <c r="B129" i="7" s="1"/>
  <c r="K132" i="6"/>
  <c r="C131" i="7" s="1"/>
  <c r="J134" i="6"/>
  <c r="B133" i="7" s="1"/>
  <c r="K136" i="6"/>
  <c r="C135" i="7" s="1"/>
  <c r="J138" i="6"/>
  <c r="B137" i="7" s="1"/>
  <c r="K139" i="6"/>
  <c r="C138" i="7" s="1"/>
  <c r="L140" i="6"/>
  <c r="D139" i="7" s="1"/>
  <c r="J141" i="6"/>
  <c r="B140" i="7" s="1"/>
  <c r="L142" i="6"/>
  <c r="D141" i="7" s="1"/>
  <c r="J143" i="6"/>
  <c r="B142" i="7" s="1"/>
  <c r="K144" i="6"/>
  <c r="C143" i="7" s="1"/>
  <c r="K88" i="6"/>
  <c r="C87" i="7" s="1"/>
  <c r="M89" i="6"/>
  <c r="K100" i="6"/>
  <c r="C99" i="7" s="1"/>
  <c r="J101" i="6"/>
  <c r="B100" i="7" s="1"/>
  <c r="K105" i="6"/>
  <c r="C104" i="7" s="1"/>
  <c r="L108" i="6"/>
  <c r="D107" i="7" s="1"/>
  <c r="L111" i="6"/>
  <c r="D110" i="7" s="1"/>
  <c r="L112" i="6"/>
  <c r="D111" i="7" s="1"/>
  <c r="L115" i="6"/>
  <c r="D114" i="7" s="1"/>
  <c r="L116" i="6"/>
  <c r="D115" i="7" s="1"/>
  <c r="L119" i="6"/>
  <c r="D118" i="7" s="1"/>
  <c r="L120" i="6"/>
  <c r="D119" i="7" s="1"/>
  <c r="L123" i="6"/>
  <c r="D122" i="7" s="1"/>
  <c r="L124" i="6"/>
  <c r="D123" i="7" s="1"/>
  <c r="L127" i="6"/>
  <c r="D126" i="7" s="1"/>
  <c r="L128" i="6"/>
  <c r="D127" i="7" s="1"/>
  <c r="L131" i="6"/>
  <c r="D130" i="7" s="1"/>
  <c r="L132" i="6"/>
  <c r="D131" i="7" s="1"/>
  <c r="L135" i="6"/>
  <c r="D134" i="7" s="1"/>
  <c r="L136" i="6"/>
  <c r="D135" i="7" s="1"/>
  <c r="L139" i="6"/>
  <c r="D138" i="7" s="1"/>
  <c r="K141" i="6"/>
  <c r="C140" i="7" s="1"/>
  <c r="K143" i="6"/>
  <c r="C142" i="7" s="1"/>
  <c r="L144" i="6"/>
  <c r="D143" i="7" s="1"/>
  <c r="J145" i="6"/>
  <c r="B144" i="7" s="1"/>
  <c r="J147" i="6"/>
  <c r="B146" i="7" s="1"/>
  <c r="J151" i="6"/>
  <c r="B150" i="7" s="1"/>
  <c r="J155" i="6"/>
  <c r="B154" i="7" s="1"/>
  <c r="J159" i="6"/>
  <c r="B158" i="7" s="1"/>
  <c r="J163" i="6"/>
  <c r="B162" i="7" s="1"/>
  <c r="J167" i="6"/>
  <c r="B166" i="7" s="1"/>
  <c r="J171" i="6"/>
  <c r="B170" i="7" s="1"/>
  <c r="J175" i="6"/>
  <c r="B174" i="7" s="1"/>
  <c r="J179" i="6"/>
  <c r="B178" i="7" s="1"/>
  <c r="J183" i="6"/>
  <c r="B182" i="7" s="1"/>
  <c r="B102" i="6"/>
  <c r="A101" i="7" s="1"/>
  <c r="B106" i="6"/>
  <c r="A105" i="7" s="1"/>
  <c r="B110" i="6"/>
  <c r="A109" i="7" s="1"/>
  <c r="B114" i="6"/>
  <c r="A113" i="7" s="1"/>
  <c r="B118" i="6"/>
  <c r="A117" i="7" s="1"/>
  <c r="B122" i="6"/>
  <c r="A121" i="7" s="1"/>
  <c r="B126" i="6"/>
  <c r="A125" i="7" s="1"/>
  <c r="B130" i="6"/>
  <c r="A129" i="7" s="1"/>
  <c r="B134" i="6"/>
  <c r="A133" i="7" s="1"/>
  <c r="B138" i="6"/>
  <c r="A137" i="7" s="1"/>
  <c r="B142" i="6"/>
  <c r="A141" i="7" s="1"/>
  <c r="F386" i="4" l="1"/>
  <c r="C386" i="4"/>
  <c r="AB107" i="1"/>
  <c r="G174" i="3"/>
  <c r="F174" i="3"/>
  <c r="F277" i="3"/>
  <c r="G277" i="3"/>
  <c r="F374" i="3"/>
  <c r="G374" i="3"/>
  <c r="G274" i="3"/>
  <c r="F274" i="3"/>
  <c r="G112" i="3"/>
  <c r="F112" i="3"/>
  <c r="G190" i="3"/>
  <c r="F190" i="3"/>
  <c r="G307" i="3"/>
  <c r="F307" i="3"/>
  <c r="F389" i="3"/>
  <c r="G389" i="3"/>
  <c r="G187" i="3"/>
  <c r="F187" i="3"/>
  <c r="F302" i="3"/>
  <c r="G302" i="3"/>
  <c r="G19" i="3"/>
  <c r="F19" i="3"/>
  <c r="G41" i="3"/>
  <c r="F41" i="3"/>
  <c r="G54" i="3"/>
  <c r="F54" i="3"/>
  <c r="G67" i="3"/>
  <c r="F67" i="3"/>
  <c r="G84" i="3"/>
  <c r="F84" i="3"/>
  <c r="G136" i="3"/>
  <c r="F136" i="3"/>
  <c r="G171" i="3"/>
  <c r="F171" i="3"/>
  <c r="G205" i="3"/>
  <c r="F205" i="3"/>
  <c r="G240" i="3"/>
  <c r="F240" i="3"/>
  <c r="F292" i="3"/>
  <c r="G292" i="3"/>
  <c r="G345" i="3"/>
  <c r="F345" i="3"/>
  <c r="F386" i="3"/>
  <c r="G386" i="3"/>
  <c r="F363" i="3"/>
  <c r="G363" i="3"/>
  <c r="F47" i="4"/>
  <c r="C47" i="4"/>
  <c r="F143" i="4"/>
  <c r="C143" i="4"/>
  <c r="C240" i="4"/>
  <c r="F240" i="4"/>
  <c r="C18" i="4"/>
  <c r="F18" i="4"/>
  <c r="C156" i="4"/>
  <c r="F156" i="4"/>
  <c r="C87" i="4"/>
  <c r="F87" i="4"/>
  <c r="C287" i="4"/>
  <c r="F287" i="4"/>
  <c r="C49" i="4"/>
  <c r="F49" i="4"/>
  <c r="F133" i="4"/>
  <c r="C133" i="4"/>
  <c r="F230" i="4"/>
  <c r="C230" i="4"/>
  <c r="F376" i="4"/>
  <c r="C376" i="4"/>
  <c r="F77" i="4"/>
  <c r="C77" i="4"/>
  <c r="F216" i="4"/>
  <c r="C216" i="4"/>
  <c r="C312" i="4"/>
  <c r="F312" i="4"/>
  <c r="F34" i="4"/>
  <c r="C34" i="4"/>
  <c r="F78" i="4"/>
  <c r="C78" i="4"/>
  <c r="C123" i="4"/>
  <c r="F123" i="4"/>
  <c r="C192" i="4"/>
  <c r="F192" i="4"/>
  <c r="F242" i="4"/>
  <c r="C242" i="4"/>
  <c r="C336" i="4"/>
  <c r="F336" i="4"/>
  <c r="F21" i="4"/>
  <c r="C21" i="4"/>
  <c r="F90" i="4"/>
  <c r="C90" i="4"/>
  <c r="F159" i="4"/>
  <c r="C159" i="4"/>
  <c r="C248" i="4"/>
  <c r="F248" i="4"/>
  <c r="C273" i="4"/>
  <c r="F273" i="4"/>
  <c r="C339" i="4"/>
  <c r="F339" i="4"/>
  <c r="F360" i="4"/>
  <c r="C360" i="4"/>
  <c r="F46" i="4"/>
  <c r="C46" i="4"/>
  <c r="F115" i="4"/>
  <c r="C115" i="4"/>
  <c r="F167" i="4"/>
  <c r="C167" i="4"/>
  <c r="F254" i="4"/>
  <c r="C254" i="4"/>
  <c r="C337" i="4"/>
  <c r="F337" i="4"/>
  <c r="Y108" i="1"/>
  <c r="F137" i="3"/>
  <c r="G137" i="3"/>
  <c r="G157" i="3"/>
  <c r="F157" i="3"/>
  <c r="G182" i="3"/>
  <c r="F182" i="3"/>
  <c r="F207" i="3"/>
  <c r="G207" i="3"/>
  <c r="G226" i="3"/>
  <c r="F226" i="3"/>
  <c r="F259" i="3"/>
  <c r="G259" i="3"/>
  <c r="G281" i="3"/>
  <c r="F281" i="3"/>
  <c r="F306" i="3"/>
  <c r="G306" i="3"/>
  <c r="G326" i="3"/>
  <c r="F326" i="3"/>
  <c r="G348" i="3"/>
  <c r="F348" i="3"/>
  <c r="F380" i="3"/>
  <c r="G380" i="3"/>
  <c r="G105" i="3"/>
  <c r="F105" i="3"/>
  <c r="G109" i="3"/>
  <c r="F109" i="3"/>
  <c r="G144" i="3"/>
  <c r="F144" i="3"/>
  <c r="G196" i="3"/>
  <c r="F196" i="3"/>
  <c r="G248" i="3"/>
  <c r="F248" i="3"/>
  <c r="G286" i="3"/>
  <c r="F286" i="3"/>
  <c r="G320" i="3"/>
  <c r="F320" i="3"/>
  <c r="G361" i="3"/>
  <c r="F361" i="3"/>
  <c r="F392" i="3"/>
  <c r="G392" i="3"/>
  <c r="G130" i="3"/>
  <c r="F130" i="3"/>
  <c r="G151" i="3"/>
  <c r="F151" i="3"/>
  <c r="F194" i="3"/>
  <c r="G194" i="3"/>
  <c r="G238" i="3"/>
  <c r="F238" i="3"/>
  <c r="G295" i="3"/>
  <c r="F295" i="3"/>
  <c r="F394" i="3"/>
  <c r="G394" i="3"/>
  <c r="G104" i="3"/>
  <c r="F104" i="3"/>
  <c r="F129" i="3"/>
  <c r="G129" i="3"/>
  <c r="F148" i="3"/>
  <c r="G148" i="3"/>
  <c r="G173" i="3"/>
  <c r="F173" i="3"/>
  <c r="F198" i="3"/>
  <c r="G198" i="3"/>
  <c r="F217" i="3"/>
  <c r="G217" i="3"/>
  <c r="G242" i="3"/>
  <c r="F242" i="3"/>
  <c r="G266" i="3"/>
  <c r="F266" i="3"/>
  <c r="G290" i="3"/>
  <c r="F290" i="3"/>
  <c r="F315" i="3"/>
  <c r="G315" i="3"/>
  <c r="F334" i="3"/>
  <c r="G334" i="3"/>
  <c r="G353" i="3"/>
  <c r="F353" i="3"/>
  <c r="F369" i="3"/>
  <c r="G369" i="3"/>
  <c r="G125" i="3"/>
  <c r="F125" i="3"/>
  <c r="F150" i="3"/>
  <c r="G150" i="3"/>
  <c r="G170" i="3"/>
  <c r="F170" i="3"/>
  <c r="G195" i="3"/>
  <c r="F195" i="3"/>
  <c r="F220" i="3"/>
  <c r="G220" i="3"/>
  <c r="G239" i="3"/>
  <c r="F239" i="3"/>
  <c r="G264" i="3"/>
  <c r="F264" i="3"/>
  <c r="F285" i="3"/>
  <c r="G285" i="3"/>
  <c r="G304" i="3"/>
  <c r="F304" i="3"/>
  <c r="G329" i="3"/>
  <c r="F329" i="3"/>
  <c r="F365" i="3"/>
  <c r="G365" i="3"/>
  <c r="F393" i="3"/>
  <c r="G393" i="3"/>
  <c r="F20" i="3"/>
  <c r="G20" i="3"/>
  <c r="F25" i="3"/>
  <c r="G25" i="3"/>
  <c r="F29" i="3"/>
  <c r="G29" i="3"/>
  <c r="F33" i="3"/>
  <c r="G33" i="3"/>
  <c r="F38" i="3"/>
  <c r="G38" i="3"/>
  <c r="F42" i="3"/>
  <c r="G42" i="3"/>
  <c r="F46" i="3"/>
  <c r="G46" i="3"/>
  <c r="F51" i="3"/>
  <c r="G51" i="3"/>
  <c r="F55" i="3"/>
  <c r="G55" i="3"/>
  <c r="F59" i="3"/>
  <c r="G59" i="3"/>
  <c r="F64" i="3"/>
  <c r="G64" i="3"/>
  <c r="F68" i="3"/>
  <c r="G68" i="3"/>
  <c r="F72" i="3"/>
  <c r="G72" i="3"/>
  <c r="F77" i="3"/>
  <c r="G77" i="3"/>
  <c r="F81" i="3"/>
  <c r="G81" i="3"/>
  <c r="F85" i="3"/>
  <c r="G85" i="3"/>
  <c r="F106" i="3"/>
  <c r="G106" i="3"/>
  <c r="F123" i="3"/>
  <c r="G123" i="3"/>
  <c r="F140" i="3"/>
  <c r="G140" i="3"/>
  <c r="F158" i="3"/>
  <c r="G158" i="3"/>
  <c r="F175" i="3"/>
  <c r="G175" i="3"/>
  <c r="F192" i="3"/>
  <c r="G192" i="3"/>
  <c r="F210" i="3"/>
  <c r="G210" i="3"/>
  <c r="F227" i="3"/>
  <c r="G227" i="3"/>
  <c r="F244" i="3"/>
  <c r="G244" i="3"/>
  <c r="F262" i="3"/>
  <c r="G262" i="3"/>
  <c r="G279" i="3"/>
  <c r="F279" i="3"/>
  <c r="G296" i="3"/>
  <c r="F296" i="3"/>
  <c r="G314" i="3"/>
  <c r="F314" i="3"/>
  <c r="G331" i="3"/>
  <c r="F331" i="3"/>
  <c r="F350" i="3"/>
  <c r="G350" i="3"/>
  <c r="G366" i="3"/>
  <c r="F366" i="3"/>
  <c r="F364" i="3"/>
  <c r="G364" i="3"/>
  <c r="C66" i="4"/>
  <c r="F66" i="4"/>
  <c r="F109" i="4"/>
  <c r="C109" i="4"/>
  <c r="F151" i="4"/>
  <c r="C151" i="4"/>
  <c r="C205" i="4"/>
  <c r="F205" i="4"/>
  <c r="F247" i="4"/>
  <c r="C247" i="4"/>
  <c r="F289" i="4"/>
  <c r="C289" i="4"/>
  <c r="C353" i="4"/>
  <c r="F353" i="4"/>
  <c r="F25" i="4"/>
  <c r="C25" i="4"/>
  <c r="F94" i="4"/>
  <c r="C94" i="4"/>
  <c r="F164" i="4"/>
  <c r="C164" i="4"/>
  <c r="F233" i="4"/>
  <c r="C233" i="4"/>
  <c r="C122" i="4"/>
  <c r="F122" i="4"/>
  <c r="C253" i="4"/>
  <c r="F253" i="4"/>
  <c r="C295" i="4"/>
  <c r="F295" i="4"/>
  <c r="E383" i="4"/>
  <c r="F57" i="4"/>
  <c r="C57" i="4"/>
  <c r="F99" i="4"/>
  <c r="C99" i="4"/>
  <c r="C153" i="4"/>
  <c r="F153" i="4"/>
  <c r="F195" i="4"/>
  <c r="C195" i="4"/>
  <c r="F237" i="4"/>
  <c r="C237" i="4"/>
  <c r="C292" i="4"/>
  <c r="F292" i="4"/>
  <c r="F361" i="4"/>
  <c r="C361" i="4"/>
  <c r="F42" i="4"/>
  <c r="C42" i="4"/>
  <c r="C97" i="4"/>
  <c r="F97" i="4"/>
  <c r="C139" i="4"/>
  <c r="F139" i="4"/>
  <c r="F181" i="4"/>
  <c r="C181" i="4"/>
  <c r="C235" i="4"/>
  <c r="F235" i="4"/>
  <c r="C278" i="4"/>
  <c r="F278" i="4"/>
  <c r="F320" i="4"/>
  <c r="C320" i="4"/>
  <c r="C13" i="4"/>
  <c r="C36" i="4"/>
  <c r="F36" i="4"/>
  <c r="F61" i="4"/>
  <c r="C61" i="4"/>
  <c r="F86" i="4"/>
  <c r="C86" i="4"/>
  <c r="C105" i="4"/>
  <c r="F105" i="4"/>
  <c r="F130" i="4"/>
  <c r="C130" i="4"/>
  <c r="F155" i="4"/>
  <c r="C155" i="4"/>
  <c r="C175" i="4"/>
  <c r="F175" i="4"/>
  <c r="F200" i="4"/>
  <c r="C200" i="4"/>
  <c r="F224" i="4"/>
  <c r="C224" i="4"/>
  <c r="C244" i="4"/>
  <c r="F244" i="4"/>
  <c r="F269" i="4"/>
  <c r="C269" i="4"/>
  <c r="F294" i="4"/>
  <c r="C294" i="4"/>
  <c r="C313" i="4"/>
  <c r="F313" i="4"/>
  <c r="F344" i="4"/>
  <c r="C344" i="4"/>
  <c r="C362" i="4"/>
  <c r="F362" i="4"/>
  <c r="F377" i="4"/>
  <c r="C377" i="4"/>
  <c r="C23" i="4"/>
  <c r="F23" i="4"/>
  <c r="C48" i="4"/>
  <c r="F48" i="4"/>
  <c r="F73" i="4"/>
  <c r="C73" i="4"/>
  <c r="C92" i="4"/>
  <c r="F92" i="4"/>
  <c r="C117" i="4"/>
  <c r="F117" i="4"/>
  <c r="F142" i="4"/>
  <c r="C142" i="4"/>
  <c r="C162" i="4"/>
  <c r="F162" i="4"/>
  <c r="C187" i="4"/>
  <c r="F187" i="4"/>
  <c r="F211" i="4"/>
  <c r="C211" i="4"/>
  <c r="C231" i="4"/>
  <c r="F231" i="4"/>
  <c r="C256" i="4"/>
  <c r="F256" i="4"/>
  <c r="F281" i="4"/>
  <c r="C281" i="4"/>
  <c r="C300" i="4"/>
  <c r="F300" i="4"/>
  <c r="C325" i="4"/>
  <c r="F325" i="4"/>
  <c r="C345" i="4"/>
  <c r="F345" i="4"/>
  <c r="F372" i="4"/>
  <c r="C372" i="4"/>
  <c r="C8" i="4"/>
  <c r="C16" i="4"/>
  <c r="C33" i="4"/>
  <c r="F33" i="4"/>
  <c r="C50" i="4"/>
  <c r="F50" i="4"/>
  <c r="C67" i="4"/>
  <c r="F67" i="4"/>
  <c r="C85" i="4"/>
  <c r="F85" i="4"/>
  <c r="C102" i="4"/>
  <c r="F102" i="4"/>
  <c r="C119" i="4"/>
  <c r="F119" i="4"/>
  <c r="C137" i="4"/>
  <c r="F137" i="4"/>
  <c r="C154" i="4"/>
  <c r="F154" i="4"/>
  <c r="C171" i="4"/>
  <c r="F171" i="4"/>
  <c r="C189" i="4"/>
  <c r="F189" i="4"/>
  <c r="C206" i="4"/>
  <c r="F206" i="4"/>
  <c r="C223" i="4"/>
  <c r="F223" i="4"/>
  <c r="C241" i="4"/>
  <c r="F241" i="4"/>
  <c r="C258" i="4"/>
  <c r="F258" i="4"/>
  <c r="C275" i="4"/>
  <c r="F275" i="4"/>
  <c r="C293" i="4"/>
  <c r="F293" i="4"/>
  <c r="C310" i="4"/>
  <c r="F310" i="4"/>
  <c r="C327" i="4"/>
  <c r="F327" i="4"/>
  <c r="C348" i="4"/>
  <c r="F348" i="4"/>
  <c r="F371" i="4"/>
  <c r="C371" i="4"/>
  <c r="E384" i="4"/>
  <c r="F341" i="4"/>
  <c r="C341" i="4"/>
  <c r="F359" i="4"/>
  <c r="C359" i="4"/>
  <c r="F106" i="6"/>
  <c r="W109" i="1"/>
  <c r="U109" i="1"/>
  <c r="H110" i="1"/>
  <c r="T109" i="1"/>
  <c r="X109" i="1"/>
  <c r="V109" i="1"/>
  <c r="F155" i="3"/>
  <c r="G155" i="3"/>
  <c r="F224" i="3"/>
  <c r="G224" i="3"/>
  <c r="G299" i="3"/>
  <c r="F299" i="3"/>
  <c r="F346" i="3"/>
  <c r="G346" i="3"/>
  <c r="G178" i="3"/>
  <c r="F178" i="3"/>
  <c r="F311" i="3"/>
  <c r="G311" i="3"/>
  <c r="G186" i="3"/>
  <c r="F186" i="3"/>
  <c r="F263" i="3"/>
  <c r="G263" i="3"/>
  <c r="F384" i="3"/>
  <c r="G384" i="3"/>
  <c r="F146" i="3"/>
  <c r="G146" i="3"/>
  <c r="F215" i="3"/>
  <c r="G215" i="3"/>
  <c r="G260" i="3"/>
  <c r="F260" i="3"/>
  <c r="F332" i="3"/>
  <c r="G332" i="3"/>
  <c r="G143" i="3"/>
  <c r="F143" i="3"/>
  <c r="G212" i="3"/>
  <c r="F212" i="3"/>
  <c r="G256" i="3"/>
  <c r="F256" i="3"/>
  <c r="G321" i="3"/>
  <c r="F321" i="3"/>
  <c r="F385" i="3"/>
  <c r="G385" i="3"/>
  <c r="G28" i="3"/>
  <c r="F28" i="3"/>
  <c r="G36" i="3"/>
  <c r="F36" i="3"/>
  <c r="G49" i="3"/>
  <c r="F49" i="3"/>
  <c r="G58" i="3"/>
  <c r="F58" i="3"/>
  <c r="G71" i="3"/>
  <c r="F71" i="3"/>
  <c r="G88" i="3"/>
  <c r="F88" i="3"/>
  <c r="F327" i="3"/>
  <c r="G327" i="3"/>
  <c r="F63" i="4"/>
  <c r="C63" i="4"/>
  <c r="F98" i="4"/>
  <c r="C98" i="4"/>
  <c r="F150" i="4"/>
  <c r="C150" i="4"/>
  <c r="F184" i="4"/>
  <c r="C184" i="4"/>
  <c r="F236" i="4"/>
  <c r="C236" i="4"/>
  <c r="F288" i="4"/>
  <c r="C288" i="4"/>
  <c r="F323" i="4"/>
  <c r="C323" i="4"/>
  <c r="F366" i="4"/>
  <c r="C366" i="4"/>
  <c r="F354" i="4"/>
  <c r="C354" i="4"/>
  <c r="G92" i="2"/>
  <c r="G80" i="2"/>
  <c r="AC92" i="1"/>
  <c r="C92" i="2"/>
  <c r="C80" i="2"/>
  <c r="Y92" i="1"/>
  <c r="AC107" i="1"/>
  <c r="F92" i="6"/>
  <c r="W95" i="1"/>
  <c r="U95" i="1"/>
  <c r="H96" i="1"/>
  <c r="T95" i="1"/>
  <c r="N95" i="1"/>
  <c r="O95" i="1" s="1"/>
  <c r="X95" i="1"/>
  <c r="V95" i="1"/>
  <c r="F82" i="2"/>
  <c r="AB94" i="1"/>
  <c r="AA108" i="1"/>
  <c r="Z108" i="1"/>
  <c r="Y94" i="1"/>
  <c r="C82" i="2"/>
  <c r="D82" i="2"/>
  <c r="Z94" i="1"/>
  <c r="M13" i="5" a="1"/>
  <c r="G139" i="3"/>
  <c r="F139" i="3"/>
  <c r="G164" i="3"/>
  <c r="F164" i="3"/>
  <c r="F189" i="3"/>
  <c r="G189" i="3"/>
  <c r="G209" i="3"/>
  <c r="F209" i="3"/>
  <c r="F241" i="3"/>
  <c r="G241" i="3"/>
  <c r="G261" i="3"/>
  <c r="F261" i="3"/>
  <c r="F289" i="3"/>
  <c r="G289" i="3"/>
  <c r="G308" i="3"/>
  <c r="F308" i="3"/>
  <c r="G333" i="3"/>
  <c r="F333" i="3"/>
  <c r="F352" i="3"/>
  <c r="G352" i="3"/>
  <c r="F387" i="3"/>
  <c r="G387" i="3"/>
  <c r="G117" i="3"/>
  <c r="F117" i="3"/>
  <c r="G161" i="3"/>
  <c r="F161" i="3"/>
  <c r="G203" i="3"/>
  <c r="F203" i="3"/>
  <c r="F293" i="3"/>
  <c r="G293" i="3"/>
  <c r="G330" i="3"/>
  <c r="F330" i="3"/>
  <c r="F371" i="3"/>
  <c r="G371" i="3"/>
  <c r="G234" i="3"/>
  <c r="F234" i="3"/>
  <c r="F107" i="3"/>
  <c r="G107" i="3"/>
  <c r="F159" i="3"/>
  <c r="G159" i="3"/>
  <c r="F211" i="3"/>
  <c r="G211" i="3"/>
  <c r="F246" i="3"/>
  <c r="G246" i="3"/>
  <c r="G313" i="3"/>
  <c r="F313" i="3"/>
  <c r="F111" i="3"/>
  <c r="G111" i="3"/>
  <c r="F131" i="3"/>
  <c r="G131" i="3"/>
  <c r="G156" i="3"/>
  <c r="F156" i="3"/>
  <c r="F181" i="3"/>
  <c r="G181" i="3"/>
  <c r="F200" i="3"/>
  <c r="G200" i="3"/>
  <c r="G225" i="3"/>
  <c r="F225" i="3"/>
  <c r="F250" i="3"/>
  <c r="G250" i="3"/>
  <c r="F298" i="3"/>
  <c r="G298" i="3"/>
  <c r="F317" i="3"/>
  <c r="G317" i="3"/>
  <c r="F338" i="3"/>
  <c r="G338" i="3"/>
  <c r="F357" i="3"/>
  <c r="G357" i="3"/>
  <c r="F379" i="3"/>
  <c r="G379" i="3"/>
  <c r="G108" i="3"/>
  <c r="F108" i="3"/>
  <c r="F133" i="3"/>
  <c r="G133" i="3"/>
  <c r="G152" i="3"/>
  <c r="F152" i="3"/>
  <c r="G177" i="3"/>
  <c r="F177" i="3"/>
  <c r="F202" i="3"/>
  <c r="G202" i="3"/>
  <c r="G222" i="3"/>
  <c r="F222" i="3"/>
  <c r="G247" i="3"/>
  <c r="F247" i="3"/>
  <c r="F270" i="3"/>
  <c r="G287" i="3"/>
  <c r="F287" i="3"/>
  <c r="G312" i="3"/>
  <c r="F312" i="3"/>
  <c r="F337" i="3"/>
  <c r="G337" i="3"/>
  <c r="G370" i="3"/>
  <c r="F370" i="3"/>
  <c r="G14" i="3"/>
  <c r="G21" i="3"/>
  <c r="F21" i="3"/>
  <c r="G26" i="3"/>
  <c r="F26" i="3"/>
  <c r="G30" i="3"/>
  <c r="F30" i="3"/>
  <c r="G34" i="3"/>
  <c r="F34" i="3"/>
  <c r="G39" i="3"/>
  <c r="F39" i="3"/>
  <c r="G43" i="3"/>
  <c r="F43" i="3"/>
  <c r="G47" i="3"/>
  <c r="F47" i="3"/>
  <c r="G52" i="3"/>
  <c r="F52" i="3"/>
  <c r="G56" i="3"/>
  <c r="F56" i="3"/>
  <c r="G60" i="3"/>
  <c r="F60" i="3"/>
  <c r="G65" i="3"/>
  <c r="F65" i="3"/>
  <c r="G69" i="3"/>
  <c r="F69" i="3"/>
  <c r="G73" i="3"/>
  <c r="F73" i="3"/>
  <c r="G78" i="3"/>
  <c r="F78" i="3"/>
  <c r="G82" i="3"/>
  <c r="F82" i="3"/>
  <c r="G86" i="3"/>
  <c r="F86" i="3"/>
  <c r="G110" i="3"/>
  <c r="F110" i="3"/>
  <c r="G127" i="3"/>
  <c r="F127" i="3"/>
  <c r="G145" i="3"/>
  <c r="F145" i="3"/>
  <c r="G162" i="3"/>
  <c r="F162" i="3"/>
  <c r="G179" i="3"/>
  <c r="F179" i="3"/>
  <c r="G197" i="3"/>
  <c r="F197" i="3"/>
  <c r="G214" i="3"/>
  <c r="F214" i="3"/>
  <c r="G231" i="3"/>
  <c r="F231" i="3"/>
  <c r="G249" i="3"/>
  <c r="F249" i="3"/>
  <c r="F268" i="3"/>
  <c r="G268" i="3"/>
  <c r="G283" i="3"/>
  <c r="F283" i="3"/>
  <c r="G301" i="3"/>
  <c r="F301" i="3"/>
  <c r="G318" i="3"/>
  <c r="F318" i="3"/>
  <c r="G335" i="3"/>
  <c r="F335" i="3"/>
  <c r="G351" i="3"/>
  <c r="F351" i="3"/>
  <c r="F378" i="3"/>
  <c r="G378" i="3"/>
  <c r="E391" i="3"/>
  <c r="G368" i="3"/>
  <c r="F368" i="3"/>
  <c r="C32" i="4"/>
  <c r="F32" i="4"/>
  <c r="F74" i="4"/>
  <c r="C74" i="4"/>
  <c r="F116" i="4"/>
  <c r="C116" i="4"/>
  <c r="C170" i="4"/>
  <c r="F170" i="4"/>
  <c r="F213" i="4"/>
  <c r="C213" i="4"/>
  <c r="F255" i="4"/>
  <c r="C255" i="4"/>
  <c r="C309" i="4"/>
  <c r="F309" i="4"/>
  <c r="F378" i="4"/>
  <c r="C378" i="4"/>
  <c r="C45" i="4"/>
  <c r="F45" i="4"/>
  <c r="C114" i="4"/>
  <c r="F114" i="4"/>
  <c r="C183" i="4"/>
  <c r="F183" i="4"/>
  <c r="F302" i="4"/>
  <c r="C302" i="4"/>
  <c r="F129" i="4"/>
  <c r="C129" i="4"/>
  <c r="C260" i="4"/>
  <c r="F260" i="4"/>
  <c r="C322" i="4"/>
  <c r="F322" i="4"/>
  <c r="F22" i="4"/>
  <c r="C22" i="4"/>
  <c r="F64" i="4"/>
  <c r="C64" i="4"/>
  <c r="C118" i="4"/>
  <c r="F118" i="4"/>
  <c r="F161" i="4"/>
  <c r="C161" i="4"/>
  <c r="F203" i="4"/>
  <c r="C203" i="4"/>
  <c r="C257" i="4"/>
  <c r="F257" i="4"/>
  <c r="F299" i="4"/>
  <c r="C299" i="4"/>
  <c r="F365" i="4"/>
  <c r="C365" i="4"/>
  <c r="C9" i="4"/>
  <c r="C62" i="4"/>
  <c r="F62" i="4"/>
  <c r="C104" i="4"/>
  <c r="F104" i="4"/>
  <c r="F146" i="4"/>
  <c r="C146" i="4"/>
  <c r="C201" i="4"/>
  <c r="F201" i="4"/>
  <c r="C243" i="4"/>
  <c r="F243" i="4"/>
  <c r="F285" i="4"/>
  <c r="C285" i="4"/>
  <c r="F343" i="4"/>
  <c r="C343" i="4"/>
  <c r="C19" i="4"/>
  <c r="F19" i="4"/>
  <c r="F44" i="4"/>
  <c r="C44" i="4"/>
  <c r="F68" i="4"/>
  <c r="C68" i="4"/>
  <c r="C88" i="4"/>
  <c r="F88" i="4"/>
  <c r="F113" i="4"/>
  <c r="C113" i="4"/>
  <c r="F138" i="4"/>
  <c r="C138" i="4"/>
  <c r="C157" i="4"/>
  <c r="F157" i="4"/>
  <c r="F182" i="4"/>
  <c r="C182" i="4"/>
  <c r="F207" i="4"/>
  <c r="C207" i="4"/>
  <c r="C227" i="4"/>
  <c r="F227" i="4"/>
  <c r="F252" i="4"/>
  <c r="C252" i="4"/>
  <c r="F276" i="4"/>
  <c r="C276" i="4"/>
  <c r="C296" i="4"/>
  <c r="F296" i="4"/>
  <c r="F321" i="4"/>
  <c r="C321" i="4"/>
  <c r="C349" i="4"/>
  <c r="F349" i="4"/>
  <c r="F364" i="4"/>
  <c r="C364" i="4"/>
  <c r="E385" i="4"/>
  <c r="C31" i="4"/>
  <c r="F31" i="4"/>
  <c r="F55" i="4"/>
  <c r="C55" i="4"/>
  <c r="C75" i="4"/>
  <c r="F75" i="4"/>
  <c r="C100" i="4"/>
  <c r="F100" i="4"/>
  <c r="F125" i="4"/>
  <c r="C125" i="4"/>
  <c r="C144" i="4"/>
  <c r="F144" i="4"/>
  <c r="C169" i="4"/>
  <c r="F169" i="4"/>
  <c r="F194" i="4"/>
  <c r="C194" i="4"/>
  <c r="C214" i="4"/>
  <c r="F214" i="4"/>
  <c r="C239" i="4"/>
  <c r="F239" i="4"/>
  <c r="F263" i="4"/>
  <c r="C263" i="4"/>
  <c r="C283" i="4"/>
  <c r="F283" i="4"/>
  <c r="C308" i="4"/>
  <c r="F308" i="4"/>
  <c r="C332" i="4"/>
  <c r="F332" i="4"/>
  <c r="F347" i="4"/>
  <c r="C347" i="4"/>
  <c r="F374" i="4"/>
  <c r="C374" i="4"/>
  <c r="C10" i="4"/>
  <c r="C20" i="4"/>
  <c r="F20" i="4"/>
  <c r="F37" i="4"/>
  <c r="C37" i="4"/>
  <c r="C54" i="4"/>
  <c r="F54" i="4"/>
  <c r="F72" i="4"/>
  <c r="C72" i="4"/>
  <c r="C89" i="4"/>
  <c r="F89" i="4"/>
  <c r="F106" i="4"/>
  <c r="C106" i="4"/>
  <c r="C124" i="4"/>
  <c r="F124" i="4"/>
  <c r="F141" i="4"/>
  <c r="C141" i="4"/>
  <c r="C158" i="4"/>
  <c r="F158" i="4"/>
  <c r="F176" i="4"/>
  <c r="C176" i="4"/>
  <c r="C193" i="4"/>
  <c r="F193" i="4"/>
  <c r="F210" i="4"/>
  <c r="C210" i="4"/>
  <c r="C228" i="4"/>
  <c r="F228" i="4"/>
  <c r="F245" i="4"/>
  <c r="C245" i="4"/>
  <c r="C262" i="4"/>
  <c r="F262" i="4"/>
  <c r="F280" i="4"/>
  <c r="C280" i="4"/>
  <c r="C297" i="4"/>
  <c r="F297" i="4"/>
  <c r="F314" i="4"/>
  <c r="C314" i="4"/>
  <c r="F331" i="4"/>
  <c r="C331" i="4"/>
  <c r="F356" i="4"/>
  <c r="C356" i="4"/>
  <c r="F375" i="4"/>
  <c r="C375" i="4"/>
  <c r="F346" i="4"/>
  <c r="C346" i="4"/>
  <c r="F363" i="4"/>
  <c r="C363" i="4"/>
  <c r="E94" i="2"/>
  <c r="AA106" i="1"/>
  <c r="D94" i="2"/>
  <c r="Z106" i="1"/>
  <c r="G122" i="3"/>
  <c r="F122" i="3"/>
  <c r="G199" i="3"/>
  <c r="F199" i="3"/>
  <c r="G251" i="3"/>
  <c r="F251" i="3"/>
  <c r="F324" i="3"/>
  <c r="G324" i="3"/>
  <c r="G134" i="3"/>
  <c r="F134" i="3"/>
  <c r="G230" i="3"/>
  <c r="F230" i="3"/>
  <c r="G356" i="3"/>
  <c r="F356" i="3"/>
  <c r="F377" i="3"/>
  <c r="G377" i="3"/>
  <c r="F142" i="3"/>
  <c r="G142" i="3"/>
  <c r="F228" i="3"/>
  <c r="G228" i="3"/>
  <c r="G121" i="3"/>
  <c r="F121" i="3"/>
  <c r="F165" i="3"/>
  <c r="G165" i="3"/>
  <c r="F235" i="3"/>
  <c r="G235" i="3"/>
  <c r="F282" i="3"/>
  <c r="G282" i="3"/>
  <c r="G347" i="3"/>
  <c r="F347" i="3"/>
  <c r="G367" i="3"/>
  <c r="F367" i="3"/>
  <c r="F118" i="3"/>
  <c r="G118" i="3"/>
  <c r="F168" i="3"/>
  <c r="G168" i="3"/>
  <c r="F237" i="3"/>
  <c r="G237" i="3"/>
  <c r="G275" i="3"/>
  <c r="F275" i="3"/>
  <c r="G344" i="3"/>
  <c r="F344" i="3"/>
  <c r="G23" i="3"/>
  <c r="F23" i="3"/>
  <c r="G32" i="3"/>
  <c r="F32" i="3"/>
  <c r="G45" i="3"/>
  <c r="F45" i="3"/>
  <c r="G62" i="3"/>
  <c r="F62" i="3"/>
  <c r="G75" i="3"/>
  <c r="F75" i="3"/>
  <c r="G80" i="3"/>
  <c r="F80" i="3"/>
  <c r="G119" i="3"/>
  <c r="F119" i="3"/>
  <c r="G153" i="3"/>
  <c r="F153" i="3"/>
  <c r="G188" i="3"/>
  <c r="F188" i="3"/>
  <c r="G223" i="3"/>
  <c r="F223" i="3"/>
  <c r="G257" i="3"/>
  <c r="F257" i="3"/>
  <c r="G276" i="3"/>
  <c r="F276" i="3"/>
  <c r="F309" i="3"/>
  <c r="G309" i="3"/>
  <c r="G360" i="3"/>
  <c r="F360" i="3"/>
  <c r="G373" i="3"/>
  <c r="F373" i="3"/>
  <c r="C101" i="4"/>
  <c r="F101" i="4"/>
  <c r="F185" i="4"/>
  <c r="C185" i="4"/>
  <c r="F282" i="4"/>
  <c r="C282" i="4"/>
  <c r="F324" i="4"/>
  <c r="C324" i="4"/>
  <c r="F60" i="4"/>
  <c r="C60" i="4"/>
  <c r="C226" i="4"/>
  <c r="F226" i="4"/>
  <c r="F198" i="4"/>
  <c r="C198" i="4"/>
  <c r="C335" i="4"/>
  <c r="F335" i="4"/>
  <c r="F91" i="4"/>
  <c r="C91" i="4"/>
  <c r="C188" i="4"/>
  <c r="F188" i="4"/>
  <c r="F272" i="4"/>
  <c r="C272" i="4"/>
  <c r="C326" i="4"/>
  <c r="F326" i="4"/>
  <c r="C35" i="4"/>
  <c r="F35" i="4"/>
  <c r="C131" i="4"/>
  <c r="F131" i="4"/>
  <c r="C174" i="4"/>
  <c r="F174" i="4"/>
  <c r="C270" i="4"/>
  <c r="F270" i="4"/>
  <c r="F380" i="4"/>
  <c r="C380" i="4"/>
  <c r="C53" i="4"/>
  <c r="F53" i="4"/>
  <c r="F103" i="4"/>
  <c r="C103" i="4"/>
  <c r="F148" i="4"/>
  <c r="C148" i="4"/>
  <c r="F172" i="4"/>
  <c r="C172" i="4"/>
  <c r="F217" i="4"/>
  <c r="C217" i="4"/>
  <c r="C261" i="4"/>
  <c r="F261" i="4"/>
  <c r="F286" i="4"/>
  <c r="C286" i="4"/>
  <c r="F311" i="4"/>
  <c r="C311" i="4"/>
  <c r="F357" i="4"/>
  <c r="C357" i="4"/>
  <c r="F370" i="4"/>
  <c r="C370" i="4"/>
  <c r="C40" i="4"/>
  <c r="F40" i="4"/>
  <c r="C65" i="4"/>
  <c r="F65" i="4"/>
  <c r="C110" i="4"/>
  <c r="F110" i="4"/>
  <c r="C135" i="4"/>
  <c r="F135" i="4"/>
  <c r="C179" i="4"/>
  <c r="F179" i="4"/>
  <c r="C204" i="4"/>
  <c r="F204" i="4"/>
  <c r="F229" i="4"/>
  <c r="C229" i="4"/>
  <c r="F298" i="4"/>
  <c r="C298" i="4"/>
  <c r="C318" i="4"/>
  <c r="F318" i="4"/>
  <c r="F28" i="4"/>
  <c r="C28" i="4"/>
  <c r="F80" i="4"/>
  <c r="C80" i="4"/>
  <c r="F132" i="4"/>
  <c r="C132" i="4"/>
  <c r="F202" i="4"/>
  <c r="C202" i="4"/>
  <c r="F219" i="4"/>
  <c r="C219" i="4"/>
  <c r="F271" i="4"/>
  <c r="C271" i="4"/>
  <c r="F306" i="4"/>
  <c r="C306" i="4"/>
  <c r="C340" i="4"/>
  <c r="F340" i="4"/>
  <c r="AC108" i="1"/>
  <c r="E95" i="2"/>
  <c r="AA107" i="1"/>
  <c r="D93" i="5"/>
  <c r="C94" i="5"/>
  <c r="D94" i="5" s="1"/>
  <c r="N107" i="1"/>
  <c r="O107" i="1" s="1"/>
  <c r="AC94" i="1"/>
  <c r="G82" i="2"/>
  <c r="G94" i="2"/>
  <c r="AB108" i="1"/>
  <c r="Y106" i="1"/>
  <c r="C94" i="2"/>
  <c r="Z107" i="1"/>
  <c r="E82" i="2"/>
  <c r="AA94" i="1"/>
  <c r="K91" i="6"/>
  <c r="C90" i="7" s="1"/>
  <c r="J91" i="6"/>
  <c r="B90" i="7" s="1"/>
  <c r="L91" i="6"/>
  <c r="D90" i="7" s="1"/>
  <c r="F120" i="3"/>
  <c r="G120" i="3"/>
  <c r="G147" i="3"/>
  <c r="F147" i="3"/>
  <c r="F172" i="3"/>
  <c r="G172" i="3"/>
  <c r="G191" i="3"/>
  <c r="F191" i="3"/>
  <c r="G216" i="3"/>
  <c r="F216" i="3"/>
  <c r="G243" i="3"/>
  <c r="F243" i="3"/>
  <c r="G267" i="3"/>
  <c r="F267" i="3"/>
  <c r="G291" i="3"/>
  <c r="F291" i="3"/>
  <c r="G316" i="3"/>
  <c r="F316" i="3"/>
  <c r="G339" i="3"/>
  <c r="F339" i="3"/>
  <c r="G354" i="3"/>
  <c r="F354" i="3"/>
  <c r="F390" i="3"/>
  <c r="G390" i="3"/>
  <c r="F124" i="3"/>
  <c r="G124" i="3"/>
  <c r="G169" i="3"/>
  <c r="F169" i="3"/>
  <c r="G213" i="3"/>
  <c r="F213" i="3"/>
  <c r="F269" i="3"/>
  <c r="G269" i="3"/>
  <c r="G303" i="3"/>
  <c r="F303" i="3"/>
  <c r="G343" i="3"/>
  <c r="F343" i="3"/>
  <c r="G376" i="3"/>
  <c r="F376" i="3"/>
  <c r="F103" i="3"/>
  <c r="G103" i="3"/>
  <c r="G126" i="3"/>
  <c r="F126" i="3"/>
  <c r="F176" i="3"/>
  <c r="G176" i="3"/>
  <c r="G221" i="3"/>
  <c r="F221" i="3"/>
  <c r="G255" i="3"/>
  <c r="F255" i="3"/>
  <c r="F328" i="3"/>
  <c r="G328" i="3"/>
  <c r="F113" i="3"/>
  <c r="G113" i="3"/>
  <c r="G138" i="3"/>
  <c r="F138" i="3"/>
  <c r="F163" i="3"/>
  <c r="G163" i="3"/>
  <c r="F183" i="3"/>
  <c r="G183" i="3"/>
  <c r="G208" i="3"/>
  <c r="F208" i="3"/>
  <c r="F233" i="3"/>
  <c r="G233" i="3"/>
  <c r="F252" i="3"/>
  <c r="G252" i="3"/>
  <c r="F280" i="3"/>
  <c r="G280" i="3"/>
  <c r="F300" i="3"/>
  <c r="G300" i="3"/>
  <c r="G325" i="3"/>
  <c r="F325" i="3"/>
  <c r="F340" i="3"/>
  <c r="G340" i="3"/>
  <c r="F359" i="3"/>
  <c r="G359" i="3"/>
  <c r="F381" i="3"/>
  <c r="G381" i="3"/>
  <c r="F116" i="3"/>
  <c r="G116" i="3"/>
  <c r="G135" i="3"/>
  <c r="F135" i="3"/>
  <c r="G160" i="3"/>
  <c r="F160" i="3"/>
  <c r="F185" i="3"/>
  <c r="G185" i="3"/>
  <c r="G204" i="3"/>
  <c r="F204" i="3"/>
  <c r="G229" i="3"/>
  <c r="F229" i="3"/>
  <c r="F254" i="3"/>
  <c r="G254" i="3"/>
  <c r="F273" i="3"/>
  <c r="G273" i="3"/>
  <c r="G294" i="3"/>
  <c r="F294" i="3"/>
  <c r="F319" i="3"/>
  <c r="G319" i="3"/>
  <c r="F342" i="3"/>
  <c r="G342" i="3"/>
  <c r="F383" i="3"/>
  <c r="G383" i="3"/>
  <c r="G18" i="3"/>
  <c r="F18" i="3"/>
  <c r="G22" i="3"/>
  <c r="F22" i="3"/>
  <c r="G27" i="3"/>
  <c r="F27" i="3"/>
  <c r="G31" i="3"/>
  <c r="F31" i="3"/>
  <c r="G35" i="3"/>
  <c r="F35" i="3"/>
  <c r="G40" i="3"/>
  <c r="F40" i="3"/>
  <c r="G44" i="3"/>
  <c r="F44" i="3"/>
  <c r="G48" i="3"/>
  <c r="F48" i="3"/>
  <c r="G53" i="3"/>
  <c r="F53" i="3"/>
  <c r="G57" i="3"/>
  <c r="F57" i="3"/>
  <c r="G61" i="3"/>
  <c r="F61" i="3"/>
  <c r="G66" i="3"/>
  <c r="F66" i="3"/>
  <c r="G70" i="3"/>
  <c r="F70" i="3"/>
  <c r="G74" i="3"/>
  <c r="F74" i="3"/>
  <c r="G79" i="3"/>
  <c r="F79" i="3"/>
  <c r="G83" i="3"/>
  <c r="F83" i="3"/>
  <c r="G87" i="3"/>
  <c r="F87" i="3"/>
  <c r="G114" i="3"/>
  <c r="F114" i="3"/>
  <c r="G132" i="3"/>
  <c r="F132" i="3"/>
  <c r="G149" i="3"/>
  <c r="F149" i="3"/>
  <c r="G166" i="3"/>
  <c r="F166" i="3"/>
  <c r="G184" i="3"/>
  <c r="F184" i="3"/>
  <c r="G201" i="3"/>
  <c r="F201" i="3"/>
  <c r="G218" i="3"/>
  <c r="F218" i="3"/>
  <c r="G236" i="3"/>
  <c r="F236" i="3"/>
  <c r="G253" i="3"/>
  <c r="F253" i="3"/>
  <c r="G272" i="3"/>
  <c r="F272" i="3"/>
  <c r="G288" i="3"/>
  <c r="F288" i="3"/>
  <c r="G305" i="3"/>
  <c r="F305" i="3"/>
  <c r="G322" i="3"/>
  <c r="F322" i="3"/>
  <c r="G341" i="3"/>
  <c r="F341" i="3"/>
  <c r="F355" i="3"/>
  <c r="G355" i="3"/>
  <c r="F382" i="3"/>
  <c r="G382" i="3"/>
  <c r="F358" i="3"/>
  <c r="G358" i="3"/>
  <c r="F372" i="3"/>
  <c r="G372" i="3"/>
  <c r="F39" i="4"/>
  <c r="C39" i="4"/>
  <c r="F81" i="4"/>
  <c r="C81" i="4"/>
  <c r="C136" i="4"/>
  <c r="F136" i="4"/>
  <c r="F178" i="4"/>
  <c r="C178" i="4"/>
  <c r="F220" i="4"/>
  <c r="C220" i="4"/>
  <c r="C274" i="4"/>
  <c r="F274" i="4"/>
  <c r="F317" i="4"/>
  <c r="C317" i="4"/>
  <c r="C7" i="4"/>
  <c r="C52" i="4"/>
  <c r="F52" i="4"/>
  <c r="C149" i="4"/>
  <c r="F149" i="4"/>
  <c r="C218" i="4"/>
  <c r="F218" i="4"/>
  <c r="C79" i="4"/>
  <c r="F79" i="4"/>
  <c r="C191" i="4"/>
  <c r="F191" i="4"/>
  <c r="F268" i="4"/>
  <c r="C268" i="4"/>
  <c r="F330" i="4"/>
  <c r="C330" i="4"/>
  <c r="F29" i="4"/>
  <c r="C29" i="4"/>
  <c r="C84" i="4"/>
  <c r="F84" i="4"/>
  <c r="F126" i="4"/>
  <c r="C126" i="4"/>
  <c r="F168" i="4"/>
  <c r="C168" i="4"/>
  <c r="C222" i="4"/>
  <c r="F222" i="4"/>
  <c r="F265" i="4"/>
  <c r="C265" i="4"/>
  <c r="F307" i="4"/>
  <c r="C307" i="4"/>
  <c r="F369" i="4"/>
  <c r="C369" i="4"/>
  <c r="C27" i="4"/>
  <c r="F27" i="4"/>
  <c r="C70" i="4"/>
  <c r="F70" i="4"/>
  <c r="F112" i="4"/>
  <c r="C112" i="4"/>
  <c r="C166" i="4"/>
  <c r="F166" i="4"/>
  <c r="C208" i="4"/>
  <c r="F208" i="4"/>
  <c r="F250" i="4"/>
  <c r="C250" i="4"/>
  <c r="C305" i="4"/>
  <c r="F305" i="4"/>
  <c r="F373" i="4"/>
  <c r="C373" i="4"/>
  <c r="F26" i="4"/>
  <c r="C26" i="4"/>
  <c r="F51" i="4"/>
  <c r="C51" i="4"/>
  <c r="C71" i="4"/>
  <c r="F71" i="4"/>
  <c r="F96" i="4"/>
  <c r="C96" i="4"/>
  <c r="F120" i="4"/>
  <c r="C120" i="4"/>
  <c r="C140" i="4"/>
  <c r="F140" i="4"/>
  <c r="F165" i="4"/>
  <c r="C165" i="4"/>
  <c r="F190" i="4"/>
  <c r="C190" i="4"/>
  <c r="C209" i="4"/>
  <c r="F209" i="4"/>
  <c r="F234" i="4"/>
  <c r="C234" i="4"/>
  <c r="F259" i="4"/>
  <c r="C259" i="4"/>
  <c r="C279" i="4"/>
  <c r="F279" i="4"/>
  <c r="F304" i="4"/>
  <c r="C304" i="4"/>
  <c r="F328" i="4"/>
  <c r="C328" i="4"/>
  <c r="F351" i="4"/>
  <c r="C351" i="4"/>
  <c r="F367" i="4"/>
  <c r="C367" i="4"/>
  <c r="C11" i="4"/>
  <c r="F38" i="4"/>
  <c r="C38" i="4"/>
  <c r="C58" i="4"/>
  <c r="F58" i="4"/>
  <c r="C83" i="4"/>
  <c r="F83" i="4"/>
  <c r="F107" i="4"/>
  <c r="C107" i="4"/>
  <c r="C127" i="4"/>
  <c r="F127" i="4"/>
  <c r="C152" i="4"/>
  <c r="F152" i="4"/>
  <c r="F177" i="4"/>
  <c r="C177" i="4"/>
  <c r="C196" i="4"/>
  <c r="F196" i="4"/>
  <c r="C221" i="4"/>
  <c r="F221" i="4"/>
  <c r="F246" i="4"/>
  <c r="C246" i="4"/>
  <c r="C266" i="4"/>
  <c r="F266" i="4"/>
  <c r="C291" i="4"/>
  <c r="F291" i="4"/>
  <c r="F315" i="4"/>
  <c r="C315" i="4"/>
  <c r="F334" i="4"/>
  <c r="C334" i="4"/>
  <c r="C352" i="4"/>
  <c r="F352" i="4"/>
  <c r="F382" i="4"/>
  <c r="C382" i="4"/>
  <c r="C12" i="4"/>
  <c r="F24" i="4"/>
  <c r="C24" i="4"/>
  <c r="F41" i="4"/>
  <c r="C41" i="4"/>
  <c r="F59" i="4"/>
  <c r="C59" i="4"/>
  <c r="F76" i="4"/>
  <c r="C76" i="4"/>
  <c r="F93" i="4"/>
  <c r="C93" i="4"/>
  <c r="F111" i="4"/>
  <c r="C111" i="4"/>
  <c r="F128" i="4"/>
  <c r="C128" i="4"/>
  <c r="F145" i="4"/>
  <c r="C145" i="4"/>
  <c r="F163" i="4"/>
  <c r="C163" i="4"/>
  <c r="F180" i="4"/>
  <c r="C180" i="4"/>
  <c r="F197" i="4"/>
  <c r="C197" i="4"/>
  <c r="F215" i="4"/>
  <c r="C215" i="4"/>
  <c r="F232" i="4"/>
  <c r="C232" i="4"/>
  <c r="F249" i="4"/>
  <c r="C249" i="4"/>
  <c r="F267" i="4"/>
  <c r="C267" i="4"/>
  <c r="F284" i="4"/>
  <c r="C284" i="4"/>
  <c r="F301" i="4"/>
  <c r="C301" i="4"/>
  <c r="F319" i="4"/>
  <c r="C319" i="4"/>
  <c r="F338" i="4"/>
  <c r="C338" i="4"/>
  <c r="C358" i="4"/>
  <c r="F358" i="4"/>
  <c r="F379" i="4"/>
  <c r="C379" i="4"/>
  <c r="C333" i="4"/>
  <c r="F333" i="4"/>
  <c r="C350" i="4"/>
  <c r="F350" i="4"/>
  <c r="F385" i="4" l="1"/>
  <c r="C385" i="4"/>
  <c r="F391" i="3"/>
  <c r="G391" i="3"/>
  <c r="F83" i="2"/>
  <c r="AB95" i="1"/>
  <c r="AC109" i="1"/>
  <c r="AB109" i="1"/>
  <c r="F95" i="2"/>
  <c r="Z95" i="1"/>
  <c r="D83" i="2"/>
  <c r="Z109" i="1"/>
  <c r="Y95" i="1"/>
  <c r="C83" i="2"/>
  <c r="C95" i="2"/>
  <c r="J92" i="6"/>
  <c r="B91" i="7" s="1"/>
  <c r="M92" i="6"/>
  <c r="L92" i="6"/>
  <c r="D91" i="7" s="1"/>
  <c r="K92" i="6"/>
  <c r="C91" i="7" s="1"/>
  <c r="Y109" i="1"/>
  <c r="L106" i="6"/>
  <c r="D105" i="7" s="1"/>
  <c r="J106" i="6"/>
  <c r="B105" i="7" s="1"/>
  <c r="K106" i="6"/>
  <c r="C105" i="7" s="1"/>
  <c r="YA13" i="5"/>
  <c r="XW13" i="5"/>
  <c r="XS13" i="5"/>
  <c r="XO13" i="5"/>
  <c r="XK13" i="5"/>
  <c r="XG13" i="5"/>
  <c r="XC13" i="5"/>
  <c r="WY13" i="5"/>
  <c r="WU13" i="5"/>
  <c r="WQ13" i="5"/>
  <c r="WM13" i="5"/>
  <c r="WI13" i="5"/>
  <c r="WE13" i="5"/>
  <c r="WA13" i="5"/>
  <c r="VW13" i="5"/>
  <c r="VS13" i="5"/>
  <c r="VO13" i="5"/>
  <c r="VK13" i="5"/>
  <c r="VG13" i="5"/>
  <c r="VC13" i="5"/>
  <c r="UY13" i="5"/>
  <c r="UU13" i="5"/>
  <c r="UQ13" i="5"/>
  <c r="UM13" i="5"/>
  <c r="UI13" i="5"/>
  <c r="UE13" i="5"/>
  <c r="UA13" i="5"/>
  <c r="TW13" i="5"/>
  <c r="TS13" i="5"/>
  <c r="TO13" i="5"/>
  <c r="TK13" i="5"/>
  <c r="TG13" i="5"/>
  <c r="TC13" i="5"/>
  <c r="SY13" i="5"/>
  <c r="SU13" i="5"/>
  <c r="SQ13" i="5"/>
  <c r="SM13" i="5"/>
  <c r="SI13" i="5"/>
  <c r="SE13" i="5"/>
  <c r="SA13" i="5"/>
  <c r="RW13" i="5"/>
  <c r="RS13" i="5"/>
  <c r="RO13" i="5"/>
  <c r="RK13" i="5"/>
  <c r="RG13" i="5"/>
  <c r="RC13" i="5"/>
  <c r="QY13" i="5"/>
  <c r="QU13" i="5"/>
  <c r="QQ13" i="5"/>
  <c r="QM13" i="5"/>
  <c r="QI13" i="5"/>
  <c r="QE13" i="5"/>
  <c r="QA13" i="5"/>
  <c r="PW13" i="5"/>
  <c r="PS13" i="5"/>
  <c r="PO13" i="5"/>
  <c r="PK13" i="5"/>
  <c r="PG13" i="5"/>
  <c r="PC13" i="5"/>
  <c r="OY13" i="5"/>
  <c r="OU13" i="5"/>
  <c r="OQ13" i="5"/>
  <c r="OM13" i="5"/>
  <c r="OI13" i="5"/>
  <c r="OE13" i="5"/>
  <c r="OA13" i="5"/>
  <c r="NW13" i="5"/>
  <c r="NS13" i="5"/>
  <c r="NO13" i="5"/>
  <c r="NK13" i="5"/>
  <c r="NG13" i="5"/>
  <c r="NC13" i="5"/>
  <c r="MY13" i="5"/>
  <c r="MU13" i="5"/>
  <c r="MQ13" i="5"/>
  <c r="MM13" i="5"/>
  <c r="MI13" i="5"/>
  <c r="ME13" i="5"/>
  <c r="MA13" i="5"/>
  <c r="LW13" i="5"/>
  <c r="LS13" i="5"/>
  <c r="LO13" i="5"/>
  <c r="LK13" i="5"/>
  <c r="LG13" i="5"/>
  <c r="LC13" i="5"/>
  <c r="KY13" i="5"/>
  <c r="KU13" i="5"/>
  <c r="KQ13" i="5"/>
  <c r="KM13" i="5"/>
  <c r="KI13" i="5"/>
  <c r="KE13" i="5"/>
  <c r="KA13" i="5"/>
  <c r="JW13" i="5"/>
  <c r="JS13" i="5"/>
  <c r="JO13" i="5"/>
  <c r="JK13" i="5"/>
  <c r="JG13" i="5"/>
  <c r="JC13" i="5"/>
  <c r="IY13" i="5"/>
  <c r="IU13" i="5"/>
  <c r="IQ13" i="5"/>
  <c r="IM13" i="5"/>
  <c r="II13" i="5"/>
  <c r="IE13" i="5"/>
  <c r="IA13" i="5"/>
  <c r="HW13" i="5"/>
  <c r="HS13" i="5"/>
  <c r="YD13" i="5"/>
  <c r="XZ13" i="5"/>
  <c r="XV13" i="5"/>
  <c r="XR13" i="5"/>
  <c r="XN13" i="5"/>
  <c r="XJ13" i="5"/>
  <c r="XF13" i="5"/>
  <c r="XB13" i="5"/>
  <c r="WX13" i="5"/>
  <c r="WT13" i="5"/>
  <c r="WP13" i="5"/>
  <c r="WL13" i="5"/>
  <c r="WH13" i="5"/>
  <c r="WD13" i="5"/>
  <c r="VZ13" i="5"/>
  <c r="VV13" i="5"/>
  <c r="VR13" i="5"/>
  <c r="VN13" i="5"/>
  <c r="VJ13" i="5"/>
  <c r="VF13" i="5"/>
  <c r="VB13" i="5"/>
  <c r="UX13" i="5"/>
  <c r="UT13" i="5"/>
  <c r="UP13" i="5"/>
  <c r="UL13" i="5"/>
  <c r="UH13" i="5"/>
  <c r="UD13" i="5"/>
  <c r="TZ13" i="5"/>
  <c r="TV13" i="5"/>
  <c r="TR13" i="5"/>
  <c r="TN13" i="5"/>
  <c r="TJ13" i="5"/>
  <c r="TF13" i="5"/>
  <c r="TB13" i="5"/>
  <c r="SX13" i="5"/>
  <c r="ST13" i="5"/>
  <c r="SP13" i="5"/>
  <c r="SL13" i="5"/>
  <c r="SH13" i="5"/>
  <c r="SD13" i="5"/>
  <c r="RZ13" i="5"/>
  <c r="RV13" i="5"/>
  <c r="RR13" i="5"/>
  <c r="RN13" i="5"/>
  <c r="RJ13" i="5"/>
  <c r="RF13" i="5"/>
  <c r="RB13" i="5"/>
  <c r="QX13" i="5"/>
  <c r="QT13" i="5"/>
  <c r="QP13" i="5"/>
  <c r="QL13" i="5"/>
  <c r="QH13" i="5"/>
  <c r="QD13" i="5"/>
  <c r="PZ13" i="5"/>
  <c r="PV13" i="5"/>
  <c r="PR13" i="5"/>
  <c r="PN13" i="5"/>
  <c r="PJ13" i="5"/>
  <c r="PF13" i="5"/>
  <c r="PB13" i="5"/>
  <c r="OX13" i="5"/>
  <c r="OT13" i="5"/>
  <c r="OP13" i="5"/>
  <c r="OL13" i="5"/>
  <c r="OH13" i="5"/>
  <c r="OD13" i="5"/>
  <c r="NZ13" i="5"/>
  <c r="NV13" i="5"/>
  <c r="NR13" i="5"/>
  <c r="NN13" i="5"/>
  <c r="NJ13" i="5"/>
  <c r="NF13" i="5"/>
  <c r="NB13" i="5"/>
  <c r="MX13" i="5"/>
  <c r="MT13" i="5"/>
  <c r="MP13" i="5"/>
  <c r="ML13" i="5"/>
  <c r="MH13" i="5"/>
  <c r="MD13" i="5"/>
  <c r="LZ13" i="5"/>
  <c r="LV13" i="5"/>
  <c r="LR13" i="5"/>
  <c r="LN13" i="5"/>
  <c r="LJ13" i="5"/>
  <c r="LF13" i="5"/>
  <c r="LB13" i="5"/>
  <c r="KX13" i="5"/>
  <c r="KT13" i="5"/>
  <c r="KP13" i="5"/>
  <c r="KL13" i="5"/>
  <c r="KH13" i="5"/>
  <c r="KD13" i="5"/>
  <c r="JZ13" i="5"/>
  <c r="JV13" i="5"/>
  <c r="JR13" i="5"/>
  <c r="JN13" i="5"/>
  <c r="JJ13" i="5"/>
  <c r="JF13" i="5"/>
  <c r="JB13" i="5"/>
  <c r="IX13" i="5"/>
  <c r="IT13" i="5"/>
  <c r="IP13" i="5"/>
  <c r="IL13" i="5"/>
  <c r="IH13" i="5"/>
  <c r="ID13" i="5"/>
  <c r="HZ13" i="5"/>
  <c r="HV13" i="5"/>
  <c r="HR13" i="5"/>
  <c r="HN13" i="5"/>
  <c r="HJ13" i="5"/>
  <c r="HF13" i="5"/>
  <c r="HB13" i="5"/>
  <c r="GX13" i="5"/>
  <c r="GT13" i="5"/>
  <c r="GP13" i="5"/>
  <c r="GL13" i="5"/>
  <c r="GH13" i="5"/>
  <c r="GD13" i="5"/>
  <c r="FZ13" i="5"/>
  <c r="FV13" i="5"/>
  <c r="FR13" i="5"/>
  <c r="FN13" i="5"/>
  <c r="FJ13" i="5"/>
  <c r="FF13" i="5"/>
  <c r="FB13" i="5"/>
  <c r="EX13" i="5"/>
  <c r="ET13" i="5"/>
  <c r="EP13" i="5"/>
  <c r="EL13" i="5"/>
  <c r="EH13" i="5"/>
  <c r="ED13" i="5"/>
  <c r="DZ13" i="5"/>
  <c r="DV13" i="5"/>
  <c r="DR13" i="5"/>
  <c r="DN13" i="5"/>
  <c r="DJ13" i="5"/>
  <c r="DF13" i="5"/>
  <c r="DB13" i="5"/>
  <c r="CX13" i="5"/>
  <c r="CT13" i="5"/>
  <c r="CP13" i="5"/>
  <c r="CL13" i="5"/>
  <c r="CH13" i="5"/>
  <c r="CD13" i="5"/>
  <c r="BZ13" i="5"/>
  <c r="BV13" i="5"/>
  <c r="BR13" i="5"/>
  <c r="BN13" i="5"/>
  <c r="BJ13" i="5"/>
  <c r="BF13" i="5"/>
  <c r="BB13" i="5"/>
  <c r="AX13" i="5"/>
  <c r="AT13" i="5"/>
  <c r="AP13" i="5"/>
  <c r="AL13" i="5"/>
  <c r="AH13" i="5"/>
  <c r="AD13" i="5"/>
  <c r="Z13" i="5"/>
  <c r="V13" i="5"/>
  <c r="R13" i="5"/>
  <c r="N13" i="5"/>
  <c r="YC13" i="5"/>
  <c r="XU13" i="5"/>
  <c r="XM13" i="5"/>
  <c r="XE13" i="5"/>
  <c r="WW13" i="5"/>
  <c r="WO13" i="5"/>
  <c r="WG13" i="5"/>
  <c r="VY13" i="5"/>
  <c r="VQ13" i="5"/>
  <c r="VI13" i="5"/>
  <c r="VA13" i="5"/>
  <c r="US13" i="5"/>
  <c r="UK13" i="5"/>
  <c r="UC13" i="5"/>
  <c r="TU13" i="5"/>
  <c r="TM13" i="5"/>
  <c r="TE13" i="5"/>
  <c r="SW13" i="5"/>
  <c r="SO13" i="5"/>
  <c r="SG13" i="5"/>
  <c r="RY13" i="5"/>
  <c r="RQ13" i="5"/>
  <c r="RI13" i="5"/>
  <c r="RA13" i="5"/>
  <c r="QS13" i="5"/>
  <c r="QK13" i="5"/>
  <c r="QC13" i="5"/>
  <c r="PU13" i="5"/>
  <c r="PM13" i="5"/>
  <c r="PE13" i="5"/>
  <c r="OW13" i="5"/>
  <c r="OO13" i="5"/>
  <c r="OG13" i="5"/>
  <c r="NY13" i="5"/>
  <c r="NQ13" i="5"/>
  <c r="NI13" i="5"/>
  <c r="NA13" i="5"/>
  <c r="MS13" i="5"/>
  <c r="MK13" i="5"/>
  <c r="MC13" i="5"/>
  <c r="LU13" i="5"/>
  <c r="LM13" i="5"/>
  <c r="LE13" i="5"/>
  <c r="KW13" i="5"/>
  <c r="KO13" i="5"/>
  <c r="KG13" i="5"/>
  <c r="JY13" i="5"/>
  <c r="JQ13" i="5"/>
  <c r="JI13" i="5"/>
  <c r="JA13" i="5"/>
  <c r="IS13" i="5"/>
  <c r="IK13" i="5"/>
  <c r="IC13" i="5"/>
  <c r="HU13" i="5"/>
  <c r="HO13" i="5"/>
  <c r="HI13" i="5"/>
  <c r="HD13" i="5"/>
  <c r="GY13" i="5"/>
  <c r="GS13" i="5"/>
  <c r="GN13" i="5"/>
  <c r="GI13" i="5"/>
  <c r="GC13" i="5"/>
  <c r="FX13" i="5"/>
  <c r="FS13" i="5"/>
  <c r="FM13" i="5"/>
  <c r="FH13" i="5"/>
  <c r="FC13" i="5"/>
  <c r="EW13" i="5"/>
  <c r="ER13" i="5"/>
  <c r="EM13" i="5"/>
  <c r="EG13" i="5"/>
  <c r="EB13" i="5"/>
  <c r="DW13" i="5"/>
  <c r="DQ13" i="5"/>
  <c r="DL13" i="5"/>
  <c r="DG13" i="5"/>
  <c r="DA13" i="5"/>
  <c r="CV13" i="5"/>
  <c r="CQ13" i="5"/>
  <c r="CK13" i="5"/>
  <c r="CF13" i="5"/>
  <c r="CA13" i="5"/>
  <c r="BU13" i="5"/>
  <c r="BP13" i="5"/>
  <c r="BK13" i="5"/>
  <c r="BE13" i="5"/>
  <c r="AZ13" i="5"/>
  <c r="AU13" i="5"/>
  <c r="AO13" i="5"/>
  <c r="AJ13" i="5"/>
  <c r="AE13" i="5"/>
  <c r="Y13" i="5"/>
  <c r="T13" i="5"/>
  <c r="O13" i="5"/>
  <c r="YB13" i="5"/>
  <c r="XT13" i="5"/>
  <c r="XL13" i="5"/>
  <c r="XD13" i="5"/>
  <c r="WV13" i="5"/>
  <c r="WN13" i="5"/>
  <c r="WF13" i="5"/>
  <c r="VX13" i="5"/>
  <c r="VP13" i="5"/>
  <c r="VH13" i="5"/>
  <c r="UZ13" i="5"/>
  <c r="UR13" i="5"/>
  <c r="UJ13" i="5"/>
  <c r="UB13" i="5"/>
  <c r="TT13" i="5"/>
  <c r="TL13" i="5"/>
  <c r="TD13" i="5"/>
  <c r="SV13" i="5"/>
  <c r="SN13" i="5"/>
  <c r="SF13" i="5"/>
  <c r="RX13" i="5"/>
  <c r="RP13" i="5"/>
  <c r="RH13" i="5"/>
  <c r="QZ13" i="5"/>
  <c r="QR13" i="5"/>
  <c r="QJ13" i="5"/>
  <c r="QB13" i="5"/>
  <c r="PT13" i="5"/>
  <c r="PL13" i="5"/>
  <c r="PD13" i="5"/>
  <c r="OV13" i="5"/>
  <c r="ON13" i="5"/>
  <c r="OF13" i="5"/>
  <c r="NX13" i="5"/>
  <c r="NP13" i="5"/>
  <c r="NH13" i="5"/>
  <c r="MZ13" i="5"/>
  <c r="MR13" i="5"/>
  <c r="MJ13" i="5"/>
  <c r="MB13" i="5"/>
  <c r="LT13" i="5"/>
  <c r="LL13" i="5"/>
  <c r="LD13" i="5"/>
  <c r="KV13" i="5"/>
  <c r="KN13" i="5"/>
  <c r="KF13" i="5"/>
  <c r="JX13" i="5"/>
  <c r="JP13" i="5"/>
  <c r="JH13" i="5"/>
  <c r="IZ13" i="5"/>
  <c r="IR13" i="5"/>
  <c r="IJ13" i="5"/>
  <c r="IB13" i="5"/>
  <c r="HT13" i="5"/>
  <c r="HM13" i="5"/>
  <c r="HH13" i="5"/>
  <c r="HC13" i="5"/>
  <c r="GW13" i="5"/>
  <c r="GR13" i="5"/>
  <c r="GM13" i="5"/>
  <c r="GG13" i="5"/>
  <c r="GB13" i="5"/>
  <c r="FW13" i="5"/>
  <c r="FQ13" i="5"/>
  <c r="FL13" i="5"/>
  <c r="FG13" i="5"/>
  <c r="FA13" i="5"/>
  <c r="EV13" i="5"/>
  <c r="EQ13" i="5"/>
  <c r="EK13" i="5"/>
  <c r="EF13" i="5"/>
  <c r="EA13" i="5"/>
  <c r="DU13" i="5"/>
  <c r="DP13" i="5"/>
  <c r="DK13" i="5"/>
  <c r="DE13" i="5"/>
  <c r="CZ13" i="5"/>
  <c r="CU13" i="5"/>
  <c r="CO13" i="5"/>
  <c r="CJ13" i="5"/>
  <c r="CE13" i="5"/>
  <c r="BY13" i="5"/>
  <c r="BT13" i="5"/>
  <c r="BO13" i="5"/>
  <c r="BI13" i="5"/>
  <c r="BD13" i="5"/>
  <c r="AY13" i="5"/>
  <c r="AS13" i="5"/>
  <c r="AN13" i="5"/>
  <c r="AI13" i="5"/>
  <c r="AC13" i="5"/>
  <c r="X13" i="5"/>
  <c r="S13" i="5"/>
  <c r="XX13" i="5"/>
  <c r="XH13" i="5"/>
  <c r="WR13" i="5"/>
  <c r="WB13" i="5"/>
  <c r="VL13" i="5"/>
  <c r="UV13" i="5"/>
  <c r="UF13" i="5"/>
  <c r="TP13" i="5"/>
  <c r="SZ13" i="5"/>
  <c r="SJ13" i="5"/>
  <c r="RT13" i="5"/>
  <c r="RD13" i="5"/>
  <c r="QN13" i="5"/>
  <c r="PX13" i="5"/>
  <c r="PH13" i="5"/>
  <c r="OR13" i="5"/>
  <c r="OB13" i="5"/>
  <c r="NL13" i="5"/>
  <c r="MV13" i="5"/>
  <c r="MF13" i="5"/>
  <c r="LP13" i="5"/>
  <c r="KZ13" i="5"/>
  <c r="KJ13" i="5"/>
  <c r="JT13" i="5"/>
  <c r="JD13" i="5"/>
  <c r="IN13" i="5"/>
  <c r="HX13" i="5"/>
  <c r="HK13" i="5"/>
  <c r="GZ13" i="5"/>
  <c r="GO13" i="5"/>
  <c r="GE13" i="5"/>
  <c r="FT13" i="5"/>
  <c r="FI13" i="5"/>
  <c r="EY13" i="5"/>
  <c r="EN13" i="5"/>
  <c r="EC13" i="5"/>
  <c r="DS13" i="5"/>
  <c r="DH13" i="5"/>
  <c r="CW13" i="5"/>
  <c r="CM13" i="5"/>
  <c r="CB13" i="5"/>
  <c r="BQ13" i="5"/>
  <c r="BG13" i="5"/>
  <c r="AV13" i="5"/>
  <c r="AK13" i="5"/>
  <c r="AA13" i="5"/>
  <c r="P13" i="5"/>
  <c r="XQ13" i="5"/>
  <c r="WZ13" i="5"/>
  <c r="WC13" i="5"/>
  <c r="VE13" i="5"/>
  <c r="UN13" i="5"/>
  <c r="TQ13" i="5"/>
  <c r="SS13" i="5"/>
  <c r="SB13" i="5"/>
  <c r="RE13" i="5"/>
  <c r="QG13" i="5"/>
  <c r="PP13" i="5"/>
  <c r="OS13" i="5"/>
  <c r="NU13" i="5"/>
  <c r="ND13" i="5"/>
  <c r="MG13" i="5"/>
  <c r="LI13" i="5"/>
  <c r="KR13" i="5"/>
  <c r="JU13" i="5"/>
  <c r="IW13" i="5"/>
  <c r="IF13" i="5"/>
  <c r="HL13" i="5"/>
  <c r="GV13" i="5"/>
  <c r="GJ13" i="5"/>
  <c r="FU13" i="5"/>
  <c r="FE13" i="5"/>
  <c r="ES13" i="5"/>
  <c r="EE13" i="5"/>
  <c r="DO13" i="5"/>
  <c r="DC13" i="5"/>
  <c r="CN13" i="5"/>
  <c r="BX13" i="5"/>
  <c r="BL13" i="5"/>
  <c r="AW13" i="5"/>
  <c r="AG13" i="5"/>
  <c r="U13" i="5"/>
  <c r="XP13" i="5"/>
  <c r="WS13" i="5"/>
  <c r="VU13" i="5"/>
  <c r="VD13" i="5"/>
  <c r="UG13" i="5"/>
  <c r="TI13" i="5"/>
  <c r="SR13" i="5"/>
  <c r="RU13" i="5"/>
  <c r="QW13" i="5"/>
  <c r="QF13" i="5"/>
  <c r="PI13" i="5"/>
  <c r="OK13" i="5"/>
  <c r="NT13" i="5"/>
  <c r="MW13" i="5"/>
  <c r="LY13" i="5"/>
  <c r="LH13" i="5"/>
  <c r="KK13" i="5"/>
  <c r="JM13" i="5"/>
  <c r="IV13" i="5"/>
  <c r="HY13" i="5"/>
  <c r="HG13" i="5"/>
  <c r="GU13" i="5"/>
  <c r="GF13" i="5"/>
  <c r="FP13" i="5"/>
  <c r="FD13" i="5"/>
  <c r="EO13" i="5"/>
  <c r="DY13" i="5"/>
  <c r="DM13" i="5"/>
  <c r="CY13" i="5"/>
  <c r="CI13" i="5"/>
  <c r="BW13" i="5"/>
  <c r="BH13" i="5"/>
  <c r="AR13" i="5"/>
  <c r="AF13" i="5"/>
  <c r="Q13" i="5"/>
  <c r="WK13" i="5"/>
  <c r="UW13" i="5"/>
  <c r="TH13" i="5"/>
  <c r="RM13" i="5"/>
  <c r="PY13" i="5"/>
  <c r="OJ13" i="5"/>
  <c r="MO13" i="5"/>
  <c r="LA13" i="5"/>
  <c r="JL13" i="5"/>
  <c r="HQ13" i="5"/>
  <c r="GQ13" i="5"/>
  <c r="FO13" i="5"/>
  <c r="EJ13" i="5"/>
  <c r="DI13" i="5"/>
  <c r="CG13" i="5"/>
  <c r="BC13" i="5"/>
  <c r="AB13" i="5"/>
  <c r="XY13" i="5"/>
  <c r="WJ13" i="5"/>
  <c r="UO13" i="5"/>
  <c r="TA13" i="5"/>
  <c r="RL13" i="5"/>
  <c r="PQ13" i="5"/>
  <c r="OC13" i="5"/>
  <c r="MN13" i="5"/>
  <c r="KS13" i="5"/>
  <c r="JE13" i="5"/>
  <c r="HP13" i="5"/>
  <c r="GK13" i="5"/>
  <c r="FK13" i="5"/>
  <c r="EI13" i="5"/>
  <c r="DD13" i="5"/>
  <c r="CC13" i="5"/>
  <c r="BA13" i="5"/>
  <c r="W13" i="5"/>
  <c r="XI13" i="5"/>
  <c r="VT13" i="5"/>
  <c r="TY13" i="5"/>
  <c r="SK13" i="5"/>
  <c r="QV13" i="5"/>
  <c r="PA13" i="5"/>
  <c r="NM13" i="5"/>
  <c r="LX13" i="5"/>
  <c r="KC13" i="5"/>
  <c r="IO13" i="5"/>
  <c r="HE13" i="5"/>
  <c r="GA13" i="5"/>
  <c r="EZ13" i="5"/>
  <c r="DX13" i="5"/>
  <c r="CS13" i="5"/>
  <c r="BS13" i="5"/>
  <c r="AQ13" i="5"/>
  <c r="M13" i="5"/>
  <c r="XA13" i="5"/>
  <c r="VM13" i="5"/>
  <c r="TX13" i="5"/>
  <c r="SC13" i="5"/>
  <c r="QO13" i="5"/>
  <c r="OZ13" i="5"/>
  <c r="NE13" i="5"/>
  <c r="LQ13" i="5"/>
  <c r="KB13" i="5"/>
  <c r="IG13" i="5"/>
  <c r="HA13" i="5"/>
  <c r="FY13" i="5"/>
  <c r="EU13" i="5"/>
  <c r="DT13" i="5"/>
  <c r="CR13" i="5"/>
  <c r="BM13" i="5"/>
  <c r="AM13" i="5"/>
  <c r="G83" i="2"/>
  <c r="AC95" i="1"/>
  <c r="AA109" i="1"/>
  <c r="D95" i="2"/>
  <c r="E83" i="2"/>
  <c r="AA95" i="1"/>
  <c r="F93" i="6"/>
  <c r="U96" i="1"/>
  <c r="V96" i="1"/>
  <c r="T96" i="1"/>
  <c r="X96" i="1"/>
  <c r="H97" i="1"/>
  <c r="N96" i="1"/>
  <c r="O96" i="1" s="1"/>
  <c r="W96" i="1"/>
  <c r="N108" i="1"/>
  <c r="O108" i="1" s="1"/>
  <c r="G95" i="2"/>
  <c r="F107" i="6"/>
  <c r="U110" i="1"/>
  <c r="V110" i="1"/>
  <c r="T110" i="1"/>
  <c r="X110" i="1"/>
  <c r="W110" i="1"/>
  <c r="F384" i="4"/>
  <c r="C384" i="4"/>
  <c r="F383" i="4"/>
  <c r="C383" i="4"/>
  <c r="AC110" i="1" l="1"/>
  <c r="J107" i="6"/>
  <c r="B106" i="7" s="1"/>
  <c r="L107" i="6"/>
  <c r="D106" i="7" s="1"/>
  <c r="K107" i="6"/>
  <c r="C106" i="7" s="1"/>
  <c r="AA96" i="1"/>
  <c r="E84" i="2"/>
  <c r="E96" i="2"/>
  <c r="Z110" i="1"/>
  <c r="F84" i="2"/>
  <c r="AB96" i="1"/>
  <c r="F96" i="2"/>
  <c r="Y96" i="1"/>
  <c r="C84" i="2"/>
  <c r="C96" i="2"/>
  <c r="Y110" i="1"/>
  <c r="F94" i="6"/>
  <c r="W97" i="1"/>
  <c r="X97" i="1"/>
  <c r="N97" i="1"/>
  <c r="O97" i="1" s="1"/>
  <c r="V97" i="1"/>
  <c r="U97" i="1"/>
  <c r="H98" i="1"/>
  <c r="T97" i="1"/>
  <c r="N109" i="1"/>
  <c r="O109" i="1" s="1"/>
  <c r="D84" i="2"/>
  <c r="Z96" i="1"/>
  <c r="D96" i="2"/>
  <c r="AB110" i="1"/>
  <c r="AA110" i="1"/>
  <c r="AC96" i="1"/>
  <c r="G84" i="2"/>
  <c r="G96" i="2"/>
  <c r="J93" i="6"/>
  <c r="B92" i="7" s="1"/>
  <c r="M93" i="6"/>
  <c r="K93" i="6"/>
  <c r="C92" i="7" s="1"/>
  <c r="L93" i="6"/>
  <c r="D92" i="7" s="1"/>
  <c r="Z97" i="1" l="1"/>
  <c r="D85" i="2"/>
  <c r="D97" i="2"/>
  <c r="AA97" i="1"/>
  <c r="E85" i="2"/>
  <c r="E97" i="2"/>
  <c r="L94" i="6"/>
  <c r="D93" i="7" s="1"/>
  <c r="M94" i="6"/>
  <c r="K94" i="6"/>
  <c r="C93" i="7" s="1"/>
  <c r="J94" i="6"/>
  <c r="B93" i="7" s="1"/>
  <c r="F85" i="2"/>
  <c r="AB97" i="1"/>
  <c r="F97" i="2"/>
  <c r="C85" i="2"/>
  <c r="Y97" i="1"/>
  <c r="C97" i="2"/>
  <c r="F95" i="6"/>
  <c r="U98" i="1"/>
  <c r="H99" i="1"/>
  <c r="X98" i="1"/>
  <c r="W98" i="1"/>
  <c r="N98" i="1"/>
  <c r="O98" i="1" s="1"/>
  <c r="V98" i="1"/>
  <c r="T98" i="1"/>
  <c r="N110" i="1"/>
  <c r="O110" i="1" s="1"/>
  <c r="G85" i="2"/>
  <c r="AC97" i="1"/>
  <c r="G97" i="2"/>
  <c r="E86" i="2" l="1"/>
  <c r="AA98" i="1"/>
  <c r="E98" i="2"/>
  <c r="F96" i="6"/>
  <c r="W99" i="1"/>
  <c r="U99" i="1"/>
  <c r="H100" i="1"/>
  <c r="T99" i="1"/>
  <c r="X99" i="1"/>
  <c r="N99" i="1"/>
  <c r="O99" i="1" s="1"/>
  <c r="V99" i="1"/>
  <c r="Y98" i="1"/>
  <c r="C86" i="2"/>
  <c r="C98" i="2"/>
  <c r="Z98" i="1"/>
  <c r="D86" i="2"/>
  <c r="D98" i="2"/>
  <c r="AC98" i="1"/>
  <c r="G86" i="2"/>
  <c r="G98" i="2"/>
  <c r="F86" i="2"/>
  <c r="AB98" i="1"/>
  <c r="F98" i="2"/>
  <c r="K95" i="6"/>
  <c r="C94" i="7" s="1"/>
  <c r="J95" i="6"/>
  <c r="B94" i="7" s="1"/>
  <c r="L95" i="6"/>
  <c r="D94" i="7" s="1"/>
  <c r="M95" i="6"/>
  <c r="E87" i="2" l="1"/>
  <c r="AA99" i="1"/>
  <c r="F97" i="6"/>
  <c r="U100" i="1"/>
  <c r="V100" i="1"/>
  <c r="T100" i="1"/>
  <c r="X100" i="1"/>
  <c r="W100" i="1"/>
  <c r="H101" i="1"/>
  <c r="N100" i="1"/>
  <c r="O100" i="1" s="1"/>
  <c r="Z99" i="1"/>
  <c r="D87" i="2"/>
  <c r="C87" i="2"/>
  <c r="Y99" i="1"/>
  <c r="J96" i="6"/>
  <c r="B95" i="7" s="1"/>
  <c r="M96" i="6"/>
  <c r="L96" i="6"/>
  <c r="D95" i="7" s="1"/>
  <c r="K96" i="6"/>
  <c r="C95" i="7" s="1"/>
  <c r="G87" i="2"/>
  <c r="AC99" i="1"/>
  <c r="F87" i="2"/>
  <c r="AB99" i="1"/>
  <c r="J97" i="6" l="1"/>
  <c r="B96" i="7" s="1"/>
  <c r="M97" i="6"/>
  <c r="L97" i="6"/>
  <c r="D96" i="7" s="1"/>
  <c r="K97" i="6"/>
  <c r="C96" i="7" s="1"/>
  <c r="F88" i="2"/>
  <c r="AB100" i="1"/>
  <c r="D88" i="2"/>
  <c r="Z100" i="1"/>
  <c r="Y100" i="1"/>
  <c r="C88" i="2"/>
  <c r="AC100" i="1"/>
  <c r="G88" i="2"/>
  <c r="F98" i="6"/>
  <c r="W101" i="1"/>
  <c r="X101" i="1"/>
  <c r="N101" i="1"/>
  <c r="O101" i="1" s="1"/>
  <c r="V101" i="1"/>
  <c r="U101" i="1"/>
  <c r="T101" i="1"/>
  <c r="AA100" i="1"/>
  <c r="E88" i="2"/>
  <c r="AA101" i="1" l="1"/>
  <c r="E89" i="2"/>
  <c r="L98" i="6"/>
  <c r="D97" i="7" s="1"/>
  <c r="K98" i="6"/>
  <c r="C97" i="7" s="1"/>
  <c r="J98" i="6"/>
  <c r="B97" i="7" s="1"/>
  <c r="M98" i="6"/>
  <c r="C89" i="2"/>
  <c r="Y101" i="1"/>
  <c r="G89" i="2"/>
  <c r="AC101" i="1"/>
  <c r="D89" i="2"/>
  <c r="Z101" i="1"/>
  <c r="AB101" i="1"/>
  <c r="F89" i="2"/>
</calcChain>
</file>

<file path=xl/sharedStrings.xml><?xml version="1.0" encoding="utf-8"?>
<sst xmlns="http://schemas.openxmlformats.org/spreadsheetml/2006/main" count="1231" uniqueCount="91">
  <si>
    <t>Índice de salarios. Números índice, octubre 2016=100,0, por sector. Años 2015-2021 (INDEC)</t>
  </si>
  <si>
    <t>Año</t>
  </si>
  <si>
    <t>Índice</t>
  </si>
  <si>
    <t>Evolución anual</t>
  </si>
  <si>
    <t>Mes</t>
  </si>
  <si>
    <t>Sector registrado</t>
  </si>
  <si>
    <t>Privado no registrado</t>
  </si>
  <si>
    <t>Total índice de salarios</t>
  </si>
  <si>
    <t>IPC</t>
  </si>
  <si>
    <t>Diferencia</t>
  </si>
  <si>
    <t>Privado</t>
  </si>
  <si>
    <t>Público</t>
  </si>
  <si>
    <t>Total</t>
  </si>
  <si>
    <t>Octubre</t>
  </si>
  <si>
    <t>-</t>
  </si>
  <si>
    <t>IPC 9 Provincias</t>
  </si>
  <si>
    <t>Noviembre</t>
  </si>
  <si>
    <t>INDEC</t>
  </si>
  <si>
    <t>Diciembre</t>
  </si>
  <si>
    <t>Enero</t>
  </si>
  <si>
    <r>
      <rPr>
        <i/>
        <sz val="10"/>
        <rFont val="Arial"/>
      </rPr>
      <t xml:space="preserve">Fuente: </t>
    </r>
    <r>
      <rPr>
        <i/>
        <u/>
        <sz val="10"/>
        <color rgb="FF1155CC"/>
        <rFont val="Arial"/>
      </rPr>
      <t>https://www.indec.gob.ar/indec/web/Nivel4-Tema-4-31-61</t>
    </r>
  </si>
  <si>
    <t>Febrero</t>
  </si>
  <si>
    <t>https://docs.google.com/spreadsheets/d/1W8lq6c2aG26IUpe4GH_Pfh5rsx1BUH0rY4QniNrDsUY/edit#gid=108376992</t>
  </si>
  <si>
    <t>Marzo</t>
  </si>
  <si>
    <t>Abril</t>
  </si>
  <si>
    <t>Mayo</t>
  </si>
  <si>
    <t>Junio</t>
  </si>
  <si>
    <t>Julio</t>
  </si>
  <si>
    <t>Agosto</t>
  </si>
  <si>
    <t>Septiembre</t>
  </si>
  <si>
    <t>Índice de salarios. Variación interanual real</t>
  </si>
  <si>
    <r>
      <rPr>
        <i/>
        <sz val="10"/>
        <rFont val="Arial"/>
      </rPr>
      <t xml:space="preserve">Fuente: </t>
    </r>
    <r>
      <rPr>
        <i/>
        <u/>
        <sz val="10"/>
        <color rgb="FF1155CC"/>
        <rFont val="Arial"/>
      </rPr>
      <t>https://www.indec.gob.ar/indec/web/Nivel4-Tema-4-31-61</t>
    </r>
  </si>
  <si>
    <t>REMUNERACIÓN IMPONIBLE PROMEDIO DE LOS TRABAJADORES ESTABLES (RIPTE)</t>
  </si>
  <si>
    <t>Período</t>
  </si>
  <si>
    <t>Monto en $</t>
  </si>
  <si>
    <t>Variación mes anterior</t>
  </si>
  <si>
    <t>Monto en $ (real a 01/2024)</t>
  </si>
  <si>
    <t>Evolución anual (en $ reales)</t>
  </si>
  <si>
    <t>Índice (dic-14=100)</t>
  </si>
  <si>
    <t>jul</t>
  </si>
  <si>
    <t>*Sin datos oficiales para ese mes</t>
  </si>
  <si>
    <t>ago</t>
  </si>
  <si>
    <t>sept</t>
  </si>
  <si>
    <t>oct</t>
  </si>
  <si>
    <t>nov</t>
  </si>
  <si>
    <t>dic</t>
  </si>
  <si>
    <r>
      <rPr>
        <i/>
        <sz val="10"/>
        <rFont val="Arial"/>
      </rPr>
      <t xml:space="preserve">Fuente: </t>
    </r>
    <r>
      <rPr>
        <i/>
        <u/>
        <sz val="10"/>
        <color rgb="FF1155CC"/>
        <rFont val="Arial"/>
      </rPr>
      <t>https://www.argentina.gob.ar/trabajo/seguridadsocial/ripte</t>
    </r>
  </si>
  <si>
    <t>ene</t>
  </si>
  <si>
    <t>Balanza</t>
  </si>
  <si>
    <t>feb</t>
  </si>
  <si>
    <t>mar</t>
  </si>
  <si>
    <t>abr</t>
  </si>
  <si>
    <t>may</t>
  </si>
  <si>
    <t>jun</t>
  </si>
  <si>
    <t>jul*</t>
  </si>
  <si>
    <t>junio</t>
  </si>
  <si>
    <t>Remuneración de los asalariados registrados del sector privado.  Por todo concepto (*)  a valores corrientes. Total país.</t>
  </si>
  <si>
    <t>Remuneración promedio $</t>
  </si>
  <si>
    <t>Nivel Indice base 100 = Ene-95</t>
  </si>
  <si>
    <t>Remun promedio real (a $ ene 2024)</t>
  </si>
  <si>
    <t>Varación anual real remun promedio</t>
  </si>
  <si>
    <t>*Es la remuneración bruta (previa a las deducciones por cargas sociales) declarada por la empresa  para cada mes. Incluye adicionales de periodicidad no mensual, horas extraordinarias, viáticos, sueldo anual complementario y bonificación por vacaciones. No incluye indemnizaciones.</t>
  </si>
  <si>
    <r>
      <rPr>
        <i/>
        <sz val="10"/>
        <rFont val="Arial"/>
      </rPr>
      <t xml:space="preserve">Fuente: </t>
    </r>
    <r>
      <rPr>
        <i/>
        <u/>
        <sz val="10"/>
        <color rgb="FF1155CC"/>
        <rFont val="Arial"/>
      </rPr>
      <t>https://www.trabajo.gob.ar/estadisticas/trabajoregistrado/index.asp</t>
    </r>
  </si>
  <si>
    <t>https://docs.google.com/spreadsheets/d/18S0c4fHP_qVcXO4hQ_r89Ad8YggR_iumj2TFctLpS24/edit?usp=sharing</t>
  </si>
  <si>
    <t>mayo</t>
  </si>
  <si>
    <t>Salario Mínimo, Vital y Móvil</t>
  </si>
  <si>
    <t>SMVM (en $)</t>
  </si>
  <si>
    <t>IPC (INDEC)</t>
  </si>
  <si>
    <t>SMVM (a $ sep 2004)</t>
  </si>
  <si>
    <t>IPC 2004</t>
  </si>
  <si>
    <t xml:space="preserve">SMVM real </t>
  </si>
  <si>
    <t>septiembre</t>
  </si>
  <si>
    <r>
      <rPr>
        <i/>
        <sz val="10"/>
        <rFont val="Arial"/>
      </rPr>
      <t xml:space="preserve">Fuente: </t>
    </r>
    <r>
      <rPr>
        <i/>
        <u/>
        <sz val="10"/>
        <color rgb="FF1155CC"/>
        <rFont val="Arial"/>
      </rPr>
      <t>https://www.argentina.gob.ar/trabajo/consejodelsalario/resoluciones</t>
    </r>
  </si>
  <si>
    <t>https://www.boletinoficial.gob.ar/detalleAviso/primera/262249/20220511</t>
  </si>
  <si>
    <t>julio</t>
  </si>
  <si>
    <t>agosto</t>
  </si>
  <si>
    <t>noviembre</t>
  </si>
  <si>
    <t>octubre</t>
  </si>
  <si>
    <t>diciembre</t>
  </si>
  <si>
    <t>enero</t>
  </si>
  <si>
    <t>febrero</t>
  </si>
  <si>
    <t xml:space="preserve">julio </t>
  </si>
  <si>
    <t>marzo</t>
  </si>
  <si>
    <t>abril</t>
  </si>
  <si>
    <t>mes</t>
  </si>
  <si>
    <t>ripte indice</t>
  </si>
  <si>
    <t>Ripte- ajustado</t>
  </si>
  <si>
    <t xml:space="preserve">Salario minimo </t>
  </si>
  <si>
    <t>Empleo privado registrado</t>
  </si>
  <si>
    <t>Empleo público</t>
  </si>
  <si>
    <t>Empleo privado no registrado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</si>
</sst>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mmmm&quot;-&quot;yyyy"/>
    <numFmt numFmtId="166" formatCode="dd/mm/yyyy"/>
    <numFmt numFmtId="167" formatCode="[$$]#,##0.0"/>
    <numFmt numFmtId="168" formatCode="[$$]#,##0.00"/>
    <numFmt numFmtId="169" formatCode="mmm&quot;-&quot;yyyy"/>
    <numFmt numFmtId="170" formatCode="m&quot;-&quot;yyyy"/>
  </numFmts>
  <fonts count="13">
    <font>
      <sz val="10"/>
      <color rgb="FF000000"/>
      <name val="Arial"/>
      <scheme val="minor"/>
    </font>
    <font>
      <i/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i/>
      <u/>
      <sz val="10"/>
      <color rgb="FF0000FF"/>
      <name val="Arial"/>
    </font>
    <font>
      <i/>
      <u/>
      <sz val="10"/>
      <color rgb="FF1155CC"/>
      <name val="Arial"/>
    </font>
    <font>
      <sz val="10"/>
      <color theme="1"/>
      <name val="Arial"/>
    </font>
    <font>
      <i/>
      <u/>
      <sz val="10"/>
      <color rgb="FF0000FF"/>
      <name val="Arial"/>
    </font>
    <font>
      <sz val="9"/>
      <color rgb="FF000000"/>
      <name val="&quot;Google Sans Mono&quot;"/>
    </font>
    <font>
      <sz val="10"/>
      <color rgb="FF000000"/>
      <name val="Roboto"/>
    </font>
    <font>
      <sz val="9"/>
      <color rgb="FF008000"/>
      <name val="&quot;Google Sans Mono&quot;"/>
    </font>
    <font>
      <sz val="11"/>
      <color rgb="FF000000"/>
      <name val="Inconsolata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2" fontId="3" fillId="3" borderId="0" xfId="0" applyNumberFormat="1" applyFont="1" applyFill="1" applyAlignment="1">
      <alignment horizontal="right"/>
    </xf>
    <xf numFmtId="0" fontId="3" fillId="3" borderId="0" xfId="0" applyFont="1" applyFill="1"/>
    <xf numFmtId="0" fontId="4" fillId="0" borderId="0" xfId="0" applyFont="1"/>
    <xf numFmtId="0" fontId="5" fillId="0" borderId="0" xfId="0" applyFont="1"/>
    <xf numFmtId="2" fontId="3" fillId="0" borderId="0" xfId="0" applyNumberFormat="1" applyFont="1" applyAlignment="1">
      <alignment horizontal="right"/>
    </xf>
    <xf numFmtId="10" fontId="3" fillId="0" borderId="0" xfId="0" applyNumberFormat="1" applyFont="1"/>
    <xf numFmtId="4" fontId="3" fillId="0" borderId="0" xfId="0" applyNumberFormat="1" applyFont="1"/>
    <xf numFmtId="2" fontId="3" fillId="0" borderId="0" xfId="0" applyNumberFormat="1" applyFont="1"/>
    <xf numFmtId="10" fontId="6" fillId="0" borderId="0" xfId="0" applyNumberFormat="1" applyFont="1" applyAlignment="1">
      <alignment horizontal="right"/>
    </xf>
    <xf numFmtId="0" fontId="3" fillId="4" borderId="0" xfId="0" applyFont="1" applyFill="1"/>
    <xf numFmtId="2" fontId="3" fillId="4" borderId="0" xfId="0" applyNumberFormat="1" applyFont="1" applyFill="1"/>
    <xf numFmtId="10" fontId="3" fillId="4" borderId="0" xfId="0" applyNumberFormat="1" applyFont="1" applyFill="1"/>
    <xf numFmtId="164" fontId="3" fillId="0" borderId="0" xfId="0" applyNumberFormat="1" applyFont="1"/>
    <xf numFmtId="2" fontId="3" fillId="3" borderId="0" xfId="0" applyNumberFormat="1" applyFont="1" applyFill="1"/>
    <xf numFmtId="4" fontId="3" fillId="4" borderId="0" xfId="0" applyNumberFormat="1" applyFont="1" applyFill="1"/>
    <xf numFmtId="0" fontId="7" fillId="0" borderId="0" xfId="0" applyFont="1"/>
    <xf numFmtId="3" fontId="6" fillId="0" borderId="0" xfId="0" applyNumberFormat="1" applyFont="1" applyAlignment="1">
      <alignment horizontal="right"/>
    </xf>
    <xf numFmtId="165" fontId="6" fillId="0" borderId="0" xfId="0" applyNumberFormat="1" applyFont="1"/>
    <xf numFmtId="0" fontId="8" fillId="5" borderId="0" xfId="0" applyFont="1" applyFill="1"/>
    <xf numFmtId="166" fontId="3" fillId="0" borderId="0" xfId="0" applyNumberFormat="1" applyFont="1"/>
    <xf numFmtId="9" fontId="3" fillId="0" borderId="0" xfId="0" applyNumberFormat="1" applyFont="1"/>
    <xf numFmtId="4" fontId="2" fillId="2" borderId="0" xfId="0" applyNumberFormat="1" applyFont="1" applyFill="1" applyAlignment="1">
      <alignment horizontal="center" vertical="center" wrapText="1"/>
    </xf>
    <xf numFmtId="10" fontId="2" fillId="2" borderId="0" xfId="0" applyNumberFormat="1" applyFont="1" applyFill="1" applyAlignment="1">
      <alignment horizontal="center" vertical="center" wrapText="1"/>
    </xf>
    <xf numFmtId="3" fontId="3" fillId="4" borderId="0" xfId="0" applyNumberFormat="1" applyFont="1" applyFill="1"/>
    <xf numFmtId="167" fontId="3" fillId="0" borderId="0" xfId="0" applyNumberFormat="1" applyFont="1"/>
    <xf numFmtId="168" fontId="3" fillId="0" borderId="0" xfId="0" applyNumberFormat="1" applyFont="1"/>
    <xf numFmtId="3" fontId="3" fillId="0" borderId="0" xfId="0" applyNumberFormat="1" applyFont="1"/>
    <xf numFmtId="169" fontId="3" fillId="0" borderId="0" xfId="0" applyNumberFormat="1" applyFont="1"/>
    <xf numFmtId="0" fontId="9" fillId="5" borderId="0" xfId="0" applyFont="1" applyFill="1"/>
    <xf numFmtId="1" fontId="8" fillId="5" borderId="0" xfId="0" applyNumberFormat="1" applyFont="1" applyFill="1"/>
    <xf numFmtId="169" fontId="8" fillId="5" borderId="0" xfId="0" applyNumberFormat="1" applyFont="1" applyFill="1"/>
    <xf numFmtId="0" fontId="10" fillId="5" borderId="0" xfId="0" applyFont="1" applyFill="1"/>
    <xf numFmtId="1" fontId="3" fillId="0" borderId="0" xfId="0" applyNumberFormat="1" applyFont="1"/>
    <xf numFmtId="170" fontId="3" fillId="0" borderId="0" xfId="0" applyNumberFormat="1" applyFont="1"/>
    <xf numFmtId="10" fontId="11" fillId="5" borderId="0" xfId="0" applyNumberFormat="1" applyFont="1" applyFill="1"/>
    <xf numFmtId="10" fontId="8" fillId="5" borderId="0" xfId="0" applyNumberFormat="1" applyFont="1" applyFill="1"/>
    <xf numFmtId="0" fontId="2" fillId="2" borderId="0" xfId="0" applyFont="1" applyFill="1" applyAlignment="1">
      <alignment horizontal="center" vertical="center" wrapText="1"/>
    </xf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4"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spreadsheets/d/1W8lq6c2aG26IUpe4GH_Pfh5rsx1BUH0rY4QniNrDsUY/edit" TargetMode="External"/><Relationship Id="rId1" Type="http://schemas.openxmlformats.org/officeDocument/2006/relationships/hyperlink" Target="https://www.indec.gob.ar/indec/web/Nivel4-Tema-4-31-6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spreadsheets/d/1W8lq6c2aG26IUpe4GH_Pfh5rsx1BUH0rY4QniNrDsUY/edit" TargetMode="External"/><Relationship Id="rId1" Type="http://schemas.openxmlformats.org/officeDocument/2006/relationships/hyperlink" Target="https://www.indec.gob.ar/indec/web/Nivel4-Tema-4-31-6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spreadsheets/d/1W8lq6c2aG26IUpe4GH_Pfh5rsx1BUH0rY4QniNrDsUY/edit" TargetMode="External"/><Relationship Id="rId1" Type="http://schemas.openxmlformats.org/officeDocument/2006/relationships/hyperlink" Target="https://www.argentina.gob.ar/trabajo/seguridadsocial/ript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spreadsheets/d/18S0c4fHP_qVcXO4hQ_r89Ad8YggR_iumj2TFctLpS24/edit?usp=sharing" TargetMode="External"/><Relationship Id="rId1" Type="http://schemas.openxmlformats.org/officeDocument/2006/relationships/hyperlink" Target="https://www.trabajo.gob.ar/estadisticas/trabajoregistrado/index.as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oletinoficial.gob.ar/detalleAviso/primera/262249/20220511" TargetMode="External"/><Relationship Id="rId1" Type="http://schemas.openxmlformats.org/officeDocument/2006/relationships/hyperlink" Target="https://www.argentina.gob.ar/trabajo/consejodelsalario/resolucio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16"/>
  <sheetViews>
    <sheetView tabSelected="1" workbookViewId="0">
      <selection activeCell="D9" sqref="D9"/>
    </sheetView>
  </sheetViews>
  <sheetFormatPr baseColWidth="10" defaultColWidth="12.6328125" defaultRowHeight="15.75" customHeight="1"/>
  <cols>
    <col min="1" max="1" width="8.453125" customWidth="1"/>
    <col min="2" max="3" width="10.6328125" customWidth="1"/>
    <col min="4" max="4" width="9.6328125" customWidth="1"/>
    <col min="5" max="5" width="9.453125" customWidth="1"/>
    <col min="6" max="6" width="12.26953125" customWidth="1"/>
    <col min="7" max="8" width="10.90625" customWidth="1"/>
    <col min="9" max="9" width="10.26953125" customWidth="1"/>
    <col min="10" max="10" width="9.453125" customWidth="1"/>
    <col min="11" max="12" width="10.26953125" customWidth="1"/>
    <col min="13" max="13" width="10.90625" customWidth="1"/>
    <col min="14" max="14" width="9.36328125" customWidth="1"/>
    <col min="15" max="15" width="10" customWidth="1"/>
  </cols>
  <sheetData>
    <row r="1" spans="1:33">
      <c r="A1" s="1" t="s">
        <v>0</v>
      </c>
    </row>
    <row r="3" spans="1:33">
      <c r="A3" s="45" t="s">
        <v>1</v>
      </c>
      <c r="B3" s="46" t="s">
        <v>2</v>
      </c>
      <c r="C3" s="44"/>
      <c r="D3" s="44"/>
      <c r="E3" s="44"/>
      <c r="F3" s="44"/>
      <c r="G3" s="44"/>
      <c r="H3" s="44"/>
      <c r="I3" s="46" t="s">
        <v>3</v>
      </c>
      <c r="J3" s="44"/>
      <c r="K3" s="44"/>
      <c r="L3" s="44"/>
      <c r="M3" s="44"/>
      <c r="N3" s="44"/>
      <c r="O3" s="44"/>
    </row>
    <row r="4" spans="1:33" ht="15.75" customHeight="1">
      <c r="A4" s="44"/>
      <c r="B4" s="45" t="s">
        <v>4</v>
      </c>
      <c r="C4" s="45" t="s">
        <v>5</v>
      </c>
      <c r="D4" s="44"/>
      <c r="E4" s="44"/>
      <c r="F4" s="43" t="s">
        <v>6</v>
      </c>
      <c r="G4" s="43" t="s">
        <v>7</v>
      </c>
      <c r="H4" s="43" t="s">
        <v>8</v>
      </c>
      <c r="I4" s="45" t="s">
        <v>5</v>
      </c>
      <c r="J4" s="44"/>
      <c r="K4" s="44"/>
      <c r="L4" s="43" t="s">
        <v>6</v>
      </c>
      <c r="M4" s="43" t="s">
        <v>7</v>
      </c>
      <c r="N4" s="43" t="s">
        <v>8</v>
      </c>
      <c r="O4" s="43" t="s">
        <v>9</v>
      </c>
      <c r="T4" s="45" t="s">
        <v>5</v>
      </c>
      <c r="U4" s="44"/>
      <c r="V4" s="44"/>
      <c r="W4" s="43" t="s">
        <v>6</v>
      </c>
      <c r="X4" s="43" t="s">
        <v>7</v>
      </c>
      <c r="Y4" s="45" t="s">
        <v>5</v>
      </c>
      <c r="Z4" s="44"/>
      <c r="AA4" s="44"/>
      <c r="AB4" s="43" t="s">
        <v>6</v>
      </c>
      <c r="AC4" s="43" t="s">
        <v>7</v>
      </c>
    </row>
    <row r="5" spans="1:33" ht="13">
      <c r="A5" s="44"/>
      <c r="B5" s="44"/>
      <c r="C5" s="3" t="s">
        <v>10</v>
      </c>
      <c r="D5" s="3" t="s">
        <v>11</v>
      </c>
      <c r="E5" s="3" t="s">
        <v>12</v>
      </c>
      <c r="F5" s="44"/>
      <c r="G5" s="44"/>
      <c r="H5" s="44"/>
      <c r="I5" s="3" t="s">
        <v>10</v>
      </c>
      <c r="J5" s="3" t="s">
        <v>11</v>
      </c>
      <c r="K5" s="3" t="s">
        <v>12</v>
      </c>
      <c r="L5" s="44"/>
      <c r="M5" s="44"/>
      <c r="N5" s="44"/>
      <c r="O5" s="44"/>
      <c r="T5" s="3" t="s">
        <v>10</v>
      </c>
      <c r="U5" s="3" t="s">
        <v>11</v>
      </c>
      <c r="V5" s="3" t="s">
        <v>12</v>
      </c>
      <c r="W5" s="44"/>
      <c r="X5" s="44"/>
      <c r="Y5" s="3" t="s">
        <v>10</v>
      </c>
      <c r="Z5" s="3" t="s">
        <v>11</v>
      </c>
      <c r="AA5" s="3" t="s">
        <v>12</v>
      </c>
      <c r="AB5" s="44"/>
      <c r="AC5" s="44"/>
    </row>
    <row r="6" spans="1:33" ht="15.75" customHeight="1">
      <c r="A6" s="48">
        <v>2015</v>
      </c>
      <c r="B6" s="5" t="s">
        <v>13</v>
      </c>
      <c r="C6" s="5">
        <v>74</v>
      </c>
      <c r="D6" s="5">
        <v>75.2</v>
      </c>
      <c r="E6" s="5">
        <v>74.400000000000006</v>
      </c>
      <c r="F6" s="6" t="s">
        <v>14</v>
      </c>
      <c r="G6" s="6" t="s">
        <v>14</v>
      </c>
      <c r="H6" s="7">
        <v>1355.09</v>
      </c>
      <c r="I6" s="6" t="s">
        <v>14</v>
      </c>
      <c r="J6" s="6" t="s">
        <v>14</v>
      </c>
      <c r="K6" s="6" t="s">
        <v>14</v>
      </c>
      <c r="L6" s="6" t="s">
        <v>14</v>
      </c>
      <c r="M6" s="6" t="s">
        <v>14</v>
      </c>
      <c r="N6" s="6" t="s">
        <v>14</v>
      </c>
      <c r="O6" s="6" t="s">
        <v>14</v>
      </c>
      <c r="T6" s="5">
        <f t="shared" ref="T6:T110" si="0">C6/H6</f>
        <v>5.460891896479201E-2</v>
      </c>
      <c r="U6" s="5">
        <f t="shared" ref="U6:U110" si="1">D6/H6</f>
        <v>5.5494469002058906E-2</v>
      </c>
      <c r="V6" s="5">
        <f t="shared" ref="V6:V110" si="2">E6/H6</f>
        <v>5.4904102310547646E-2</v>
      </c>
      <c r="Y6" s="5">
        <v>100</v>
      </c>
      <c r="Z6" s="5">
        <v>100</v>
      </c>
      <c r="AA6" s="5">
        <v>100</v>
      </c>
      <c r="AB6" s="5">
        <f t="shared" ref="AB6:AC6" si="3">W6*AB$18/W$18</f>
        <v>0</v>
      </c>
      <c r="AC6" s="5">
        <f t="shared" si="3"/>
        <v>0</v>
      </c>
      <c r="AF6" s="8"/>
      <c r="AG6" s="5" t="s">
        <v>15</v>
      </c>
    </row>
    <row r="7" spans="1:33" ht="15.75" customHeight="1">
      <c r="A7" s="48">
        <v>2015</v>
      </c>
      <c r="B7" s="5" t="s">
        <v>16</v>
      </c>
      <c r="C7" s="5">
        <v>76</v>
      </c>
      <c r="D7" s="5">
        <v>76.3</v>
      </c>
      <c r="E7" s="5">
        <v>76.099999999999994</v>
      </c>
      <c r="F7" s="6" t="s">
        <v>14</v>
      </c>
      <c r="G7" s="6" t="s">
        <v>14</v>
      </c>
      <c r="H7" s="7">
        <v>1381.78</v>
      </c>
      <c r="I7" s="6" t="s">
        <v>14</v>
      </c>
      <c r="J7" s="6" t="s">
        <v>14</v>
      </c>
      <c r="K7" s="6" t="s">
        <v>14</v>
      </c>
      <c r="L7" s="6" t="s">
        <v>14</v>
      </c>
      <c r="M7" s="6" t="s">
        <v>14</v>
      </c>
      <c r="N7" s="6" t="s">
        <v>14</v>
      </c>
      <c r="O7" s="6" t="s">
        <v>14</v>
      </c>
      <c r="T7" s="5">
        <f t="shared" si="0"/>
        <v>5.5001519778835994E-2</v>
      </c>
      <c r="U7" s="5">
        <f t="shared" si="1"/>
        <v>5.5218631041120875E-2</v>
      </c>
      <c r="V7" s="5">
        <f t="shared" si="2"/>
        <v>5.5073890199597617E-2</v>
      </c>
      <c r="Y7" s="5">
        <f t="shared" ref="Y7:AA7" si="4">T7*Y$6/T$6</f>
        <v>100.71893167176063</v>
      </c>
      <c r="Z7" s="5">
        <f t="shared" si="4"/>
        <v>99.502945129670863</v>
      </c>
      <c r="AA7" s="5">
        <f t="shared" si="4"/>
        <v>100.30924444969452</v>
      </c>
      <c r="AB7" s="5">
        <f t="shared" ref="AB7:AC7" si="5">W7*AB$18/W$18</f>
        <v>0</v>
      </c>
      <c r="AC7" s="5">
        <f t="shared" si="5"/>
        <v>0</v>
      </c>
      <c r="AG7" s="5" t="s">
        <v>17</v>
      </c>
    </row>
    <row r="8" spans="1:33" ht="15.75" customHeight="1">
      <c r="A8" s="48">
        <v>2015</v>
      </c>
      <c r="B8" s="5" t="s">
        <v>18</v>
      </c>
      <c r="C8" s="5">
        <v>77.400000000000006</v>
      </c>
      <c r="D8" s="5">
        <v>77.2</v>
      </c>
      <c r="E8" s="5">
        <v>77.3</v>
      </c>
      <c r="F8" s="6" t="s">
        <v>14</v>
      </c>
      <c r="G8" s="6" t="s">
        <v>14</v>
      </c>
      <c r="H8" s="7">
        <v>1435.99</v>
      </c>
      <c r="I8" s="6" t="s">
        <v>14</v>
      </c>
      <c r="J8" s="6" t="s">
        <v>14</v>
      </c>
      <c r="K8" s="6" t="s">
        <v>14</v>
      </c>
      <c r="L8" s="6" t="s">
        <v>14</v>
      </c>
      <c r="M8" s="6" t="s">
        <v>14</v>
      </c>
      <c r="N8" s="6" t="s">
        <v>14</v>
      </c>
      <c r="O8" s="6" t="s">
        <v>14</v>
      </c>
      <c r="T8" s="5">
        <f t="shared" si="0"/>
        <v>5.3900096797331459E-2</v>
      </c>
      <c r="U8" s="5">
        <f t="shared" si="1"/>
        <v>5.3760820061421043E-2</v>
      </c>
      <c r="V8" s="5">
        <f t="shared" si="2"/>
        <v>5.3830458429376248E-2</v>
      </c>
      <c r="Y8" s="5">
        <f t="shared" ref="Y8:AA8" si="6">T8*Y$6/T$6</f>
        <v>98.702002931210657</v>
      </c>
      <c r="Z8" s="5">
        <f t="shared" si="6"/>
        <v>96.875996884349775</v>
      </c>
      <c r="AA8" s="5">
        <f t="shared" si="6"/>
        <v>98.044510635837966</v>
      </c>
      <c r="AB8" s="5">
        <f t="shared" ref="AB8:AC8" si="7">W8*AB$18/W$18</f>
        <v>0</v>
      </c>
      <c r="AC8" s="5">
        <f t="shared" si="7"/>
        <v>0</v>
      </c>
    </row>
    <row r="9" spans="1:33" ht="13">
      <c r="A9" s="48">
        <v>2016</v>
      </c>
      <c r="B9" s="5" t="s">
        <v>19</v>
      </c>
      <c r="C9" s="5">
        <v>78.900000000000006</v>
      </c>
      <c r="D9" s="5">
        <v>77.5</v>
      </c>
      <c r="E9" s="5">
        <v>78.400000000000006</v>
      </c>
      <c r="F9" s="6" t="s">
        <v>14</v>
      </c>
      <c r="G9" s="6" t="s">
        <v>14</v>
      </c>
      <c r="H9" s="7">
        <v>1496.31</v>
      </c>
      <c r="I9" s="6" t="s">
        <v>14</v>
      </c>
      <c r="J9" s="6" t="s">
        <v>14</v>
      </c>
      <c r="K9" s="6" t="s">
        <v>14</v>
      </c>
      <c r="L9" s="6" t="s">
        <v>14</v>
      </c>
      <c r="M9" s="6" t="s">
        <v>14</v>
      </c>
      <c r="N9" s="6" t="s">
        <v>14</v>
      </c>
      <c r="O9" s="6" t="s">
        <v>14</v>
      </c>
      <c r="T9" s="5">
        <f t="shared" si="0"/>
        <v>5.2729715099143898E-2</v>
      </c>
      <c r="U9" s="5">
        <f t="shared" si="1"/>
        <v>5.1794080103721822E-2</v>
      </c>
      <c r="V9" s="5">
        <f t="shared" si="2"/>
        <v>5.2395559743636015E-2</v>
      </c>
      <c r="Y9" s="5">
        <f t="shared" ref="Y9:AA9" si="8">T9*Y$6/T$6</f>
        <v>96.558796802295817</v>
      </c>
      <c r="Z9" s="5">
        <f t="shared" si="8"/>
        <v>93.331968095415419</v>
      </c>
      <c r="AA9" s="5">
        <f t="shared" si="8"/>
        <v>95.431047114252308</v>
      </c>
      <c r="AB9" s="5">
        <f t="shared" ref="AB9:AC9" si="9">W9*AB$18/W$18</f>
        <v>0</v>
      </c>
      <c r="AC9" s="5">
        <f t="shared" si="9"/>
        <v>0</v>
      </c>
      <c r="AF9" s="9" t="s">
        <v>20</v>
      </c>
    </row>
    <row r="10" spans="1:33" ht="15.75" customHeight="1">
      <c r="A10" s="48">
        <v>2016</v>
      </c>
      <c r="B10" s="5" t="s">
        <v>21</v>
      </c>
      <c r="C10" s="5">
        <v>80</v>
      </c>
      <c r="D10" s="5">
        <v>78.400000000000006</v>
      </c>
      <c r="E10" s="5">
        <v>79.400000000000006</v>
      </c>
      <c r="F10" s="6" t="s">
        <v>14</v>
      </c>
      <c r="G10" s="6" t="s">
        <v>14</v>
      </c>
      <c r="H10" s="7">
        <v>1554.55</v>
      </c>
      <c r="I10" s="6" t="s">
        <v>14</v>
      </c>
      <c r="J10" s="6" t="s">
        <v>14</v>
      </c>
      <c r="K10" s="6" t="s">
        <v>14</v>
      </c>
      <c r="L10" s="6" t="s">
        <v>14</v>
      </c>
      <c r="M10" s="6" t="s">
        <v>14</v>
      </c>
      <c r="N10" s="6" t="s">
        <v>14</v>
      </c>
      <c r="O10" s="6" t="s">
        <v>14</v>
      </c>
      <c r="T10" s="5">
        <f t="shared" si="0"/>
        <v>5.1461837830883539E-2</v>
      </c>
      <c r="U10" s="5">
        <f t="shared" si="1"/>
        <v>5.0432601074265872E-2</v>
      </c>
      <c r="V10" s="5">
        <f t="shared" si="2"/>
        <v>5.1075874047151915E-2</v>
      </c>
      <c r="Y10" s="5">
        <f t="shared" ref="Y10:AA10" si="10">T10*Y$6/T$6</f>
        <v>94.237056521962117</v>
      </c>
      <c r="Z10" s="5">
        <f t="shared" si="10"/>
        <v>90.878608231019854</v>
      </c>
      <c r="AA10" s="5">
        <f t="shared" si="10"/>
        <v>93.027427637842848</v>
      </c>
      <c r="AB10" s="5">
        <f t="shared" ref="AB10:AC10" si="11">W10*AB$18/W$18</f>
        <v>0</v>
      </c>
      <c r="AC10" s="5">
        <f t="shared" si="11"/>
        <v>0</v>
      </c>
      <c r="AF10" s="10" t="s">
        <v>22</v>
      </c>
    </row>
    <row r="11" spans="1:33" ht="15.75" customHeight="1">
      <c r="A11" s="48">
        <v>2016</v>
      </c>
      <c r="B11" s="5" t="s">
        <v>23</v>
      </c>
      <c r="C11" s="5">
        <v>80.8</v>
      </c>
      <c r="D11" s="5">
        <v>83.8</v>
      </c>
      <c r="E11" s="5">
        <v>81.900000000000006</v>
      </c>
      <c r="F11" s="6" t="s">
        <v>14</v>
      </c>
      <c r="G11" s="6" t="s">
        <v>14</v>
      </c>
      <c r="H11" s="7">
        <v>1606.2</v>
      </c>
      <c r="I11" s="6" t="s">
        <v>14</v>
      </c>
      <c r="J11" s="6" t="s">
        <v>14</v>
      </c>
      <c r="K11" s="6" t="s">
        <v>14</v>
      </c>
      <c r="L11" s="6" t="s">
        <v>14</v>
      </c>
      <c r="M11" s="6" t="s">
        <v>14</v>
      </c>
      <c r="N11" s="6" t="s">
        <v>14</v>
      </c>
      <c r="O11" s="6" t="s">
        <v>14</v>
      </c>
      <c r="T11" s="5">
        <f t="shared" si="0"/>
        <v>5.0305067862034612E-2</v>
      </c>
      <c r="U11" s="5">
        <f t="shared" si="1"/>
        <v>5.2172830282654709E-2</v>
      </c>
      <c r="V11" s="5">
        <f t="shared" si="2"/>
        <v>5.0989914082928654E-2</v>
      </c>
      <c r="Y11" s="5">
        <f t="shared" ref="Y11:AA11" si="12">T11*Y$6/T$6</f>
        <v>92.118776228600652</v>
      </c>
      <c r="Z11" s="5">
        <f t="shared" si="12"/>
        <v>94.014468866652351</v>
      </c>
      <c r="AA11" s="5">
        <f t="shared" si="12"/>
        <v>92.870863809994319</v>
      </c>
      <c r="AB11" s="5">
        <f t="shared" ref="AB11:AC11" si="13">W11*AB$18/W$18</f>
        <v>0</v>
      </c>
      <c r="AC11" s="5">
        <f t="shared" si="13"/>
        <v>0</v>
      </c>
    </row>
    <row r="12" spans="1:33" ht="15.75" customHeight="1">
      <c r="A12" s="48">
        <v>2016</v>
      </c>
      <c r="B12" s="5" t="s">
        <v>24</v>
      </c>
      <c r="C12" s="5">
        <v>85.9</v>
      </c>
      <c r="D12" s="5">
        <v>84.3</v>
      </c>
      <c r="E12" s="5">
        <v>85.3</v>
      </c>
      <c r="F12" s="6" t="s">
        <v>14</v>
      </c>
      <c r="G12" s="6" t="s">
        <v>14</v>
      </c>
      <c r="H12" s="7">
        <v>1705.9</v>
      </c>
      <c r="I12" s="6" t="s">
        <v>14</v>
      </c>
      <c r="J12" s="6" t="s">
        <v>14</v>
      </c>
      <c r="K12" s="6" t="s">
        <v>14</v>
      </c>
      <c r="L12" s="6" t="s">
        <v>14</v>
      </c>
      <c r="M12" s="6" t="s">
        <v>14</v>
      </c>
      <c r="N12" s="6" t="s">
        <v>14</v>
      </c>
      <c r="O12" s="6" t="s">
        <v>14</v>
      </c>
      <c r="T12" s="5">
        <f t="shared" si="0"/>
        <v>5.0354651503605137E-2</v>
      </c>
      <c r="U12" s="5">
        <f t="shared" si="1"/>
        <v>4.9416730171756837E-2</v>
      </c>
      <c r="V12" s="5">
        <f t="shared" si="2"/>
        <v>5.0002931004162018E-2</v>
      </c>
      <c r="Y12" s="5">
        <f t="shared" ref="Y12:AA12" si="14">T12*Y$6/T$6</f>
        <v>92.209573927054436</v>
      </c>
      <c r="Z12" s="5">
        <f t="shared" si="14"/>
        <v>89.048027777188793</v>
      </c>
      <c r="AA12" s="5">
        <f t="shared" si="14"/>
        <v>91.073214750577819</v>
      </c>
      <c r="AB12" s="5">
        <f t="shared" ref="AB12:AC12" si="15">W12*AB$18/W$18</f>
        <v>0</v>
      </c>
      <c r="AC12" s="5">
        <f t="shared" si="15"/>
        <v>0</v>
      </c>
    </row>
    <row r="13" spans="1:33" ht="15.75" customHeight="1">
      <c r="A13" s="48">
        <v>2016</v>
      </c>
      <c r="B13" s="5" t="s">
        <v>25</v>
      </c>
      <c r="C13" s="5">
        <v>88.7</v>
      </c>
      <c r="D13" s="5">
        <v>87.1</v>
      </c>
      <c r="E13" s="5">
        <v>88.1</v>
      </c>
      <c r="F13" s="6" t="s">
        <v>14</v>
      </c>
      <c r="G13" s="6" t="s">
        <v>14</v>
      </c>
      <c r="H13" s="11">
        <v>1777.38</v>
      </c>
      <c r="I13" s="6" t="s">
        <v>14</v>
      </c>
      <c r="J13" s="6" t="s">
        <v>14</v>
      </c>
      <c r="K13" s="6" t="s">
        <v>14</v>
      </c>
      <c r="L13" s="6" t="s">
        <v>14</v>
      </c>
      <c r="M13" s="6" t="s">
        <v>14</v>
      </c>
      <c r="N13" s="6" t="s">
        <v>14</v>
      </c>
      <c r="O13" s="6" t="s">
        <v>14</v>
      </c>
      <c r="T13" s="5">
        <f t="shared" si="0"/>
        <v>4.9904916225005341E-2</v>
      </c>
      <c r="U13" s="5">
        <f t="shared" si="1"/>
        <v>4.9004714804937601E-2</v>
      </c>
      <c r="V13" s="5">
        <f t="shared" si="2"/>
        <v>4.9567340692479936E-2</v>
      </c>
      <c r="Y13" s="5">
        <f t="shared" ref="Y13:AA13" si="16">T13*Y$6/T$6</f>
        <v>91.386017469381741</v>
      </c>
      <c r="Z13" s="5">
        <f t="shared" si="16"/>
        <v>88.305583756679368</v>
      </c>
      <c r="AA13" s="5">
        <f t="shared" si="16"/>
        <v>90.279849057758909</v>
      </c>
      <c r="AB13" s="5">
        <f t="shared" ref="AB13:AC13" si="17">W13*AB$18/W$18</f>
        <v>0</v>
      </c>
      <c r="AC13" s="5">
        <f t="shared" si="17"/>
        <v>0</v>
      </c>
    </row>
    <row r="14" spans="1:33" ht="15.75" customHeight="1">
      <c r="A14" s="48">
        <v>2016</v>
      </c>
      <c r="B14" s="5" t="s">
        <v>26</v>
      </c>
      <c r="C14" s="5">
        <v>90.2</v>
      </c>
      <c r="D14" s="5">
        <v>89.3</v>
      </c>
      <c r="E14" s="5">
        <v>89.8</v>
      </c>
      <c r="F14" s="6" t="s">
        <v>14</v>
      </c>
      <c r="G14" s="6" t="s">
        <v>14</v>
      </c>
      <c r="H14" s="11">
        <v>1832.12</v>
      </c>
      <c r="I14" s="6" t="s">
        <v>14</v>
      </c>
      <c r="J14" s="6" t="s">
        <v>14</v>
      </c>
      <c r="K14" s="6" t="s">
        <v>14</v>
      </c>
      <c r="L14" s="6" t="s">
        <v>14</v>
      </c>
      <c r="M14" s="6" t="s">
        <v>14</v>
      </c>
      <c r="N14" s="6" t="s">
        <v>14</v>
      </c>
      <c r="O14" s="6" t="s">
        <v>14</v>
      </c>
      <c r="T14" s="5">
        <f t="shared" si="0"/>
        <v>4.9232583018579572E-2</v>
      </c>
      <c r="U14" s="5">
        <f t="shared" si="1"/>
        <v>4.8741348819946295E-2</v>
      </c>
      <c r="V14" s="5">
        <f t="shared" si="2"/>
        <v>4.9014256708075889E-2</v>
      </c>
      <c r="Y14" s="5">
        <f t="shared" ref="Y14:AA14" si="18">T14*Y$6/T$6</f>
        <v>90.154839084658093</v>
      </c>
      <c r="Z14" s="5">
        <f t="shared" si="18"/>
        <v>87.831003154815193</v>
      </c>
      <c r="AA14" s="5">
        <f t="shared" si="18"/>
        <v>89.272485379766863</v>
      </c>
      <c r="AB14" s="5">
        <f t="shared" ref="AB14:AC14" si="19">W14*AB$18/W$18</f>
        <v>0</v>
      </c>
      <c r="AC14" s="5">
        <f t="shared" si="19"/>
        <v>0</v>
      </c>
    </row>
    <row r="15" spans="1:33" ht="15.75" customHeight="1">
      <c r="A15" s="48">
        <v>2016</v>
      </c>
      <c r="B15" s="5" t="s">
        <v>27</v>
      </c>
      <c r="C15" s="5">
        <v>93.4</v>
      </c>
      <c r="D15" s="5">
        <v>94.7</v>
      </c>
      <c r="E15" s="5">
        <v>93.8</v>
      </c>
      <c r="F15" s="6" t="s">
        <v>14</v>
      </c>
      <c r="G15" s="6" t="s">
        <v>14</v>
      </c>
      <c r="H15" s="11">
        <v>1868.76</v>
      </c>
      <c r="I15" s="6" t="s">
        <v>14</v>
      </c>
      <c r="J15" s="6" t="s">
        <v>14</v>
      </c>
      <c r="K15" s="6" t="s">
        <v>14</v>
      </c>
      <c r="L15" s="6" t="s">
        <v>14</v>
      </c>
      <c r="M15" s="6" t="s">
        <v>14</v>
      </c>
      <c r="N15" s="6" t="s">
        <v>14</v>
      </c>
      <c r="O15" s="6" t="s">
        <v>14</v>
      </c>
      <c r="T15" s="5">
        <f t="shared" si="0"/>
        <v>4.9979665660651984E-2</v>
      </c>
      <c r="U15" s="5">
        <f t="shared" si="1"/>
        <v>5.0675314112031508E-2</v>
      </c>
      <c r="V15" s="5">
        <f t="shared" si="2"/>
        <v>5.0193711337999526E-2</v>
      </c>
      <c r="Y15" s="5">
        <f t="shared" ref="Y15:AA15" si="20">T15*Y$6/T$6</f>
        <v>91.522898837963368</v>
      </c>
      <c r="Z15" s="5">
        <f t="shared" si="20"/>
        <v>91.315972606479747</v>
      </c>
      <c r="AA15" s="5">
        <f t="shared" si="20"/>
        <v>91.420693947593776</v>
      </c>
      <c r="AB15" s="5">
        <f t="shared" ref="AB15:AC15" si="21">W15*AB$18/W$18</f>
        <v>0</v>
      </c>
      <c r="AC15" s="5">
        <f t="shared" si="21"/>
        <v>0</v>
      </c>
    </row>
    <row r="16" spans="1:33" ht="15.75" customHeight="1">
      <c r="A16" s="48">
        <v>2016</v>
      </c>
      <c r="B16" s="5" t="s">
        <v>28</v>
      </c>
      <c r="C16" s="5">
        <v>95.1</v>
      </c>
      <c r="D16" s="5">
        <v>98.7</v>
      </c>
      <c r="E16" s="5">
        <v>96.4</v>
      </c>
      <c r="F16" s="6" t="s">
        <v>14</v>
      </c>
      <c r="G16" s="6" t="s">
        <v>14</v>
      </c>
      <c r="H16" s="11">
        <v>1872.5</v>
      </c>
      <c r="I16" s="6" t="s">
        <v>14</v>
      </c>
      <c r="J16" s="6" t="s">
        <v>14</v>
      </c>
      <c r="K16" s="6" t="s">
        <v>14</v>
      </c>
      <c r="L16" s="6" t="s">
        <v>14</v>
      </c>
      <c r="M16" s="6" t="s">
        <v>14</v>
      </c>
      <c r="N16" s="6" t="s">
        <v>14</v>
      </c>
      <c r="O16" s="6" t="s">
        <v>14</v>
      </c>
      <c r="T16" s="5">
        <f t="shared" si="0"/>
        <v>5.0787716955941253E-2</v>
      </c>
      <c r="U16" s="5">
        <f t="shared" si="1"/>
        <v>5.2710280373831776E-2</v>
      </c>
      <c r="V16" s="5">
        <f t="shared" si="2"/>
        <v>5.1481975967957276E-2</v>
      </c>
      <c r="Y16" s="5">
        <f t="shared" ref="Y16:AA16" si="22">T16*Y$6/T$6</f>
        <v>93.002604553819495</v>
      </c>
      <c r="Z16" s="5">
        <f t="shared" si="22"/>
        <v>94.982943925233641</v>
      </c>
      <c r="AA16" s="5">
        <f t="shared" si="22"/>
        <v>93.767084427982809</v>
      </c>
      <c r="AB16" s="5">
        <f t="shared" ref="AB16:AC16" si="23">W16*AB$18/W$18</f>
        <v>0</v>
      </c>
      <c r="AC16" s="5">
        <f t="shared" si="23"/>
        <v>0</v>
      </c>
    </row>
    <row r="17" spans="1:29" ht="15.75" customHeight="1">
      <c r="A17" s="48">
        <v>2016</v>
      </c>
      <c r="B17" s="5" t="s">
        <v>29</v>
      </c>
      <c r="C17" s="5">
        <v>96.6</v>
      </c>
      <c r="D17" s="5">
        <v>99.5</v>
      </c>
      <c r="E17" s="5">
        <v>97.7</v>
      </c>
      <c r="F17" s="6" t="s">
        <v>14</v>
      </c>
      <c r="G17" s="6" t="s">
        <v>14</v>
      </c>
      <c r="H17" s="11">
        <v>1893.1</v>
      </c>
      <c r="I17" s="6" t="s">
        <v>14</v>
      </c>
      <c r="J17" s="6" t="s">
        <v>14</v>
      </c>
      <c r="K17" s="6" t="s">
        <v>14</v>
      </c>
      <c r="L17" s="6" t="s">
        <v>14</v>
      </c>
      <c r="M17" s="6" t="s">
        <v>14</v>
      </c>
      <c r="N17" s="6" t="s">
        <v>14</v>
      </c>
      <c r="O17" s="6" t="s">
        <v>14</v>
      </c>
      <c r="T17" s="5">
        <f t="shared" si="0"/>
        <v>5.1027415350483336E-2</v>
      </c>
      <c r="U17" s="5">
        <f t="shared" si="1"/>
        <v>5.2559294279224553E-2</v>
      </c>
      <c r="V17" s="5">
        <f t="shared" si="2"/>
        <v>5.160847287517828E-2</v>
      </c>
      <c r="Y17" s="5">
        <f t="shared" ref="Y17:AA17" si="24">T17*Y$6/T$6</f>
        <v>93.441540901738463</v>
      </c>
      <c r="Z17" s="5">
        <f t="shared" si="24"/>
        <v>94.710869793662752</v>
      </c>
      <c r="AA17" s="5">
        <f t="shared" si="24"/>
        <v>93.997480522077041</v>
      </c>
      <c r="AB17" s="5">
        <f t="shared" ref="AB17:AC17" si="25">W17*AB$18/W$18</f>
        <v>0</v>
      </c>
      <c r="AC17" s="5">
        <f t="shared" si="25"/>
        <v>0</v>
      </c>
    </row>
    <row r="18" spans="1:29" ht="15.75" customHeight="1">
      <c r="A18" s="48">
        <v>2016</v>
      </c>
      <c r="B18" s="5" t="s">
        <v>13</v>
      </c>
      <c r="C18" s="5">
        <v>100</v>
      </c>
      <c r="D18" s="5">
        <v>100</v>
      </c>
      <c r="E18" s="5">
        <v>100</v>
      </c>
      <c r="F18" s="5">
        <v>100</v>
      </c>
      <c r="G18" s="5">
        <v>100</v>
      </c>
      <c r="H18" s="11">
        <v>1938.53</v>
      </c>
      <c r="I18" s="12">
        <f t="shared" ref="I18:K18" si="26">C18/C6-1</f>
        <v>0.35135135135135132</v>
      </c>
      <c r="J18" s="12">
        <f t="shared" si="26"/>
        <v>0.32978723404255317</v>
      </c>
      <c r="K18" s="12">
        <f t="shared" si="26"/>
        <v>0.34408602150537626</v>
      </c>
      <c r="L18" s="6" t="s">
        <v>14</v>
      </c>
      <c r="M18" s="6" t="s">
        <v>14</v>
      </c>
      <c r="N18" s="12">
        <f t="shared" ref="N18:N29" si="27">H18/H6-1</f>
        <v>0.43055442811916556</v>
      </c>
      <c r="O18" s="12">
        <f t="shared" ref="O18:O29" si="28">K18-N18</f>
        <v>-8.6468406613789295E-2</v>
      </c>
      <c r="T18" s="5">
        <f t="shared" si="0"/>
        <v>5.1585479719168652E-2</v>
      </c>
      <c r="U18" s="5">
        <f t="shared" si="1"/>
        <v>5.1585479719168652E-2</v>
      </c>
      <c r="V18" s="5">
        <f t="shared" si="2"/>
        <v>5.1585479719168652E-2</v>
      </c>
      <c r="W18" s="5">
        <f t="shared" ref="W18:W110" si="29">F18/H18</f>
        <v>5.1585479719168652E-2</v>
      </c>
      <c r="X18" s="5">
        <f t="shared" ref="X18:X110" si="30">G18/H18</f>
        <v>5.1585479719168652E-2</v>
      </c>
      <c r="Y18" s="5">
        <f t="shared" ref="Y18:AA18" si="31">T18*Y$6/T$6</f>
        <v>94.463469881957081</v>
      </c>
      <c r="Z18" s="5">
        <f t="shared" si="31"/>
        <v>92.95607408596841</v>
      </c>
      <c r="AA18" s="5">
        <f t="shared" si="31"/>
        <v>93.955601764312135</v>
      </c>
      <c r="AB18" s="5">
        <v>100</v>
      </c>
      <c r="AC18" s="5">
        <v>100</v>
      </c>
    </row>
    <row r="19" spans="1:29" ht="15.75" customHeight="1">
      <c r="A19" s="48">
        <v>2016</v>
      </c>
      <c r="B19" s="5" t="s">
        <v>16</v>
      </c>
      <c r="C19" s="5">
        <v>101.8</v>
      </c>
      <c r="D19" s="5">
        <v>101.2</v>
      </c>
      <c r="E19" s="5">
        <v>101.6</v>
      </c>
      <c r="F19" s="5">
        <v>100.7</v>
      </c>
      <c r="G19" s="5">
        <v>101.4</v>
      </c>
      <c r="H19" s="11">
        <v>1969.55</v>
      </c>
      <c r="I19" s="12">
        <f t="shared" ref="I19:K19" si="32">C19/C7-1</f>
        <v>0.33947368421052637</v>
      </c>
      <c r="J19" s="12">
        <f t="shared" si="32"/>
        <v>0.32634338138925312</v>
      </c>
      <c r="K19" s="12">
        <f t="shared" si="32"/>
        <v>0.33508541392904068</v>
      </c>
      <c r="L19" s="6" t="s">
        <v>14</v>
      </c>
      <c r="M19" s="6" t="s">
        <v>14</v>
      </c>
      <c r="N19" s="12">
        <f t="shared" si="27"/>
        <v>0.42537162211061097</v>
      </c>
      <c r="O19" s="12">
        <f t="shared" si="28"/>
        <v>-9.0286208181570293E-2</v>
      </c>
      <c r="T19" s="5">
        <f t="shared" si="0"/>
        <v>5.1686933563504352E-2</v>
      </c>
      <c r="U19" s="5">
        <f t="shared" si="1"/>
        <v>5.1382295448198827E-2</v>
      </c>
      <c r="V19" s="5">
        <f t="shared" si="2"/>
        <v>5.1585387525069179E-2</v>
      </c>
      <c r="W19" s="5">
        <f t="shared" si="29"/>
        <v>5.1128430352110892E-2</v>
      </c>
      <c r="X19" s="5">
        <f t="shared" si="30"/>
        <v>5.1483841486634006E-2</v>
      </c>
      <c r="Y19" s="5">
        <f t="shared" ref="Y19:AA19" si="33">T19*Y$6/T$6</f>
        <v>94.649252435904202</v>
      </c>
      <c r="Z19" s="5">
        <f t="shared" si="33"/>
        <v>92.58993981236668</v>
      </c>
      <c r="AA19" s="5">
        <f t="shared" si="33"/>
        <v>93.955433845895143</v>
      </c>
      <c r="AB19" s="5">
        <f t="shared" ref="AB19:AC19" si="34">W19*AB$18/W$18</f>
        <v>99.113996090477514</v>
      </c>
      <c r="AC19" s="5">
        <f t="shared" si="34"/>
        <v>99.80297123708462</v>
      </c>
    </row>
    <row r="20" spans="1:29" ht="12.5">
      <c r="A20" s="48">
        <v>2016</v>
      </c>
      <c r="B20" s="5" t="s">
        <v>18</v>
      </c>
      <c r="C20" s="5">
        <v>102.9</v>
      </c>
      <c r="D20" s="5">
        <v>102.4</v>
      </c>
      <c r="E20" s="5">
        <v>102.7</v>
      </c>
      <c r="F20" s="5">
        <v>103.2</v>
      </c>
      <c r="G20" s="5">
        <v>102.8</v>
      </c>
      <c r="H20" s="11">
        <v>1993.18</v>
      </c>
      <c r="I20" s="12">
        <f t="shared" ref="I20:K20" si="35">C20/C8-1</f>
        <v>0.32945736434108519</v>
      </c>
      <c r="J20" s="12">
        <f t="shared" si="35"/>
        <v>0.32642487046632129</v>
      </c>
      <c r="K20" s="12">
        <f t="shared" si="35"/>
        <v>0.3285899094437259</v>
      </c>
      <c r="L20" s="6" t="s">
        <v>14</v>
      </c>
      <c r="M20" s="6" t="s">
        <v>14</v>
      </c>
      <c r="N20" s="12">
        <f t="shared" si="27"/>
        <v>0.38801802240962679</v>
      </c>
      <c r="O20" s="12">
        <f t="shared" si="28"/>
        <v>-5.9428112965900892E-2</v>
      </c>
      <c r="T20" s="5">
        <f t="shared" si="0"/>
        <v>5.1626044812811689E-2</v>
      </c>
      <c r="U20" s="5">
        <f t="shared" si="1"/>
        <v>5.1375189395839814E-2</v>
      </c>
      <c r="V20" s="5">
        <f t="shared" si="2"/>
        <v>5.1525702646022936E-2</v>
      </c>
      <c r="W20" s="5">
        <f t="shared" si="29"/>
        <v>5.1776558062994811E-2</v>
      </c>
      <c r="X20" s="5">
        <f t="shared" si="30"/>
        <v>5.1575873729417313E-2</v>
      </c>
      <c r="Y20" s="5">
        <f t="shared" ref="Y20:AA20" si="36">T20*Y$6/T$6</f>
        <v>94.537752791071597</v>
      </c>
      <c r="Z20" s="5">
        <f t="shared" si="36"/>
        <v>92.577134838309263</v>
      </c>
      <c r="AA20" s="5">
        <f t="shared" si="36"/>
        <v>93.84672634220324</v>
      </c>
      <c r="AB20" s="5">
        <f t="shared" ref="AB20:AC20" si="37">W20*AB$18/W$18</f>
        <v>100.37041110185733</v>
      </c>
      <c r="AC20" s="5">
        <f t="shared" si="37"/>
        <v>99.981378500687342</v>
      </c>
    </row>
    <row r="21" spans="1:29" ht="12.5">
      <c r="A21" s="48">
        <v>2017</v>
      </c>
      <c r="B21" s="5" t="s">
        <v>19</v>
      </c>
      <c r="C21" s="5">
        <v>106.3</v>
      </c>
      <c r="D21" s="5">
        <v>102.7</v>
      </c>
      <c r="E21" s="5">
        <v>105</v>
      </c>
      <c r="F21" s="5">
        <v>102</v>
      </c>
      <c r="G21" s="5">
        <v>104.4</v>
      </c>
      <c r="H21" s="11">
        <v>2025.07</v>
      </c>
      <c r="I21" s="12">
        <f t="shared" ref="I21:K21" si="38">C21/C9-1</f>
        <v>0.34727503168567786</v>
      </c>
      <c r="J21" s="12">
        <f t="shared" si="38"/>
        <v>0.32516129032258068</v>
      </c>
      <c r="K21" s="12">
        <f t="shared" si="38"/>
        <v>0.33928571428571419</v>
      </c>
      <c r="L21" s="6" t="s">
        <v>14</v>
      </c>
      <c r="M21" s="6" t="s">
        <v>14</v>
      </c>
      <c r="N21" s="12">
        <f t="shared" si="27"/>
        <v>0.3533759715566962</v>
      </c>
      <c r="O21" s="12">
        <f t="shared" si="28"/>
        <v>-1.409025727098201E-2</v>
      </c>
      <c r="T21" s="5">
        <f t="shared" si="0"/>
        <v>5.2492012621785912E-2</v>
      </c>
      <c r="U21" s="5">
        <f t="shared" si="1"/>
        <v>5.0714296295930515E-2</v>
      </c>
      <c r="V21" s="5">
        <f t="shared" si="2"/>
        <v>5.1850059504115906E-2</v>
      </c>
      <c r="W21" s="5">
        <f t="shared" si="29"/>
        <v>5.0368629232569739E-2</v>
      </c>
      <c r="X21" s="5">
        <f t="shared" si="30"/>
        <v>5.1553773449806675E-2</v>
      </c>
      <c r="Y21" s="5">
        <f t="shared" ref="Y21:AA21" si="39">T21*Y$6/T$6</f>
        <v>96.123515383318733</v>
      </c>
      <c r="Z21" s="5">
        <f t="shared" si="39"/>
        <v>91.38621777613362</v>
      </c>
      <c r="AA21" s="5">
        <f t="shared" si="39"/>
        <v>94.437496147086577</v>
      </c>
      <c r="AB21" s="5">
        <f t="shared" ref="AB21:AC21" si="40">W21*AB$18/W$18</f>
        <v>97.641098826213408</v>
      </c>
      <c r="AC21" s="5">
        <f t="shared" si="40"/>
        <v>99.938536445653725</v>
      </c>
    </row>
    <row r="22" spans="1:29" ht="12.5">
      <c r="A22" s="48">
        <v>2017</v>
      </c>
      <c r="B22" s="5" t="s">
        <v>21</v>
      </c>
      <c r="C22" s="5">
        <v>107.7</v>
      </c>
      <c r="D22" s="5">
        <v>103.1</v>
      </c>
      <c r="E22" s="5">
        <v>106</v>
      </c>
      <c r="F22" s="5">
        <v>104.9</v>
      </c>
      <c r="G22" s="5">
        <v>105.8</v>
      </c>
      <c r="H22" s="11">
        <v>2067.6</v>
      </c>
      <c r="I22" s="12">
        <f t="shared" ref="I22:K22" si="41">C22/C10-1</f>
        <v>0.34624999999999995</v>
      </c>
      <c r="J22" s="12">
        <f t="shared" si="41"/>
        <v>0.31505102040816313</v>
      </c>
      <c r="K22" s="12">
        <f t="shared" si="41"/>
        <v>0.33501259445843812</v>
      </c>
      <c r="L22" s="6" t="s">
        <v>14</v>
      </c>
      <c r="M22" s="6" t="s">
        <v>14</v>
      </c>
      <c r="N22" s="12">
        <f t="shared" si="27"/>
        <v>0.33003119873918485</v>
      </c>
      <c r="O22" s="12">
        <f t="shared" si="28"/>
        <v>4.9813957192532676E-3</v>
      </c>
      <c r="T22" s="5">
        <f t="shared" si="0"/>
        <v>5.2089378990133495E-2</v>
      </c>
      <c r="U22" s="5">
        <f t="shared" si="1"/>
        <v>4.9864577287676536E-2</v>
      </c>
      <c r="V22" s="5">
        <f t="shared" si="2"/>
        <v>5.1267169665312438E-2</v>
      </c>
      <c r="W22" s="5">
        <f t="shared" si="29"/>
        <v>5.0735151866898823E-2</v>
      </c>
      <c r="X22" s="5">
        <f t="shared" si="30"/>
        <v>5.1170439156509963E-2</v>
      </c>
      <c r="Y22" s="5">
        <f t="shared" ref="Y22:AA22" si="42">T22*Y$6/T$6</f>
        <v>95.386211588837838</v>
      </c>
      <c r="Z22" s="5">
        <f t="shared" si="42"/>
        <v>89.855039942496802</v>
      </c>
      <c r="AA22" s="5">
        <f t="shared" si="42"/>
        <v>93.375845351839004</v>
      </c>
      <c r="AB22" s="5">
        <f t="shared" ref="AB22:AC22" si="43">W22*AB$18/W$18</f>
        <v>98.351613948539381</v>
      </c>
      <c r="AC22" s="5">
        <f t="shared" si="43"/>
        <v>99.195431418069262</v>
      </c>
    </row>
    <row r="23" spans="1:29" ht="12.5">
      <c r="A23" s="48">
        <v>2017</v>
      </c>
      <c r="B23" s="5" t="s">
        <v>23</v>
      </c>
      <c r="C23" s="5">
        <v>109.3</v>
      </c>
      <c r="D23" s="5">
        <v>107.2</v>
      </c>
      <c r="E23" s="5">
        <v>108.5</v>
      </c>
      <c r="F23" s="5">
        <v>110.1</v>
      </c>
      <c r="G23" s="5">
        <v>108.8</v>
      </c>
      <c r="H23" s="11">
        <v>2115.15</v>
      </c>
      <c r="I23" s="12">
        <f t="shared" ref="I23:K23" si="44">C23/C11-1</f>
        <v>0.3527227722772277</v>
      </c>
      <c r="J23" s="12">
        <f t="shared" si="44"/>
        <v>0.27923627684964214</v>
      </c>
      <c r="K23" s="12">
        <f t="shared" si="44"/>
        <v>0.32478632478632474</v>
      </c>
      <c r="L23" s="6" t="s">
        <v>14</v>
      </c>
      <c r="M23" s="6" t="s">
        <v>14</v>
      </c>
      <c r="N23" s="12">
        <f t="shared" si="27"/>
        <v>0.31686589465819948</v>
      </c>
      <c r="O23" s="12">
        <f t="shared" si="28"/>
        <v>7.9204301281252665E-3</v>
      </c>
      <c r="T23" s="5">
        <f t="shared" si="0"/>
        <v>5.1674822116634753E-2</v>
      </c>
      <c r="U23" s="5">
        <f t="shared" si="1"/>
        <v>5.0681984729215424E-2</v>
      </c>
      <c r="V23" s="5">
        <f t="shared" si="2"/>
        <v>5.1296598349998813E-2</v>
      </c>
      <c r="W23" s="5">
        <f t="shared" si="29"/>
        <v>5.2053045883270685E-2</v>
      </c>
      <c r="X23" s="5">
        <f t="shared" si="30"/>
        <v>5.1438432262487288E-2</v>
      </c>
      <c r="Y23" s="5">
        <f t="shared" ref="Y23:AA23" si="45">T23*Y$6/T$6</f>
        <v>94.627073921662941</v>
      </c>
      <c r="Z23" s="5">
        <f t="shared" si="45"/>
        <v>91.327992934458152</v>
      </c>
      <c r="AA23" s="5">
        <f t="shared" si="45"/>
        <v>93.429445508198754</v>
      </c>
      <c r="AB23" s="5">
        <f t="shared" ref="AB23:AC23" si="46">W23*AB$18/W$18</f>
        <v>100.90639103609672</v>
      </c>
      <c r="AC23" s="5">
        <f t="shared" si="46"/>
        <v>99.714944093799474</v>
      </c>
    </row>
    <row r="24" spans="1:29" ht="12.5">
      <c r="A24" s="48">
        <v>2017</v>
      </c>
      <c r="B24" s="5" t="s">
        <v>24</v>
      </c>
      <c r="C24" s="5">
        <v>112.9</v>
      </c>
      <c r="D24" s="5">
        <v>110.8</v>
      </c>
      <c r="E24" s="5">
        <v>112.1</v>
      </c>
      <c r="F24" s="5">
        <v>114.6</v>
      </c>
      <c r="G24" s="5">
        <v>112.6</v>
      </c>
      <c r="H24" s="11">
        <v>2172.2600000000002</v>
      </c>
      <c r="I24" s="12">
        <f t="shared" ref="I24:K24" si="47">C24/C12-1</f>
        <v>0.3143189755529685</v>
      </c>
      <c r="J24" s="12">
        <f t="shared" si="47"/>
        <v>0.31435349940688018</v>
      </c>
      <c r="K24" s="12">
        <f t="shared" si="47"/>
        <v>0.31418522860492382</v>
      </c>
      <c r="L24" s="6" t="s">
        <v>14</v>
      </c>
      <c r="M24" s="6" t="s">
        <v>14</v>
      </c>
      <c r="N24" s="12">
        <f t="shared" si="27"/>
        <v>0.27338062020048071</v>
      </c>
      <c r="O24" s="12">
        <f t="shared" si="28"/>
        <v>4.080460840444311E-2</v>
      </c>
      <c r="T24" s="5">
        <f t="shared" si="0"/>
        <v>5.1973520665113751E-2</v>
      </c>
      <c r="U24" s="5">
        <f t="shared" si="1"/>
        <v>5.1006785559739622E-2</v>
      </c>
      <c r="V24" s="5">
        <f t="shared" si="2"/>
        <v>5.1605240624971217E-2</v>
      </c>
      <c r="W24" s="5">
        <f t="shared" si="29"/>
        <v>5.275611575041661E-2</v>
      </c>
      <c r="X24" s="5">
        <f t="shared" si="30"/>
        <v>5.18354156500603E-2</v>
      </c>
      <c r="Y24" s="5">
        <f t="shared" ref="Y24:AA24" si="48">T24*Y$6/T$6</f>
        <v>95.174051510931079</v>
      </c>
      <c r="Z24" s="5">
        <f t="shared" si="48"/>
        <v>91.913277984238775</v>
      </c>
      <c r="AA24" s="5">
        <f t="shared" si="48"/>
        <v>93.991593438833647</v>
      </c>
      <c r="AB24" s="5">
        <f t="shared" ref="AB24:AC24" si="49">W24*AB$18/W$18</f>
        <v>102.2693130656551</v>
      </c>
      <c r="AC24" s="5">
        <f t="shared" si="49"/>
        <v>100.4845083001114</v>
      </c>
    </row>
    <row r="25" spans="1:29" ht="12.5">
      <c r="A25" s="48">
        <v>2017</v>
      </c>
      <c r="B25" s="5" t="s">
        <v>25</v>
      </c>
      <c r="C25" s="5">
        <v>115.2</v>
      </c>
      <c r="D25" s="5">
        <v>112.3</v>
      </c>
      <c r="E25" s="5">
        <v>114.1</v>
      </c>
      <c r="F25" s="5">
        <v>115.8</v>
      </c>
      <c r="G25" s="5">
        <v>114.4</v>
      </c>
      <c r="H25" s="11">
        <v>2202.6799999999998</v>
      </c>
      <c r="I25" s="12">
        <f t="shared" ref="I25:K25" si="50">C25/C13-1</f>
        <v>0.29875986471251403</v>
      </c>
      <c r="J25" s="12">
        <f t="shared" si="50"/>
        <v>0.28932261768082679</v>
      </c>
      <c r="K25" s="12">
        <f t="shared" si="50"/>
        <v>0.29511918274687865</v>
      </c>
      <c r="L25" s="6" t="s">
        <v>14</v>
      </c>
      <c r="M25" s="6" t="s">
        <v>14</v>
      </c>
      <c r="N25" s="12">
        <f t="shared" si="27"/>
        <v>0.23928478997175606</v>
      </c>
      <c r="O25" s="12">
        <f t="shared" si="28"/>
        <v>5.5834392775122588E-2</v>
      </c>
      <c r="T25" s="5">
        <f t="shared" si="0"/>
        <v>5.2299925545244888E-2</v>
      </c>
      <c r="U25" s="5">
        <f t="shared" si="1"/>
        <v>5.0983347558428822E-2</v>
      </c>
      <c r="V25" s="5">
        <f t="shared" si="2"/>
        <v>5.1800533895073275E-2</v>
      </c>
      <c r="W25" s="5">
        <f t="shared" si="29"/>
        <v>5.2572320990793037E-2</v>
      </c>
      <c r="X25" s="5">
        <f t="shared" si="30"/>
        <v>5.1936731617847356E-2</v>
      </c>
      <c r="Y25" s="5">
        <f t="shared" ref="Y25:AA25" si="51">T25*Y$6/T$6</f>
        <v>95.771765009602561</v>
      </c>
      <c r="Z25" s="5">
        <f t="shared" si="51"/>
        <v>91.871043142222476</v>
      </c>
      <c r="AA25" s="5">
        <f t="shared" si="51"/>
        <v>94.347292306283379</v>
      </c>
      <c r="AB25" s="5">
        <f t="shared" ref="AB25:AC25" si="52">W25*AB$18/W$18</f>
        <v>101.91302141028203</v>
      </c>
      <c r="AC25" s="5">
        <f t="shared" si="52"/>
        <v>100.68091234314562</v>
      </c>
    </row>
    <row r="26" spans="1:29" ht="12.5">
      <c r="A26" s="48">
        <v>2017</v>
      </c>
      <c r="B26" s="5" t="s">
        <v>26</v>
      </c>
      <c r="C26" s="5">
        <v>117.2</v>
      </c>
      <c r="D26" s="5">
        <v>115.3</v>
      </c>
      <c r="E26" s="5">
        <v>116.5</v>
      </c>
      <c r="F26" s="5">
        <v>116.2</v>
      </c>
      <c r="G26" s="5">
        <v>116.5</v>
      </c>
      <c r="H26" s="11">
        <v>2229.11</v>
      </c>
      <c r="I26" s="12">
        <f t="shared" ref="I26:K26" si="53">C26/C14-1</f>
        <v>0.29933481152993346</v>
      </c>
      <c r="J26" s="12">
        <f t="shared" si="53"/>
        <v>0.29115341545352735</v>
      </c>
      <c r="K26" s="12">
        <f t="shared" si="53"/>
        <v>0.29732739420935417</v>
      </c>
      <c r="L26" s="6" t="s">
        <v>14</v>
      </c>
      <c r="M26" s="6" t="s">
        <v>14</v>
      </c>
      <c r="N26" s="12">
        <f t="shared" si="27"/>
        <v>0.21668340501713867</v>
      </c>
      <c r="O26" s="12">
        <f t="shared" si="28"/>
        <v>8.0643989192215493E-2</v>
      </c>
      <c r="T26" s="5">
        <f t="shared" si="0"/>
        <v>5.2577037472354433E-2</v>
      </c>
      <c r="U26" s="5">
        <f t="shared" si="1"/>
        <v>5.1724679356335033E-2</v>
      </c>
      <c r="V26" s="5">
        <f t="shared" si="2"/>
        <v>5.2263010798031501E-2</v>
      </c>
      <c r="W26" s="5">
        <f t="shared" si="29"/>
        <v>5.2128427937607386E-2</v>
      </c>
      <c r="X26" s="5">
        <f t="shared" si="30"/>
        <v>5.2263010798031501E-2</v>
      </c>
      <c r="Y26" s="5">
        <f t="shared" ref="Y26:AA26" si="54">T26*Y$6/T$6</f>
        <v>96.279213119476708</v>
      </c>
      <c r="Z26" s="5">
        <f t="shared" si="54"/>
        <v>93.206909240659627</v>
      </c>
      <c r="AA26" s="5">
        <f t="shared" si="54"/>
        <v>95.189628094495291</v>
      </c>
      <c r="AB26" s="5">
        <f t="shared" ref="AB26:AC26" si="55">W26*AB$18/W$18</f>
        <v>101.05252140989003</v>
      </c>
      <c r="AC26" s="5">
        <f t="shared" si="55"/>
        <v>101.31341432230801</v>
      </c>
    </row>
    <row r="27" spans="1:29" ht="12.5">
      <c r="A27" s="48">
        <v>2017</v>
      </c>
      <c r="B27" s="5" t="s">
        <v>27</v>
      </c>
      <c r="C27" s="5">
        <v>122.8</v>
      </c>
      <c r="D27" s="5">
        <v>118.5</v>
      </c>
      <c r="E27" s="5">
        <v>121.2</v>
      </c>
      <c r="F27" s="5">
        <v>120.7</v>
      </c>
      <c r="G27" s="5">
        <v>121.1</v>
      </c>
      <c r="H27" s="11">
        <v>2269.23</v>
      </c>
      <c r="I27" s="12">
        <f t="shared" ref="I27:K27" si="56">C27/C15-1</f>
        <v>0.31477516059957167</v>
      </c>
      <c r="J27" s="12">
        <f t="shared" si="56"/>
        <v>0.25131995776135163</v>
      </c>
      <c r="K27" s="12">
        <f t="shared" si="56"/>
        <v>0.29211087420042658</v>
      </c>
      <c r="L27" s="6" t="s">
        <v>14</v>
      </c>
      <c r="M27" s="6" t="s">
        <v>14</v>
      </c>
      <c r="N27" s="12">
        <f t="shared" si="27"/>
        <v>0.21429718101842932</v>
      </c>
      <c r="O27" s="12">
        <f t="shared" si="28"/>
        <v>7.7813693181997268E-2</v>
      </c>
      <c r="T27" s="5">
        <f t="shared" si="0"/>
        <v>5.4115272581448333E-2</v>
      </c>
      <c r="U27" s="5">
        <f t="shared" si="1"/>
        <v>5.2220356684866673E-2</v>
      </c>
      <c r="V27" s="5">
        <f t="shared" si="2"/>
        <v>5.3410187596673764E-2</v>
      </c>
      <c r="W27" s="5">
        <f t="shared" si="29"/>
        <v>5.318984853893171E-2</v>
      </c>
      <c r="X27" s="5">
        <f t="shared" si="30"/>
        <v>5.336611978512535E-2</v>
      </c>
      <c r="Y27" s="5">
        <f t="shared" ref="Y27:AA27" si="57">T27*Y$6/T$6</f>
        <v>99.096033408641645</v>
      </c>
      <c r="Z27" s="5">
        <f t="shared" si="57"/>
        <v>94.100110558638264</v>
      </c>
      <c r="AA27" s="5">
        <f t="shared" si="57"/>
        <v>97.279047191366445</v>
      </c>
      <c r="AB27" s="5">
        <f t="shared" ref="AB27:AC27" si="58">W27*AB$18/W$18</f>
        <v>103.11011708817527</v>
      </c>
      <c r="AC27" s="5">
        <f t="shared" si="58"/>
        <v>103.45182418705905</v>
      </c>
    </row>
    <row r="28" spans="1:29" ht="12.5">
      <c r="A28" s="48">
        <v>2017</v>
      </c>
      <c r="B28" s="5" t="s">
        <v>28</v>
      </c>
      <c r="C28" s="5">
        <v>124.6</v>
      </c>
      <c r="D28" s="5">
        <v>121.5</v>
      </c>
      <c r="E28" s="5">
        <v>123.4</v>
      </c>
      <c r="F28" s="5">
        <v>126.1</v>
      </c>
      <c r="G28" s="5">
        <v>124</v>
      </c>
      <c r="H28" s="11">
        <v>2301</v>
      </c>
      <c r="I28" s="12">
        <f t="shared" ref="I28:K28" si="59">C28/C16-1</f>
        <v>0.3101997896950579</v>
      </c>
      <c r="J28" s="12">
        <f t="shared" si="59"/>
        <v>0.23100303951367773</v>
      </c>
      <c r="K28" s="12">
        <f t="shared" si="59"/>
        <v>0.28008298755186711</v>
      </c>
      <c r="L28" s="6" t="s">
        <v>14</v>
      </c>
      <c r="M28" s="6" t="s">
        <v>14</v>
      </c>
      <c r="N28" s="12">
        <f t="shared" si="27"/>
        <v>0.22883845126835789</v>
      </c>
      <c r="O28" s="12">
        <f t="shared" si="28"/>
        <v>5.1244536283509223E-2</v>
      </c>
      <c r="T28" s="5">
        <f t="shared" si="0"/>
        <v>5.4150369404606692E-2</v>
      </c>
      <c r="U28" s="5">
        <f t="shared" si="1"/>
        <v>5.2803129074315516E-2</v>
      </c>
      <c r="V28" s="5">
        <f t="shared" si="2"/>
        <v>5.3628857018687533E-2</v>
      </c>
      <c r="W28" s="5">
        <f t="shared" si="29"/>
        <v>5.4802259887005648E-2</v>
      </c>
      <c r="X28" s="5">
        <f t="shared" si="30"/>
        <v>5.3889613211647112E-2</v>
      </c>
      <c r="Y28" s="5">
        <f t="shared" ref="Y28:AA28" si="60">T28*Y$6/T$6</f>
        <v>99.160302806065502</v>
      </c>
      <c r="Z28" s="5">
        <f t="shared" si="60"/>
        <v>95.150255554939108</v>
      </c>
      <c r="AA28" s="5">
        <f t="shared" si="60"/>
        <v>97.677322389050119</v>
      </c>
      <c r="AB28" s="5">
        <f t="shared" ref="AB28:AC28" si="61">W28*AB$18/W$18</f>
        <v>106.23582485875706</v>
      </c>
      <c r="AC28" s="5">
        <f t="shared" si="61"/>
        <v>104.46663189917426</v>
      </c>
    </row>
    <row r="29" spans="1:29" ht="12.5">
      <c r="A29" s="48">
        <v>2017</v>
      </c>
      <c r="B29" s="5" t="s">
        <v>29</v>
      </c>
      <c r="C29" s="5">
        <v>126</v>
      </c>
      <c r="D29" s="5">
        <v>123.9</v>
      </c>
      <c r="E29" s="5">
        <v>125.2</v>
      </c>
      <c r="F29" s="5">
        <v>127.7</v>
      </c>
      <c r="G29" s="5">
        <v>125.7</v>
      </c>
      <c r="H29" s="11">
        <v>2344.7199999999998</v>
      </c>
      <c r="I29" s="12">
        <f t="shared" ref="I29:K29" si="62">C29/C17-1</f>
        <v>0.30434782608695654</v>
      </c>
      <c r="J29" s="12">
        <f t="shared" si="62"/>
        <v>0.24522613065326637</v>
      </c>
      <c r="K29" s="12">
        <f t="shared" si="62"/>
        <v>0.28147389969293757</v>
      </c>
      <c r="L29" s="6" t="s">
        <v>14</v>
      </c>
      <c r="M29" s="6" t="s">
        <v>14</v>
      </c>
      <c r="N29" s="12">
        <f t="shared" si="27"/>
        <v>0.23856109027521</v>
      </c>
      <c r="O29" s="12">
        <f t="shared" si="28"/>
        <v>4.2912809417727571E-2</v>
      </c>
      <c r="T29" s="5">
        <f t="shared" si="0"/>
        <v>5.3737759732505379E-2</v>
      </c>
      <c r="U29" s="5">
        <f t="shared" si="1"/>
        <v>5.284213040363029E-2</v>
      </c>
      <c r="V29" s="5">
        <f t="shared" si="2"/>
        <v>5.3396567607219628E-2</v>
      </c>
      <c r="W29" s="5">
        <f t="shared" si="29"/>
        <v>5.4462792998737596E-2</v>
      </c>
      <c r="X29" s="5">
        <f t="shared" si="30"/>
        <v>5.3609812685523221E-2</v>
      </c>
      <c r="Y29" s="5">
        <f t="shared" ref="Y29:AA29" si="63">T29*Y$6/T$6</f>
        <v>98.404730859352313</v>
      </c>
      <c r="Z29" s="5">
        <f t="shared" si="63"/>
        <v>95.22053522427575</v>
      </c>
      <c r="AA29" s="5">
        <f t="shared" si="63"/>
        <v>97.254240321058106</v>
      </c>
      <c r="AB29" s="5">
        <f t="shared" ref="AB29:AC29" si="64">W29*AB$18/W$18</f>
        <v>105.57775811184278</v>
      </c>
      <c r="AC29" s="5">
        <f t="shared" si="64"/>
        <v>103.92423018526733</v>
      </c>
    </row>
    <row r="30" spans="1:29" ht="12.5">
      <c r="A30" s="48">
        <v>2017</v>
      </c>
      <c r="B30" s="5" t="s">
        <v>13</v>
      </c>
      <c r="C30" s="5">
        <v>128.19999999999999</v>
      </c>
      <c r="D30" s="5">
        <v>126</v>
      </c>
      <c r="E30" s="5">
        <v>127.4</v>
      </c>
      <c r="F30" s="5">
        <v>128.5</v>
      </c>
      <c r="G30" s="5">
        <v>127.6</v>
      </c>
      <c r="H30" s="11">
        <v>2379.89</v>
      </c>
      <c r="I30" s="12">
        <f t="shared" ref="I30:N30" si="65">C30/C18-1</f>
        <v>0.28199999999999981</v>
      </c>
      <c r="J30" s="12">
        <f t="shared" si="65"/>
        <v>0.26</v>
      </c>
      <c r="K30" s="12">
        <f t="shared" si="65"/>
        <v>0.27400000000000002</v>
      </c>
      <c r="L30" s="12">
        <f t="shared" si="65"/>
        <v>0.28499999999999992</v>
      </c>
      <c r="M30" s="12">
        <f t="shared" si="65"/>
        <v>0.27600000000000002</v>
      </c>
      <c r="N30" s="12">
        <f t="shared" si="65"/>
        <v>0.22767767328852262</v>
      </c>
      <c r="O30" s="12">
        <f t="shared" ref="O30:O73" si="66">M30-N30</f>
        <v>4.8322326711477404E-2</v>
      </c>
      <c r="T30" s="5">
        <f t="shared" si="0"/>
        <v>5.3868035917626442E-2</v>
      </c>
      <c r="U30" s="5">
        <f t="shared" si="1"/>
        <v>5.2943623444781061E-2</v>
      </c>
      <c r="V30" s="5">
        <f t="shared" si="2"/>
        <v>5.3531885927500855E-2</v>
      </c>
      <c r="W30" s="5">
        <f t="shared" si="29"/>
        <v>5.3994092163923549E-2</v>
      </c>
      <c r="X30" s="5">
        <f t="shared" si="30"/>
        <v>5.3615923425032248E-2</v>
      </c>
      <c r="Y30" s="5">
        <f t="shared" ref="Y30:AA30" si="67">T30*Y$6/T$6</f>
        <v>98.643292961643795</v>
      </c>
      <c r="Z30" s="5">
        <f t="shared" si="67"/>
        <v>95.403423794931342</v>
      </c>
      <c r="AA30" s="5">
        <f t="shared" si="67"/>
        <v>97.500703362227327</v>
      </c>
      <c r="AB30" s="5">
        <f t="shared" ref="AB30:AC30" si="68">W30*AB$18/W$18</f>
        <v>104.66916748253071</v>
      </c>
      <c r="AC30" s="5">
        <f t="shared" si="68"/>
        <v>103.93607603712776</v>
      </c>
    </row>
    <row r="31" spans="1:29" ht="12.5">
      <c r="A31" s="48">
        <v>2017</v>
      </c>
      <c r="B31" s="5" t="s">
        <v>16</v>
      </c>
      <c r="C31" s="5">
        <v>130</v>
      </c>
      <c r="D31" s="5">
        <v>127.3</v>
      </c>
      <c r="E31" s="5">
        <v>129</v>
      </c>
      <c r="F31" s="5">
        <v>132</v>
      </c>
      <c r="G31" s="5">
        <v>129.6</v>
      </c>
      <c r="H31" s="11">
        <v>2413.21</v>
      </c>
      <c r="I31" s="12">
        <f t="shared" ref="I31:N31" si="69">C31/C19-1</f>
        <v>0.27701375245579563</v>
      </c>
      <c r="J31" s="12">
        <f t="shared" si="69"/>
        <v>0.2579051383399209</v>
      </c>
      <c r="K31" s="12">
        <f t="shared" si="69"/>
        <v>0.26968503937007871</v>
      </c>
      <c r="L31" s="12">
        <f t="shared" si="69"/>
        <v>0.31082423038728901</v>
      </c>
      <c r="M31" s="12">
        <f t="shared" si="69"/>
        <v>0.27810650887573951</v>
      </c>
      <c r="N31" s="12">
        <f t="shared" si="69"/>
        <v>0.22525957706074995</v>
      </c>
      <c r="O31" s="12">
        <f t="shared" si="66"/>
        <v>5.2846931814989562E-2</v>
      </c>
      <c r="T31" s="5">
        <f t="shared" si="0"/>
        <v>5.3870156347769156E-2</v>
      </c>
      <c r="U31" s="5">
        <f t="shared" si="1"/>
        <v>5.2751314639007792E-2</v>
      </c>
      <c r="V31" s="5">
        <f t="shared" si="2"/>
        <v>5.3455770529709387E-2</v>
      </c>
      <c r="W31" s="5">
        <f t="shared" si="29"/>
        <v>5.469892798388868E-2</v>
      </c>
      <c r="X31" s="5">
        <f t="shared" si="30"/>
        <v>5.3704402020545244E-2</v>
      </c>
      <c r="Y31" s="5">
        <f t="shared" ref="Y31:AA31" si="70">T31*Y$6/T$6</f>
        <v>98.64717589905203</v>
      </c>
      <c r="Z31" s="5">
        <f t="shared" si="70"/>
        <v>95.056886907145028</v>
      </c>
      <c r="AA31" s="5">
        <f t="shared" si="70"/>
        <v>97.362070009548219</v>
      </c>
      <c r="AB31" s="5">
        <f t="shared" ref="AB31:AC31" si="71">W31*AB$18/W$18</f>
        <v>106.03551286460771</v>
      </c>
      <c r="AC31" s="5">
        <f t="shared" si="71"/>
        <v>104.10759444888757</v>
      </c>
    </row>
    <row r="32" spans="1:29" ht="12.5">
      <c r="A32" s="48">
        <v>2017</v>
      </c>
      <c r="B32" s="5" t="s">
        <v>18</v>
      </c>
      <c r="C32" s="5">
        <v>131</v>
      </c>
      <c r="D32" s="5">
        <v>127.9</v>
      </c>
      <c r="E32" s="5">
        <v>129.9</v>
      </c>
      <c r="F32" s="5">
        <v>135.69999999999999</v>
      </c>
      <c r="G32" s="5">
        <v>131</v>
      </c>
      <c r="H32" s="11">
        <v>2488.02</v>
      </c>
      <c r="I32" s="12">
        <f t="shared" ref="I32:N32" si="72">C32/C20-1</f>
        <v>0.27308066083576277</v>
      </c>
      <c r="J32" s="12">
        <f t="shared" si="72"/>
        <v>0.2490234375</v>
      </c>
      <c r="K32" s="12">
        <f t="shared" si="72"/>
        <v>0.26484907497565735</v>
      </c>
      <c r="L32" s="12">
        <f t="shared" si="72"/>
        <v>0.31492248062015493</v>
      </c>
      <c r="M32" s="12">
        <f t="shared" si="72"/>
        <v>0.27431906614786006</v>
      </c>
      <c r="N32" s="12">
        <f t="shared" si="72"/>
        <v>0.24826658906872434</v>
      </c>
      <c r="O32" s="12">
        <f t="shared" si="66"/>
        <v>2.6052477079135716E-2</v>
      </c>
      <c r="T32" s="5">
        <f t="shared" si="0"/>
        <v>5.2652309868891731E-2</v>
      </c>
      <c r="U32" s="5">
        <f t="shared" si="1"/>
        <v>5.1406339177337806E-2</v>
      </c>
      <c r="V32" s="5">
        <f t="shared" si="2"/>
        <v>5.2210191236404857E-2</v>
      </c>
      <c r="W32" s="5">
        <f t="shared" si="29"/>
        <v>5.4541362207699291E-2</v>
      </c>
      <c r="X32" s="5">
        <f t="shared" si="30"/>
        <v>5.2652309868891731E-2</v>
      </c>
      <c r="Y32" s="5">
        <f t="shared" ref="Y32:AA32" si="73">T32*Y$6/T$6</f>
        <v>96.417052135454711</v>
      </c>
      <c r="Z32" s="5">
        <f t="shared" si="73"/>
        <v>92.633266164652511</v>
      </c>
      <c r="AA32" s="5">
        <f t="shared" si="73"/>
        <v>95.093424788360011</v>
      </c>
      <c r="AB32" s="5">
        <f t="shared" ref="AB32:AC32" si="74">W32*AB$18/W$18</f>
        <v>105.73006688049131</v>
      </c>
      <c r="AC32" s="5">
        <f t="shared" si="74"/>
        <v>102.06808225014268</v>
      </c>
    </row>
    <row r="33" spans="1:29" ht="12.5">
      <c r="A33" s="48">
        <v>2018</v>
      </c>
      <c r="B33" s="5" t="s">
        <v>19</v>
      </c>
      <c r="C33" s="5">
        <v>133.30000000000001</v>
      </c>
      <c r="D33" s="5">
        <v>128.5</v>
      </c>
      <c r="E33" s="5">
        <v>131.5</v>
      </c>
      <c r="F33" s="5">
        <v>136.6</v>
      </c>
      <c r="G33" s="5">
        <v>132.5</v>
      </c>
      <c r="H33" s="11">
        <v>2532.8000000000002</v>
      </c>
      <c r="I33" s="12">
        <f t="shared" ref="I33:N33" si="75">C33/C21-1</f>
        <v>0.25399811853245535</v>
      </c>
      <c r="J33" s="12">
        <f t="shared" si="75"/>
        <v>0.2512171372930867</v>
      </c>
      <c r="K33" s="12">
        <f t="shared" si="75"/>
        <v>0.25238095238095237</v>
      </c>
      <c r="L33" s="12">
        <f t="shared" si="75"/>
        <v>0.33921568627450971</v>
      </c>
      <c r="M33" s="12">
        <f t="shared" si="75"/>
        <v>0.2691570881226053</v>
      </c>
      <c r="N33" s="12">
        <f t="shared" si="75"/>
        <v>0.25072219725737899</v>
      </c>
      <c r="O33" s="12">
        <f t="shared" si="66"/>
        <v>1.8434890865226317E-2</v>
      </c>
      <c r="T33" s="5">
        <f t="shared" si="0"/>
        <v>5.2629500947567909E-2</v>
      </c>
      <c r="U33" s="5">
        <f t="shared" si="1"/>
        <v>5.0734365129500941E-2</v>
      </c>
      <c r="V33" s="5">
        <f t="shared" si="2"/>
        <v>5.1918825015792792E-2</v>
      </c>
      <c r="W33" s="5">
        <f t="shared" si="29"/>
        <v>5.393240682248894E-2</v>
      </c>
      <c r="X33" s="5">
        <f t="shared" si="30"/>
        <v>5.2313644977890081E-2</v>
      </c>
      <c r="Y33" s="5">
        <f t="shared" ref="Y33:AA33" si="76">T33*Y$6/T$6</f>
        <v>96.375284377080803</v>
      </c>
      <c r="Z33" s="5">
        <f t="shared" si="76"/>
        <v>91.422381440605619</v>
      </c>
      <c r="AA33" s="5">
        <f t="shared" si="76"/>
        <v>94.562742729369148</v>
      </c>
      <c r="AB33" s="5">
        <f t="shared" ref="AB33:AC33" si="77">W33*AB$18/W$18</f>
        <v>104.54958859759948</v>
      </c>
      <c r="AC33" s="5">
        <f t="shared" si="77"/>
        <v>101.41157019898925</v>
      </c>
    </row>
    <row r="34" spans="1:29" ht="12.5">
      <c r="A34" s="48">
        <v>2018</v>
      </c>
      <c r="B34" s="5" t="s">
        <v>21</v>
      </c>
      <c r="C34" s="5">
        <v>134.30000000000001</v>
      </c>
      <c r="D34" s="5">
        <v>129.30000000000001</v>
      </c>
      <c r="E34" s="5">
        <v>132.4</v>
      </c>
      <c r="F34" s="5">
        <v>138.19999999999999</v>
      </c>
      <c r="G34" s="5">
        <v>133.6</v>
      </c>
      <c r="H34" s="11">
        <v>2593.59</v>
      </c>
      <c r="I34" s="12">
        <f t="shared" ref="I34:N34" si="78">C34/C22-1</f>
        <v>0.24698235840297134</v>
      </c>
      <c r="J34" s="12">
        <f t="shared" si="78"/>
        <v>0.25412221144519909</v>
      </c>
      <c r="K34" s="12">
        <f t="shared" si="78"/>
        <v>0.24905660377358485</v>
      </c>
      <c r="L34" s="12">
        <f t="shared" si="78"/>
        <v>0.31744518589132498</v>
      </c>
      <c r="M34" s="12">
        <f t="shared" si="78"/>
        <v>0.26275992438563334</v>
      </c>
      <c r="N34" s="12">
        <f t="shared" si="78"/>
        <v>0.2543964016250726</v>
      </c>
      <c r="O34" s="12">
        <f t="shared" si="66"/>
        <v>8.3635227605607376E-3</v>
      </c>
      <c r="T34" s="5">
        <f t="shared" si="0"/>
        <v>5.1781507485762976E-2</v>
      </c>
      <c r="U34" s="5">
        <f t="shared" si="1"/>
        <v>4.9853677720842537E-2</v>
      </c>
      <c r="V34" s="5">
        <f t="shared" si="2"/>
        <v>5.1048932175093209E-2</v>
      </c>
      <c r="W34" s="5">
        <f t="shared" si="29"/>
        <v>5.3285214702400913E-2</v>
      </c>
      <c r="X34" s="5">
        <f t="shared" si="30"/>
        <v>5.1511611318674114E-2</v>
      </c>
      <c r="Y34" s="5">
        <f t="shared" ref="Y34:AA34" si="79">T34*Y$6/T$6</f>
        <v>94.822436457949379</v>
      </c>
      <c r="Z34" s="5">
        <f t="shared" si="79"/>
        <v>89.835399125979393</v>
      </c>
      <c r="AA34" s="5">
        <f t="shared" si="79"/>
        <v>92.978356856380444</v>
      </c>
      <c r="AB34" s="5">
        <f t="shared" ref="AB34:AC34" si="80">W34*AB$18/W$18</f>
        <v>103.29498725704524</v>
      </c>
      <c r="AC34" s="5">
        <f t="shared" si="80"/>
        <v>99.856803889589315</v>
      </c>
    </row>
    <row r="35" spans="1:29" ht="12.5">
      <c r="A35" s="48">
        <v>2018</v>
      </c>
      <c r="B35" s="5" t="s">
        <v>23</v>
      </c>
      <c r="C35" s="5">
        <v>136.19999999999999</v>
      </c>
      <c r="D35" s="5">
        <v>133</v>
      </c>
      <c r="E35" s="5">
        <v>135</v>
      </c>
      <c r="F35" s="5">
        <v>140.69999999999999</v>
      </c>
      <c r="G35" s="5">
        <v>136.1</v>
      </c>
      <c r="H35" s="11">
        <v>2653.24</v>
      </c>
      <c r="I35" s="12">
        <f t="shared" ref="I35:N35" si="81">C35/C23-1</f>
        <v>0.24611161939615722</v>
      </c>
      <c r="J35" s="12">
        <f t="shared" si="81"/>
        <v>0.24067164179104483</v>
      </c>
      <c r="K35" s="12">
        <f t="shared" si="81"/>
        <v>0.24423963133640547</v>
      </c>
      <c r="L35" s="12">
        <f t="shared" si="81"/>
        <v>0.27792915531335138</v>
      </c>
      <c r="M35" s="12">
        <f t="shared" si="81"/>
        <v>0.25091911764705888</v>
      </c>
      <c r="N35" s="12">
        <f t="shared" si="81"/>
        <v>0.2543980332364133</v>
      </c>
      <c r="O35" s="12">
        <f t="shared" si="66"/>
        <v>-3.4789155893544255E-3</v>
      </c>
      <c r="T35" s="5">
        <f t="shared" si="0"/>
        <v>5.133346399119567E-2</v>
      </c>
      <c r="U35" s="5">
        <f t="shared" si="1"/>
        <v>5.0127391415778447E-2</v>
      </c>
      <c r="V35" s="5">
        <f t="shared" si="2"/>
        <v>5.0881186775414214E-2</v>
      </c>
      <c r="W35" s="5">
        <f t="shared" si="29"/>
        <v>5.3029503550376146E-2</v>
      </c>
      <c r="X35" s="5">
        <f t="shared" si="30"/>
        <v>5.1295774223213887E-2</v>
      </c>
      <c r="Y35" s="5">
        <f t="shared" ref="Y35:AA35" si="82">T35*Y$6/T$6</f>
        <v>94.00197799976938</v>
      </c>
      <c r="Z35" s="5">
        <f t="shared" si="82"/>
        <v>90.328626108520226</v>
      </c>
      <c r="AA35" s="5">
        <f t="shared" si="82"/>
        <v>92.672832510075324</v>
      </c>
      <c r="AB35" s="5">
        <f t="shared" ref="AB35:AC35" si="83">W35*AB$18/W$18</f>
        <v>102.79928351751066</v>
      </c>
      <c r="AC35" s="5">
        <f t="shared" si="83"/>
        <v>99.438397204926815</v>
      </c>
    </row>
    <row r="36" spans="1:29" ht="12.5">
      <c r="A36" s="48">
        <v>2018</v>
      </c>
      <c r="B36" s="5" t="s">
        <v>24</v>
      </c>
      <c r="C36" s="5">
        <v>141</v>
      </c>
      <c r="D36" s="5">
        <v>135</v>
      </c>
      <c r="E36" s="5">
        <v>138.80000000000001</v>
      </c>
      <c r="F36" s="5">
        <v>144</v>
      </c>
      <c r="G36" s="5">
        <v>139.80000000000001</v>
      </c>
      <c r="H36" s="11">
        <v>2724.88</v>
      </c>
      <c r="I36" s="12">
        <f t="shared" ref="I36:N36" si="84">C36/C24-1</f>
        <v>0.24889282550930014</v>
      </c>
      <c r="J36" s="12">
        <f t="shared" si="84"/>
        <v>0.21841155234657039</v>
      </c>
      <c r="K36" s="12">
        <f t="shared" si="84"/>
        <v>0.23818019625334541</v>
      </c>
      <c r="L36" s="12">
        <f t="shared" si="84"/>
        <v>0.25654450261780104</v>
      </c>
      <c r="M36" s="12">
        <f t="shared" si="84"/>
        <v>0.24156305506216702</v>
      </c>
      <c r="N36" s="12">
        <f t="shared" si="84"/>
        <v>0.25439864472945217</v>
      </c>
      <c r="O36" s="12">
        <f t="shared" si="66"/>
        <v>-1.2835589667285152E-2</v>
      </c>
      <c r="T36" s="5">
        <f t="shared" si="0"/>
        <v>5.1745397962479081E-2</v>
      </c>
      <c r="U36" s="5">
        <f t="shared" si="1"/>
        <v>4.9543466134288477E-2</v>
      </c>
      <c r="V36" s="5">
        <f t="shared" si="2"/>
        <v>5.0938022958809198E-2</v>
      </c>
      <c r="W36" s="5">
        <f t="shared" si="29"/>
        <v>5.2846363876574376E-2</v>
      </c>
      <c r="X36" s="5">
        <f t="shared" si="30"/>
        <v>5.1305011596840963E-2</v>
      </c>
      <c r="Y36" s="5">
        <f t="shared" ref="Y36:AA36" si="85">T36*Y$6/T$6</f>
        <v>94.756312601318612</v>
      </c>
      <c r="Z36" s="5">
        <f t="shared" si="85"/>
        <v>89.276403622224692</v>
      </c>
      <c r="AA36" s="5">
        <f t="shared" si="85"/>
        <v>92.776351520501009</v>
      </c>
      <c r="AB36" s="5">
        <f t="shared" ref="AB36:AC36" si="86">W36*AB$18/W$18</f>
        <v>102.44426176565572</v>
      </c>
      <c r="AC36" s="5">
        <f t="shared" si="86"/>
        <v>99.456304130824094</v>
      </c>
    </row>
    <row r="37" spans="1:29" ht="12.5">
      <c r="A37" s="48">
        <v>2018</v>
      </c>
      <c r="B37" s="5" t="s">
        <v>25</v>
      </c>
      <c r="C37" s="5">
        <v>144.5</v>
      </c>
      <c r="D37" s="5">
        <v>137.19999999999999</v>
      </c>
      <c r="E37" s="5">
        <v>141.69999999999999</v>
      </c>
      <c r="F37" s="5">
        <v>142.69999999999999</v>
      </c>
      <c r="G37" s="5">
        <v>141.9</v>
      </c>
      <c r="H37" s="11">
        <v>2782.1</v>
      </c>
      <c r="I37" s="12">
        <f t="shared" ref="I37:N37" si="87">C37/C25-1</f>
        <v>0.25434027777777768</v>
      </c>
      <c r="J37" s="12">
        <f t="shared" si="87"/>
        <v>0.22172751558325898</v>
      </c>
      <c r="K37" s="12">
        <f t="shared" si="87"/>
        <v>0.24189307624890444</v>
      </c>
      <c r="L37" s="12">
        <f t="shared" si="87"/>
        <v>0.23229706390328153</v>
      </c>
      <c r="M37" s="12">
        <f t="shared" si="87"/>
        <v>0.24038461538461542</v>
      </c>
      <c r="N37" s="12">
        <f t="shared" si="87"/>
        <v>0.26305228176584894</v>
      </c>
      <c r="O37" s="12">
        <f t="shared" si="66"/>
        <v>-2.266766638123352E-2</v>
      </c>
      <c r="T37" s="5">
        <f t="shared" si="0"/>
        <v>5.1939182631824884E-2</v>
      </c>
      <c r="U37" s="5">
        <f t="shared" si="1"/>
        <v>4.9315265446964518E-2</v>
      </c>
      <c r="V37" s="5">
        <f t="shared" si="2"/>
        <v>5.0932748643111314E-2</v>
      </c>
      <c r="W37" s="5">
        <f t="shared" si="29"/>
        <v>5.1292189353366158E-2</v>
      </c>
      <c r="X37" s="5">
        <f t="shared" si="30"/>
        <v>5.1004636785162288E-2</v>
      </c>
      <c r="Y37" s="5">
        <f t="shared" ref="Y37:AA37" si="88">T37*Y$6/T$6</f>
        <v>95.111171611567002</v>
      </c>
      <c r="Z37" s="5">
        <f t="shared" si="88"/>
        <v>88.865190232083961</v>
      </c>
      <c r="AA37" s="5">
        <f t="shared" si="88"/>
        <v>92.766745105905514</v>
      </c>
      <c r="AB37" s="5">
        <f t="shared" ref="AB37:AC37" si="89">W37*AB$18/W$18</f>
        <v>99.431447827180889</v>
      </c>
      <c r="AC37" s="5">
        <f t="shared" si="89"/>
        <v>98.874018547140636</v>
      </c>
    </row>
    <row r="38" spans="1:29" ht="12.5">
      <c r="A38" s="48">
        <v>2018</v>
      </c>
      <c r="B38" s="5" t="s">
        <v>26</v>
      </c>
      <c r="C38" s="5">
        <v>146.5</v>
      </c>
      <c r="D38" s="5">
        <v>139</v>
      </c>
      <c r="E38" s="5">
        <v>143.69999999999999</v>
      </c>
      <c r="F38" s="5">
        <v>141</v>
      </c>
      <c r="G38" s="5">
        <v>143.1</v>
      </c>
      <c r="H38" s="11">
        <v>2885.04</v>
      </c>
      <c r="I38" s="12">
        <f t="shared" ref="I38:N38" si="90">C38/C26-1</f>
        <v>0.25</v>
      </c>
      <c r="J38" s="12">
        <f t="shared" si="90"/>
        <v>0.20555073720728534</v>
      </c>
      <c r="K38" s="12">
        <f t="shared" si="90"/>
        <v>0.23347639484978533</v>
      </c>
      <c r="L38" s="12">
        <f t="shared" si="90"/>
        <v>0.21342512908777955</v>
      </c>
      <c r="M38" s="12">
        <f t="shared" si="90"/>
        <v>0.22832618025751072</v>
      </c>
      <c r="N38" s="12">
        <f t="shared" si="90"/>
        <v>0.29425645212663332</v>
      </c>
      <c r="O38" s="12">
        <f t="shared" si="66"/>
        <v>-6.5930271869122592E-2</v>
      </c>
      <c r="T38" s="5">
        <f t="shared" si="0"/>
        <v>5.0779191969608742E-2</v>
      </c>
      <c r="U38" s="5">
        <f t="shared" si="1"/>
        <v>4.8179574633280646E-2</v>
      </c>
      <c r="V38" s="5">
        <f t="shared" si="2"/>
        <v>4.9808668164046249E-2</v>
      </c>
      <c r="W38" s="5">
        <f t="shared" si="29"/>
        <v>4.8872805922968138E-2</v>
      </c>
      <c r="X38" s="5">
        <f t="shared" si="30"/>
        <v>4.9600698777140004E-2</v>
      </c>
      <c r="Y38" s="5">
        <f t="shared" ref="Y38:AA38" si="91">T38*Y$6/T$6</f>
        <v>92.986993575806892</v>
      </c>
      <c r="Z38" s="5">
        <f t="shared" si="91"/>
        <v>86.818696529005678</v>
      </c>
      <c r="AA38" s="5">
        <f t="shared" si="91"/>
        <v>90.719392664539541</v>
      </c>
      <c r="AB38" s="5">
        <f t="shared" ref="AB38:AC38" si="92">W38*AB$18/W$18</f>
        <v>94.741400465851413</v>
      </c>
      <c r="AC38" s="5">
        <f t="shared" si="92"/>
        <v>96.152442600449191</v>
      </c>
    </row>
    <row r="39" spans="1:29" ht="12.5">
      <c r="A39" s="48">
        <v>2018</v>
      </c>
      <c r="B39" s="5" t="s">
        <v>27</v>
      </c>
      <c r="C39" s="5">
        <v>149.9</v>
      </c>
      <c r="D39" s="5">
        <v>143</v>
      </c>
      <c r="E39" s="5">
        <v>147.4</v>
      </c>
      <c r="F39" s="5">
        <v>145.1</v>
      </c>
      <c r="G39" s="5">
        <v>146.9</v>
      </c>
      <c r="H39" s="11">
        <v>2974.48</v>
      </c>
      <c r="I39" s="12">
        <f t="shared" ref="I39:N39" si="93">C39/C27-1</f>
        <v>0.22068403908794787</v>
      </c>
      <c r="J39" s="12">
        <f t="shared" si="93"/>
        <v>0.20675105485232059</v>
      </c>
      <c r="K39" s="12">
        <f t="shared" si="93"/>
        <v>0.21617161716171629</v>
      </c>
      <c r="L39" s="12">
        <f t="shared" si="93"/>
        <v>0.20215410107705045</v>
      </c>
      <c r="M39" s="12">
        <f t="shared" si="93"/>
        <v>0.21304706853839805</v>
      </c>
      <c r="N39" s="12">
        <f t="shared" si="93"/>
        <v>0.31078824094516633</v>
      </c>
      <c r="O39" s="12">
        <f t="shared" si="66"/>
        <v>-9.7741172406768273E-2</v>
      </c>
      <c r="T39" s="5">
        <f t="shared" si="0"/>
        <v>5.0395363223151614E-2</v>
      </c>
      <c r="U39" s="5">
        <f t="shared" si="1"/>
        <v>4.8075630026088591E-2</v>
      </c>
      <c r="V39" s="5">
        <f t="shared" si="2"/>
        <v>4.9554880180737476E-2</v>
      </c>
      <c r="W39" s="5">
        <f t="shared" si="29"/>
        <v>4.8781635781716466E-2</v>
      </c>
      <c r="X39" s="5">
        <f t="shared" si="30"/>
        <v>4.938678357225465E-2</v>
      </c>
      <c r="Y39" s="5">
        <f t="shared" ref="Y39:AA39" si="94">T39*Y$6/T$6</f>
        <v>92.284125337919619</v>
      </c>
      <c r="Z39" s="5">
        <f t="shared" si="94"/>
        <v>86.631390281984551</v>
      </c>
      <c r="AA39" s="5">
        <f t="shared" si="94"/>
        <v>90.257154010907982</v>
      </c>
      <c r="AB39" s="5">
        <f t="shared" ref="AB39:AC39" si="95">W39*AB$18/W$18</f>
        <v>94.564664411930806</v>
      </c>
      <c r="AC39" s="5">
        <f t="shared" si="95"/>
        <v>95.737761558322788</v>
      </c>
    </row>
    <row r="40" spans="1:29" ht="12.5">
      <c r="A40" s="48">
        <v>2018</v>
      </c>
      <c r="B40" s="5" t="s">
        <v>28</v>
      </c>
      <c r="C40" s="5">
        <v>154.19999999999999</v>
      </c>
      <c r="D40" s="5">
        <v>147.30000000000001</v>
      </c>
      <c r="E40" s="5">
        <v>151.6</v>
      </c>
      <c r="F40" s="5">
        <v>148.80000000000001</v>
      </c>
      <c r="G40" s="5">
        <v>151.1</v>
      </c>
      <c r="H40" s="11">
        <v>3090.48</v>
      </c>
      <c r="I40" s="12">
        <f t="shared" ref="I40:N40" si="96">C40/C28-1</f>
        <v>0.2375601926163724</v>
      </c>
      <c r="J40" s="12">
        <f t="shared" si="96"/>
        <v>0.21234567901234569</v>
      </c>
      <c r="K40" s="12">
        <f t="shared" si="96"/>
        <v>0.22852512155591564</v>
      </c>
      <c r="L40" s="12">
        <f t="shared" si="96"/>
        <v>0.18001586042823181</v>
      </c>
      <c r="M40" s="12">
        <f t="shared" si="96"/>
        <v>0.21854838709677415</v>
      </c>
      <c r="N40" s="12">
        <f t="shared" si="96"/>
        <v>0.34310299869621907</v>
      </c>
      <c r="O40" s="12">
        <f t="shared" si="66"/>
        <v>-0.12455461159944492</v>
      </c>
      <c r="T40" s="5">
        <f t="shared" si="0"/>
        <v>4.9895161916595474E-2</v>
      </c>
      <c r="U40" s="5">
        <f t="shared" si="1"/>
        <v>4.7662499029277008E-2</v>
      </c>
      <c r="V40" s="5">
        <f t="shared" si="2"/>
        <v>4.9053868654707358E-2</v>
      </c>
      <c r="W40" s="5">
        <f t="shared" si="29"/>
        <v>4.8147860526520155E-2</v>
      </c>
      <c r="X40" s="5">
        <f t="shared" si="30"/>
        <v>4.8892081488959641E-2</v>
      </c>
      <c r="Y40" s="5">
        <f t="shared" ref="Y40:AA40" si="97">T40*Y$6/T$6</f>
        <v>91.368155353458576</v>
      </c>
      <c r="Z40" s="5">
        <f t="shared" si="97"/>
        <v>85.886935916998638</v>
      </c>
      <c r="AA40" s="5">
        <f t="shared" si="97"/>
        <v>89.344632896918526</v>
      </c>
      <c r="AB40" s="5">
        <f t="shared" ref="AB40:AC40" si="98">W40*AB$18/W$18</f>
        <v>93.336072066475111</v>
      </c>
      <c r="AC40" s="5">
        <f t="shared" si="98"/>
        <v>94.778766728792931</v>
      </c>
    </row>
    <row r="41" spans="1:29" ht="12.5">
      <c r="A41" s="48">
        <v>2018</v>
      </c>
      <c r="B41" s="5" t="s">
        <v>29</v>
      </c>
      <c r="C41" s="5">
        <v>157.80000000000001</v>
      </c>
      <c r="D41" s="5">
        <v>152.4</v>
      </c>
      <c r="E41" s="5">
        <v>155.80000000000001</v>
      </c>
      <c r="F41" s="5">
        <v>154</v>
      </c>
      <c r="G41" s="5">
        <v>155.4</v>
      </c>
      <c r="H41" s="11">
        <v>3291.36</v>
      </c>
      <c r="I41" s="12">
        <f t="shared" ref="I41:N41" si="99">C41/C29-1</f>
        <v>0.25238095238095237</v>
      </c>
      <c r="J41" s="12">
        <f t="shared" si="99"/>
        <v>0.23002421307506049</v>
      </c>
      <c r="K41" s="12">
        <f t="shared" si="99"/>
        <v>0.24440894568690097</v>
      </c>
      <c r="L41" s="12">
        <f t="shared" si="99"/>
        <v>0.20595144870790905</v>
      </c>
      <c r="M41" s="12">
        <f t="shared" si="99"/>
        <v>0.23627684964200468</v>
      </c>
      <c r="N41" s="12">
        <f t="shared" si="99"/>
        <v>0.40373264185062618</v>
      </c>
      <c r="O41" s="12">
        <f t="shared" si="66"/>
        <v>-0.1674557922086215</v>
      </c>
      <c r="T41" s="5">
        <f t="shared" si="0"/>
        <v>4.7943707160565847E-2</v>
      </c>
      <c r="U41" s="5">
        <f t="shared" si="1"/>
        <v>4.6303047980166254E-2</v>
      </c>
      <c r="V41" s="5">
        <f t="shared" si="2"/>
        <v>4.7336055612269702E-2</v>
      </c>
      <c r="W41" s="5">
        <f t="shared" si="29"/>
        <v>4.6789169218803169E-2</v>
      </c>
      <c r="X41" s="5">
        <f t="shared" si="30"/>
        <v>4.7214525302610472E-2</v>
      </c>
      <c r="Y41" s="5">
        <f t="shared" ref="Y41:AA41" si="100">T41*Y$6/T$6</f>
        <v>87.794646130015096</v>
      </c>
      <c r="Z41" s="5">
        <f t="shared" si="100"/>
        <v>83.437230435430166</v>
      </c>
      <c r="AA41" s="5">
        <f t="shared" si="100"/>
        <v>86.215881182299114</v>
      </c>
      <c r="AB41" s="5">
        <f t="shared" ref="AB41:AC41" si="101">W41*AB$18/W$18</f>
        <v>90.702208205726507</v>
      </c>
      <c r="AC41" s="5">
        <f t="shared" si="101"/>
        <v>91.526773734869465</v>
      </c>
    </row>
    <row r="42" spans="1:29" ht="12.5">
      <c r="A42" s="48">
        <v>2018</v>
      </c>
      <c r="B42" s="5" t="s">
        <v>13</v>
      </c>
      <c r="C42" s="5">
        <v>163.9</v>
      </c>
      <c r="D42" s="5">
        <v>159.5</v>
      </c>
      <c r="E42" s="5">
        <v>162.19999999999999</v>
      </c>
      <c r="F42" s="5">
        <v>156.6</v>
      </c>
      <c r="G42" s="5">
        <v>161.1</v>
      </c>
      <c r="H42" s="11">
        <v>3469.1</v>
      </c>
      <c r="I42" s="12">
        <f t="shared" ref="I42:N42" si="102">C42/C30-1</f>
        <v>0.27847113884555408</v>
      </c>
      <c r="J42" s="12">
        <f t="shared" si="102"/>
        <v>0.26587301587301582</v>
      </c>
      <c r="K42" s="12">
        <f t="shared" si="102"/>
        <v>0.27315541601255866</v>
      </c>
      <c r="L42" s="12">
        <f t="shared" si="102"/>
        <v>0.21867704280155631</v>
      </c>
      <c r="M42" s="12">
        <f t="shared" si="102"/>
        <v>0.26253918495297812</v>
      </c>
      <c r="N42" s="12">
        <f t="shared" si="102"/>
        <v>0.45767241343087295</v>
      </c>
      <c r="O42" s="12">
        <f t="shared" si="66"/>
        <v>-0.19513322847789483</v>
      </c>
      <c r="T42" s="5">
        <f t="shared" si="0"/>
        <v>4.7245683318439945E-2</v>
      </c>
      <c r="U42" s="5">
        <f t="shared" si="1"/>
        <v>4.5977342826669744E-2</v>
      </c>
      <c r="V42" s="5">
        <f t="shared" si="2"/>
        <v>4.6755642673892359E-2</v>
      </c>
      <c r="W42" s="5">
        <f t="shared" si="29"/>
        <v>4.5141391138912107E-2</v>
      </c>
      <c r="X42" s="5">
        <f t="shared" si="30"/>
        <v>4.6438557550949812E-2</v>
      </c>
      <c r="Y42" s="5">
        <f t="shared" ref="Y42:AA42" si="103">T42*Y$6/T$6</f>
        <v>86.516422983763221</v>
      </c>
      <c r="Z42" s="5">
        <f t="shared" si="103"/>
        <v>82.850315812489228</v>
      </c>
      <c r="AA42" s="5">
        <f t="shared" si="103"/>
        <v>85.158741708286001</v>
      </c>
      <c r="AB42" s="5">
        <f t="shared" ref="AB42:AC42" si="104">W42*AB$18/W$18</f>
        <v>87.507940964515271</v>
      </c>
      <c r="AC42" s="5">
        <f t="shared" si="104"/>
        <v>90.022536969242736</v>
      </c>
    </row>
    <row r="43" spans="1:29" ht="12.5">
      <c r="A43" s="48">
        <v>2018</v>
      </c>
      <c r="B43" s="5" t="s">
        <v>16</v>
      </c>
      <c r="C43" s="5">
        <v>168.1</v>
      </c>
      <c r="D43" s="5">
        <v>162.69999999999999</v>
      </c>
      <c r="E43" s="5">
        <v>166.1</v>
      </c>
      <c r="F43" s="5">
        <v>164.9</v>
      </c>
      <c r="G43" s="5">
        <v>165.8</v>
      </c>
      <c r="H43" s="11">
        <v>3580.11</v>
      </c>
      <c r="I43" s="12">
        <f t="shared" ref="I43:N43" si="105">C43/C31-1</f>
        <v>0.29307692307692301</v>
      </c>
      <c r="J43" s="12">
        <f t="shared" si="105"/>
        <v>0.27808326787117044</v>
      </c>
      <c r="K43" s="12">
        <f t="shared" si="105"/>
        <v>0.28759689922480614</v>
      </c>
      <c r="L43" s="12">
        <f t="shared" si="105"/>
        <v>0.24924242424242427</v>
      </c>
      <c r="M43" s="12">
        <f t="shared" si="105"/>
        <v>0.27932098765432123</v>
      </c>
      <c r="N43" s="12">
        <f t="shared" si="105"/>
        <v>0.48354681109393716</v>
      </c>
      <c r="O43" s="12">
        <f t="shared" si="66"/>
        <v>-0.20422582343961593</v>
      </c>
      <c r="T43" s="5">
        <f t="shared" si="0"/>
        <v>4.695386454606143E-2</v>
      </c>
      <c r="U43" s="5">
        <f t="shared" si="1"/>
        <v>4.5445531003237324E-2</v>
      </c>
      <c r="V43" s="5">
        <f t="shared" si="2"/>
        <v>4.6395222493163614E-2</v>
      </c>
      <c r="W43" s="5">
        <f t="shared" si="29"/>
        <v>4.6060037261424928E-2</v>
      </c>
      <c r="X43" s="5">
        <f t="shared" si="30"/>
        <v>4.6311426185228946E-2</v>
      </c>
      <c r="Y43" s="5">
        <f t="shared" ref="Y43:AA43" si="106">T43*Y$6/T$6</f>
        <v>85.982043659084297</v>
      </c>
      <c r="Z43" s="5">
        <f t="shared" si="106"/>
        <v>81.892000807416039</v>
      </c>
      <c r="AA43" s="5">
        <f t="shared" si="106"/>
        <v>84.502287699275641</v>
      </c>
      <c r="AB43" s="5">
        <f t="shared" ref="AB43:AC43" si="107">W43*AB$18/W$18</f>
        <v>89.288764032390063</v>
      </c>
      <c r="AC43" s="5">
        <f t="shared" si="107"/>
        <v>89.776089002851862</v>
      </c>
    </row>
    <row r="44" spans="1:29" ht="12.5">
      <c r="A44" s="48">
        <v>2018</v>
      </c>
      <c r="B44" s="5" t="s">
        <v>18</v>
      </c>
      <c r="C44" s="5">
        <v>170.9</v>
      </c>
      <c r="D44" s="5">
        <v>166.7</v>
      </c>
      <c r="E44" s="5">
        <v>169.3</v>
      </c>
      <c r="F44" s="5">
        <v>172.6</v>
      </c>
      <c r="G44" s="5">
        <v>169.9</v>
      </c>
      <c r="H44" s="11">
        <v>3673.19</v>
      </c>
      <c r="I44" s="12">
        <f t="shared" ref="I44:N44" si="108">C44/C32-1</f>
        <v>0.30458015267175576</v>
      </c>
      <c r="J44" s="12">
        <f t="shared" si="108"/>
        <v>0.30336200156372151</v>
      </c>
      <c r="K44" s="12">
        <f t="shared" si="108"/>
        <v>0.30331023864511164</v>
      </c>
      <c r="L44" s="12">
        <f t="shared" si="108"/>
        <v>0.27192336035372144</v>
      </c>
      <c r="M44" s="12">
        <f t="shared" si="108"/>
        <v>0.29694656488549631</v>
      </c>
      <c r="N44" s="12">
        <f t="shared" si="108"/>
        <v>0.47635067242224749</v>
      </c>
      <c r="O44" s="12">
        <f t="shared" si="66"/>
        <v>-0.17940410753675118</v>
      </c>
      <c r="T44" s="5">
        <f t="shared" si="0"/>
        <v>4.6526316362616692E-2</v>
      </c>
      <c r="U44" s="5">
        <f t="shared" si="1"/>
        <v>4.5382896065817448E-2</v>
      </c>
      <c r="V44" s="5">
        <f t="shared" si="2"/>
        <v>4.6090727678121744E-2</v>
      </c>
      <c r="W44" s="5">
        <f t="shared" si="29"/>
        <v>4.698912933989257E-2</v>
      </c>
      <c r="X44" s="5">
        <f t="shared" si="30"/>
        <v>4.625407343480735E-2</v>
      </c>
      <c r="Y44" s="5">
        <f t="shared" ref="Y44:AA44" si="109">T44*Y$6/T$6</f>
        <v>85.199116270024675</v>
      </c>
      <c r="Z44" s="5">
        <f t="shared" si="109"/>
        <v>81.779133816261378</v>
      </c>
      <c r="AA44" s="5">
        <f t="shared" si="109"/>
        <v>83.947693776002666</v>
      </c>
      <c r="AB44" s="5">
        <f t="shared" ref="AB44:AC44" si="110">W44*AB$18/W$18</f>
        <v>91.089836899261925</v>
      </c>
      <c r="AC44" s="5">
        <f t="shared" si="110"/>
        <v>89.664908975577077</v>
      </c>
    </row>
    <row r="45" spans="1:29" ht="12.5">
      <c r="A45" s="48">
        <v>2019</v>
      </c>
      <c r="B45" s="5" t="s">
        <v>19</v>
      </c>
      <c r="C45" s="5">
        <v>176.9</v>
      </c>
      <c r="D45" s="5">
        <v>171</v>
      </c>
      <c r="E45" s="5">
        <v>174.7</v>
      </c>
      <c r="F45" s="5">
        <v>177.2</v>
      </c>
      <c r="G45" s="5">
        <v>175.2</v>
      </c>
      <c r="H45" s="11">
        <v>3779.94</v>
      </c>
      <c r="I45" s="12">
        <f t="shared" ref="I45:N45" si="111">C45/C33-1</f>
        <v>0.32708177044261055</v>
      </c>
      <c r="J45" s="12">
        <f t="shared" si="111"/>
        <v>0.33073929961089488</v>
      </c>
      <c r="K45" s="12">
        <f t="shared" si="111"/>
        <v>0.32851711026615971</v>
      </c>
      <c r="L45" s="12">
        <f t="shared" si="111"/>
        <v>0.29721815519765737</v>
      </c>
      <c r="M45" s="12">
        <f t="shared" si="111"/>
        <v>0.32226415094339611</v>
      </c>
      <c r="N45" s="12">
        <f t="shared" si="111"/>
        <v>0.49239576753000613</v>
      </c>
      <c r="O45" s="12">
        <f t="shared" si="66"/>
        <v>-0.17013161658661002</v>
      </c>
      <c r="T45" s="5">
        <f t="shared" si="0"/>
        <v>4.6799684651079115E-2</v>
      </c>
      <c r="U45" s="5">
        <f t="shared" si="1"/>
        <v>4.5238813314497056E-2</v>
      </c>
      <c r="V45" s="5">
        <f t="shared" si="2"/>
        <v>4.6217664830658686E-2</v>
      </c>
      <c r="W45" s="5">
        <f t="shared" si="29"/>
        <v>4.6879050990227357E-2</v>
      </c>
      <c r="X45" s="5">
        <f t="shared" si="30"/>
        <v>4.6349942062572418E-2</v>
      </c>
      <c r="Y45" s="5">
        <f t="shared" ref="Y45:AA45" si="112">T45*Y$6/T$6</f>
        <v>85.699709018690271</v>
      </c>
      <c r="Z45" s="5">
        <f t="shared" si="112"/>
        <v>81.519499380773681</v>
      </c>
      <c r="AA45" s="5">
        <f t="shared" si="112"/>
        <v>84.178891714216761</v>
      </c>
      <c r="AB45" s="5">
        <f t="shared" ref="AB45:AC45" si="113">W45*AB$18/W$18</f>
        <v>90.876446716085425</v>
      </c>
      <c r="AC45" s="5">
        <f t="shared" si="113"/>
        <v>89.850753186558492</v>
      </c>
    </row>
    <row r="46" spans="1:29" ht="12.5">
      <c r="A46" s="48">
        <v>2019</v>
      </c>
      <c r="B46" s="5" t="s">
        <v>21</v>
      </c>
      <c r="C46" s="5">
        <v>181.8</v>
      </c>
      <c r="D46" s="5">
        <v>175.4</v>
      </c>
      <c r="E46" s="5">
        <v>179.4</v>
      </c>
      <c r="F46" s="5">
        <v>181.7</v>
      </c>
      <c r="G46" s="5">
        <v>179.8</v>
      </c>
      <c r="H46" s="11">
        <v>3922.28</v>
      </c>
      <c r="I46" s="12">
        <f t="shared" ref="I46:N46" si="114">C46/C34-1</f>
        <v>0.35368577810871171</v>
      </c>
      <c r="J46" s="12">
        <f t="shared" si="114"/>
        <v>0.35653518948182517</v>
      </c>
      <c r="K46" s="12">
        <f t="shared" si="114"/>
        <v>0.35498489425981861</v>
      </c>
      <c r="L46" s="12">
        <f t="shared" si="114"/>
        <v>0.31476121562952253</v>
      </c>
      <c r="M46" s="12">
        <f t="shared" si="114"/>
        <v>0.34580838323353302</v>
      </c>
      <c r="N46" s="12">
        <f t="shared" si="114"/>
        <v>0.5122976260704275</v>
      </c>
      <c r="O46" s="12">
        <f t="shared" si="66"/>
        <v>-0.16648924283689448</v>
      </c>
      <c r="T46" s="5">
        <f t="shared" si="0"/>
        <v>4.6350592002610727E-2</v>
      </c>
      <c r="U46" s="5">
        <f t="shared" si="1"/>
        <v>4.471888799371794E-2</v>
      </c>
      <c r="V46" s="5">
        <f t="shared" si="2"/>
        <v>4.5738702999275932E-2</v>
      </c>
      <c r="W46" s="5">
        <f t="shared" si="29"/>
        <v>4.6325096627471772E-2</v>
      </c>
      <c r="X46" s="5">
        <f t="shared" si="30"/>
        <v>4.5840684499831731E-2</v>
      </c>
      <c r="Y46" s="5">
        <f t="shared" ref="Y46:AA46" si="115">T46*Y$6/T$6</f>
        <v>84.877329347051031</v>
      </c>
      <c r="Z46" s="5">
        <f t="shared" si="115"/>
        <v>80.582603632190484</v>
      </c>
      <c r="AA46" s="5">
        <f t="shared" si="115"/>
        <v>83.306530977538728</v>
      </c>
      <c r="AB46" s="5">
        <f t="shared" ref="AB46:AC46" si="116">W46*AB$18/W$18</f>
        <v>89.802589565252845</v>
      </c>
      <c r="AC46" s="5">
        <f t="shared" si="116"/>
        <v>88.863542123458799</v>
      </c>
    </row>
    <row r="47" spans="1:29" ht="12.5">
      <c r="A47" s="48">
        <v>2019</v>
      </c>
      <c r="B47" s="5" t="s">
        <v>23</v>
      </c>
      <c r="C47" s="5">
        <v>188.3</v>
      </c>
      <c r="D47" s="5">
        <v>185</v>
      </c>
      <c r="E47" s="5">
        <v>187</v>
      </c>
      <c r="F47" s="5">
        <v>186.6</v>
      </c>
      <c r="G47" s="5">
        <v>186.9</v>
      </c>
      <c r="H47" s="11">
        <v>4105.82</v>
      </c>
      <c r="I47" s="12">
        <f t="shared" ref="I47:N47" si="117">C47/C35-1</f>
        <v>0.38252569750367127</v>
      </c>
      <c r="J47" s="12">
        <f t="shared" si="117"/>
        <v>0.39097744360902253</v>
      </c>
      <c r="K47" s="12">
        <f t="shared" si="117"/>
        <v>0.38518518518518507</v>
      </c>
      <c r="L47" s="12">
        <f t="shared" si="117"/>
        <v>0.32622601279317709</v>
      </c>
      <c r="M47" s="12">
        <f t="shared" si="117"/>
        <v>0.37325495958853794</v>
      </c>
      <c r="N47" s="12">
        <f t="shared" si="117"/>
        <v>0.54747403174986053</v>
      </c>
      <c r="O47" s="12">
        <f t="shared" si="66"/>
        <v>-0.1742190721613226</v>
      </c>
      <c r="T47" s="5">
        <f t="shared" si="0"/>
        <v>4.5861727986127018E-2</v>
      </c>
      <c r="U47" s="5">
        <f t="shared" si="1"/>
        <v>4.505799085201008E-2</v>
      </c>
      <c r="V47" s="5">
        <f t="shared" si="2"/>
        <v>4.5545104266626404E-2</v>
      </c>
      <c r="W47" s="5">
        <f t="shared" si="29"/>
        <v>4.5447681583703138E-2</v>
      </c>
      <c r="X47" s="5">
        <f t="shared" si="30"/>
        <v>4.552074859589559E-2</v>
      </c>
      <c r="Y47" s="5">
        <f t="shared" ref="Y47:AA47" si="118">T47*Y$6/T$6</f>
        <v>83.982120238811973</v>
      </c>
      <c r="Z47" s="5">
        <f t="shared" si="118"/>
        <v>81.193660669747786</v>
      </c>
      <c r="AA47" s="5">
        <f t="shared" si="118"/>
        <v>82.95391846863275</v>
      </c>
      <c r="AB47" s="5">
        <f t="shared" ref="AB47:AC47" si="119">W47*AB$18/W$18</f>
        <v>88.101694180456036</v>
      </c>
      <c r="AC47" s="5">
        <f t="shared" si="119"/>
        <v>88.243336775601463</v>
      </c>
    </row>
    <row r="48" spans="1:29" ht="12.5">
      <c r="A48" s="48">
        <v>2019</v>
      </c>
      <c r="B48" s="5" t="s">
        <v>24</v>
      </c>
      <c r="C48" s="5">
        <v>193.5</v>
      </c>
      <c r="D48" s="5">
        <v>188.7</v>
      </c>
      <c r="E48" s="5">
        <v>191.7</v>
      </c>
      <c r="F48" s="5">
        <v>188.9</v>
      </c>
      <c r="G48" s="5">
        <v>191.1</v>
      </c>
      <c r="H48" s="11">
        <v>4247.25</v>
      </c>
      <c r="I48" s="12">
        <f t="shared" ref="I48:N48" si="120">C48/C36-1</f>
        <v>0.37234042553191493</v>
      </c>
      <c r="J48" s="12">
        <f t="shared" si="120"/>
        <v>0.39777777777777779</v>
      </c>
      <c r="K48" s="12">
        <f t="shared" si="120"/>
        <v>0.3811239193083571</v>
      </c>
      <c r="L48" s="12">
        <f t="shared" si="120"/>
        <v>0.31180555555555567</v>
      </c>
      <c r="M48" s="12">
        <f t="shared" si="120"/>
        <v>0.36695278969957057</v>
      </c>
      <c r="N48" s="12">
        <f t="shared" si="120"/>
        <v>0.55869249288042044</v>
      </c>
      <c r="O48" s="12">
        <f t="shared" si="66"/>
        <v>-0.19173970318084987</v>
      </c>
      <c r="T48" s="5">
        <f t="shared" si="0"/>
        <v>4.5558891047148158E-2</v>
      </c>
      <c r="U48" s="5">
        <f t="shared" si="1"/>
        <v>4.4428748013420442E-2</v>
      </c>
      <c r="V48" s="5">
        <f t="shared" si="2"/>
        <v>4.5135087409500264E-2</v>
      </c>
      <c r="W48" s="5">
        <f t="shared" si="29"/>
        <v>4.447583730649244E-2</v>
      </c>
      <c r="X48" s="5">
        <f t="shared" si="30"/>
        <v>4.49938195302843E-2</v>
      </c>
      <c r="Y48" s="5">
        <f t="shared" ref="Y48:AA48" si="121">T48*Y$6/T$6</f>
        <v>83.427564417675669</v>
      </c>
      <c r="Z48" s="5">
        <f t="shared" si="121"/>
        <v>80.059776789236565</v>
      </c>
      <c r="AA48" s="5">
        <f t="shared" si="121"/>
        <v>82.207131179757667</v>
      </c>
      <c r="AB48" s="5">
        <f t="shared" ref="AB48:AC48" si="122">W48*AB$18/W$18</f>
        <v>86.217744893754784</v>
      </c>
      <c r="AC48" s="5">
        <f t="shared" si="122"/>
        <v>87.221868974042025</v>
      </c>
    </row>
    <row r="49" spans="1:29" ht="12.5">
      <c r="A49" s="48">
        <v>2019</v>
      </c>
      <c r="B49" s="5" t="s">
        <v>25</v>
      </c>
      <c r="C49" s="5">
        <v>201.7</v>
      </c>
      <c r="D49" s="5">
        <v>193.2</v>
      </c>
      <c r="E49" s="5">
        <v>198.5</v>
      </c>
      <c r="F49" s="5">
        <v>188.4</v>
      </c>
      <c r="G49" s="5">
        <v>196.5</v>
      </c>
      <c r="H49" s="11">
        <v>4377.18</v>
      </c>
      <c r="I49" s="12">
        <f t="shared" ref="I49:N49" si="123">C49/C37-1</f>
        <v>0.39584775086505175</v>
      </c>
      <c r="J49" s="12">
        <f t="shared" si="123"/>
        <v>0.40816326530612246</v>
      </c>
      <c r="K49" s="12">
        <f t="shared" si="123"/>
        <v>0.40084685956245591</v>
      </c>
      <c r="L49" s="12">
        <f t="shared" si="123"/>
        <v>0.32025227750525587</v>
      </c>
      <c r="M49" s="12">
        <f t="shared" si="123"/>
        <v>0.38477801268498935</v>
      </c>
      <c r="N49" s="12">
        <f t="shared" si="123"/>
        <v>0.57333668811329597</v>
      </c>
      <c r="O49" s="12">
        <f t="shared" si="66"/>
        <v>-0.18855867542830662</v>
      </c>
      <c r="T49" s="5">
        <f t="shared" si="0"/>
        <v>4.6079896188870456E-2</v>
      </c>
      <c r="U49" s="5">
        <f t="shared" si="1"/>
        <v>4.413800666182336E-2</v>
      </c>
      <c r="V49" s="5">
        <f t="shared" si="2"/>
        <v>4.5348831896335082E-2</v>
      </c>
      <c r="W49" s="5">
        <f t="shared" si="29"/>
        <v>4.3041410223020299E-2</v>
      </c>
      <c r="X49" s="5">
        <f t="shared" si="30"/>
        <v>4.4891916713500471E-2</v>
      </c>
      <c r="Y49" s="5">
        <f t="shared" ref="Y49:AA49" si="124">T49*Y$6/T$6</f>
        <v>84.381630441319544</v>
      </c>
      <c r="Z49" s="5">
        <f t="shared" si="124"/>
        <v>79.535866286396569</v>
      </c>
      <c r="AA49" s="5">
        <f t="shared" si="124"/>
        <v>82.596436309683725</v>
      </c>
      <c r="AB49" s="5">
        <f t="shared" ref="AB49:AC49" si="125">W49*AB$18/W$18</f>
        <v>83.437064959631542</v>
      </c>
      <c r="AC49" s="5">
        <f t="shared" si="125"/>
        <v>87.02432730662207</v>
      </c>
    </row>
    <row r="50" spans="1:29" ht="12.5">
      <c r="A50" s="48">
        <v>2019</v>
      </c>
      <c r="B50" s="5" t="s">
        <v>26</v>
      </c>
      <c r="C50" s="5">
        <v>207</v>
      </c>
      <c r="D50" s="5">
        <v>197.2</v>
      </c>
      <c r="E50" s="5">
        <v>203.3</v>
      </c>
      <c r="F50" s="5">
        <v>188.8</v>
      </c>
      <c r="G50" s="5">
        <v>200.4</v>
      </c>
      <c r="H50" s="11">
        <v>4496.1499999999996</v>
      </c>
      <c r="I50" s="12">
        <f t="shared" ref="I50:N50" si="126">C50/C38-1</f>
        <v>0.41296928327645044</v>
      </c>
      <c r="J50" s="12">
        <f t="shared" si="126"/>
        <v>0.41870503597122299</v>
      </c>
      <c r="K50" s="12">
        <f t="shared" si="126"/>
        <v>0.41475295755045249</v>
      </c>
      <c r="L50" s="12">
        <f t="shared" si="126"/>
        <v>0.33900709219858172</v>
      </c>
      <c r="M50" s="12">
        <f t="shared" si="126"/>
        <v>0.40041928721174003</v>
      </c>
      <c r="N50" s="12">
        <f t="shared" si="126"/>
        <v>0.5584359315642069</v>
      </c>
      <c r="O50" s="12">
        <f t="shared" si="66"/>
        <v>-0.15801664435246687</v>
      </c>
      <c r="T50" s="5">
        <f t="shared" si="0"/>
        <v>4.6039389255251723E-2</v>
      </c>
      <c r="U50" s="5">
        <f t="shared" si="1"/>
        <v>4.3859746672152845E-2</v>
      </c>
      <c r="V50" s="5">
        <f t="shared" si="2"/>
        <v>4.5216462973877658E-2</v>
      </c>
      <c r="W50" s="5">
        <f t="shared" si="29"/>
        <v>4.1991481600925244E-2</v>
      </c>
      <c r="X50" s="5">
        <f t="shared" si="30"/>
        <v>4.4571466699287174E-2</v>
      </c>
      <c r="Y50" s="5">
        <f t="shared" ref="Y50:AA50" si="127">T50*Y$6/T$6</f>
        <v>84.307454034998727</v>
      </c>
      <c r="Z50" s="5">
        <f t="shared" si="127"/>
        <v>79.034446965382443</v>
      </c>
      <c r="AA50" s="5">
        <f t="shared" si="127"/>
        <v>82.355345176440679</v>
      </c>
      <c r="AB50" s="5">
        <f t="shared" ref="AB50:AC50" si="128">W50*AB$18/W$18</f>
        <v>81.401746827841606</v>
      </c>
      <c r="AC50" s="5">
        <f t="shared" si="128"/>
        <v>86.403125340569161</v>
      </c>
    </row>
    <row r="51" spans="1:29" ht="12.5">
      <c r="A51" s="48">
        <v>2019</v>
      </c>
      <c r="B51" s="5" t="s">
        <v>27</v>
      </c>
      <c r="C51" s="5">
        <v>215.9</v>
      </c>
      <c r="D51" s="5">
        <v>209.5</v>
      </c>
      <c r="E51" s="5">
        <v>213.5</v>
      </c>
      <c r="F51" s="5">
        <v>195.5</v>
      </c>
      <c r="G51" s="5">
        <v>209.9</v>
      </c>
      <c r="H51" s="11">
        <v>4594.97</v>
      </c>
      <c r="I51" s="12">
        <f t="shared" ref="I51:N51" si="129">C51/C39-1</f>
        <v>0.44029352901934615</v>
      </c>
      <c r="J51" s="12">
        <f t="shared" si="129"/>
        <v>0.465034965034965</v>
      </c>
      <c r="K51" s="12">
        <f t="shared" si="129"/>
        <v>0.44843962008141114</v>
      </c>
      <c r="L51" s="12">
        <f t="shared" si="129"/>
        <v>0.34734665747760163</v>
      </c>
      <c r="M51" s="12">
        <f t="shared" si="129"/>
        <v>0.42886317222600412</v>
      </c>
      <c r="N51" s="12">
        <f t="shared" si="129"/>
        <v>0.54479774616067345</v>
      </c>
      <c r="O51" s="12">
        <f t="shared" si="66"/>
        <v>-0.11593457393466933</v>
      </c>
      <c r="T51" s="5">
        <f t="shared" si="0"/>
        <v>4.6986160954260857E-2</v>
      </c>
      <c r="U51" s="5">
        <f t="shared" si="1"/>
        <v>4.5593333579979842E-2</v>
      </c>
      <c r="V51" s="5">
        <f t="shared" si="2"/>
        <v>4.6463850688905475E-2</v>
      </c>
      <c r="W51" s="5">
        <f t="shared" si="29"/>
        <v>4.2546523698740145E-2</v>
      </c>
      <c r="X51" s="5">
        <f t="shared" si="30"/>
        <v>4.5680385290872406E-2</v>
      </c>
      <c r="Y51" s="5">
        <f t="shared" ref="Y51:AA51" si="130">T51*Y$6/T$6</f>
        <v>86.041184929066688</v>
      </c>
      <c r="Z51" s="5">
        <f t="shared" si="130"/>
        <v>82.158338299062336</v>
      </c>
      <c r="AA51" s="5">
        <f t="shared" si="130"/>
        <v>84.62728418014639</v>
      </c>
      <c r="AB51" s="5">
        <f t="shared" ref="AB51:AC51" si="131">W51*AB$18/W$18</f>
        <v>82.47771258571872</v>
      </c>
      <c r="AC51" s="5">
        <f t="shared" si="131"/>
        <v>88.552797297914879</v>
      </c>
    </row>
    <row r="52" spans="1:29" ht="12.5">
      <c r="A52" s="48">
        <v>2019</v>
      </c>
      <c r="B52" s="5" t="s">
        <v>28</v>
      </c>
      <c r="C52" s="5">
        <v>221.9</v>
      </c>
      <c r="D52" s="5">
        <v>213.2</v>
      </c>
      <c r="E52" s="5">
        <v>218.6</v>
      </c>
      <c r="F52" s="5">
        <v>200.5</v>
      </c>
      <c r="G52" s="5">
        <v>215</v>
      </c>
      <c r="H52" s="11">
        <v>4776.66</v>
      </c>
      <c r="I52" s="12">
        <f t="shared" ref="I52:N52" si="132">C52/C40-1</f>
        <v>0.43904020752269801</v>
      </c>
      <c r="J52" s="12">
        <f t="shared" si="132"/>
        <v>0.44738628649015588</v>
      </c>
      <c r="K52" s="12">
        <f t="shared" si="132"/>
        <v>0.44195250659630614</v>
      </c>
      <c r="L52" s="12">
        <f t="shared" si="132"/>
        <v>0.34744623655913975</v>
      </c>
      <c r="M52" s="12">
        <f t="shared" si="132"/>
        <v>0.42289874255459958</v>
      </c>
      <c r="N52" s="12">
        <f t="shared" si="132"/>
        <v>0.5456045662809661</v>
      </c>
      <c r="O52" s="12">
        <f t="shared" si="66"/>
        <v>-0.12270582372636651</v>
      </c>
      <c r="T52" s="5">
        <f t="shared" si="0"/>
        <v>4.6455054368533664E-2</v>
      </c>
      <c r="U52" s="5">
        <f t="shared" si="1"/>
        <v>4.4633698023304989E-2</v>
      </c>
      <c r="V52" s="5">
        <f t="shared" si="2"/>
        <v>4.5764195065171064E-2</v>
      </c>
      <c r="W52" s="5">
        <f t="shared" si="29"/>
        <v>4.197493646187922E-2</v>
      </c>
      <c r="X52" s="5">
        <f t="shared" si="30"/>
        <v>4.5010530370593681E-2</v>
      </c>
      <c r="Y52" s="5">
        <f t="shared" ref="Y52:AA52" si="133">T52*Y$6/T$6</f>
        <v>85.068621113859848</v>
      </c>
      <c r="Z52" s="5">
        <f t="shared" si="133"/>
        <v>80.42909289148983</v>
      </c>
      <c r="AA52" s="5">
        <f t="shared" si="133"/>
        <v>83.352961143632584</v>
      </c>
      <c r="AB52" s="5">
        <f t="shared" ref="AB52:AC52" si="134">W52*AB$18/W$18</f>
        <v>81.369673579446726</v>
      </c>
      <c r="AC52" s="5">
        <f t="shared" si="134"/>
        <v>87.254263439306953</v>
      </c>
    </row>
    <row r="53" spans="1:29" ht="12.5">
      <c r="A53" s="48">
        <v>2019</v>
      </c>
      <c r="B53" s="5" t="s">
        <v>29</v>
      </c>
      <c r="C53" s="5">
        <v>227.7</v>
      </c>
      <c r="D53" s="5">
        <v>220.8</v>
      </c>
      <c r="E53" s="5">
        <v>225.1</v>
      </c>
      <c r="F53" s="5">
        <v>203.3</v>
      </c>
      <c r="G53" s="5">
        <v>220.8</v>
      </c>
      <c r="H53" s="11">
        <v>5057.8</v>
      </c>
      <c r="I53" s="12">
        <f t="shared" ref="I53:N53" si="135">C53/C41-1</f>
        <v>0.44296577946768045</v>
      </c>
      <c r="J53" s="12">
        <f t="shared" si="135"/>
        <v>0.44881889763779537</v>
      </c>
      <c r="K53" s="12">
        <f t="shared" si="135"/>
        <v>0.4448010269576379</v>
      </c>
      <c r="L53" s="12">
        <f t="shared" si="135"/>
        <v>0.32012987012987026</v>
      </c>
      <c r="M53" s="12">
        <f t="shared" si="135"/>
        <v>0.4208494208494209</v>
      </c>
      <c r="N53" s="12">
        <f t="shared" si="135"/>
        <v>0.53669000048612125</v>
      </c>
      <c r="O53" s="12">
        <f t="shared" si="66"/>
        <v>-0.11584057963670036</v>
      </c>
      <c r="T53" s="5">
        <f t="shared" si="0"/>
        <v>4.5019573727707693E-2</v>
      </c>
      <c r="U53" s="5">
        <f t="shared" si="1"/>
        <v>4.3655344220807468E-2</v>
      </c>
      <c r="V53" s="5">
        <f t="shared" si="2"/>
        <v>4.4505516232353985E-2</v>
      </c>
      <c r="W53" s="5">
        <f t="shared" si="29"/>
        <v>4.0195341848234409E-2</v>
      </c>
      <c r="X53" s="5">
        <f t="shared" si="30"/>
        <v>4.3655344220807468E-2</v>
      </c>
      <c r="Y53" s="5">
        <f t="shared" ref="Y53:AA53" si="136">T53*Y$6/T$6</f>
        <v>82.43996508470191</v>
      </c>
      <c r="Z53" s="5">
        <f t="shared" si="136"/>
        <v>78.666117553422851</v>
      </c>
      <c r="AA53" s="5">
        <f t="shared" si="136"/>
        <v>81.060456977554509</v>
      </c>
      <c r="AB53" s="5">
        <f t="shared" ref="AB53:AC53" si="137">W53*AB$18/W$18</f>
        <v>77.919876033057847</v>
      </c>
      <c r="AC53" s="5">
        <f t="shared" si="137"/>
        <v>84.62719443236189</v>
      </c>
    </row>
    <row r="54" spans="1:29" ht="12.5">
      <c r="A54" s="48">
        <v>2019</v>
      </c>
      <c r="B54" s="5" t="s">
        <v>13</v>
      </c>
      <c r="C54" s="5">
        <v>236.3</v>
      </c>
      <c r="D54" s="5">
        <v>227.5</v>
      </c>
      <c r="E54" s="5">
        <v>233</v>
      </c>
      <c r="F54" s="5">
        <v>207.5</v>
      </c>
      <c r="G54" s="5">
        <v>227.9</v>
      </c>
      <c r="H54" s="11">
        <v>5224.38</v>
      </c>
      <c r="I54" s="12">
        <f t="shared" ref="I54:N54" si="138">C54/C42-1</f>
        <v>0.44173276388041494</v>
      </c>
      <c r="J54" s="12">
        <f t="shared" si="138"/>
        <v>0.42633228840125392</v>
      </c>
      <c r="K54" s="12">
        <f t="shared" si="138"/>
        <v>0.43649815043156615</v>
      </c>
      <c r="L54" s="12">
        <f t="shared" si="138"/>
        <v>0.32503192848020435</v>
      </c>
      <c r="M54" s="12">
        <f t="shared" si="138"/>
        <v>0.41464928615766605</v>
      </c>
      <c r="N54" s="12">
        <f t="shared" si="138"/>
        <v>0.50597561327145368</v>
      </c>
      <c r="O54" s="12">
        <f t="shared" si="66"/>
        <v>-9.1326327113787631E-2</v>
      </c>
      <c r="T54" s="5">
        <f t="shared" si="0"/>
        <v>4.5230247416918369E-2</v>
      </c>
      <c r="U54" s="5">
        <f t="shared" si="1"/>
        <v>4.3545837017981079E-2</v>
      </c>
      <c r="V54" s="5">
        <f t="shared" si="2"/>
        <v>4.459859351731689E-2</v>
      </c>
      <c r="W54" s="5">
        <f t="shared" si="29"/>
        <v>3.9717631565850876E-2</v>
      </c>
      <c r="X54" s="5">
        <f t="shared" si="30"/>
        <v>4.3622401127023688E-2</v>
      </c>
      <c r="Y54" s="5">
        <f t="shared" ref="Y54:AA54" si="139">T54*Y$6/T$6</f>
        <v>82.825751313772855</v>
      </c>
      <c r="Z54" s="5">
        <f t="shared" si="139"/>
        <v>78.468787612627622</v>
      </c>
      <c r="AA54" s="5">
        <f t="shared" si="139"/>
        <v>81.22998399110341</v>
      </c>
      <c r="AB54" s="5">
        <f t="shared" ref="AB54:AC54" si="140">W54*AB$18/W$18</f>
        <v>76.993820319348899</v>
      </c>
      <c r="AC54" s="5">
        <f t="shared" si="140"/>
        <v>84.563333256769226</v>
      </c>
    </row>
    <row r="55" spans="1:29" ht="12.5">
      <c r="A55" s="48">
        <v>2019</v>
      </c>
      <c r="B55" s="5" t="s">
        <v>16</v>
      </c>
      <c r="C55" s="5">
        <v>242.9</v>
      </c>
      <c r="D55" s="5">
        <v>231.4</v>
      </c>
      <c r="E55" s="5">
        <v>238.6</v>
      </c>
      <c r="F55" s="5">
        <v>212.2</v>
      </c>
      <c r="G55" s="5">
        <v>233.3</v>
      </c>
      <c r="H55" s="11">
        <v>5446.65</v>
      </c>
      <c r="I55" s="12">
        <f t="shared" ref="I55:N55" si="141">C55/C43-1</f>
        <v>0.44497323022010726</v>
      </c>
      <c r="J55" s="12">
        <f t="shared" si="141"/>
        <v>0.42224953902888762</v>
      </c>
      <c r="K55" s="12">
        <f t="shared" si="141"/>
        <v>0.43648404575556898</v>
      </c>
      <c r="L55" s="12">
        <f t="shared" si="141"/>
        <v>0.28684050939963601</v>
      </c>
      <c r="M55" s="12">
        <f t="shared" si="141"/>
        <v>0.40711700844390819</v>
      </c>
      <c r="N55" s="12">
        <f t="shared" si="141"/>
        <v>0.52136386870794449</v>
      </c>
      <c r="O55" s="12">
        <f t="shared" si="66"/>
        <v>-0.1142468602640363</v>
      </c>
      <c r="T55" s="5">
        <f t="shared" si="0"/>
        <v>4.4596219694674713E-2</v>
      </c>
      <c r="U55" s="5">
        <f t="shared" si="1"/>
        <v>4.2484830124939185E-2</v>
      </c>
      <c r="V55" s="5">
        <f t="shared" si="2"/>
        <v>4.3806743594686642E-2</v>
      </c>
      <c r="W55" s="5">
        <f t="shared" si="29"/>
        <v>3.8959727538945957E-2</v>
      </c>
      <c r="X55" s="5">
        <f t="shared" si="30"/>
        <v>4.2833668401678099E-2</v>
      </c>
      <c r="Y55" s="5">
        <f t="shared" ref="Y55:AA55" si="142">T55*Y$6/T$6</f>
        <v>81.66471803521182</v>
      </c>
      <c r="Z55" s="5">
        <f t="shared" si="142"/>
        <v>76.556872944154037</v>
      </c>
      <c r="AA55" s="5">
        <f t="shared" si="142"/>
        <v>79.787742174360105</v>
      </c>
      <c r="AB55" s="5">
        <f t="shared" ref="AB55:AC55" si="143">W55*AB$18/W$18</f>
        <v>75.524600626072896</v>
      </c>
      <c r="AC55" s="5">
        <f t="shared" si="143"/>
        <v>83.03435120670504</v>
      </c>
    </row>
    <row r="56" spans="1:29" ht="12.5">
      <c r="A56" s="48">
        <v>2019</v>
      </c>
      <c r="B56" s="5" t="s">
        <v>18</v>
      </c>
      <c r="C56" s="5">
        <v>246.5</v>
      </c>
      <c r="D56" s="5">
        <v>238.1</v>
      </c>
      <c r="E56" s="5">
        <v>243.4</v>
      </c>
      <c r="F56" s="5">
        <v>223.5</v>
      </c>
      <c r="G56" s="5">
        <v>239.4</v>
      </c>
      <c r="H56" s="11">
        <v>5650.56</v>
      </c>
      <c r="I56" s="12">
        <f t="shared" ref="I56:N56" si="144">C56/C44-1</f>
        <v>0.44236395552954932</v>
      </c>
      <c r="J56" s="12">
        <f t="shared" si="144"/>
        <v>0.4283143371325735</v>
      </c>
      <c r="K56" s="12">
        <f t="shared" si="144"/>
        <v>0.43768458357944473</v>
      </c>
      <c r="L56" s="12">
        <f t="shared" si="144"/>
        <v>0.29490150637311707</v>
      </c>
      <c r="M56" s="12">
        <f t="shared" si="144"/>
        <v>0.40906415538552099</v>
      </c>
      <c r="N56" s="12">
        <f t="shared" si="144"/>
        <v>0.53832499816236035</v>
      </c>
      <c r="O56" s="12">
        <f t="shared" si="66"/>
        <v>-0.12926084277683936</v>
      </c>
      <c r="T56" s="5">
        <f t="shared" si="0"/>
        <v>4.3623994789896925E-2</v>
      </c>
      <c r="U56" s="5">
        <f t="shared" si="1"/>
        <v>4.2137416468456222E-2</v>
      </c>
      <c r="V56" s="5">
        <f t="shared" si="2"/>
        <v>4.3075376599841432E-2</v>
      </c>
      <c r="W56" s="5">
        <f t="shared" si="29"/>
        <v>3.955360176690452E-2</v>
      </c>
      <c r="X56" s="5">
        <f t="shared" si="30"/>
        <v>4.2367482161060142E-2</v>
      </c>
      <c r="Y56" s="5">
        <f t="shared" ref="Y56:AA56" si="145">T56*Y$6/T$6</f>
        <v>79.884377161947867</v>
      </c>
      <c r="Z56" s="5">
        <f t="shared" si="145"/>
        <v>75.930840002979167</v>
      </c>
      <c r="AA56" s="5">
        <f t="shared" si="145"/>
        <v>78.45566139338591</v>
      </c>
      <c r="AB56" s="5">
        <f t="shared" ref="AB56:AC56" si="146">W56*AB$18/W$18</f>
        <v>76.675843633197417</v>
      </c>
      <c r="AC56" s="5">
        <f t="shared" si="146"/>
        <v>82.130635193679922</v>
      </c>
    </row>
    <row r="57" spans="1:29" ht="12.5">
      <c r="A57" s="48">
        <v>2020</v>
      </c>
      <c r="B57" s="5" t="s">
        <v>19</v>
      </c>
      <c r="C57" s="5">
        <v>267.60000000000002</v>
      </c>
      <c r="D57" s="5">
        <v>244.6</v>
      </c>
      <c r="E57" s="5">
        <v>259</v>
      </c>
      <c r="F57" s="5">
        <v>232.8</v>
      </c>
      <c r="G57" s="5">
        <v>253.8</v>
      </c>
      <c r="H57" s="11">
        <v>5777.86</v>
      </c>
      <c r="I57" s="12">
        <f t="shared" ref="I57:N57" si="147">C57/C45-1</f>
        <v>0.51271905031091025</v>
      </c>
      <c r="J57" s="12">
        <f t="shared" si="147"/>
        <v>0.43040935672514613</v>
      </c>
      <c r="K57" s="12">
        <f t="shared" si="147"/>
        <v>0.48254149971379512</v>
      </c>
      <c r="L57" s="12">
        <f t="shared" si="147"/>
        <v>0.31376975169300247</v>
      </c>
      <c r="M57" s="12">
        <f t="shared" si="147"/>
        <v>0.4486301369863015</v>
      </c>
      <c r="N57" s="12">
        <f t="shared" si="147"/>
        <v>0.52855865437017502</v>
      </c>
      <c r="O57" s="12">
        <f t="shared" si="66"/>
        <v>-7.9928517383873521E-2</v>
      </c>
      <c r="T57" s="5">
        <f t="shared" si="0"/>
        <v>4.631472552121374E-2</v>
      </c>
      <c r="U57" s="5">
        <f t="shared" si="1"/>
        <v>4.2334012939046636E-2</v>
      </c>
      <c r="V57" s="5">
        <f t="shared" si="2"/>
        <v>4.4826285164403429E-2</v>
      </c>
      <c r="W57" s="5">
        <f t="shared" si="29"/>
        <v>4.0291734309934824E-2</v>
      </c>
      <c r="X57" s="5">
        <f t="shared" si="30"/>
        <v>4.3926297971913483E-2</v>
      </c>
      <c r="Y57" s="5">
        <f t="shared" ref="Y57:AA57" si="148">T57*Y$6/T$6</f>
        <v>84.811650549380431</v>
      </c>
      <c r="Z57" s="5">
        <f t="shared" si="148"/>
        <v>76.285103182942436</v>
      </c>
      <c r="AA57" s="5">
        <f t="shared" si="148"/>
        <v>81.644691886332581</v>
      </c>
      <c r="AB57" s="5">
        <f t="shared" ref="AB57:AC57" si="149">W57*AB$18/W$18</f>
        <v>78.106735711837956</v>
      </c>
      <c r="AC57" s="5">
        <f t="shared" si="149"/>
        <v>85.152446407493429</v>
      </c>
    </row>
    <row r="58" spans="1:29" ht="12.5">
      <c r="A58" s="48">
        <v>2020</v>
      </c>
      <c r="B58" s="5" t="s">
        <v>21</v>
      </c>
      <c r="C58" s="5">
        <v>280</v>
      </c>
      <c r="D58" s="5">
        <v>251.6</v>
      </c>
      <c r="E58" s="5">
        <v>269.39999999999998</v>
      </c>
      <c r="F58" s="5">
        <v>240.2</v>
      </c>
      <c r="G58" s="5">
        <v>263.60000000000002</v>
      </c>
      <c r="H58" s="11">
        <v>5894.2</v>
      </c>
      <c r="I58" s="12">
        <f t="shared" ref="I58:N58" si="150">C58/C46-1</f>
        <v>0.54015401540154007</v>
      </c>
      <c r="J58" s="12">
        <f t="shared" si="150"/>
        <v>0.4344355758266818</v>
      </c>
      <c r="K58" s="12">
        <f t="shared" si="150"/>
        <v>0.50167224080267547</v>
      </c>
      <c r="L58" s="12">
        <f t="shared" si="150"/>
        <v>0.32195927352779319</v>
      </c>
      <c r="M58" s="12">
        <f t="shared" si="150"/>
        <v>0.46607341490545062</v>
      </c>
      <c r="N58" s="12">
        <f t="shared" si="150"/>
        <v>0.50274840143997857</v>
      </c>
      <c r="O58" s="12">
        <f t="shared" si="66"/>
        <v>-3.6674986534527942E-2</v>
      </c>
      <c r="T58" s="5">
        <f t="shared" si="0"/>
        <v>4.7504326286858266E-2</v>
      </c>
      <c r="U58" s="5">
        <f t="shared" si="1"/>
        <v>4.2686030334905499E-2</v>
      </c>
      <c r="V58" s="5">
        <f t="shared" si="2"/>
        <v>4.5705948220284343E-2</v>
      </c>
      <c r="W58" s="5">
        <f t="shared" si="29"/>
        <v>4.0751925621797698E-2</v>
      </c>
      <c r="X58" s="5">
        <f t="shared" si="30"/>
        <v>4.472193003291372E-2</v>
      </c>
      <c r="Y58" s="5">
        <f t="shared" ref="Y58:AA58" si="151">T58*Y$6/T$6</f>
        <v>86.990050686565908</v>
      </c>
      <c r="Z58" s="5">
        <f t="shared" si="151"/>
        <v>76.919431976764741</v>
      </c>
      <c r="AA58" s="5">
        <f t="shared" si="151"/>
        <v>83.246872814281048</v>
      </c>
      <c r="AB58" s="5">
        <f t="shared" ref="AB58:AC58" si="152">W58*AB$18/W$18</f>
        <v>78.998830375623484</v>
      </c>
      <c r="AC58" s="5">
        <f t="shared" si="152"/>
        <v>86.694803026704236</v>
      </c>
    </row>
    <row r="59" spans="1:29" ht="12.5">
      <c r="A59" s="48">
        <v>2020</v>
      </c>
      <c r="B59" s="5" t="s">
        <v>23</v>
      </c>
      <c r="C59" s="5">
        <v>286.39999999999998</v>
      </c>
      <c r="D59" s="5">
        <v>262.10000000000002</v>
      </c>
      <c r="E59" s="5">
        <v>277.3</v>
      </c>
      <c r="F59" s="5">
        <v>248.5</v>
      </c>
      <c r="G59" s="5">
        <v>271.60000000000002</v>
      </c>
      <c r="H59" s="11">
        <v>6091.27</v>
      </c>
      <c r="I59" s="12">
        <f t="shared" ref="I59:N59" si="153">C59/C47-1</f>
        <v>0.52097716409984041</v>
      </c>
      <c r="J59" s="12">
        <f t="shared" si="153"/>
        <v>0.41675675675675694</v>
      </c>
      <c r="K59" s="12">
        <f t="shared" si="153"/>
        <v>0.48288770053475938</v>
      </c>
      <c r="L59" s="12">
        <f t="shared" si="153"/>
        <v>0.33172561629153274</v>
      </c>
      <c r="M59" s="12">
        <f t="shared" si="153"/>
        <v>0.45318352059925093</v>
      </c>
      <c r="N59" s="12">
        <f t="shared" si="153"/>
        <v>0.48356966452499162</v>
      </c>
      <c r="O59" s="12">
        <f t="shared" si="66"/>
        <v>-3.0386143925740683E-2</v>
      </c>
      <c r="T59" s="5">
        <f t="shared" si="0"/>
        <v>4.7018109523958053E-2</v>
      </c>
      <c r="U59" s="5">
        <f t="shared" si="1"/>
        <v>4.3028793667002123E-2</v>
      </c>
      <c r="V59" s="5">
        <f t="shared" si="2"/>
        <v>4.552416819480995E-2</v>
      </c>
      <c r="W59" s="5">
        <f t="shared" si="29"/>
        <v>4.0796090142121426E-2</v>
      </c>
      <c r="X59" s="5">
        <f t="shared" si="30"/>
        <v>4.4588402746882014E-2</v>
      </c>
      <c r="Y59" s="5">
        <f t="shared" ref="Y59:AA59" si="154">T59*Y$6/T$6</f>
        <v>86.099689236243663</v>
      </c>
      <c r="Z59" s="5">
        <f t="shared" si="154"/>
        <v>77.537085119970612</v>
      </c>
      <c r="AA59" s="5">
        <f t="shared" si="154"/>
        <v>82.91578639664651</v>
      </c>
      <c r="AB59" s="5">
        <f t="shared" ref="AB59:AC59" si="155">W59*AB$18/W$18</f>
        <v>79.084444623206636</v>
      </c>
      <c r="AC59" s="5">
        <f t="shared" si="155"/>
        <v>86.435956376913182</v>
      </c>
    </row>
    <row r="60" spans="1:29" ht="12.5">
      <c r="A60" s="48">
        <v>2020</v>
      </c>
      <c r="B60" s="5" t="s">
        <v>24</v>
      </c>
      <c r="C60" s="5">
        <v>285.7</v>
      </c>
      <c r="D60" s="5">
        <v>263.5</v>
      </c>
      <c r="E60" s="5">
        <v>277.5</v>
      </c>
      <c r="F60" s="5">
        <v>250.2</v>
      </c>
      <c r="G60" s="5">
        <v>272</v>
      </c>
      <c r="H60" s="11">
        <v>6182.43</v>
      </c>
      <c r="I60" s="12">
        <f t="shared" ref="I60:N60" si="156">C60/C48-1</f>
        <v>0.47648578811369502</v>
      </c>
      <c r="J60" s="12">
        <f t="shared" si="156"/>
        <v>0.39639639639639657</v>
      </c>
      <c r="K60" s="12">
        <f t="shared" si="156"/>
        <v>0.44757433489827858</v>
      </c>
      <c r="L60" s="12">
        <f t="shared" si="156"/>
        <v>0.32451032292218085</v>
      </c>
      <c r="M60" s="12">
        <f t="shared" si="156"/>
        <v>0.4233385661957092</v>
      </c>
      <c r="N60" s="12">
        <f t="shared" si="156"/>
        <v>0.45563129083524645</v>
      </c>
      <c r="O60" s="12">
        <f t="shared" si="66"/>
        <v>-3.2292724639537251E-2</v>
      </c>
      <c r="T60" s="5">
        <f t="shared" si="0"/>
        <v>4.62116028810678E-2</v>
      </c>
      <c r="U60" s="5">
        <f t="shared" si="1"/>
        <v>4.2620781796154583E-2</v>
      </c>
      <c r="V60" s="5">
        <f t="shared" si="2"/>
        <v>4.4885263561415173E-2</v>
      </c>
      <c r="W60" s="5">
        <f t="shared" si="29"/>
        <v>4.0469524119157024E-2</v>
      </c>
      <c r="X60" s="5">
        <f t="shared" si="30"/>
        <v>4.3995645725062794E-2</v>
      </c>
      <c r="Y60" s="5">
        <f t="shared" ref="Y60:AA60" si="157">T60*Y$6/T$6</f>
        <v>84.622812092035346</v>
      </c>
      <c r="Z60" s="5">
        <f t="shared" si="157"/>
        <v>76.801855324669035</v>
      </c>
      <c r="AA60" s="5">
        <f t="shared" si="157"/>
        <v>81.75211263365334</v>
      </c>
      <c r="AB60" s="5">
        <f t="shared" ref="AB60:AC60" si="158">W60*AB$18/W$18</f>
        <v>78.451386590709461</v>
      </c>
      <c r="AC60" s="5">
        <f t="shared" si="158"/>
        <v>85.28687910740598</v>
      </c>
    </row>
    <row r="61" spans="1:29" ht="12.5">
      <c r="A61" s="48">
        <v>2020</v>
      </c>
      <c r="B61" s="5" t="s">
        <v>25</v>
      </c>
      <c r="C61" s="5">
        <v>285.10000000000002</v>
      </c>
      <c r="D61" s="5">
        <v>264.89999999999998</v>
      </c>
      <c r="E61" s="5">
        <v>277.5</v>
      </c>
      <c r="F61" s="5">
        <v>249</v>
      </c>
      <c r="G61" s="5">
        <v>271.8</v>
      </c>
      <c r="H61" s="11">
        <v>6277.81</v>
      </c>
      <c r="I61" s="12">
        <f t="shared" ref="I61:N61" si="159">C61/C49-1</f>
        <v>0.41348537431829469</v>
      </c>
      <c r="J61" s="12">
        <f t="shared" si="159"/>
        <v>0.37111801242236031</v>
      </c>
      <c r="K61" s="12">
        <f t="shared" si="159"/>
        <v>0.39798488664987408</v>
      </c>
      <c r="L61" s="12">
        <f t="shared" si="159"/>
        <v>0.32165605095541405</v>
      </c>
      <c r="M61" s="12">
        <f t="shared" si="159"/>
        <v>0.38320610687022905</v>
      </c>
      <c r="N61" s="12">
        <f t="shared" si="159"/>
        <v>0.43421335197547273</v>
      </c>
      <c r="O61" s="12">
        <f t="shared" si="66"/>
        <v>-5.1007245105243681E-2</v>
      </c>
      <c r="T61" s="5">
        <f t="shared" si="0"/>
        <v>4.5413926194007144E-2</v>
      </c>
      <c r="U61" s="5">
        <f t="shared" si="1"/>
        <v>4.21962435945019E-2</v>
      </c>
      <c r="V61" s="5">
        <f t="shared" si="2"/>
        <v>4.4203312938747748E-2</v>
      </c>
      <c r="W61" s="5">
        <f t="shared" si="29"/>
        <v>3.9663513231525005E-2</v>
      </c>
      <c r="X61" s="5">
        <f t="shared" si="30"/>
        <v>4.3295352997303201E-2</v>
      </c>
      <c r="Y61" s="5">
        <f t="shared" ref="Y61:AA61" si="160">T61*Y$6/T$6</f>
        <v>83.162104386806945</v>
      </c>
      <c r="Z61" s="5">
        <f t="shared" si="160"/>
        <v>76.036845388927631</v>
      </c>
      <c r="AA61" s="5">
        <f t="shared" si="160"/>
        <v>80.510036734096346</v>
      </c>
      <c r="AB61" s="5">
        <f t="shared" ref="AB61:AC61" si="161">W61*AB$18/W$18</f>
        <v>76.888910304708162</v>
      </c>
      <c r="AC61" s="5">
        <f t="shared" si="161"/>
        <v>83.929340645862183</v>
      </c>
    </row>
    <row r="62" spans="1:29" ht="12.5">
      <c r="A62" s="48">
        <v>2020</v>
      </c>
      <c r="B62" s="5" t="s">
        <v>26</v>
      </c>
      <c r="C62" s="5">
        <v>285.39999999999998</v>
      </c>
      <c r="D62" s="5">
        <v>267.2</v>
      </c>
      <c r="E62" s="5">
        <v>278.60000000000002</v>
      </c>
      <c r="F62" s="5">
        <v>252.7</v>
      </c>
      <c r="G62" s="5">
        <v>273.5</v>
      </c>
      <c r="H62" s="11">
        <v>6418.65</v>
      </c>
      <c r="I62" s="12">
        <f t="shared" ref="I62:N62" si="162">C62/C50-1</f>
        <v>0.37874396135265687</v>
      </c>
      <c r="J62" s="12">
        <f t="shared" si="162"/>
        <v>0.35496957403651108</v>
      </c>
      <c r="K62" s="12">
        <f t="shared" si="162"/>
        <v>0.37038858829316279</v>
      </c>
      <c r="L62" s="12">
        <f t="shared" si="162"/>
        <v>0.33845338983050843</v>
      </c>
      <c r="M62" s="12">
        <f t="shared" si="162"/>
        <v>0.36477045908183636</v>
      </c>
      <c r="N62" s="12">
        <f t="shared" si="162"/>
        <v>0.42758804755179436</v>
      </c>
      <c r="O62" s="12">
        <f t="shared" si="66"/>
        <v>-6.2817588469957997E-2</v>
      </c>
      <c r="T62" s="5">
        <f t="shared" si="0"/>
        <v>4.4464178604535221E-2</v>
      </c>
      <c r="U62" s="5">
        <f t="shared" si="1"/>
        <v>4.162869139149198E-2</v>
      </c>
      <c r="V62" s="5">
        <f t="shared" si="2"/>
        <v>4.3404765799661932E-2</v>
      </c>
      <c r="W62" s="5">
        <f t="shared" si="29"/>
        <v>3.9369649381100387E-2</v>
      </c>
      <c r="X62" s="5">
        <f t="shared" si="30"/>
        <v>4.2610206196006951E-2</v>
      </c>
      <c r="Y62" s="5">
        <f t="shared" ref="Y62:AA62" si="163">T62*Y$6/T$6</f>
        <v>81.42292403408058</v>
      </c>
      <c r="Z62" s="5">
        <f t="shared" si="163"/>
        <v>75.014126885235186</v>
      </c>
      <c r="AA62" s="5">
        <f t="shared" si="163"/>
        <v>79.055596891752529</v>
      </c>
      <c r="AB62" s="5">
        <f t="shared" ref="AB62:AC62" si="164">W62*AB$18/W$18</f>
        <v>76.319246414744526</v>
      </c>
      <c r="AC62" s="5">
        <f t="shared" si="164"/>
        <v>82.601163017145353</v>
      </c>
    </row>
    <row r="63" spans="1:29" ht="12.5">
      <c r="A63" s="48">
        <v>2020</v>
      </c>
      <c r="B63" s="5" t="s">
        <v>27</v>
      </c>
      <c r="C63" s="5">
        <v>289.2</v>
      </c>
      <c r="D63" s="5">
        <v>270.10000000000002</v>
      </c>
      <c r="E63" s="5">
        <v>282.10000000000002</v>
      </c>
      <c r="F63" s="5">
        <v>263.5</v>
      </c>
      <c r="G63" s="5">
        <v>278.39999999999998</v>
      </c>
      <c r="H63" s="11">
        <v>6542.8</v>
      </c>
      <c r="I63" s="12">
        <f t="shared" ref="I63:N63" si="165">C63/C51-1</f>
        <v>0.3395090319592402</v>
      </c>
      <c r="J63" s="12">
        <f t="shared" si="165"/>
        <v>0.28926014319809079</v>
      </c>
      <c r="K63" s="12">
        <f t="shared" si="165"/>
        <v>0.32131147540983607</v>
      </c>
      <c r="L63" s="12">
        <f t="shared" si="165"/>
        <v>0.34782608695652173</v>
      </c>
      <c r="M63" s="12">
        <f t="shared" si="165"/>
        <v>0.32634587898999512</v>
      </c>
      <c r="N63" s="12">
        <f t="shared" si="165"/>
        <v>0.42390483506965215</v>
      </c>
      <c r="O63" s="12">
        <f t="shared" si="66"/>
        <v>-9.7558956079657033E-2</v>
      </c>
      <c r="T63" s="5">
        <f t="shared" si="0"/>
        <v>4.4201259399645407E-2</v>
      </c>
      <c r="U63" s="5">
        <f t="shared" si="1"/>
        <v>4.1282019930305072E-2</v>
      </c>
      <c r="V63" s="5">
        <f t="shared" si="2"/>
        <v>4.3116097083817327E-2</v>
      </c>
      <c r="W63" s="5">
        <f t="shared" si="29"/>
        <v>4.0273277495873325E-2</v>
      </c>
      <c r="X63" s="5">
        <f t="shared" si="30"/>
        <v>4.2550589961484378E-2</v>
      </c>
      <c r="Y63" s="5">
        <f t="shared" ref="Y63:AA63" si="166">T63*Y$6/T$6</f>
        <v>80.941465675493902</v>
      </c>
      <c r="Z63" s="5">
        <f t="shared" si="166"/>
        <v>74.389431366166363</v>
      </c>
      <c r="AA63" s="5">
        <f t="shared" si="166"/>
        <v>78.529827953373669</v>
      </c>
      <c r="AB63" s="5">
        <f t="shared" ref="AB63:AC63" si="167">W63*AB$18/W$18</f>
        <v>78.070956624075308</v>
      </c>
      <c r="AC63" s="5">
        <f t="shared" si="167"/>
        <v>82.485595158036304</v>
      </c>
    </row>
    <row r="64" spans="1:29" ht="12.5">
      <c r="A64" s="48">
        <v>2020</v>
      </c>
      <c r="B64" s="5" t="s">
        <v>28</v>
      </c>
      <c r="C64" s="5">
        <v>295.10000000000002</v>
      </c>
      <c r="D64" s="5">
        <v>272.2</v>
      </c>
      <c r="E64" s="5">
        <v>286.60000000000002</v>
      </c>
      <c r="F64" s="5">
        <v>273.3</v>
      </c>
      <c r="G64" s="5">
        <v>283.89999999999998</v>
      </c>
      <c r="H64" s="11">
        <v>6719.46</v>
      </c>
      <c r="I64" s="12">
        <f t="shared" ref="I64:N64" si="168">C64/C52-1</f>
        <v>0.32987832356917535</v>
      </c>
      <c r="J64" s="12">
        <f t="shared" si="168"/>
        <v>0.27673545966228885</v>
      </c>
      <c r="K64" s="12">
        <f t="shared" si="168"/>
        <v>0.31107044830741093</v>
      </c>
      <c r="L64" s="12">
        <f t="shared" si="168"/>
        <v>0.36309226932668337</v>
      </c>
      <c r="M64" s="12">
        <f t="shared" si="168"/>
        <v>0.32046511627906971</v>
      </c>
      <c r="N64" s="12">
        <f t="shared" si="168"/>
        <v>0.40672771350692738</v>
      </c>
      <c r="O64" s="12">
        <f t="shared" si="66"/>
        <v>-8.6262597227857674E-2</v>
      </c>
      <c r="T64" s="5">
        <f t="shared" si="0"/>
        <v>4.3917219538474821E-2</v>
      </c>
      <c r="U64" s="5">
        <f t="shared" si="1"/>
        <v>4.0509207585133329E-2</v>
      </c>
      <c r="V64" s="5">
        <f t="shared" si="2"/>
        <v>4.2652236935706148E-2</v>
      </c>
      <c r="W64" s="5">
        <f t="shared" si="29"/>
        <v>4.0672911216079868E-2</v>
      </c>
      <c r="X64" s="5">
        <f t="shared" si="30"/>
        <v>4.2250418932473735E-2</v>
      </c>
      <c r="Y64" s="5">
        <f t="shared" ref="Y64:AA64" si="169">T64*Y$6/T$6</f>
        <v>80.421331114043028</v>
      </c>
      <c r="Z64" s="5">
        <f t="shared" si="169"/>
        <v>72.996837907630734</v>
      </c>
      <c r="AA64" s="5">
        <f t="shared" si="169"/>
        <v>77.684972781190908</v>
      </c>
      <c r="AB64" s="5">
        <f t="shared" ref="AB64:AC64" si="170">W64*AB$18/W$18</f>
        <v>78.845658579707305</v>
      </c>
      <c r="AC64" s="5">
        <f t="shared" si="170"/>
        <v>81.903704613168316</v>
      </c>
    </row>
    <row r="65" spans="1:29" ht="12.5">
      <c r="A65" s="48">
        <v>2020</v>
      </c>
      <c r="B65" s="5" t="s">
        <v>29</v>
      </c>
      <c r="C65" s="5">
        <v>301.5</v>
      </c>
      <c r="D65" s="5">
        <v>280.89999999999998</v>
      </c>
      <c r="E65" s="5">
        <v>293.8</v>
      </c>
      <c r="F65" s="5">
        <v>279.7</v>
      </c>
      <c r="G65" s="5">
        <v>291</v>
      </c>
      <c r="H65" s="11">
        <v>6909.99</v>
      </c>
      <c r="I65" s="12">
        <f t="shared" ref="I65:N65" si="171">C65/C53-1</f>
        <v>0.32411067193675902</v>
      </c>
      <c r="J65" s="12">
        <f t="shared" si="171"/>
        <v>0.2721920289855071</v>
      </c>
      <c r="K65" s="12">
        <f t="shared" si="171"/>
        <v>0.30519768991559326</v>
      </c>
      <c r="L65" s="12">
        <f t="shared" si="171"/>
        <v>0.37579931136251821</v>
      </c>
      <c r="M65" s="12">
        <f t="shared" si="171"/>
        <v>0.31793478260869557</v>
      </c>
      <c r="N65" s="12">
        <f t="shared" si="171"/>
        <v>0.36620467396891909</v>
      </c>
      <c r="O65" s="12">
        <f t="shared" si="66"/>
        <v>-4.8269891360223527E-2</v>
      </c>
      <c r="T65" s="5">
        <f t="shared" si="0"/>
        <v>4.3632479931230005E-2</v>
      </c>
      <c r="U65" s="5">
        <f t="shared" si="1"/>
        <v>4.0651288930953586E-2</v>
      </c>
      <c r="V65" s="5">
        <f t="shared" si="2"/>
        <v>4.2518151256369402E-2</v>
      </c>
      <c r="W65" s="5">
        <f t="shared" si="29"/>
        <v>4.0477627319287002E-2</v>
      </c>
      <c r="X65" s="5">
        <f t="shared" si="30"/>
        <v>4.2112940829147363E-2</v>
      </c>
      <c r="Y65" s="5">
        <f t="shared" ref="Y65:AA65" si="172">T65*Y$6/T$6</f>
        <v>79.899915175689813</v>
      </c>
      <c r="Z65" s="5">
        <f t="shared" si="172"/>
        <v>73.252865847667408</v>
      </c>
      <c r="AA65" s="5">
        <f t="shared" si="172"/>
        <v>77.440754819883878</v>
      </c>
      <c r="AB65" s="5">
        <f t="shared" ref="AB65:AC65" si="173">W65*AB$18/W$18</f>
        <v>78.467094887257431</v>
      </c>
      <c r="AC65" s="5">
        <f t="shared" si="173"/>
        <v>81.637199185527024</v>
      </c>
    </row>
    <row r="66" spans="1:29" ht="12.5">
      <c r="A66" s="48">
        <v>2020</v>
      </c>
      <c r="B66" s="5" t="s">
        <v>13</v>
      </c>
      <c r="C66" s="5">
        <v>317.7</v>
      </c>
      <c r="D66" s="5">
        <v>289.7</v>
      </c>
      <c r="E66" s="5">
        <v>307.2</v>
      </c>
      <c r="F66" s="5">
        <v>285.7</v>
      </c>
      <c r="G66" s="5">
        <v>302.89999999999998</v>
      </c>
      <c r="H66" s="11">
        <v>7169.87</v>
      </c>
      <c r="I66" s="12">
        <f t="shared" ref="I66:N66" si="174">C66/C54-1</f>
        <v>0.34447735928903933</v>
      </c>
      <c r="J66" s="12">
        <f t="shared" si="174"/>
        <v>0.27340659340659346</v>
      </c>
      <c r="K66" s="12">
        <f t="shared" si="174"/>
        <v>0.31845493562231764</v>
      </c>
      <c r="L66" s="12">
        <f t="shared" si="174"/>
        <v>0.37686746987951802</v>
      </c>
      <c r="M66" s="12">
        <f t="shared" si="174"/>
        <v>0.32909170688898626</v>
      </c>
      <c r="N66" s="12">
        <f t="shared" si="174"/>
        <v>0.3723867712532396</v>
      </c>
      <c r="O66" s="12">
        <f t="shared" si="66"/>
        <v>-4.3295064364253344E-2</v>
      </c>
      <c r="T66" s="5">
        <f t="shared" si="0"/>
        <v>4.431042682782254E-2</v>
      </c>
      <c r="U66" s="5">
        <f t="shared" si="1"/>
        <v>4.0405195631162072E-2</v>
      </c>
      <c r="V66" s="5">
        <f t="shared" si="2"/>
        <v>4.2845965129074862E-2</v>
      </c>
      <c r="W66" s="5">
        <f t="shared" si="29"/>
        <v>3.9847305460210578E-2</v>
      </c>
      <c r="X66" s="5">
        <f t="shared" si="30"/>
        <v>4.2246233195302005E-2</v>
      </c>
      <c r="Y66" s="5">
        <f t="shared" ref="Y66:AA66" si="175">T66*Y$6/T$6</f>
        <v>81.141373365018964</v>
      </c>
      <c r="Z66" s="5">
        <f t="shared" si="175"/>
        <v>72.809410302967308</v>
      </c>
      <c r="AA66" s="5">
        <f t="shared" si="175"/>
        <v>78.037821084352203</v>
      </c>
      <c r="AB66" s="5">
        <f t="shared" ref="AB66:AC66" si="176">W66*AB$18/W$18</f>
        <v>77.245197053782007</v>
      </c>
      <c r="AC66" s="5">
        <f t="shared" si="176"/>
        <v>81.895590436088796</v>
      </c>
    </row>
    <row r="67" spans="1:29" ht="12.5">
      <c r="A67" s="48">
        <v>2020</v>
      </c>
      <c r="B67" s="5" t="s">
        <v>16</v>
      </c>
      <c r="C67" s="5">
        <v>326</v>
      </c>
      <c r="D67" s="5">
        <v>294.89999999999998</v>
      </c>
      <c r="E67" s="5">
        <v>314.39999999999998</v>
      </c>
      <c r="F67" s="5">
        <v>307</v>
      </c>
      <c r="G67" s="5">
        <v>312.89999999999998</v>
      </c>
      <c r="H67" s="11">
        <v>7396.42</v>
      </c>
      <c r="I67" s="12">
        <f t="shared" ref="I67:N67" si="177">C67/C55-1</f>
        <v>0.34211609715932489</v>
      </c>
      <c r="J67" s="12">
        <f t="shared" si="177"/>
        <v>0.27441659464131352</v>
      </c>
      <c r="K67" s="12">
        <f t="shared" si="177"/>
        <v>0.31768650461022618</v>
      </c>
      <c r="L67" s="12">
        <f t="shared" si="177"/>
        <v>0.44674835061262974</v>
      </c>
      <c r="M67" s="12">
        <f t="shared" si="177"/>
        <v>0.34119159879982841</v>
      </c>
      <c r="N67" s="12">
        <f t="shared" si="177"/>
        <v>0.35797600359854242</v>
      </c>
      <c r="O67" s="12">
        <f t="shared" si="66"/>
        <v>-1.6784404798714014E-2</v>
      </c>
      <c r="T67" s="5">
        <f t="shared" si="0"/>
        <v>4.4075377006714059E-2</v>
      </c>
      <c r="U67" s="5">
        <f t="shared" si="1"/>
        <v>3.987064012049072E-2</v>
      </c>
      <c r="V67" s="5">
        <f t="shared" si="2"/>
        <v>4.250705070831564E-2</v>
      </c>
      <c r="W67" s="5">
        <f t="shared" si="29"/>
        <v>4.1506566690371831E-2</v>
      </c>
      <c r="X67" s="5">
        <f t="shared" si="30"/>
        <v>4.2304249893867572E-2</v>
      </c>
      <c r="Y67" s="5">
        <f t="shared" ref="Y67:AA67" si="178">T67*Y$6/T$6</f>
        <v>80.710949497335335</v>
      </c>
      <c r="Z67" s="5">
        <f t="shared" si="178"/>
        <v>71.846151224568843</v>
      </c>
      <c r="AA67" s="5">
        <f t="shared" si="178"/>
        <v>77.420536753133646</v>
      </c>
      <c r="AB67" s="5">
        <f t="shared" ref="AB67:AC67" si="179">W67*AB$18/W$18</f>
        <v>80.461724726286491</v>
      </c>
      <c r="AC67" s="5">
        <f t="shared" si="179"/>
        <v>82.008057546759105</v>
      </c>
    </row>
    <row r="68" spans="1:29" ht="12.5">
      <c r="A68" s="48">
        <v>2020</v>
      </c>
      <c r="B68" s="5" t="s">
        <v>18</v>
      </c>
      <c r="C68" s="5">
        <v>331.3</v>
      </c>
      <c r="D68" s="5">
        <v>302</v>
      </c>
      <c r="E68" s="5">
        <v>320.3</v>
      </c>
      <c r="F68" s="5">
        <v>310.8</v>
      </c>
      <c r="G68" s="5">
        <v>318.39999999999998</v>
      </c>
      <c r="H68" s="11">
        <v>7692.69</v>
      </c>
      <c r="I68" s="12">
        <f t="shared" ref="I68:N68" si="180">C68/C56-1</f>
        <v>0.34401622718052738</v>
      </c>
      <c r="J68" s="12">
        <f t="shared" si="180"/>
        <v>0.26837463250734994</v>
      </c>
      <c r="K68" s="12">
        <f t="shared" si="180"/>
        <v>0.31594083812654072</v>
      </c>
      <c r="L68" s="12">
        <f t="shared" si="180"/>
        <v>0.39060402684563766</v>
      </c>
      <c r="M68" s="12">
        <f t="shared" si="180"/>
        <v>0.32999164578111939</v>
      </c>
      <c r="N68" s="12">
        <f t="shared" si="180"/>
        <v>0.36140311756710819</v>
      </c>
      <c r="O68" s="12">
        <f t="shared" si="66"/>
        <v>-3.1411471785988798E-2</v>
      </c>
      <c r="T68" s="5">
        <f t="shared" si="0"/>
        <v>4.3066859577079022E-2</v>
      </c>
      <c r="U68" s="5">
        <f t="shared" si="1"/>
        <v>3.9258048874970919E-2</v>
      </c>
      <c r="V68" s="5">
        <f t="shared" si="2"/>
        <v>4.1636930644546967E-2</v>
      </c>
      <c r="W68" s="5">
        <f t="shared" si="29"/>
        <v>4.0401992020996563E-2</v>
      </c>
      <c r="X68" s="5">
        <f t="shared" si="30"/>
        <v>4.1389942919836886E-2</v>
      </c>
      <c r="Y68" s="5">
        <f t="shared" ref="Y68:AA68" si="181">T68*Y$6/T$6</f>
        <v>78.864149654464882</v>
      </c>
      <c r="Z68" s="5">
        <f t="shared" si="181"/>
        <v>70.74227320476642</v>
      </c>
      <c r="AA68" s="5">
        <f t="shared" si="181"/>
        <v>75.835737025697782</v>
      </c>
      <c r="AB68" s="5">
        <f t="shared" ref="AB68:AC68" si="182">W68*AB$18/W$18</f>
        <v>78.320473592462463</v>
      </c>
      <c r="AC68" s="5">
        <f t="shared" si="182"/>
        <v>80.235646048391402</v>
      </c>
    </row>
    <row r="69" spans="1:29" ht="12.5">
      <c r="A69" s="48">
        <v>2021</v>
      </c>
      <c r="B69" s="5" t="s">
        <v>19</v>
      </c>
      <c r="C69" s="5">
        <v>344.6</v>
      </c>
      <c r="D69" s="5">
        <v>309.3</v>
      </c>
      <c r="E69" s="5">
        <v>331.4</v>
      </c>
      <c r="F69" s="5">
        <v>318.39999999999998</v>
      </c>
      <c r="G69" s="5">
        <v>328.8</v>
      </c>
      <c r="H69" s="11">
        <v>8004.17</v>
      </c>
      <c r="I69" s="12">
        <f t="shared" ref="I69:N69" si="183">C69/C57-1</f>
        <v>0.28774289985052315</v>
      </c>
      <c r="J69" s="12">
        <f t="shared" si="183"/>
        <v>0.26451349141455438</v>
      </c>
      <c r="K69" s="12">
        <f t="shared" si="183"/>
        <v>0.27953667953667938</v>
      </c>
      <c r="L69" s="12">
        <f t="shared" si="183"/>
        <v>0.36769759450171802</v>
      </c>
      <c r="M69" s="12">
        <f t="shared" si="183"/>
        <v>0.29550827423167858</v>
      </c>
      <c r="N69" s="12">
        <f t="shared" si="183"/>
        <v>0.3853174012523668</v>
      </c>
      <c r="O69" s="12">
        <f t="shared" si="66"/>
        <v>-8.9809127020688218E-2</v>
      </c>
      <c r="T69" s="5">
        <f t="shared" si="0"/>
        <v>4.3052558853697513E-2</v>
      </c>
      <c r="U69" s="5">
        <f t="shared" si="1"/>
        <v>3.8642357671063957E-2</v>
      </c>
      <c r="V69" s="5">
        <f t="shared" si="2"/>
        <v>4.1403418468123489E-2</v>
      </c>
      <c r="W69" s="5">
        <f t="shared" si="29"/>
        <v>3.9779265058088466E-2</v>
      </c>
      <c r="X69" s="5">
        <f t="shared" si="30"/>
        <v>4.1078587786116491E-2</v>
      </c>
      <c r="Y69" s="5">
        <f t="shared" ref="Y69:AA69" si="184">T69*Y$6/T$6</f>
        <v>78.837962131158065</v>
      </c>
      <c r="Z69" s="5">
        <f t="shared" si="184"/>
        <v>69.632809117662305</v>
      </c>
      <c r="AA69" s="5">
        <f t="shared" si="184"/>
        <v>75.410427865550332</v>
      </c>
      <c r="AB69" s="5">
        <f t="shared" ref="AB69:AC69" si="185">W69*AB$18/W$18</f>
        <v>77.113298693056223</v>
      </c>
      <c r="AC69" s="5">
        <f t="shared" si="185"/>
        <v>79.632074781020393</v>
      </c>
    </row>
    <row r="70" spans="1:29" ht="12.5">
      <c r="A70" s="48">
        <v>2021</v>
      </c>
      <c r="B70" s="5" t="s">
        <v>21</v>
      </c>
      <c r="C70" s="5">
        <v>362.3</v>
      </c>
      <c r="D70" s="5">
        <v>321.10000000000002</v>
      </c>
      <c r="E70" s="5">
        <v>346.9</v>
      </c>
      <c r="F70" s="5">
        <v>327.39999999999998</v>
      </c>
      <c r="G70" s="5">
        <v>343.1</v>
      </c>
      <c r="H70" s="11">
        <v>8292.32</v>
      </c>
      <c r="I70" s="12">
        <f t="shared" ref="I70:N70" si="186">C70/C58-1</f>
        <v>0.29392857142857154</v>
      </c>
      <c r="J70" s="12">
        <f t="shared" si="186"/>
        <v>0.2762321144674087</v>
      </c>
      <c r="K70" s="12">
        <f t="shared" si="186"/>
        <v>0.28767631774313296</v>
      </c>
      <c r="L70" s="12">
        <f t="shared" si="186"/>
        <v>0.36303080766028306</v>
      </c>
      <c r="M70" s="12">
        <f t="shared" si="186"/>
        <v>0.30159332321699539</v>
      </c>
      <c r="N70" s="12">
        <f t="shared" si="186"/>
        <v>0.40686098198228771</v>
      </c>
      <c r="O70" s="12">
        <f t="shared" si="66"/>
        <v>-0.10526765876529232</v>
      </c>
      <c r="T70" s="5">
        <f t="shared" si="0"/>
        <v>4.3691029772126501E-2</v>
      </c>
      <c r="U70" s="5">
        <f t="shared" si="1"/>
        <v>3.8722577035136131E-2</v>
      </c>
      <c r="V70" s="5">
        <f t="shared" si="2"/>
        <v>4.1833889671406797E-2</v>
      </c>
      <c r="W70" s="5">
        <f t="shared" si="29"/>
        <v>3.9482316167248732E-2</v>
      </c>
      <c r="X70" s="5">
        <f t="shared" si="30"/>
        <v>4.137563432187856E-2</v>
      </c>
      <c r="Y70" s="5">
        <f t="shared" ref="Y70:AA70" si="187">T70*Y$6/T$6</f>
        <v>80.007131802582293</v>
      </c>
      <c r="Z70" s="5">
        <f t="shared" si="187"/>
        <v>69.777362918274761</v>
      </c>
      <c r="AA70" s="5">
        <f t="shared" si="187"/>
        <v>76.194469831756223</v>
      </c>
      <c r="AB70" s="5">
        <f t="shared" ref="AB70:AC70" si="188">W70*AB$18/W$18</f>
        <v>76.537654359696674</v>
      </c>
      <c r="AC70" s="5">
        <f t="shared" si="188"/>
        <v>80.207908401991247</v>
      </c>
    </row>
    <row r="71" spans="1:29" ht="12.5">
      <c r="A71" s="48">
        <v>2021</v>
      </c>
      <c r="B71" s="5" t="s">
        <v>23</v>
      </c>
      <c r="C71" s="5">
        <v>376.7</v>
      </c>
      <c r="D71" s="5">
        <v>345.4</v>
      </c>
      <c r="E71" s="5">
        <v>365</v>
      </c>
      <c r="F71" s="5">
        <v>341.4</v>
      </c>
      <c r="G71" s="5">
        <v>360.3</v>
      </c>
      <c r="H71" s="11">
        <v>8690.35</v>
      </c>
      <c r="I71" s="12">
        <f t="shared" ref="I71:N71" si="189">C71/C59-1</f>
        <v>0.3152932960893855</v>
      </c>
      <c r="J71" s="12">
        <f t="shared" si="189"/>
        <v>0.31781762685997683</v>
      </c>
      <c r="K71" s="12">
        <f t="shared" si="189"/>
        <v>0.31626397403534079</v>
      </c>
      <c r="L71" s="12">
        <f t="shared" si="189"/>
        <v>0.37384305835010045</v>
      </c>
      <c r="M71" s="12">
        <f t="shared" si="189"/>
        <v>0.32658321060382911</v>
      </c>
      <c r="N71" s="12">
        <f t="shared" si="189"/>
        <v>0.42668934392991931</v>
      </c>
      <c r="O71" s="12">
        <f t="shared" si="66"/>
        <v>-0.1001061333260902</v>
      </c>
      <c r="T71" s="5">
        <f t="shared" si="0"/>
        <v>4.3346930791049842E-2</v>
      </c>
      <c r="U71" s="5">
        <f t="shared" si="1"/>
        <v>3.9745234656831996E-2</v>
      </c>
      <c r="V71" s="5">
        <f t="shared" si="2"/>
        <v>4.200060987186937E-2</v>
      </c>
      <c r="W71" s="5">
        <f t="shared" si="29"/>
        <v>3.9284954000701922E-2</v>
      </c>
      <c r="X71" s="5">
        <f t="shared" si="30"/>
        <v>4.1459780100916534E-2</v>
      </c>
      <c r="Y71" s="5">
        <f t="shared" ref="Y71:AA71" si="190">T71*Y$6/T$6</f>
        <v>79.377016818437468</v>
      </c>
      <c r="Z71" s="5">
        <f t="shared" si="190"/>
        <v>71.620172913732006</v>
      </c>
      <c r="AA71" s="5">
        <f t="shared" si="190"/>
        <v>76.498126923751968</v>
      </c>
      <c r="AB71" s="5">
        <f t="shared" ref="AB71:AC71" si="191">W71*AB$18/W$18</f>
        <v>76.155061878980689</v>
      </c>
      <c r="AC71" s="5">
        <f t="shared" si="191"/>
        <v>80.371027519029724</v>
      </c>
    </row>
    <row r="72" spans="1:29" ht="12.5">
      <c r="A72" s="48">
        <v>2021</v>
      </c>
      <c r="B72" s="5" t="s">
        <v>24</v>
      </c>
      <c r="C72" s="5">
        <v>394.5</v>
      </c>
      <c r="D72" s="5">
        <v>350.7</v>
      </c>
      <c r="E72" s="5">
        <v>378.2</v>
      </c>
      <c r="F72" s="5">
        <v>346.3</v>
      </c>
      <c r="G72" s="5">
        <v>371.8</v>
      </c>
      <c r="H72" s="11">
        <v>9046.65</v>
      </c>
      <c r="I72" s="12">
        <f t="shared" ref="I72:N72" si="192">C72/C60-1</f>
        <v>0.38081904095204755</v>
      </c>
      <c r="J72" s="12">
        <f t="shared" si="192"/>
        <v>0.33092979127134714</v>
      </c>
      <c r="K72" s="12">
        <f t="shared" si="192"/>
        <v>0.36288288288288295</v>
      </c>
      <c r="L72" s="12">
        <f t="shared" si="192"/>
        <v>0.38409272581934473</v>
      </c>
      <c r="M72" s="12">
        <f t="shared" si="192"/>
        <v>0.36691176470588238</v>
      </c>
      <c r="N72" s="12">
        <f t="shared" si="192"/>
        <v>0.46328385440676234</v>
      </c>
      <c r="O72" s="12">
        <f t="shared" si="66"/>
        <v>-9.6372089700879959E-2</v>
      </c>
      <c r="T72" s="5">
        <f t="shared" si="0"/>
        <v>4.3607302150519806E-2</v>
      </c>
      <c r="U72" s="5">
        <f t="shared" si="1"/>
        <v>3.8765730961184526E-2</v>
      </c>
      <c r="V72" s="5">
        <f t="shared" si="2"/>
        <v>4.1805530223895035E-2</v>
      </c>
      <c r="W72" s="5">
        <f t="shared" si="29"/>
        <v>3.8279363079150849E-2</v>
      </c>
      <c r="X72" s="5">
        <f t="shared" si="30"/>
        <v>4.1098086031846046E-2</v>
      </c>
      <c r="Y72" s="5">
        <f t="shared" ref="Y72:AA72" si="193">T72*Y$6/T$6</f>
        <v>79.853809555605253</v>
      </c>
      <c r="Z72" s="5">
        <f t="shared" si="193"/>
        <v>69.855125489616412</v>
      </c>
      <c r="AA72" s="5">
        <f t="shared" si="193"/>
        <v>76.142817138572468</v>
      </c>
      <c r="AB72" s="5">
        <f t="shared" ref="AB72:AC72" si="194">W72*AB$18/W$18</f>
        <v>74.205693709826292</v>
      </c>
      <c r="AC72" s="5">
        <f t="shared" si="194"/>
        <v>79.669872715314511</v>
      </c>
    </row>
    <row r="73" spans="1:29" ht="12.5">
      <c r="A73" s="48">
        <v>2021</v>
      </c>
      <c r="B73" s="5" t="s">
        <v>25</v>
      </c>
      <c r="C73" s="5">
        <v>408.4</v>
      </c>
      <c r="D73" s="5">
        <v>360.8</v>
      </c>
      <c r="E73" s="5">
        <v>390.6</v>
      </c>
      <c r="F73" s="5">
        <v>349.5</v>
      </c>
      <c r="G73" s="5">
        <v>382.4</v>
      </c>
      <c r="H73" s="11">
        <v>9345.19</v>
      </c>
      <c r="I73" s="12">
        <f t="shared" ref="I73:N73" si="195">C73/C61-1</f>
        <v>0.43247983163802162</v>
      </c>
      <c r="J73" s="12">
        <f t="shared" si="195"/>
        <v>0.36202340505851272</v>
      </c>
      <c r="K73" s="12">
        <f t="shared" si="195"/>
        <v>0.40756756756756762</v>
      </c>
      <c r="L73" s="12">
        <f t="shared" si="195"/>
        <v>0.40361445783132521</v>
      </c>
      <c r="M73" s="12">
        <f t="shared" si="195"/>
        <v>0.40691685062545968</v>
      </c>
      <c r="N73" s="12">
        <f t="shared" si="195"/>
        <v>0.48860669564704895</v>
      </c>
      <c r="O73" s="12">
        <f t="shared" si="66"/>
        <v>-8.1689845021589269E-2</v>
      </c>
      <c r="T73" s="5">
        <f t="shared" si="0"/>
        <v>4.3701626184165322E-2</v>
      </c>
      <c r="U73" s="5">
        <f t="shared" si="1"/>
        <v>3.8608096785619127E-2</v>
      </c>
      <c r="V73" s="5">
        <f t="shared" si="2"/>
        <v>4.1796903005717381E-2</v>
      </c>
      <c r="W73" s="5">
        <f t="shared" si="29"/>
        <v>3.7398918588065086E-2</v>
      </c>
      <c r="X73" s="5">
        <f t="shared" si="30"/>
        <v>4.0919446260589666E-2</v>
      </c>
      <c r="Y73" s="5">
        <f t="shared" ref="Y73:AA73" si="196">T73*Y$6/T$6</f>
        <v>80.026535980946733</v>
      </c>
      <c r="Z73" s="5">
        <f t="shared" si="196"/>
        <v>69.571071639926359</v>
      </c>
      <c r="AA73" s="5">
        <f t="shared" si="196"/>
        <v>76.127103889808552</v>
      </c>
      <c r="AB73" s="5">
        <f t="shared" ref="AB73:AC73" si="197">W73*AB$18/W$18</f>
        <v>72.498925650521812</v>
      </c>
      <c r="AC73" s="5">
        <f t="shared" si="197"/>
        <v>79.323574159540868</v>
      </c>
    </row>
    <row r="74" spans="1:29" ht="12.5">
      <c r="A74" s="48">
        <v>2021</v>
      </c>
      <c r="B74" s="5" t="s">
        <v>26</v>
      </c>
      <c r="C74" s="5">
        <v>415.6</v>
      </c>
      <c r="D74" s="5">
        <v>375.3</v>
      </c>
      <c r="E74" s="5">
        <v>400.5</v>
      </c>
      <c r="F74" s="5">
        <v>353.5</v>
      </c>
      <c r="G74" s="5">
        <v>391.2</v>
      </c>
      <c r="H74" s="11">
        <v>9644.24</v>
      </c>
      <c r="I74" s="12">
        <f t="shared" ref="I74:N74" si="198">C74/C62-1</f>
        <v>0.45620182200420478</v>
      </c>
      <c r="J74" s="12">
        <f t="shared" si="198"/>
        <v>0.40456586826347318</v>
      </c>
      <c r="K74" s="12">
        <f t="shared" si="198"/>
        <v>0.43754486719310837</v>
      </c>
      <c r="L74" s="12">
        <f t="shared" si="198"/>
        <v>0.39889196675900274</v>
      </c>
      <c r="M74" s="12">
        <f t="shared" si="198"/>
        <v>0.43034734917733086</v>
      </c>
      <c r="N74" s="12">
        <f t="shared" si="198"/>
        <v>0.50253402195165653</v>
      </c>
      <c r="O74" s="12">
        <f t="shared" ref="O74:O79" si="199">N74-M74</f>
        <v>7.2186672774325666E-2</v>
      </c>
      <c r="T74" s="5">
        <f t="shared" si="0"/>
        <v>4.3093079392466385E-2</v>
      </c>
      <c r="U74" s="5">
        <f t="shared" si="1"/>
        <v>3.8914419384005375E-2</v>
      </c>
      <c r="V74" s="5">
        <f t="shared" si="2"/>
        <v>4.1527377999717965E-2</v>
      </c>
      <c r="W74" s="5">
        <f t="shared" si="29"/>
        <v>3.6654002803746068E-2</v>
      </c>
      <c r="X74" s="5">
        <f t="shared" si="30"/>
        <v>4.0563071843919274E-2</v>
      </c>
      <c r="Y74" s="5">
        <f t="shared" ref="Y74:AA74" si="200">T74*Y$6/T$6</f>
        <v>78.912163451266579</v>
      </c>
      <c r="Z74" s="5">
        <f t="shared" si="200"/>
        <v>70.123059259404044</v>
      </c>
      <c r="AA74" s="5">
        <f t="shared" si="200"/>
        <v>75.636202491448671</v>
      </c>
      <c r="AB74" s="5">
        <f t="shared" ref="AB74:AC74" si="201">W74*AB$18/W$18</f>
        <v>71.054884055145862</v>
      </c>
      <c r="AC74" s="5">
        <f t="shared" si="201"/>
        <v>78.632731661592828</v>
      </c>
    </row>
    <row r="75" spans="1:29" ht="12.5">
      <c r="A75" s="48">
        <v>2021</v>
      </c>
      <c r="B75" s="5" t="s">
        <v>27</v>
      </c>
      <c r="C75" s="5">
        <v>437</v>
      </c>
      <c r="D75" s="5">
        <v>397.9</v>
      </c>
      <c r="E75" s="5">
        <v>422.4</v>
      </c>
      <c r="F75" s="5">
        <v>362</v>
      </c>
      <c r="G75" s="5">
        <v>410.4</v>
      </c>
      <c r="H75" s="11">
        <v>9933.57</v>
      </c>
      <c r="I75" s="12">
        <f t="shared" ref="I75:N75" si="202">C75/C63-1</f>
        <v>0.51106500691562928</v>
      </c>
      <c r="J75" s="12">
        <f t="shared" si="202"/>
        <v>0.47315808959644556</v>
      </c>
      <c r="K75" s="12">
        <f t="shared" si="202"/>
        <v>0.49734136830911013</v>
      </c>
      <c r="L75" s="12">
        <f t="shared" si="202"/>
        <v>0.37381404174573052</v>
      </c>
      <c r="M75" s="12">
        <f t="shared" si="202"/>
        <v>0.47413793103448287</v>
      </c>
      <c r="N75" s="12">
        <f t="shared" si="202"/>
        <v>0.51824448248456312</v>
      </c>
      <c r="O75" s="12">
        <f t="shared" si="199"/>
        <v>4.4106551450080245E-2</v>
      </c>
      <c r="T75" s="5">
        <f t="shared" si="0"/>
        <v>4.3992240453331485E-2</v>
      </c>
      <c r="U75" s="5">
        <f t="shared" si="1"/>
        <v>4.0056092623296555E-2</v>
      </c>
      <c r="V75" s="5">
        <f t="shared" si="2"/>
        <v>4.2522476813471891E-2</v>
      </c>
      <c r="W75" s="5">
        <f t="shared" si="29"/>
        <v>3.6442084769121273E-2</v>
      </c>
      <c r="X75" s="5">
        <f t="shared" si="30"/>
        <v>4.131445190399826E-2</v>
      </c>
      <c r="Y75" s="5">
        <f t="shared" ref="Y75:AA75" si="203">T75*Y$6/T$6</f>
        <v>80.558709616087782</v>
      </c>
      <c r="Z75" s="5">
        <f t="shared" si="203"/>
        <v>72.180333182051768</v>
      </c>
      <c r="AA75" s="5">
        <f t="shared" si="203"/>
        <v>77.448633205870451</v>
      </c>
      <c r="AB75" s="5">
        <f t="shared" ref="AB75:AC75" si="204">W75*AB$18/W$18</f>
        <v>70.644074587484653</v>
      </c>
      <c r="AC75" s="5">
        <f t="shared" si="204"/>
        <v>80.089304449457742</v>
      </c>
    </row>
    <row r="76" spans="1:29" ht="12.5">
      <c r="A76" s="48">
        <v>2021</v>
      </c>
      <c r="B76" s="5" t="s">
        <v>28</v>
      </c>
      <c r="C76" s="5">
        <v>451.6</v>
      </c>
      <c r="D76" s="5">
        <v>410.8</v>
      </c>
      <c r="E76" s="5">
        <v>436.4</v>
      </c>
      <c r="F76" s="5">
        <v>371.2</v>
      </c>
      <c r="G76" s="5">
        <v>423.4</v>
      </c>
      <c r="H76" s="11">
        <v>10181.91</v>
      </c>
      <c r="I76" s="12">
        <f t="shared" ref="I76:N76" si="205">C76/C64-1</f>
        <v>0.53032870213486949</v>
      </c>
      <c r="J76" s="12">
        <f t="shared" si="205"/>
        <v>0.5091844232182221</v>
      </c>
      <c r="K76" s="12">
        <f t="shared" si="205"/>
        <v>0.52267969295184913</v>
      </c>
      <c r="L76" s="12">
        <f t="shared" si="205"/>
        <v>0.35821441639224294</v>
      </c>
      <c r="M76" s="12">
        <f t="shared" si="205"/>
        <v>0.49137020077492077</v>
      </c>
      <c r="N76" s="12">
        <f t="shared" si="205"/>
        <v>0.5152869427007527</v>
      </c>
      <c r="O76" s="12">
        <f t="shared" si="199"/>
        <v>2.391674192583193E-2</v>
      </c>
      <c r="T76" s="5">
        <f t="shared" si="0"/>
        <v>4.4353171458007393E-2</v>
      </c>
      <c r="U76" s="5">
        <f t="shared" si="1"/>
        <v>4.0346064736380506E-2</v>
      </c>
      <c r="V76" s="5">
        <f t="shared" si="2"/>
        <v>4.2860327777401293E-2</v>
      </c>
      <c r="W76" s="5">
        <f t="shared" si="29"/>
        <v>3.6456814094801469E-2</v>
      </c>
      <c r="X76" s="5">
        <f t="shared" si="30"/>
        <v>4.1583553576882919E-2</v>
      </c>
      <c r="Y76" s="5">
        <f t="shared" ref="Y76:AA76" si="206">T76*Y$6/T$6</f>
        <v>81.219647447339497</v>
      </c>
      <c r="Z76" s="5">
        <f t="shared" si="206"/>
        <v>72.70285753141205</v>
      </c>
      <c r="AA76" s="5">
        <f t="shared" si="206"/>
        <v>78.063980601987524</v>
      </c>
      <c r="AB76" s="5">
        <f t="shared" ref="AB76:AC76" si="207">W76*AB$18/W$18</f>
        <v>70.672627827195484</v>
      </c>
      <c r="AC76" s="5">
        <f t="shared" si="207"/>
        <v>80.610966115394831</v>
      </c>
    </row>
    <row r="77" spans="1:29" ht="12.5">
      <c r="A77" s="48">
        <v>2021</v>
      </c>
      <c r="B77" s="5" t="s">
        <v>29</v>
      </c>
      <c r="C77" s="5">
        <v>467.9</v>
      </c>
      <c r="D77" s="5">
        <v>438.1</v>
      </c>
      <c r="E77" s="5">
        <v>456.8</v>
      </c>
      <c r="F77" s="5">
        <v>374.3</v>
      </c>
      <c r="G77" s="5">
        <v>440.3</v>
      </c>
      <c r="H77" s="11">
        <v>10538.27</v>
      </c>
      <c r="I77" s="12">
        <f t="shared" ref="I77:N77" si="208">C77/C65-1</f>
        <v>0.5519071310116086</v>
      </c>
      <c r="J77" s="12">
        <f t="shared" si="208"/>
        <v>0.55962976148095422</v>
      </c>
      <c r="K77" s="12">
        <f t="shared" si="208"/>
        <v>0.55479918311776721</v>
      </c>
      <c r="L77" s="12">
        <f t="shared" si="208"/>
        <v>0.33821952091526652</v>
      </c>
      <c r="M77" s="12">
        <f t="shared" si="208"/>
        <v>0.51305841924398621</v>
      </c>
      <c r="N77" s="12">
        <f t="shared" si="208"/>
        <v>0.52507746031470393</v>
      </c>
      <c r="O77" s="12">
        <f t="shared" si="199"/>
        <v>1.2019041070717718E-2</v>
      </c>
      <c r="T77" s="5">
        <f t="shared" si="0"/>
        <v>4.4400077052495331E-2</v>
      </c>
      <c r="U77" s="5">
        <f t="shared" si="1"/>
        <v>4.1572288430643742E-2</v>
      </c>
      <c r="V77" s="5">
        <f t="shared" si="2"/>
        <v>4.3346773236973432E-2</v>
      </c>
      <c r="W77" s="5">
        <f t="shared" si="29"/>
        <v>3.5518163797283613E-2</v>
      </c>
      <c r="X77" s="5">
        <f t="shared" si="30"/>
        <v>4.1781051349035467E-2</v>
      </c>
      <c r="Y77" s="5">
        <f t="shared" ref="Y77:AA77" si="209">T77*Y$6/T$6</f>
        <v>81.305541098737692</v>
      </c>
      <c r="Z77" s="5">
        <f t="shared" si="209"/>
        <v>74.912489799841779</v>
      </c>
      <c r="AA77" s="5">
        <f t="shared" si="209"/>
        <v>78.94997170119666</v>
      </c>
      <c r="AB77" s="5">
        <f t="shared" ref="AB77:AC77" si="210">W77*AB$18/W$18</f>
        <v>68.8530260659482</v>
      </c>
      <c r="AC77" s="5">
        <f t="shared" si="210"/>
        <v>80.993821471645717</v>
      </c>
    </row>
    <row r="78" spans="1:29" ht="12.5">
      <c r="A78" s="48">
        <v>2021</v>
      </c>
      <c r="B78" s="5" t="s">
        <v>13</v>
      </c>
      <c r="C78" s="5">
        <v>485.3</v>
      </c>
      <c r="D78" s="5">
        <v>454.1</v>
      </c>
      <c r="E78" s="5">
        <v>473.6</v>
      </c>
      <c r="F78" s="5">
        <v>395.5</v>
      </c>
      <c r="G78" s="5">
        <v>458.1</v>
      </c>
      <c r="H78" s="11">
        <v>10907.11</v>
      </c>
      <c r="I78" s="12">
        <f t="shared" ref="I78:N78" si="211">C78/C66-1</f>
        <v>0.52754170601196115</v>
      </c>
      <c r="J78" s="12">
        <f t="shared" si="211"/>
        <v>0.56748360372799467</v>
      </c>
      <c r="K78" s="12">
        <f t="shared" si="211"/>
        <v>0.54166666666666674</v>
      </c>
      <c r="L78" s="12">
        <f t="shared" si="211"/>
        <v>0.38431921596079799</v>
      </c>
      <c r="M78" s="12">
        <f t="shared" si="211"/>
        <v>0.512380323539122</v>
      </c>
      <c r="N78" s="12">
        <f t="shared" si="211"/>
        <v>0.52124236562169202</v>
      </c>
      <c r="O78" s="12">
        <f t="shared" si="199"/>
        <v>8.8620420825700208E-3</v>
      </c>
      <c r="T78" s="5">
        <f t="shared" si="0"/>
        <v>4.4493912686311955E-2</v>
      </c>
      <c r="U78" s="5">
        <f t="shared" si="1"/>
        <v>4.1633393263660126E-2</v>
      </c>
      <c r="V78" s="5">
        <f t="shared" si="2"/>
        <v>4.342121790281752E-2</v>
      </c>
      <c r="W78" s="5">
        <f t="shared" si="29"/>
        <v>3.6260751014705085E-2</v>
      </c>
      <c r="X78" s="5">
        <f t="shared" si="30"/>
        <v>4.2000126522974461E-2</v>
      </c>
      <c r="Y78" s="5">
        <f t="shared" ref="Y78:AA78" si="212">T78*Y$6/T$6</f>
        <v>81.477373164992528</v>
      </c>
      <c r="Z78" s="5">
        <f t="shared" si="212"/>
        <v>75.022599571347342</v>
      </c>
      <c r="AA78" s="5">
        <f t="shared" si="212"/>
        <v>79.085562053667985</v>
      </c>
      <c r="AB78" s="5">
        <f t="shared" ref="AB78:AC78" si="213">W78*AB$18/W$18</f>
        <v>70.292553664536243</v>
      </c>
      <c r="AC78" s="5">
        <f t="shared" si="213"/>
        <v>81.418505268581683</v>
      </c>
    </row>
    <row r="79" spans="1:29" ht="12.5">
      <c r="A79" s="48">
        <v>2021</v>
      </c>
      <c r="B79" s="5" t="s">
        <v>16</v>
      </c>
      <c r="C79" s="5">
        <v>507</v>
      </c>
      <c r="D79" s="5">
        <v>466.5</v>
      </c>
      <c r="E79" s="5">
        <v>491.9</v>
      </c>
      <c r="F79" s="5">
        <v>412.7</v>
      </c>
      <c r="G79" s="5">
        <v>476.1</v>
      </c>
      <c r="H79" s="11">
        <v>11179.79</v>
      </c>
      <c r="I79" s="12">
        <f t="shared" ref="I79:N79" si="214">C79/C67-1</f>
        <v>0.55521472392638027</v>
      </c>
      <c r="J79" s="12">
        <f t="shared" si="214"/>
        <v>0.58189216683621581</v>
      </c>
      <c r="K79" s="12">
        <f t="shared" si="214"/>
        <v>0.56456743002544529</v>
      </c>
      <c r="L79" s="12">
        <f t="shared" si="214"/>
        <v>0.34429967426710095</v>
      </c>
      <c r="M79" s="12">
        <f t="shared" si="214"/>
        <v>0.52157238734419953</v>
      </c>
      <c r="N79" s="12">
        <f t="shared" si="214"/>
        <v>0.51151367823893201</v>
      </c>
      <c r="O79" s="12">
        <f t="shared" si="199"/>
        <v>-1.0058709105267516E-2</v>
      </c>
      <c r="T79" s="5">
        <f t="shared" si="0"/>
        <v>4.534968903709282E-2</v>
      </c>
      <c r="U79" s="5">
        <f t="shared" si="1"/>
        <v>4.1727080741230375E-2</v>
      </c>
      <c r="V79" s="5">
        <f t="shared" si="2"/>
        <v>4.3999037549005832E-2</v>
      </c>
      <c r="W79" s="5">
        <f t="shared" si="29"/>
        <v>3.6914825770430391E-2</v>
      </c>
      <c r="X79" s="5">
        <f t="shared" si="30"/>
        <v>4.2585773078027404E-2</v>
      </c>
      <c r="Y79" s="5">
        <f t="shared" ref="Y79:AA79" si="215">T79*Y$6/T$6</f>
        <v>83.044473131451497</v>
      </c>
      <c r="Z79" s="5">
        <f t="shared" si="215"/>
        <v>75.191422661747168</v>
      </c>
      <c r="AA79" s="5">
        <f t="shared" si="215"/>
        <v>80.137978215433208</v>
      </c>
      <c r="AB79" s="5">
        <f t="shared" ref="AB79:AC79" si="216">W79*AB$18/W$18</f>
        <v>71.560497200752422</v>
      </c>
      <c r="AC79" s="5">
        <f t="shared" si="216"/>
        <v>82.553798684948461</v>
      </c>
    </row>
    <row r="80" spans="1:29" ht="12.5">
      <c r="A80" s="48">
        <v>2021</v>
      </c>
      <c r="B80" s="5" t="s">
        <v>18</v>
      </c>
      <c r="C80" s="5">
        <v>514.29999999999995</v>
      </c>
      <c r="D80" s="5">
        <v>479.1</v>
      </c>
      <c r="E80" s="5">
        <v>501.2</v>
      </c>
      <c r="F80" s="5">
        <v>436.8</v>
      </c>
      <c r="G80" s="5">
        <v>488.3</v>
      </c>
      <c r="H80" s="11">
        <v>11604.62</v>
      </c>
      <c r="I80" s="12">
        <f t="shared" ref="I80:N80" si="217">C80/C68-1</f>
        <v>0.55236945366737067</v>
      </c>
      <c r="J80" s="12">
        <f t="shared" si="217"/>
        <v>0.58642384105960277</v>
      </c>
      <c r="K80" s="12">
        <f t="shared" si="217"/>
        <v>0.56478301592257241</v>
      </c>
      <c r="L80" s="12">
        <f t="shared" si="217"/>
        <v>0.40540540540540548</v>
      </c>
      <c r="M80" s="12">
        <f t="shared" si="217"/>
        <v>0.53360552763819102</v>
      </c>
      <c r="N80" s="12">
        <f t="shared" si="217"/>
        <v>0.50852562627637421</v>
      </c>
      <c r="O80" s="12">
        <f t="shared" ref="O80:O110" si="218">M80-N80</f>
        <v>2.5079901361816814E-2</v>
      </c>
      <c r="T80" s="5">
        <f t="shared" si="0"/>
        <v>4.4318555885500766E-2</v>
      </c>
      <c r="U80" s="5">
        <f t="shared" si="1"/>
        <v>4.1285281206967568E-2</v>
      </c>
      <c r="V80" s="5">
        <f t="shared" si="2"/>
        <v>4.3189695138660285E-2</v>
      </c>
      <c r="W80" s="5">
        <f t="shared" si="29"/>
        <v>3.764018123816204E-2</v>
      </c>
      <c r="X80" s="5">
        <f t="shared" si="30"/>
        <v>4.2078068907038746E-2</v>
      </c>
      <c r="Y80" s="5">
        <f t="shared" ref="Y80:AA80" si="219">T80*Y$6/T$6</f>
        <v>81.156259317409777</v>
      </c>
      <c r="Z80" s="5">
        <f t="shared" si="219"/>
        <v>74.39530812599692</v>
      </c>
      <c r="AA80" s="5">
        <f t="shared" si="219"/>
        <v>78.663876324525759</v>
      </c>
      <c r="AB80" s="5">
        <f t="shared" ref="AB80:AC80" si="220">W80*AB$18/W$18</f>
        <v>72.966620535614254</v>
      </c>
      <c r="AC80" s="5">
        <f t="shared" si="220"/>
        <v>81.56959891836182</v>
      </c>
    </row>
    <row r="81" spans="1:29" ht="12.5">
      <c r="A81" s="48">
        <v>2022</v>
      </c>
      <c r="B81" s="5" t="s">
        <v>19</v>
      </c>
      <c r="C81" s="5">
        <v>538.20000000000005</v>
      </c>
      <c r="D81" s="5">
        <v>493</v>
      </c>
      <c r="E81" s="5">
        <v>521.29999999999995</v>
      </c>
      <c r="F81" s="5">
        <v>447.9</v>
      </c>
      <c r="G81" s="5">
        <v>506.7</v>
      </c>
      <c r="H81" s="11">
        <v>12057.2</v>
      </c>
      <c r="I81" s="12">
        <f t="shared" ref="I81:N81" si="221">C81/C69-1</f>
        <v>0.56181079512478238</v>
      </c>
      <c r="J81" s="12">
        <f t="shared" si="221"/>
        <v>0.59392175881021658</v>
      </c>
      <c r="K81" s="12">
        <f t="shared" si="221"/>
        <v>0.57302353651176818</v>
      </c>
      <c r="L81" s="12">
        <f t="shared" si="221"/>
        <v>0.40672110552763829</v>
      </c>
      <c r="M81" s="12">
        <f t="shared" si="221"/>
        <v>0.54105839416058377</v>
      </c>
      <c r="N81" s="12">
        <f t="shared" si="221"/>
        <v>0.506364807344172</v>
      </c>
      <c r="O81" s="12">
        <f t="shared" si="218"/>
        <v>3.469358681641177E-2</v>
      </c>
      <c r="T81" s="5">
        <f t="shared" si="0"/>
        <v>4.4637229207444513E-2</v>
      </c>
      <c r="U81" s="5">
        <f t="shared" si="1"/>
        <v>4.0888431808380053E-2</v>
      </c>
      <c r="V81" s="5">
        <f t="shared" si="2"/>
        <v>4.3235577082573064E-2</v>
      </c>
      <c r="W81" s="5">
        <f t="shared" si="29"/>
        <v>3.7147928208871042E-2</v>
      </c>
      <c r="X81" s="5">
        <f t="shared" si="30"/>
        <v>4.202468234747702E-2</v>
      </c>
      <c r="Y81" s="5">
        <f t="shared" ref="Y81:AA81" si="222">T81*Y$6/T$6</f>
        <v>81.739814765832406</v>
      </c>
      <c r="Z81" s="5">
        <f t="shared" si="222"/>
        <v>73.680192897895921</v>
      </c>
      <c r="AA81" s="5">
        <f t="shared" si="222"/>
        <v>78.747443748419258</v>
      </c>
      <c r="AB81" s="5">
        <f t="shared" ref="AB81:AC81" si="223">W81*AB$18/W$18</f>
        <v>72.012373270742771</v>
      </c>
      <c r="AC81" s="5">
        <f t="shared" si="223"/>
        <v>81.466107471054613</v>
      </c>
    </row>
    <row r="82" spans="1:29" ht="12.5">
      <c r="A82" s="48">
        <v>2022</v>
      </c>
      <c r="B82" s="5" t="s">
        <v>21</v>
      </c>
      <c r="C82" s="5">
        <v>559</v>
      </c>
      <c r="D82" s="5">
        <v>504.7</v>
      </c>
      <c r="E82" s="5">
        <v>538.70000000000005</v>
      </c>
      <c r="F82" s="5">
        <v>457.6</v>
      </c>
      <c r="G82" s="5">
        <v>522.6</v>
      </c>
      <c r="H82" s="5">
        <v>12623.89</v>
      </c>
      <c r="I82" s="12">
        <f t="shared" ref="I82:N82" si="224">C82/C70-1</f>
        <v>0.54292023185205629</v>
      </c>
      <c r="J82" s="12">
        <f t="shared" si="224"/>
        <v>0.57178449081283067</v>
      </c>
      <c r="K82" s="12">
        <f t="shared" si="224"/>
        <v>0.55289708849812658</v>
      </c>
      <c r="L82" s="12">
        <f t="shared" si="224"/>
        <v>0.39767868051313404</v>
      </c>
      <c r="M82" s="12">
        <f t="shared" si="224"/>
        <v>0.52317108714660443</v>
      </c>
      <c r="N82" s="12">
        <f t="shared" si="224"/>
        <v>0.52235924325158689</v>
      </c>
      <c r="O82" s="12">
        <f t="shared" si="218"/>
        <v>8.1184389501753884E-4</v>
      </c>
      <c r="T82" s="5">
        <f t="shared" si="0"/>
        <v>4.4281120954000712E-2</v>
      </c>
      <c r="U82" s="5">
        <f t="shared" si="1"/>
        <v>3.9979752675284717E-2</v>
      </c>
      <c r="V82" s="5">
        <f t="shared" si="2"/>
        <v>4.2673058779821436E-2</v>
      </c>
      <c r="W82" s="5">
        <f t="shared" si="29"/>
        <v>3.6248731571647097E-2</v>
      </c>
      <c r="X82" s="5">
        <f t="shared" si="30"/>
        <v>4.1397699124437873E-2</v>
      </c>
      <c r="Y82" s="5">
        <f t="shared" ref="Y82:AA82" si="225">T82*Y$6/T$6</f>
        <v>81.08770836967139</v>
      </c>
      <c r="Z82" s="5">
        <f t="shared" si="225"/>
        <v>72.042770016956865</v>
      </c>
      <c r="AA82" s="5">
        <f t="shared" si="225"/>
        <v>77.722896803693843</v>
      </c>
      <c r="AB82" s="5">
        <f t="shared" ref="AB82:AC82" si="226">W82*AB$18/W$18</f>
        <v>70.269253613585036</v>
      </c>
      <c r="AC82" s="5">
        <f t="shared" si="226"/>
        <v>80.250681683696541</v>
      </c>
    </row>
    <row r="83" spans="1:29" ht="12.5">
      <c r="A83" s="48">
        <v>2022</v>
      </c>
      <c r="B83" s="5" t="s">
        <v>23</v>
      </c>
      <c r="C83" s="5">
        <v>589.29999999999995</v>
      </c>
      <c r="D83" s="5">
        <v>565.79999999999995</v>
      </c>
      <c r="E83" s="5">
        <v>580.5</v>
      </c>
      <c r="F83" s="5">
        <v>483.4</v>
      </c>
      <c r="G83" s="5">
        <v>561.20000000000005</v>
      </c>
      <c r="H83" s="5">
        <v>13469.69</v>
      </c>
      <c r="I83" s="12">
        <f t="shared" ref="I83:N83" si="227">C83/C71-1</f>
        <v>0.56437483408547906</v>
      </c>
      <c r="J83" s="12">
        <f t="shared" si="227"/>
        <v>0.63810075275043432</v>
      </c>
      <c r="K83" s="12">
        <f t="shared" si="227"/>
        <v>0.59041095890410955</v>
      </c>
      <c r="L83" s="12">
        <f t="shared" si="227"/>
        <v>0.41593438781488001</v>
      </c>
      <c r="M83" s="12">
        <f t="shared" si="227"/>
        <v>0.55759089647515969</v>
      </c>
      <c r="N83" s="12">
        <f t="shared" si="227"/>
        <v>0.54995943776717859</v>
      </c>
      <c r="O83" s="12">
        <f t="shared" si="218"/>
        <v>7.631458707981098E-3</v>
      </c>
      <c r="T83" s="5">
        <f t="shared" si="0"/>
        <v>4.3750078880805718E-2</v>
      </c>
      <c r="U83" s="5">
        <f t="shared" si="1"/>
        <v>4.2005421060172875E-2</v>
      </c>
      <c r="V83" s="5">
        <f t="shared" si="2"/>
        <v>4.3096760207547463E-2</v>
      </c>
      <c r="W83" s="5">
        <f t="shared" si="29"/>
        <v>3.58879825742092E-2</v>
      </c>
      <c r="X83" s="5">
        <f t="shared" si="30"/>
        <v>4.1663913571878791E-2</v>
      </c>
      <c r="Y83" s="5">
        <f t="shared" ref="Y83:AA83" si="228">T83*Y$6/T$6</f>
        <v>80.115262689987858</v>
      </c>
      <c r="Z83" s="5">
        <f t="shared" si="228"/>
        <v>75.69298673461391</v>
      </c>
      <c r="AA83" s="5">
        <f t="shared" si="228"/>
        <v>78.494608588233177</v>
      </c>
      <c r="AB83" s="5">
        <f t="shared" ref="AB83:AC83" si="229">W83*AB$18/W$18</f>
        <v>69.56993085958176</v>
      </c>
      <c r="AC83" s="5">
        <f t="shared" si="229"/>
        <v>80.766746376494183</v>
      </c>
    </row>
    <row r="84" spans="1:29" ht="12.5">
      <c r="A84" s="48">
        <v>2022</v>
      </c>
      <c r="B84" s="5" t="s">
        <v>24</v>
      </c>
      <c r="C84" s="5">
        <v>622.29999999999995</v>
      </c>
      <c r="D84" s="5">
        <v>580.9</v>
      </c>
      <c r="E84" s="5">
        <v>606.79999999999995</v>
      </c>
      <c r="F84" s="5">
        <v>517.5</v>
      </c>
      <c r="G84" s="5">
        <v>589</v>
      </c>
      <c r="H84" s="11">
        <v>14277.87</v>
      </c>
      <c r="I84" s="12">
        <f t="shared" ref="I84:N84" si="230">C84/C72-1</f>
        <v>0.57743979721166028</v>
      </c>
      <c r="J84" s="12">
        <f t="shared" si="230"/>
        <v>0.65640148274878807</v>
      </c>
      <c r="K84" s="12">
        <f t="shared" si="230"/>
        <v>0.60444209413008987</v>
      </c>
      <c r="L84" s="12">
        <f t="shared" si="230"/>
        <v>0.49436904418134553</v>
      </c>
      <c r="M84" s="12">
        <f t="shared" si="230"/>
        <v>0.58418504572350716</v>
      </c>
      <c r="N84" s="12">
        <f t="shared" si="230"/>
        <v>0.57824940723914398</v>
      </c>
      <c r="O84" s="12">
        <f t="shared" si="218"/>
        <v>5.9356384843631815E-3</v>
      </c>
      <c r="T84" s="5">
        <f t="shared" si="0"/>
        <v>4.3584932486428293E-2</v>
      </c>
      <c r="U84" s="5">
        <f t="shared" si="1"/>
        <v>4.0685340320369912E-2</v>
      </c>
      <c r="V84" s="5">
        <f t="shared" si="2"/>
        <v>4.2499336385609335E-2</v>
      </c>
      <c r="W84" s="5">
        <f t="shared" si="29"/>
        <v>3.6244902075729779E-2</v>
      </c>
      <c r="X84" s="5">
        <f t="shared" si="30"/>
        <v>4.1252651831120465E-2</v>
      </c>
      <c r="Y84" s="5">
        <f t="shared" ref="Y84:AA84" si="231">T84*Y$6/T$6</f>
        <v>79.812846166262318</v>
      </c>
      <c r="Z84" s="5">
        <f t="shared" si="231"/>
        <v>73.314225817460198</v>
      </c>
      <c r="AA84" s="5">
        <f t="shared" si="231"/>
        <v>77.406486213407717</v>
      </c>
      <c r="AB84" s="5">
        <f t="shared" ref="AB84:AC84" si="232">W84*AB$18/W$18</f>
        <v>70.261830020864451</v>
      </c>
      <c r="AC84" s="5">
        <f t="shared" si="232"/>
        <v>79.969503154181936</v>
      </c>
    </row>
    <row r="85" spans="1:29" ht="12.5">
      <c r="A85" s="48">
        <v>2022</v>
      </c>
      <c r="B85" s="5" t="s">
        <v>25</v>
      </c>
      <c r="C85" s="5">
        <v>665.7</v>
      </c>
      <c r="D85" s="5">
        <v>619.4</v>
      </c>
      <c r="E85" s="5">
        <v>648.4</v>
      </c>
      <c r="F85" s="5">
        <v>534.20000000000005</v>
      </c>
      <c r="G85" s="5">
        <v>625.6</v>
      </c>
      <c r="H85" s="11">
        <v>15006.05</v>
      </c>
      <c r="I85" s="12">
        <f t="shared" ref="I85:N85" si="233">C85/C73-1</f>
        <v>0.63001958863858976</v>
      </c>
      <c r="J85" s="12">
        <f t="shared" si="233"/>
        <v>0.71674057649667389</v>
      </c>
      <c r="K85" s="12">
        <f t="shared" si="233"/>
        <v>0.66001024065540181</v>
      </c>
      <c r="L85" s="12">
        <f t="shared" si="233"/>
        <v>0.52846924177396293</v>
      </c>
      <c r="M85" s="12">
        <f t="shared" si="233"/>
        <v>0.63598326359832646</v>
      </c>
      <c r="N85" s="12">
        <f t="shared" si="233"/>
        <v>0.60575119392971133</v>
      </c>
      <c r="O85" s="12">
        <f t="shared" si="218"/>
        <v>3.0232069668615136E-2</v>
      </c>
      <c r="T85" s="5">
        <f t="shared" si="0"/>
        <v>4.4362107283395701E-2</v>
      </c>
      <c r="U85" s="5">
        <f t="shared" si="1"/>
        <v>4.1276685070354958E-2</v>
      </c>
      <c r="V85" s="5">
        <f t="shared" si="2"/>
        <v>4.3209238940294083E-2</v>
      </c>
      <c r="W85" s="5">
        <f t="shared" si="29"/>
        <v>3.5598975080051054E-2</v>
      </c>
      <c r="X85" s="5">
        <f t="shared" si="30"/>
        <v>4.1689851759790224E-2</v>
      </c>
      <c r="Y85" s="5">
        <f t="shared" ref="Y85:AA85" si="234">T85*Y$6/T$6</f>
        <v>81.236010754941447</v>
      </c>
      <c r="Z85" s="5">
        <f t="shared" si="234"/>
        <v>74.379818047855451</v>
      </c>
      <c r="AA85" s="5">
        <f t="shared" si="234"/>
        <v>78.699472574735353</v>
      </c>
      <c r="AB85" s="5">
        <f t="shared" ref="AB85:AC85" si="235">W85*AB$18/W$18</f>
        <v>69.009681161931368</v>
      </c>
      <c r="AC85" s="5">
        <f t="shared" si="235"/>
        <v>80.817028331906144</v>
      </c>
    </row>
    <row r="86" spans="1:29" ht="12.5">
      <c r="A86" s="48">
        <v>2022</v>
      </c>
      <c r="B86" s="5" t="s">
        <v>26</v>
      </c>
      <c r="C86" s="5">
        <v>699.4</v>
      </c>
      <c r="D86" s="5">
        <v>647.9</v>
      </c>
      <c r="E86" s="5">
        <v>680.1</v>
      </c>
      <c r="F86" s="5">
        <v>558.70000000000005</v>
      </c>
      <c r="G86" s="5">
        <v>655.9</v>
      </c>
      <c r="H86" s="11">
        <v>15801.37</v>
      </c>
      <c r="I86" s="12">
        <f t="shared" ref="I86:N86" si="236">C86/C74-1</f>
        <v>0.6828681424446581</v>
      </c>
      <c r="J86" s="12">
        <f t="shared" si="236"/>
        <v>0.72635225153210747</v>
      </c>
      <c r="K86" s="12">
        <f t="shared" si="236"/>
        <v>0.6981273408239701</v>
      </c>
      <c r="L86" s="12">
        <f t="shared" si="236"/>
        <v>0.58048090523338058</v>
      </c>
      <c r="M86" s="12">
        <f t="shared" si="236"/>
        <v>0.67663599182004086</v>
      </c>
      <c r="N86" s="12">
        <f t="shared" si="236"/>
        <v>0.63842563022073295</v>
      </c>
      <c r="O86" s="12">
        <f t="shared" si="218"/>
        <v>3.8210361599307907E-2</v>
      </c>
      <c r="T86" s="5">
        <f t="shared" si="0"/>
        <v>4.4261984878526353E-2</v>
      </c>
      <c r="U86" s="5">
        <f t="shared" si="1"/>
        <v>4.1002773810118992E-2</v>
      </c>
      <c r="V86" s="5">
        <f t="shared" si="2"/>
        <v>4.304057179852127E-2</v>
      </c>
      <c r="W86" s="5">
        <f t="shared" si="29"/>
        <v>3.5357693668333821E-2</v>
      </c>
      <c r="X86" s="5">
        <f t="shared" si="30"/>
        <v>4.1509059024628876E-2</v>
      </c>
      <c r="Y86" s="5">
        <f t="shared" ref="Y86:AA86" si="237">T86*Y$6/T$6</f>
        <v>81.052666336543609</v>
      </c>
      <c r="Z86" s="5">
        <f t="shared" si="237"/>
        <v>73.886235056322008</v>
      </c>
      <c r="AA86" s="5">
        <f t="shared" si="237"/>
        <v>78.39226940652982</v>
      </c>
      <c r="AB86" s="5">
        <f t="shared" ref="AB86:AC86" si="238">W86*AB$18/W$18</f>
        <v>68.541949906875161</v>
      </c>
      <c r="AC86" s="5">
        <f t="shared" si="238"/>
        <v>80.466556191013808</v>
      </c>
    </row>
    <row r="87" spans="1:29" ht="12.5">
      <c r="A87" s="48">
        <v>2022</v>
      </c>
      <c r="B87" s="5" t="s">
        <v>27</v>
      </c>
      <c r="C87" s="5">
        <v>737</v>
      </c>
      <c r="D87" s="5">
        <v>695.3</v>
      </c>
      <c r="E87" s="5">
        <v>721.4</v>
      </c>
      <c r="F87" s="5">
        <v>575.29999999999995</v>
      </c>
      <c r="G87" s="5">
        <v>692.3</v>
      </c>
      <c r="H87" s="11">
        <v>16970.669999999998</v>
      </c>
      <c r="I87" s="12">
        <f t="shared" ref="I87:N87" si="239">C87/C75-1</f>
        <v>0.68649885583524028</v>
      </c>
      <c r="J87" s="12">
        <f t="shared" si="239"/>
        <v>0.74742397587333498</v>
      </c>
      <c r="K87" s="12">
        <f t="shared" si="239"/>
        <v>0.70785984848484862</v>
      </c>
      <c r="L87" s="12">
        <f t="shared" si="239"/>
        <v>0.58922651933701653</v>
      </c>
      <c r="M87" s="12">
        <f t="shared" si="239"/>
        <v>0.68689083820662766</v>
      </c>
      <c r="N87" s="12">
        <f t="shared" si="239"/>
        <v>0.70841600753807521</v>
      </c>
      <c r="O87" s="12">
        <f t="shared" si="218"/>
        <v>-2.1525169331447547E-2</v>
      </c>
      <c r="T87" s="5">
        <f t="shared" si="0"/>
        <v>4.3427867019982129E-2</v>
      </c>
      <c r="U87" s="5">
        <f t="shared" si="1"/>
        <v>4.0970686484387474E-2</v>
      </c>
      <c r="V87" s="5">
        <f t="shared" si="2"/>
        <v>4.2508634013860389E-2</v>
      </c>
      <c r="W87" s="5">
        <f t="shared" si="29"/>
        <v>3.3899663360374102E-2</v>
      </c>
      <c r="X87" s="5">
        <f t="shared" si="30"/>
        <v>4.0793910906287145E-2</v>
      </c>
      <c r="Y87" s="5">
        <f t="shared" ref="Y87:AA87" si="240">T87*Y$6/T$6</f>
        <v>79.525227459604835</v>
      </c>
      <c r="Z87" s="5">
        <f t="shared" si="240"/>
        <v>73.828414292724233</v>
      </c>
      <c r="AA87" s="5">
        <f t="shared" si="240"/>
        <v>77.423420518604928</v>
      </c>
      <c r="AB87" s="5">
        <f t="shared" ref="AB87:AC87" si="241">W87*AB$18/W$18</f>
        <v>65.715514413986</v>
      </c>
      <c r="AC87" s="5">
        <f t="shared" si="241"/>
        <v>79.080220109164813</v>
      </c>
    </row>
    <row r="88" spans="1:29" ht="12.5">
      <c r="A88" s="48">
        <v>2022</v>
      </c>
      <c r="B88" s="5" t="s">
        <v>28</v>
      </c>
      <c r="C88" s="5">
        <v>797</v>
      </c>
      <c r="D88" s="5">
        <v>724.8</v>
      </c>
      <c r="E88" s="5">
        <v>770.01</v>
      </c>
      <c r="F88" s="5">
        <v>606.4</v>
      </c>
      <c r="G88" s="5">
        <v>737.5</v>
      </c>
      <c r="H88" s="11">
        <v>18158.61</v>
      </c>
      <c r="I88" s="12">
        <f t="shared" ref="I88:N88" si="242">C88/C76-1</f>
        <v>0.76483613817537632</v>
      </c>
      <c r="J88" s="12">
        <f t="shared" si="242"/>
        <v>0.76436222005842236</v>
      </c>
      <c r="K88" s="12">
        <f t="shared" si="242"/>
        <v>0.76445921173235565</v>
      </c>
      <c r="L88" s="12">
        <f t="shared" si="242"/>
        <v>0.63362068965517238</v>
      </c>
      <c r="M88" s="12">
        <f t="shared" si="242"/>
        <v>0.74185167690127551</v>
      </c>
      <c r="N88" s="12">
        <f t="shared" si="242"/>
        <v>0.78341882809806807</v>
      </c>
      <c r="O88" s="12">
        <f t="shared" si="218"/>
        <v>-4.1567151196792551E-2</v>
      </c>
      <c r="T88" s="5">
        <f t="shared" si="0"/>
        <v>4.3891024698476368E-2</v>
      </c>
      <c r="U88" s="5">
        <f t="shared" si="1"/>
        <v>3.9914949437209121E-2</v>
      </c>
      <c r="V88" s="5">
        <f t="shared" si="2"/>
        <v>4.2404677450531732E-2</v>
      </c>
      <c r="W88" s="5">
        <f t="shared" si="29"/>
        <v>3.3394626571086661E-2</v>
      </c>
      <c r="X88" s="5">
        <f t="shared" si="30"/>
        <v>4.0614342177071924E-2</v>
      </c>
      <c r="Y88" s="5">
        <f t="shared" ref="Y88:AA88" si="243">T88*Y$6/T$6</f>
        <v>80.37336305224099</v>
      </c>
      <c r="Z88" s="5">
        <f t="shared" si="243"/>
        <v>71.925995788387908</v>
      </c>
      <c r="AA88" s="5">
        <f t="shared" si="243"/>
        <v>77.234078449517526</v>
      </c>
      <c r="AB88" s="5">
        <f t="shared" ref="AB88:AC88" si="244">W88*AB$18/W$18</f>
        <v>64.736485446848619</v>
      </c>
      <c r="AC88" s="5">
        <f t="shared" si="244"/>
        <v>78.732120740519221</v>
      </c>
    </row>
    <row r="89" spans="1:29" ht="12.5">
      <c r="A89" s="48">
        <v>2022</v>
      </c>
      <c r="B89" s="5" t="s">
        <v>29</v>
      </c>
      <c r="C89" s="5">
        <v>843.4</v>
      </c>
      <c r="D89" s="5">
        <v>780.8</v>
      </c>
      <c r="E89" s="5">
        <v>820</v>
      </c>
      <c r="F89" s="5">
        <v>654.70000000000005</v>
      </c>
      <c r="G89" s="5">
        <v>787.1</v>
      </c>
      <c r="H89" s="11">
        <v>19284.45</v>
      </c>
      <c r="I89" s="12">
        <f t="shared" ref="I89:N89" si="245">C89/C77-1</f>
        <v>0.80252190639025445</v>
      </c>
      <c r="J89" s="12">
        <f t="shared" si="245"/>
        <v>0.78224149737502824</v>
      </c>
      <c r="K89" s="12">
        <f t="shared" si="245"/>
        <v>0.79509632224168114</v>
      </c>
      <c r="L89" s="12">
        <f t="shared" si="245"/>
        <v>0.74913171253005628</v>
      </c>
      <c r="M89" s="12">
        <f t="shared" si="245"/>
        <v>0.78764478764478763</v>
      </c>
      <c r="N89" s="12">
        <f t="shared" si="245"/>
        <v>0.82994457344516692</v>
      </c>
      <c r="O89" s="12">
        <f t="shared" si="218"/>
        <v>-4.2299785800379297E-2</v>
      </c>
      <c r="T89" s="5">
        <f t="shared" si="0"/>
        <v>4.3734718905646772E-2</v>
      </c>
      <c r="U89" s="5">
        <f t="shared" si="1"/>
        <v>4.04885801772931E-2</v>
      </c>
      <c r="V89" s="5">
        <f t="shared" si="2"/>
        <v>4.2521306026358022E-2</v>
      </c>
      <c r="W89" s="5">
        <f t="shared" si="29"/>
        <v>3.3949632994459265E-2</v>
      </c>
      <c r="X89" s="5">
        <f t="shared" si="30"/>
        <v>4.081526826017854E-2</v>
      </c>
      <c r="Y89" s="5">
        <f t="shared" ref="Y89:AA89" si="246">T89*Y$6/T$6</f>
        <v>80.087135461963356</v>
      </c>
      <c r="Z89" s="5">
        <f t="shared" si="246"/>
        <v>72.959667702723536</v>
      </c>
      <c r="AA89" s="5">
        <f t="shared" si="246"/>
        <v>77.446500783948224</v>
      </c>
      <c r="AB89" s="5">
        <f t="shared" ref="AB89:AC89" si="247">W89*AB$18/W$18</f>
        <v>65.812382048749114</v>
      </c>
      <c r="AC89" s="5">
        <f t="shared" si="247"/>
        <v>79.121621980403901</v>
      </c>
    </row>
    <row r="90" spans="1:29" ht="12.5">
      <c r="A90" s="48">
        <v>2022</v>
      </c>
      <c r="B90" s="5" t="s">
        <v>13</v>
      </c>
      <c r="C90" s="5">
        <v>888.1</v>
      </c>
      <c r="D90" s="5">
        <v>827.5</v>
      </c>
      <c r="E90" s="5">
        <v>865.5</v>
      </c>
      <c r="F90" s="5">
        <v>675.2</v>
      </c>
      <c r="G90" s="5">
        <v>827.5</v>
      </c>
      <c r="H90" s="11">
        <v>20499.37</v>
      </c>
      <c r="I90" s="12">
        <f t="shared" ref="I90:N90" si="248">C90/C78-1</f>
        <v>0.83000206058108383</v>
      </c>
      <c r="J90" s="12">
        <f t="shared" si="248"/>
        <v>0.82228584012332084</v>
      </c>
      <c r="K90" s="12">
        <f t="shared" si="248"/>
        <v>0.82749155405405395</v>
      </c>
      <c r="L90" s="12">
        <f t="shared" si="248"/>
        <v>0.70720606826801524</v>
      </c>
      <c r="M90" s="12">
        <f t="shared" si="248"/>
        <v>0.80637415411482194</v>
      </c>
      <c r="N90" s="12">
        <f t="shared" si="248"/>
        <v>0.87945019349763576</v>
      </c>
      <c r="O90" s="12">
        <f t="shared" si="218"/>
        <v>-7.3076039382813818E-2</v>
      </c>
      <c r="T90" s="5">
        <f t="shared" si="0"/>
        <v>4.332328261795363E-2</v>
      </c>
      <c r="U90" s="5">
        <f t="shared" si="1"/>
        <v>4.036709420826104E-2</v>
      </c>
      <c r="V90" s="5">
        <f t="shared" si="2"/>
        <v>4.2220809712688732E-2</v>
      </c>
      <c r="W90" s="5">
        <f t="shared" si="29"/>
        <v>3.2937597594462666E-2</v>
      </c>
      <c r="X90" s="5">
        <f t="shared" si="30"/>
        <v>4.036709420826104E-2</v>
      </c>
      <c r="Y90" s="5">
        <f t="shared" ref="Y90:AA90" si="249">T90*Y$6/T$6</f>
        <v>79.333712219949703</v>
      </c>
      <c r="Z90" s="5">
        <f t="shared" si="249"/>
        <v>72.740752248234642</v>
      </c>
      <c r="AA90" s="5">
        <f t="shared" si="249"/>
        <v>76.899189561246459</v>
      </c>
      <c r="AB90" s="5">
        <f t="shared" ref="AB90:AC90" si="250">W90*AB$18/W$18</f>
        <v>63.850521064793703</v>
      </c>
      <c r="AC90" s="5">
        <f t="shared" si="250"/>
        <v>78.252823135540268</v>
      </c>
    </row>
    <row r="91" spans="1:29" ht="12.5">
      <c r="A91" s="48">
        <v>2022</v>
      </c>
      <c r="B91" s="5" t="s">
        <v>16</v>
      </c>
      <c r="C91" s="5">
        <v>953.3</v>
      </c>
      <c r="D91" s="5">
        <v>874.8</v>
      </c>
      <c r="E91" s="5">
        <v>924</v>
      </c>
      <c r="F91" s="5">
        <v>718.7</v>
      </c>
      <c r="G91" s="5">
        <v>883.1</v>
      </c>
      <c r="H91" s="11">
        <v>21503.84</v>
      </c>
      <c r="I91" s="12">
        <f t="shared" ref="I91:N91" si="251">C91/C79-1</f>
        <v>0.88027613412228778</v>
      </c>
      <c r="J91" s="12">
        <f t="shared" si="251"/>
        <v>0.87524115755626997</v>
      </c>
      <c r="K91" s="12">
        <f t="shared" si="251"/>
        <v>0.87843057532018709</v>
      </c>
      <c r="L91" s="12">
        <f t="shared" si="251"/>
        <v>0.74145868669735893</v>
      </c>
      <c r="M91" s="12">
        <f t="shared" si="251"/>
        <v>0.85486242386053357</v>
      </c>
      <c r="N91" s="12">
        <f t="shared" si="251"/>
        <v>0.92345652288638691</v>
      </c>
      <c r="O91" s="12">
        <f t="shared" si="218"/>
        <v>-6.8594099025853339E-2</v>
      </c>
      <c r="T91" s="5">
        <f t="shared" si="0"/>
        <v>4.4331617050722104E-2</v>
      </c>
      <c r="U91" s="5">
        <f t="shared" si="1"/>
        <v>4.0681106258231084E-2</v>
      </c>
      <c r="V91" s="5">
        <f t="shared" si="2"/>
        <v>4.2969069710340105E-2</v>
      </c>
      <c r="W91" s="5">
        <f t="shared" si="29"/>
        <v>3.342193766322666E-2</v>
      </c>
      <c r="X91" s="5">
        <f t="shared" si="30"/>
        <v>4.1067083832468994E-2</v>
      </c>
      <c r="Y91" s="5">
        <f t="shared" ref="Y91:AA91" si="252">T91*Y$6/T$6</f>
        <v>81.180176958463534</v>
      </c>
      <c r="Z91" s="5">
        <f t="shared" si="252"/>
        <v>73.306596116311653</v>
      </c>
      <c r="AA91" s="5">
        <f t="shared" si="252"/>
        <v>78.262038540033288</v>
      </c>
      <c r="AB91" s="5">
        <f t="shared" ref="AB91:AC91" si="253">W91*AB$18/W$18</f>
        <v>64.78942881829478</v>
      </c>
      <c r="AC91" s="5">
        <f t="shared" si="253"/>
        <v>79.60977402175611</v>
      </c>
    </row>
    <row r="92" spans="1:29" ht="12.5">
      <c r="A92" s="48">
        <v>2022</v>
      </c>
      <c r="B92" s="5" t="s">
        <v>18</v>
      </c>
      <c r="C92" s="5">
        <v>996.6</v>
      </c>
      <c r="D92" s="5">
        <v>955</v>
      </c>
      <c r="E92" s="5">
        <v>981.1</v>
      </c>
      <c r="F92" s="5">
        <v>722.6</v>
      </c>
      <c r="G92" s="5">
        <v>929.6</v>
      </c>
      <c r="H92" s="11">
        <f>H91*1.051</f>
        <v>22600.53584</v>
      </c>
      <c r="I92" s="12">
        <f t="shared" ref="I92:N92" si="254">C92/C80-1</f>
        <v>0.93777950612483019</v>
      </c>
      <c r="J92" s="12">
        <f t="shared" si="254"/>
        <v>0.99332080985180538</v>
      </c>
      <c r="K92" s="12">
        <f t="shared" si="254"/>
        <v>0.95750199521149248</v>
      </c>
      <c r="L92" s="12">
        <f t="shared" si="254"/>
        <v>0.65430402930402942</v>
      </c>
      <c r="M92" s="12">
        <f t="shared" si="254"/>
        <v>0.90374769608847028</v>
      </c>
      <c r="N92" s="12">
        <f t="shared" si="254"/>
        <v>0.94754639445324362</v>
      </c>
      <c r="O92" s="12">
        <f t="shared" si="218"/>
        <v>-4.3798698364773347E-2</v>
      </c>
      <c r="T92" s="5">
        <f t="shared" si="0"/>
        <v>4.409629962118633E-2</v>
      </c>
      <c r="U92" s="5">
        <f t="shared" si="1"/>
        <v>4.2255635298246982E-2</v>
      </c>
      <c r="V92" s="5">
        <f t="shared" si="2"/>
        <v>4.3410475173937292E-2</v>
      </c>
      <c r="W92" s="5">
        <f t="shared" si="29"/>
        <v>3.1972693263364681E-2</v>
      </c>
      <c r="X92" s="5">
        <f t="shared" si="30"/>
        <v>4.1131768139529207E-2</v>
      </c>
      <c r="Y92" s="5">
        <f t="shared" ref="Y92:AA92" si="255">T92*Y$6/T$6</f>
        <v>80.749263045504563</v>
      </c>
      <c r="Z92" s="5">
        <f t="shared" si="255"/>
        <v>76.143868133379655</v>
      </c>
      <c r="AA92" s="5">
        <f t="shared" si="255"/>
        <v>79.065995703562734</v>
      </c>
      <c r="AB92" s="5">
        <f t="shared" ref="AB92:AC92" si="256">W92*AB$18/W$18</f>
        <v>61.980025071830326</v>
      </c>
      <c r="AC92" s="5">
        <f t="shared" si="256"/>
        <v>79.735166491521539</v>
      </c>
    </row>
    <row r="93" spans="1:29" ht="12.5">
      <c r="A93" s="48">
        <v>2023</v>
      </c>
      <c r="B93" s="5" t="s">
        <v>19</v>
      </c>
      <c r="C93" s="13">
        <v>1042.4000000000001</v>
      </c>
      <c r="D93" s="5">
        <v>992.3</v>
      </c>
      <c r="E93" s="5">
        <v>1023.7</v>
      </c>
      <c r="F93" s="5">
        <v>771.2</v>
      </c>
      <c r="G93" s="13">
        <v>973.4</v>
      </c>
      <c r="H93" s="11">
        <v>23956.57</v>
      </c>
      <c r="I93" s="12">
        <f t="shared" ref="I93:N93" si="257">C93/C81-1</f>
        <v>0.93682645856558899</v>
      </c>
      <c r="J93" s="12">
        <f t="shared" si="257"/>
        <v>1.0127789046653142</v>
      </c>
      <c r="K93" s="12">
        <f t="shared" si="257"/>
        <v>0.96374448494149267</v>
      </c>
      <c r="L93" s="12">
        <f t="shared" si="257"/>
        <v>0.72181290466622028</v>
      </c>
      <c r="M93" s="12">
        <f t="shared" si="257"/>
        <v>0.92105782514308276</v>
      </c>
      <c r="N93" s="12">
        <f t="shared" si="257"/>
        <v>0.98690989616162939</v>
      </c>
      <c r="O93" s="12">
        <f t="shared" si="218"/>
        <v>-6.5852071018546621E-2</v>
      </c>
      <c r="S93" s="12"/>
      <c r="T93" s="5">
        <f t="shared" si="0"/>
        <v>4.3512072053720548E-2</v>
      </c>
      <c r="U93" s="5">
        <f t="shared" si="1"/>
        <v>4.142078770040953E-2</v>
      </c>
      <c r="V93" s="5">
        <f t="shared" si="2"/>
        <v>4.2731492863961745E-2</v>
      </c>
      <c r="W93" s="5">
        <f t="shared" si="29"/>
        <v>3.2191586692084891E-2</v>
      </c>
      <c r="X93" s="5">
        <f t="shared" si="30"/>
        <v>4.0631860070118549E-2</v>
      </c>
      <c r="Y93" s="5">
        <f t="shared" ref="Y93:AA93" si="258">T93*Y$6/T$6</f>
        <v>79.679423944967809</v>
      </c>
      <c r="Z93" s="5">
        <f t="shared" si="258"/>
        <v>74.639488304452058</v>
      </c>
      <c r="AA93" s="5">
        <f t="shared" si="258"/>
        <v>77.829326162669233</v>
      </c>
      <c r="AB93" s="5">
        <f t="shared" ref="AB93:AC93" si="259">W93*AB$18/W$18</f>
        <v>62.404356550207325</v>
      </c>
      <c r="AC93" s="5">
        <f t="shared" si="259"/>
        <v>78.766079701726909</v>
      </c>
    </row>
    <row r="94" spans="1:29" ht="12.5">
      <c r="A94" s="48">
        <v>2023</v>
      </c>
      <c r="B94" s="5" t="s">
        <v>21</v>
      </c>
      <c r="C94" s="5">
        <v>1114.3</v>
      </c>
      <c r="D94" s="5">
        <v>1030.5</v>
      </c>
      <c r="E94" s="5">
        <v>1083</v>
      </c>
      <c r="F94" s="5">
        <v>825.9</v>
      </c>
      <c r="G94" s="5">
        <v>1031.7</v>
      </c>
      <c r="H94" s="14">
        <f>H93*1.066</f>
        <v>25537.70362</v>
      </c>
      <c r="I94" s="12">
        <f t="shared" ref="I94:N94" si="260">C94/C82-1</f>
        <v>0.99338103756708396</v>
      </c>
      <c r="J94" s="12">
        <f t="shared" si="260"/>
        <v>1.0418070140677629</v>
      </c>
      <c r="K94" s="12">
        <f t="shared" si="260"/>
        <v>1.0103953963244847</v>
      </c>
      <c r="L94" s="12">
        <f t="shared" si="260"/>
        <v>0.80485139860139854</v>
      </c>
      <c r="M94" s="12">
        <f t="shared" si="260"/>
        <v>0.97416762342135477</v>
      </c>
      <c r="N94" s="12">
        <f t="shared" si="260"/>
        <v>1.0229662663410406</v>
      </c>
      <c r="O94" s="12">
        <f t="shared" si="218"/>
        <v>-4.8798642919685831E-2</v>
      </c>
      <c r="T94" s="5">
        <f t="shared" si="0"/>
        <v>4.3633523850880998E-2</v>
      </c>
      <c r="U94" s="5">
        <f t="shared" si="1"/>
        <v>4.0352101165155585E-2</v>
      </c>
      <c r="V94" s="5">
        <f t="shared" si="2"/>
        <v>4.2407885067310525E-2</v>
      </c>
      <c r="W94" s="5">
        <f t="shared" si="29"/>
        <v>3.2340417615043179E-2</v>
      </c>
      <c r="X94" s="5">
        <f t="shared" si="30"/>
        <v>4.0399090511490557E-2</v>
      </c>
      <c r="Y94" s="5">
        <f t="shared" ref="Y94:AA94" si="261">T94*Y$6/T$6</f>
        <v>79.901826804176125</v>
      </c>
      <c r="Z94" s="5">
        <f t="shared" si="261"/>
        <v>72.71373506368441</v>
      </c>
      <c r="AA94" s="5">
        <f t="shared" si="261"/>
        <v>77.239920666480927</v>
      </c>
      <c r="AB94" s="5">
        <f t="shared" ref="AB94:AC94" si="262">W94*AB$18/W$18</f>
        <v>62.69286975928965</v>
      </c>
      <c r="AC94" s="5">
        <f t="shared" si="262"/>
        <v>78.314848929239773</v>
      </c>
    </row>
    <row r="95" spans="1:29" ht="12.5">
      <c r="A95" s="48">
        <v>2023</v>
      </c>
      <c r="B95" s="5" t="s">
        <v>23</v>
      </c>
      <c r="C95" s="5">
        <v>1202.0999999999999</v>
      </c>
      <c r="D95" s="5">
        <v>1198.5999999999999</v>
      </c>
      <c r="E95" s="5">
        <v>1200.8</v>
      </c>
      <c r="F95" s="5">
        <v>876</v>
      </c>
      <c r="G95" s="5">
        <v>1136</v>
      </c>
      <c r="H95" s="14">
        <f>H94*1.077</f>
        <v>27504.106798739998</v>
      </c>
      <c r="I95" s="12">
        <f t="shared" ref="I95:N95" si="263">C95/C83-1</f>
        <v>1.0398778211437301</v>
      </c>
      <c r="J95" s="12">
        <f t="shared" si="263"/>
        <v>1.11841640155532</v>
      </c>
      <c r="K95" s="12">
        <f t="shared" si="263"/>
        <v>1.0685615848406544</v>
      </c>
      <c r="L95" s="12">
        <f t="shared" si="263"/>
        <v>0.81216383947041804</v>
      </c>
      <c r="M95" s="12">
        <f t="shared" si="263"/>
        <v>1.0242337847469707</v>
      </c>
      <c r="N95" s="12">
        <f t="shared" si="263"/>
        <v>1.0419257457847952</v>
      </c>
      <c r="O95" s="12">
        <f t="shared" si="218"/>
        <v>-1.7691961037824555E-2</v>
      </c>
      <c r="T95" s="5">
        <f t="shared" si="0"/>
        <v>4.370620027024727E-2</v>
      </c>
      <c r="U95" s="5">
        <f t="shared" si="1"/>
        <v>4.3578946546808398E-2</v>
      </c>
      <c r="V95" s="5">
        <f t="shared" si="2"/>
        <v>4.3658934601541403E-2</v>
      </c>
      <c r="W95" s="5">
        <f t="shared" si="29"/>
        <v>3.1849789066414287E-2</v>
      </c>
      <c r="X95" s="5">
        <f t="shared" si="30"/>
        <v>4.1302922807587475E-2</v>
      </c>
      <c r="Y95" s="5">
        <f t="shared" ref="Y95:AA95" si="264">T95*Y$6/T$6</f>
        <v>80.034912059742396</v>
      </c>
      <c r="Z95" s="5">
        <f t="shared" si="264"/>
        <v>78.528450367173662</v>
      </c>
      <c r="AA95" s="5">
        <f t="shared" si="264"/>
        <v>79.518529152154215</v>
      </c>
      <c r="AB95" s="5">
        <f t="shared" ref="AB95:AC95" si="265">W95*AB$18/W$18</f>
        <v>61.741771598916081</v>
      </c>
      <c r="AC95" s="5">
        <f t="shared" si="265"/>
        <v>80.066954950192539</v>
      </c>
    </row>
    <row r="96" spans="1:29" ht="12.5">
      <c r="A96" s="48">
        <v>2023</v>
      </c>
      <c r="B96" s="5" t="s">
        <v>24</v>
      </c>
      <c r="C96" s="5">
        <v>1284.5999999999999</v>
      </c>
      <c r="D96" s="5">
        <v>1247.4000000000001</v>
      </c>
      <c r="E96" s="5">
        <v>1270.7</v>
      </c>
      <c r="F96" s="5">
        <v>918.5</v>
      </c>
      <c r="G96" s="5">
        <v>1200.5</v>
      </c>
      <c r="H96" s="14">
        <f>H95*1.084</f>
        <v>29814.451769834159</v>
      </c>
      <c r="I96" s="12">
        <f t="shared" ref="I96:N96" si="266">C96/C84-1</f>
        <v>1.0642776795757674</v>
      </c>
      <c r="J96" s="12">
        <f t="shared" si="266"/>
        <v>1.147357548631434</v>
      </c>
      <c r="K96" s="12">
        <f t="shared" si="266"/>
        <v>1.0941001977587348</v>
      </c>
      <c r="L96" s="12">
        <f t="shared" si="266"/>
        <v>0.77487922705314016</v>
      </c>
      <c r="M96" s="12">
        <f t="shared" si="266"/>
        <v>1.0382003395585739</v>
      </c>
      <c r="N96" s="12">
        <f t="shared" si="266"/>
        <v>1.088158231573348</v>
      </c>
      <c r="O96" s="12">
        <f t="shared" si="218"/>
        <v>-4.9957892014774075E-2</v>
      </c>
      <c r="T96" s="5">
        <f t="shared" si="0"/>
        <v>4.3086487382596787E-2</v>
      </c>
      <c r="U96" s="5">
        <f t="shared" si="1"/>
        <v>4.1838770326211458E-2</v>
      </c>
      <c r="V96" s="5">
        <f t="shared" si="2"/>
        <v>4.2620270525506571E-2</v>
      </c>
      <c r="W96" s="5">
        <f t="shared" si="29"/>
        <v>3.0807207427148646E-2</v>
      </c>
      <c r="X96" s="5">
        <f t="shared" si="30"/>
        <v>4.0265707693295537E-2</v>
      </c>
      <c r="Y96" s="5">
        <f t="shared" ref="Y96:AA96" si="267">T96*Y$6/T$6</f>
        <v>78.900092144977137</v>
      </c>
      <c r="Z96" s="5">
        <f t="shared" si="267"/>
        <v>75.392685214555698</v>
      </c>
      <c r="AA96" s="5">
        <f t="shared" si="267"/>
        <v>77.626750519366524</v>
      </c>
      <c r="AB96" s="5">
        <f t="shared" ref="AB96:AC96" si="268">W96*AB$18/W$18</f>
        <v>59.72069581375046</v>
      </c>
      <c r="AC96" s="5">
        <f t="shared" si="268"/>
        <v>78.056282334684184</v>
      </c>
    </row>
    <row r="97" spans="1:29" ht="12.5">
      <c r="A97" s="48">
        <v>2023</v>
      </c>
      <c r="B97" s="5" t="s">
        <v>25</v>
      </c>
      <c r="C97" s="5">
        <v>1389.2</v>
      </c>
      <c r="D97" s="5">
        <v>1353.1</v>
      </c>
      <c r="E97" s="5">
        <v>1375.7</v>
      </c>
      <c r="F97" s="5">
        <v>947.8</v>
      </c>
      <c r="G97" s="5">
        <v>1290.5</v>
      </c>
      <c r="H97" s="14">
        <f>H96*1.078</f>
        <v>32139.979007881226</v>
      </c>
      <c r="I97" s="12">
        <f t="shared" ref="I97:N97" si="269">C97/C85-1</f>
        <v>1.0868258975514493</v>
      </c>
      <c r="J97" s="12">
        <f t="shared" si="269"/>
        <v>1.184533419438166</v>
      </c>
      <c r="K97" s="12">
        <f t="shared" si="269"/>
        <v>1.1216841455891426</v>
      </c>
      <c r="L97" s="12">
        <f t="shared" si="269"/>
        <v>0.77424185698240344</v>
      </c>
      <c r="M97" s="12">
        <f t="shared" si="269"/>
        <v>1.062819693094629</v>
      </c>
      <c r="N97" s="12">
        <f t="shared" si="269"/>
        <v>1.1418014072911409</v>
      </c>
      <c r="O97" s="12">
        <f t="shared" si="218"/>
        <v>-7.8981714196511899E-2</v>
      </c>
      <c r="T97" s="5">
        <f t="shared" si="0"/>
        <v>4.3223425866561596E-2</v>
      </c>
      <c r="U97" s="5">
        <f t="shared" si="1"/>
        <v>4.2100214180855522E-2</v>
      </c>
      <c r="V97" s="5">
        <f t="shared" si="2"/>
        <v>4.2803388255563478E-2</v>
      </c>
      <c r="W97" s="5">
        <f t="shared" si="29"/>
        <v>2.9489751681778777E-2</v>
      </c>
      <c r="X97" s="5">
        <f t="shared" si="30"/>
        <v>4.0152484221708709E-2</v>
      </c>
      <c r="Y97" s="5">
        <f t="shared" ref="Y97:AA97" si="270">T97*Y$6/T$6</f>
        <v>79.150854266917506</v>
      </c>
      <c r="Z97" s="5">
        <f t="shared" si="270"/>
        <v>75.86380217331849</v>
      </c>
      <c r="AA97" s="5">
        <f t="shared" si="270"/>
        <v>77.960273375311175</v>
      </c>
      <c r="AB97" s="5">
        <f t="shared" ref="AB97:AC97" si="271">W97*AB$18/W$18</f>
        <v>57.166768327678611</v>
      </c>
      <c r="AC97" s="5">
        <f t="shared" si="271"/>
        <v>77.83679523830898</v>
      </c>
    </row>
    <row r="98" spans="1:29" ht="12.5">
      <c r="A98" s="48">
        <v>2023</v>
      </c>
      <c r="B98" s="5" t="s">
        <v>26</v>
      </c>
      <c r="C98" s="5">
        <v>1468.5</v>
      </c>
      <c r="D98" s="5">
        <v>1434.5</v>
      </c>
      <c r="E98" s="5">
        <v>1455.8</v>
      </c>
      <c r="F98" s="5">
        <v>1018.9</v>
      </c>
      <c r="G98" s="5">
        <v>1368.7</v>
      </c>
      <c r="H98" s="14">
        <f>H97*1.06</f>
        <v>34068.377748354098</v>
      </c>
      <c r="I98" s="12">
        <f t="shared" ref="I98:N98" si="272">C98/C86-1</f>
        <v>1.0996568487274807</v>
      </c>
      <c r="J98" s="12">
        <f t="shared" si="272"/>
        <v>1.2140762463343111</v>
      </c>
      <c r="K98" s="12">
        <f t="shared" si="272"/>
        <v>1.140567563593589</v>
      </c>
      <c r="L98" s="12">
        <f t="shared" si="272"/>
        <v>0.82369787005548578</v>
      </c>
      <c r="M98" s="12">
        <f t="shared" si="272"/>
        <v>1.0867510291202929</v>
      </c>
      <c r="N98" s="12">
        <f t="shared" si="272"/>
        <v>1.1560394920411392</v>
      </c>
      <c r="O98" s="12">
        <f t="shared" si="218"/>
        <v>-6.9288462920846339E-2</v>
      </c>
      <c r="T98" s="5">
        <f t="shared" si="0"/>
        <v>4.3104488591944941E-2</v>
      </c>
      <c r="U98" s="5">
        <f t="shared" si="1"/>
        <v>4.2106495665743968E-2</v>
      </c>
      <c r="V98" s="5">
        <f t="shared" si="2"/>
        <v>4.2731708881275747E-2</v>
      </c>
      <c r="W98" s="5">
        <f t="shared" si="29"/>
        <v>2.9907499779593255E-2</v>
      </c>
      <c r="X98" s="5">
        <f t="shared" si="30"/>
        <v>4.0175085826213854E-2</v>
      </c>
      <c r="Y98" s="5">
        <f t="shared" ref="Y98:AA98" si="273">T98*Y$6/T$6</f>
        <v>78.933056008187393</v>
      </c>
      <c r="Z98" s="5">
        <f t="shared" si="273"/>
        <v>75.875121292144925</v>
      </c>
      <c r="AA98" s="5">
        <f t="shared" si="273"/>
        <v>77.829719607430036</v>
      </c>
      <c r="AB98" s="5">
        <f t="shared" ref="AB98:AC98" si="274">W98*AB$18/W$18</f>
        <v>57.976585547734913</v>
      </c>
      <c r="AC98" s="5">
        <f t="shared" si="274"/>
        <v>77.880609126690331</v>
      </c>
    </row>
    <row r="99" spans="1:29" ht="12.5">
      <c r="A99" s="48">
        <v>2023</v>
      </c>
      <c r="B99" s="5" t="s">
        <v>27</v>
      </c>
      <c r="C99" s="5">
        <v>1626.8</v>
      </c>
      <c r="D99" s="5">
        <v>1625.5</v>
      </c>
      <c r="E99" s="5">
        <v>1626.3</v>
      </c>
      <c r="F99" s="5">
        <v>1090.3</v>
      </c>
      <c r="G99" s="5">
        <v>1519.5</v>
      </c>
      <c r="H99" s="14">
        <f>H98*1.063</f>
        <v>36214.685546500405</v>
      </c>
      <c r="I99" s="12">
        <f t="shared" ref="I99:N99" si="275">C99/C87-1</f>
        <v>1.2073270013568522</v>
      </c>
      <c r="J99" s="12">
        <f t="shared" si="275"/>
        <v>1.3378397813893286</v>
      </c>
      <c r="K99" s="12">
        <f t="shared" si="275"/>
        <v>1.2543665095647354</v>
      </c>
      <c r="L99" s="12">
        <f t="shared" si="275"/>
        <v>0.89518512080653578</v>
      </c>
      <c r="M99" s="12">
        <f t="shared" si="275"/>
        <v>1.1948577206413407</v>
      </c>
      <c r="N99" s="12">
        <f t="shared" si="275"/>
        <v>1.1339573244014769</v>
      </c>
      <c r="O99" s="12">
        <f t="shared" si="218"/>
        <v>6.0900396239863763E-2</v>
      </c>
      <c r="T99" s="5">
        <f t="shared" si="0"/>
        <v>4.4921003053061306E-2</v>
      </c>
      <c r="U99" s="5">
        <f t="shared" si="1"/>
        <v>4.4885106013493457E-2</v>
      </c>
      <c r="V99" s="5">
        <f t="shared" si="2"/>
        <v>4.4907196499381366E-2</v>
      </c>
      <c r="W99" s="5">
        <f t="shared" si="29"/>
        <v>3.0106570954482877E-2</v>
      </c>
      <c r="X99" s="5">
        <f t="shared" si="30"/>
        <v>4.1958116633345623E-2</v>
      </c>
      <c r="Y99" s="5">
        <f t="shared" ref="Y99:AA99" si="276">T99*Y$6/T$6</f>
        <v>82.259462198882218</v>
      </c>
      <c r="Z99" s="5">
        <f t="shared" si="276"/>
        <v>80.882125409341555</v>
      </c>
      <c r="AA99" s="5">
        <f t="shared" si="276"/>
        <v>81.792060355304685</v>
      </c>
      <c r="AB99" s="5">
        <f t="shared" ref="AB99:AC99" si="277">W99*AB$18/W$18</f>
        <v>58.362490992393688</v>
      </c>
      <c r="AC99" s="5">
        <f t="shared" si="277"/>
        <v>81.337067837239488</v>
      </c>
    </row>
    <row r="100" spans="1:29" ht="12.5">
      <c r="A100" s="48">
        <v>2023</v>
      </c>
      <c r="B100" s="5" t="s">
        <v>28</v>
      </c>
      <c r="C100" s="5">
        <v>1762.5</v>
      </c>
      <c r="D100" s="5">
        <v>1723.3</v>
      </c>
      <c r="E100" s="5">
        <v>1747.8</v>
      </c>
      <c r="F100" s="5">
        <v>1183.4000000000001</v>
      </c>
      <c r="G100" s="5">
        <v>1635.3</v>
      </c>
      <c r="H100" s="14">
        <f>H99*1.124</f>
        <v>40705.306554266455</v>
      </c>
      <c r="I100" s="12">
        <f t="shared" ref="I100:N100" si="278">C100/C88-1</f>
        <v>1.2114178168130487</v>
      </c>
      <c r="J100" s="12">
        <f t="shared" si="278"/>
        <v>1.3776214128035322</v>
      </c>
      <c r="K100" s="12">
        <f t="shared" si="278"/>
        <v>1.2698406514201115</v>
      </c>
      <c r="L100" s="12">
        <f t="shared" si="278"/>
        <v>0.95151715039577867</v>
      </c>
      <c r="M100" s="12">
        <f t="shared" si="278"/>
        <v>1.2173559322033896</v>
      </c>
      <c r="N100" s="12">
        <f t="shared" si="278"/>
        <v>1.2416532187357103</v>
      </c>
      <c r="O100" s="12">
        <f t="shared" si="218"/>
        <v>-2.4297286532320772E-2</v>
      </c>
      <c r="T100" s="5">
        <f t="shared" si="0"/>
        <v>4.3299022884161688E-2</v>
      </c>
      <c r="U100" s="5">
        <f t="shared" si="1"/>
        <v>4.2336003481574944E-2</v>
      </c>
      <c r="V100" s="5">
        <f t="shared" si="2"/>
        <v>4.2937890608191656E-2</v>
      </c>
      <c r="W100" s="5">
        <f t="shared" si="29"/>
        <v>2.9072376556662095E-2</v>
      </c>
      <c r="X100" s="5">
        <f t="shared" si="30"/>
        <v>4.017412319005368E-2</v>
      </c>
      <c r="Y100" s="5">
        <f t="shared" ref="Y100:AA100" si="279">T100*Y$6/T$6</f>
        <v>79.289287729863048</v>
      </c>
      <c r="Z100" s="5">
        <f t="shared" si="279"/>
        <v>76.288690103520452</v>
      </c>
      <c r="AA100" s="5">
        <f t="shared" si="279"/>
        <v>78.205250247653808</v>
      </c>
      <c r="AB100" s="5">
        <f t="shared" ref="AB100:AC100" si="280">W100*AB$18/W$18</f>
        <v>56.357674126386172</v>
      </c>
      <c r="AC100" s="5">
        <f t="shared" si="280"/>
        <v>77.87874302761476</v>
      </c>
    </row>
    <row r="101" spans="1:29" ht="12.5">
      <c r="A101" s="48">
        <v>2023</v>
      </c>
      <c r="B101" s="5" t="s">
        <v>29</v>
      </c>
      <c r="C101" s="5">
        <v>1995.58</v>
      </c>
      <c r="D101" s="5">
        <v>1911.97</v>
      </c>
      <c r="E101" s="5">
        <v>1964.34</v>
      </c>
      <c r="F101" s="5">
        <v>1271.6300000000001</v>
      </c>
      <c r="G101" s="5">
        <v>1826.29</v>
      </c>
      <c r="H101" s="14">
        <f>H100*1.127</f>
        <v>45874.880486658294</v>
      </c>
      <c r="I101" s="12">
        <f t="shared" ref="I101:N101" si="281">C101/C89-1</f>
        <v>1.3661133507232628</v>
      </c>
      <c r="J101" s="12">
        <f t="shared" si="281"/>
        <v>1.4487320696721313</v>
      </c>
      <c r="K101" s="12">
        <f t="shared" si="281"/>
        <v>1.3955365853658535</v>
      </c>
      <c r="L101" s="12">
        <f t="shared" si="281"/>
        <v>0.94230945471208183</v>
      </c>
      <c r="M101" s="12">
        <f t="shared" si="281"/>
        <v>1.3202769660780076</v>
      </c>
      <c r="N101" s="12">
        <f t="shared" si="281"/>
        <v>1.3788534537753625</v>
      </c>
      <c r="O101" s="12">
        <f t="shared" si="218"/>
        <v>-5.8576487697354906E-2</v>
      </c>
      <c r="T101" s="5">
        <f t="shared" si="0"/>
        <v>4.3500494798681184E-2</v>
      </c>
      <c r="U101" s="5">
        <f t="shared" si="1"/>
        <v>4.1677928742638461E-2</v>
      </c>
      <c r="V101" s="5">
        <f t="shared" si="2"/>
        <v>4.2819512098157625E-2</v>
      </c>
      <c r="W101" s="5">
        <f t="shared" si="29"/>
        <v>2.7719527255658485E-2</v>
      </c>
      <c r="X101" s="5">
        <f t="shared" si="30"/>
        <v>3.9810239953238381E-2</v>
      </c>
      <c r="Y101" s="5">
        <f t="shared" ref="Y101:AA101" si="282">T101*Y$6/T$6</f>
        <v>79.658223644249844</v>
      </c>
      <c r="Z101" s="5">
        <f t="shared" si="282"/>
        <v>75.102851675348333</v>
      </c>
      <c r="AA101" s="5">
        <f t="shared" si="282"/>
        <v>77.989640657382267</v>
      </c>
      <c r="AB101" s="5">
        <f t="shared" ref="AB101:AC101" si="283">W101*AB$18/W$18</f>
        <v>53.73513517091164</v>
      </c>
      <c r="AC101" s="5">
        <f t="shared" si="283"/>
        <v>77.173344456551192</v>
      </c>
    </row>
    <row r="102" spans="1:29" ht="12.5">
      <c r="A102" s="48">
        <v>2023</v>
      </c>
      <c r="B102" s="5" t="s">
        <v>13</v>
      </c>
      <c r="C102" s="5">
        <v>2169.81</v>
      </c>
      <c r="D102" s="5">
        <v>2086.8200000000002</v>
      </c>
      <c r="E102" s="5">
        <v>2138.81</v>
      </c>
      <c r="F102" s="5">
        <v>1334.03</v>
      </c>
      <c r="G102" s="5">
        <v>1978.41</v>
      </c>
      <c r="H102" s="14">
        <v>49682.49</v>
      </c>
      <c r="I102" s="12">
        <f t="shared" ref="I102:N102" si="284">C102/C90-1</f>
        <v>1.4432045940772436</v>
      </c>
      <c r="J102" s="12">
        <f t="shared" si="284"/>
        <v>1.5218368580060426</v>
      </c>
      <c r="K102" s="12">
        <f t="shared" si="284"/>
        <v>1.4711842865395726</v>
      </c>
      <c r="L102" s="12">
        <f t="shared" si="284"/>
        <v>0.97575533175355433</v>
      </c>
      <c r="M102" s="12">
        <f t="shared" si="284"/>
        <v>1.3908277945619338</v>
      </c>
      <c r="N102" s="12">
        <f t="shared" si="284"/>
        <v>1.4236105792519478</v>
      </c>
      <c r="O102" s="12">
        <f t="shared" si="218"/>
        <v>-3.2782784690013944E-2</v>
      </c>
      <c r="T102" s="5">
        <f t="shared" si="0"/>
        <v>4.367353568631524E-2</v>
      </c>
      <c r="U102" s="5">
        <f t="shared" si="1"/>
        <v>4.2003128265109102E-2</v>
      </c>
      <c r="V102" s="5">
        <f t="shared" si="2"/>
        <v>4.30495734010111E-2</v>
      </c>
      <c r="W102" s="5">
        <f t="shared" si="29"/>
        <v>2.6851109918202571E-2</v>
      </c>
      <c r="X102" s="5">
        <f t="shared" si="30"/>
        <v>3.9821071769953566E-2</v>
      </c>
      <c r="Y102" s="5">
        <f t="shared" ref="Y102:AA102" si="285">T102*Y$6/T$6</f>
        <v>79.975096585363389</v>
      </c>
      <c r="Z102" s="5">
        <f t="shared" si="285"/>
        <v>75.688855160594002</v>
      </c>
      <c r="AA102" s="5">
        <f t="shared" si="285"/>
        <v>78.408664542978656</v>
      </c>
      <c r="AB102" s="5">
        <f t="shared" ref="AB102:AC102" si="286">W102*AB$18/W$18</f>
        <v>52.051682109733221</v>
      </c>
      <c r="AC102" s="5">
        <f t="shared" si="286"/>
        <v>77.194342258208081</v>
      </c>
    </row>
    <row r="103" spans="1:29" ht="12.5">
      <c r="A103" s="48">
        <v>2023</v>
      </c>
      <c r="B103" s="5" t="s">
        <v>16</v>
      </c>
      <c r="C103" s="5">
        <v>2385.5500000000002</v>
      </c>
      <c r="D103" s="5">
        <v>2250.34</v>
      </c>
      <c r="E103" s="5">
        <v>2335.04</v>
      </c>
      <c r="F103" s="5">
        <v>1445.34</v>
      </c>
      <c r="G103" s="5">
        <v>2157.73</v>
      </c>
      <c r="H103" s="14">
        <v>56041.84</v>
      </c>
      <c r="I103" s="12">
        <f t="shared" ref="I103:N103" si="287">C103/C91-1</f>
        <v>1.5024126717717405</v>
      </c>
      <c r="J103" s="12">
        <f t="shared" si="287"/>
        <v>1.5724051211705534</v>
      </c>
      <c r="K103" s="12">
        <f t="shared" si="287"/>
        <v>1.5270995670995671</v>
      </c>
      <c r="L103" s="12">
        <f t="shared" si="287"/>
        <v>1.0110477250591341</v>
      </c>
      <c r="M103" s="12">
        <f t="shared" si="287"/>
        <v>1.4433586230324993</v>
      </c>
      <c r="N103" s="12">
        <f t="shared" si="287"/>
        <v>1.6061317420516521</v>
      </c>
      <c r="O103" s="12">
        <f t="shared" si="218"/>
        <v>-0.16277311901915281</v>
      </c>
      <c r="T103" s="5">
        <f t="shared" si="0"/>
        <v>4.256730328625899E-2</v>
      </c>
      <c r="U103" s="5">
        <f t="shared" si="1"/>
        <v>4.0154641603487688E-2</v>
      </c>
      <c r="V103" s="5">
        <f t="shared" si="2"/>
        <v>4.1666012393597358E-2</v>
      </c>
      <c r="W103" s="5">
        <f t="shared" si="29"/>
        <v>2.5790373763602336E-2</v>
      </c>
      <c r="X103" s="5">
        <f t="shared" si="30"/>
        <v>3.8502126268516526E-2</v>
      </c>
      <c r="Y103" s="5">
        <f t="shared" ref="Y103:AA103" si="288">T103*Y$6/T$6</f>
        <v>77.949360824563101</v>
      </c>
      <c r="Z103" s="5">
        <f t="shared" si="288"/>
        <v>72.357916609667726</v>
      </c>
      <c r="AA103" s="5">
        <f t="shared" si="288"/>
        <v>75.88870528822558</v>
      </c>
      <c r="AB103" s="5">
        <f t="shared" ref="AB103:AC103" si="289">W103*AB$18/W$18</f>
        <v>49.995413251956037</v>
      </c>
      <c r="AC103" s="5">
        <f t="shared" si="289"/>
        <v>74.637526835307341</v>
      </c>
    </row>
    <row r="104" spans="1:29" ht="12.5">
      <c r="A104" s="48">
        <v>2023</v>
      </c>
      <c r="B104" s="5" t="s">
        <v>18</v>
      </c>
      <c r="C104" s="5">
        <v>2648.87</v>
      </c>
      <c r="D104" s="5">
        <v>2374.02</v>
      </c>
      <c r="E104" s="5">
        <v>2546.1999999999998</v>
      </c>
      <c r="F104" s="5">
        <v>1555.65</v>
      </c>
      <c r="G104" s="5">
        <v>2348.79</v>
      </c>
      <c r="H104" s="14">
        <v>70332.509999999995</v>
      </c>
      <c r="I104" s="12">
        <f t="shared" ref="I104:N104" si="290">C104/C92-1</f>
        <v>1.6579068834035722</v>
      </c>
      <c r="J104" s="12">
        <f t="shared" si="290"/>
        <v>1.4858848167539267</v>
      </c>
      <c r="K104" s="12">
        <f t="shared" si="290"/>
        <v>1.5952502293344204</v>
      </c>
      <c r="L104" s="12">
        <f t="shared" si="290"/>
        <v>1.1528508164959868</v>
      </c>
      <c r="M104" s="12">
        <f t="shared" si="290"/>
        <v>1.5266673838209983</v>
      </c>
      <c r="N104" s="12">
        <f t="shared" si="290"/>
        <v>2.1119841802830455</v>
      </c>
      <c r="O104" s="12">
        <f t="shared" si="218"/>
        <v>-0.58531679646204715</v>
      </c>
      <c r="T104" s="5">
        <f t="shared" si="0"/>
        <v>3.7662099646379746E-2</v>
      </c>
      <c r="U104" s="5">
        <f t="shared" si="1"/>
        <v>3.3754233995061458E-2</v>
      </c>
      <c r="V104" s="5">
        <f t="shared" si="2"/>
        <v>3.6202319524783061E-2</v>
      </c>
      <c r="W104" s="5">
        <f t="shared" si="29"/>
        <v>2.2118505368285593E-2</v>
      </c>
      <c r="X104" s="5">
        <f t="shared" si="30"/>
        <v>3.339550941662682E-2</v>
      </c>
      <c r="Y104" s="5">
        <f t="shared" ref="Y104:AA104" si="291">T104*Y$6/T$6</f>
        <v>68.966938661909097</v>
      </c>
      <c r="Z104" s="5">
        <f t="shared" si="291"/>
        <v>60.824501255808286</v>
      </c>
      <c r="AA104" s="5">
        <f t="shared" si="291"/>
        <v>65.937367157040683</v>
      </c>
      <c r="AB104" s="5">
        <f t="shared" ref="AB104:AC104" si="292">W104*AB$18/W$18</f>
        <v>42.877386211582674</v>
      </c>
      <c r="AC104" s="5">
        <f t="shared" si="292"/>
        <v>64.738196869413585</v>
      </c>
    </row>
    <row r="105" spans="1:29" ht="12.5">
      <c r="A105" s="48">
        <v>2024</v>
      </c>
      <c r="B105" s="5" t="s">
        <v>19</v>
      </c>
      <c r="C105" s="5">
        <v>3178.3</v>
      </c>
      <c r="D105" s="5">
        <v>2660.9</v>
      </c>
      <c r="E105" s="5">
        <v>2985</v>
      </c>
      <c r="F105" s="5">
        <v>1730.5</v>
      </c>
      <c r="G105" s="5">
        <v>2735</v>
      </c>
      <c r="H105" s="14">
        <v>84821.01</v>
      </c>
      <c r="I105" s="12">
        <f t="shared" ref="I105:N105" si="293">C105/C93-1</f>
        <v>2.0490214888718343</v>
      </c>
      <c r="J105" s="12">
        <f t="shared" si="293"/>
        <v>1.6815479189761162</v>
      </c>
      <c r="K105" s="12">
        <f t="shared" si="293"/>
        <v>1.9158933281234733</v>
      </c>
      <c r="L105" s="12">
        <f t="shared" si="293"/>
        <v>1.2439056016597507</v>
      </c>
      <c r="M105" s="12">
        <f t="shared" si="293"/>
        <v>1.8097390589685638</v>
      </c>
      <c r="N105" s="12">
        <f t="shared" si="293"/>
        <v>2.5406157893220938</v>
      </c>
      <c r="O105" s="12">
        <f t="shared" si="218"/>
        <v>-0.73087673035352996</v>
      </c>
      <c r="T105" s="5">
        <f t="shared" si="0"/>
        <v>3.7470669118417718E-2</v>
      </c>
      <c r="U105" s="5">
        <f t="shared" si="1"/>
        <v>3.1370765332787244E-2</v>
      </c>
      <c r="V105" s="5">
        <f t="shared" si="2"/>
        <v>3.519175260940656E-2</v>
      </c>
      <c r="W105" s="5">
        <f t="shared" si="29"/>
        <v>2.0401784887965849E-2</v>
      </c>
      <c r="X105" s="5">
        <f t="shared" si="30"/>
        <v>3.2244369643794624E-2</v>
      </c>
      <c r="Y105" s="5">
        <f t="shared" ref="Y105:AA105" si="294">T105*Y$6/T$6</f>
        <v>68.616390561725211</v>
      </c>
      <c r="Z105" s="5">
        <f t="shared" si="294"/>
        <v>56.529535099476945</v>
      </c>
      <c r="AA105" s="5">
        <f t="shared" si="294"/>
        <v>64.096763499302057</v>
      </c>
      <c r="AB105" s="5">
        <f t="shared" ref="AB105:AC105" si="295">W105*AB$18/W$18</f>
        <v>39.549472058868439</v>
      </c>
      <c r="AC105" s="5">
        <f t="shared" si="295"/>
        <v>62.506677885585191</v>
      </c>
    </row>
    <row r="106" spans="1:29" ht="12.5">
      <c r="A106" s="48">
        <v>2024</v>
      </c>
      <c r="B106" s="5" t="s">
        <v>21</v>
      </c>
      <c r="C106" s="5">
        <v>3625.4</v>
      </c>
      <c r="D106" s="5">
        <v>3062.8</v>
      </c>
      <c r="E106" s="5">
        <v>3415.3</v>
      </c>
      <c r="F106" s="5">
        <v>1829.4</v>
      </c>
      <c r="G106" s="5">
        <v>3099.2</v>
      </c>
      <c r="H106" s="14">
        <f>H105*1.132</f>
        <v>96017.383319999979</v>
      </c>
      <c r="I106" s="12">
        <f t="shared" ref="I106:N106" si="296">C106/C94-1</f>
        <v>2.2535223907385804</v>
      </c>
      <c r="J106" s="12">
        <f t="shared" si="296"/>
        <v>1.9721494420184378</v>
      </c>
      <c r="K106" s="12">
        <f t="shared" si="296"/>
        <v>2.1535549399815328</v>
      </c>
      <c r="L106" s="12">
        <f t="shared" si="296"/>
        <v>1.2150381402106794</v>
      </c>
      <c r="M106" s="12">
        <f t="shared" si="296"/>
        <v>2.0039740234564309</v>
      </c>
      <c r="N106" s="12">
        <f t="shared" si="296"/>
        <v>2.7598283991675512</v>
      </c>
      <c r="O106" s="12">
        <f t="shared" si="218"/>
        <v>-0.75585437571112024</v>
      </c>
      <c r="T106" s="5">
        <f t="shared" si="0"/>
        <v>3.7757746302224483E-2</v>
      </c>
      <c r="U106" s="5">
        <f t="shared" si="1"/>
        <v>3.1898390625711134E-2</v>
      </c>
      <c r="V106" s="5">
        <f t="shared" si="2"/>
        <v>3.5569600856729541E-2</v>
      </c>
      <c r="W106" s="5">
        <f t="shared" si="29"/>
        <v>1.905279999042574E-2</v>
      </c>
      <c r="X106" s="5">
        <f t="shared" si="30"/>
        <v>3.2277488646729774E-2</v>
      </c>
      <c r="Y106" s="5">
        <f t="shared" ref="Y106:AA106" si="297">T106*Y$6/T$6</f>
        <v>69.142087076596439</v>
      </c>
      <c r="Z106" s="5">
        <f t="shared" si="297"/>
        <v>57.480306054514493</v>
      </c>
      <c r="AA106" s="5">
        <f t="shared" si="297"/>
        <v>64.784960248582834</v>
      </c>
      <c r="AB106" s="5">
        <f t="shared" ref="AB106:AC106" si="298">W106*AB$18/W$18</f>
        <v>36.934424365440009</v>
      </c>
      <c r="AC106" s="5">
        <f t="shared" si="298"/>
        <v>62.570880066345062</v>
      </c>
    </row>
    <row r="107" spans="1:29" ht="12.5">
      <c r="A107" s="48">
        <v>2024</v>
      </c>
      <c r="B107" s="5" t="s">
        <v>23</v>
      </c>
      <c r="C107" s="5">
        <v>3987.5</v>
      </c>
      <c r="D107" s="5">
        <v>3400.5</v>
      </c>
      <c r="E107" s="5">
        <v>3768.2</v>
      </c>
      <c r="F107" s="5">
        <v>2007.7</v>
      </c>
      <c r="G107" s="5">
        <v>3417.3</v>
      </c>
      <c r="H107" s="14">
        <f>H106*1.11</f>
        <v>106579.29548519998</v>
      </c>
      <c r="I107" s="12">
        <f t="shared" ref="I107:N107" si="299">C107/C95-1</f>
        <v>2.3171117211546464</v>
      </c>
      <c r="J107" s="12">
        <f t="shared" si="299"/>
        <v>1.8370599032204242</v>
      </c>
      <c r="K107" s="12">
        <f t="shared" si="299"/>
        <v>2.1380746169220521</v>
      </c>
      <c r="L107" s="12">
        <f t="shared" si="299"/>
        <v>1.2918949771689499</v>
      </c>
      <c r="M107" s="12">
        <f t="shared" si="299"/>
        <v>2.0081866197183098</v>
      </c>
      <c r="N107" s="12">
        <f t="shared" si="299"/>
        <v>2.8750320548523511</v>
      </c>
      <c r="O107" s="12">
        <f t="shared" si="218"/>
        <v>-0.86684543513404133</v>
      </c>
      <c r="T107" s="5">
        <f t="shared" si="0"/>
        <v>3.7413458044050593E-2</v>
      </c>
      <c r="U107" s="5">
        <f t="shared" si="1"/>
        <v>3.1905821712550228E-2</v>
      </c>
      <c r="V107" s="5">
        <f t="shared" si="2"/>
        <v>3.5355835135195343E-2</v>
      </c>
      <c r="W107" s="5">
        <f t="shared" si="29"/>
        <v>1.8837617483395703E-2</v>
      </c>
      <c r="X107" s="5">
        <f t="shared" si="30"/>
        <v>3.2063450827318894E-2</v>
      </c>
      <c r="Y107" s="5">
        <f t="shared" ref="Y107:AA107" si="300">T107*Y$6/T$6</f>
        <v>68.511625487719613</v>
      </c>
      <c r="Z107" s="5">
        <f t="shared" si="300"/>
        <v>57.493696734653838</v>
      </c>
      <c r="AA107" s="5">
        <f t="shared" si="300"/>
        <v>64.395616442677223</v>
      </c>
      <c r="AB107" s="5">
        <f t="shared" ref="AB107:AC107" si="301">W107*AB$18/W$18</f>
        <v>36.51728662008707</v>
      </c>
      <c r="AC107" s="5">
        <f t="shared" si="301"/>
        <v>62.155961332282494</v>
      </c>
    </row>
    <row r="108" spans="1:29" ht="12.5">
      <c r="A108" s="48">
        <v>2024</v>
      </c>
      <c r="B108" s="5" t="s">
        <v>24</v>
      </c>
      <c r="C108" s="5">
        <v>4464.6000000000004</v>
      </c>
      <c r="D108" s="5">
        <v>3656.1</v>
      </c>
      <c r="E108" s="5">
        <v>4162.6000000000004</v>
      </c>
      <c r="F108" s="5">
        <v>2163.8000000000002</v>
      </c>
      <c r="G108" s="5">
        <v>3764.2</v>
      </c>
      <c r="H108" s="14">
        <f>H107*1.088</f>
        <v>115958.27348789759</v>
      </c>
      <c r="I108" s="12">
        <f t="shared" ref="I108:N108" si="302">C108/C96-1</f>
        <v>2.4754787482484826</v>
      </c>
      <c r="J108" s="12">
        <f t="shared" si="302"/>
        <v>1.9309764309764308</v>
      </c>
      <c r="K108" s="12">
        <f t="shared" si="302"/>
        <v>2.275832218462265</v>
      </c>
      <c r="L108" s="12">
        <f t="shared" si="302"/>
        <v>1.3557974959172565</v>
      </c>
      <c r="M108" s="12">
        <f t="shared" si="302"/>
        <v>2.1355268638067471</v>
      </c>
      <c r="N108" s="12">
        <f t="shared" si="302"/>
        <v>2.8893310661248695</v>
      </c>
      <c r="O108" s="12">
        <f t="shared" si="218"/>
        <v>-0.7538042023181224</v>
      </c>
      <c r="T108" s="5">
        <f t="shared" si="0"/>
        <v>3.850178056045276E-2</v>
      </c>
      <c r="U108" s="5">
        <f t="shared" si="1"/>
        <v>3.1529444946259762E-2</v>
      </c>
      <c r="V108" s="5">
        <f t="shared" si="2"/>
        <v>3.5897395457810483E-2</v>
      </c>
      <c r="W108" s="5">
        <f t="shared" si="29"/>
        <v>1.8660160546680037E-2</v>
      </c>
      <c r="X108" s="5">
        <f t="shared" si="30"/>
        <v>3.2461676832338006E-2</v>
      </c>
      <c r="Y108" s="5">
        <f t="shared" ref="Y108:AA108" si="303">T108*Y$6/T$6</f>
        <v>70.504564621167475</v>
      </c>
      <c r="Z108" s="5">
        <f t="shared" si="303"/>
        <v>56.815472808812686</v>
      </c>
      <c r="AA108" s="5">
        <f t="shared" si="303"/>
        <v>65.381991412532798</v>
      </c>
      <c r="AB108" s="5">
        <f t="shared" ref="AB108:AC108" si="304">W108*AB$18/W$18</f>
        <v>36.173281024555649</v>
      </c>
      <c r="AC108" s="5">
        <f t="shared" si="304"/>
        <v>62.927934389792185</v>
      </c>
    </row>
    <row r="109" spans="1:29" ht="12.5">
      <c r="A109" s="48">
        <v>2024</v>
      </c>
      <c r="B109" s="5" t="s">
        <v>25</v>
      </c>
      <c r="C109" s="5">
        <v>4807.3</v>
      </c>
      <c r="D109" s="5">
        <v>3957.9</v>
      </c>
      <c r="E109" s="5">
        <v>4490</v>
      </c>
      <c r="F109" s="5">
        <v>2419.1999999999998</v>
      </c>
      <c r="G109" s="5">
        <v>4077.3</v>
      </c>
      <c r="H109" s="14">
        <f>H108*1.042</f>
        <v>120828.52097438929</v>
      </c>
      <c r="I109" s="12">
        <f t="shared" ref="I109:N109" si="305">C109/C97-1</f>
        <v>2.4604808522890873</v>
      </c>
      <c r="J109" s="12">
        <f t="shared" si="305"/>
        <v>1.9250609711033926</v>
      </c>
      <c r="K109" s="12">
        <f t="shared" si="305"/>
        <v>2.2637929781202297</v>
      </c>
      <c r="L109" s="12">
        <f t="shared" si="305"/>
        <v>1.552437223042836</v>
      </c>
      <c r="M109" s="12">
        <f t="shared" si="305"/>
        <v>2.1594730724525379</v>
      </c>
      <c r="N109" s="12">
        <f t="shared" si="305"/>
        <v>2.759446169668009</v>
      </c>
      <c r="O109" s="12">
        <f t="shared" si="218"/>
        <v>-0.5999730972154711</v>
      </c>
      <c r="T109" s="5">
        <f t="shared" si="0"/>
        <v>3.9786136263465076E-2</v>
      </c>
      <c r="U109" s="5">
        <f t="shared" si="1"/>
        <v>3.2756339050437545E-2</v>
      </c>
      <c r="V109" s="5">
        <f t="shared" si="2"/>
        <v>3.7160100643387803E-2</v>
      </c>
      <c r="W109" s="5">
        <f t="shared" si="29"/>
        <v>2.0021762912357185E-2</v>
      </c>
      <c r="X109" s="5">
        <f t="shared" si="30"/>
        <v>3.3744516337034541E-2</v>
      </c>
      <c r="Y109" s="5">
        <f t="shared" ref="Y109:AA109" si="306">T109*Y$6/T$6</f>
        <v>72.856480255755258</v>
      </c>
      <c r="Z109" s="5">
        <f t="shared" si="306"/>
        <v>59.026313143427409</v>
      </c>
      <c r="AA109" s="5">
        <f t="shared" si="306"/>
        <v>67.681829006516622</v>
      </c>
      <c r="AB109" s="5">
        <f t="shared" ref="AB109:AC109" si="307">W109*AB$18/W$18</f>
        <v>38.812788058491776</v>
      </c>
      <c r="AC109" s="5">
        <f t="shared" si="307"/>
        <v>65.414757254831571</v>
      </c>
    </row>
    <row r="110" spans="1:29" ht="12.5">
      <c r="A110" s="48">
        <v>2024</v>
      </c>
      <c r="B110" s="5" t="s">
        <v>26</v>
      </c>
      <c r="C110" s="5">
        <v>5129</v>
      </c>
      <c r="D110" s="5">
        <v>4114</v>
      </c>
      <c r="E110" s="5">
        <v>4749.8999999999996</v>
      </c>
      <c r="F110" s="5">
        <v>2642.1</v>
      </c>
      <c r="G110" s="5">
        <v>4329.8</v>
      </c>
      <c r="H110" s="14">
        <f>H109*1.046</f>
        <v>126386.63293921121</v>
      </c>
      <c r="I110" s="12">
        <f t="shared" ref="I110:N110" si="308">C110/C98-1</f>
        <v>2.4926796050391555</v>
      </c>
      <c r="J110" s="12">
        <f t="shared" si="308"/>
        <v>1.8678982223771348</v>
      </c>
      <c r="K110" s="12">
        <f t="shared" si="308"/>
        <v>2.262742134908641</v>
      </c>
      <c r="L110" s="12">
        <f t="shared" si="308"/>
        <v>1.5930905878888999</v>
      </c>
      <c r="M110" s="12">
        <f t="shared" si="308"/>
        <v>2.163439760356543</v>
      </c>
      <c r="N110" s="12">
        <f t="shared" si="308"/>
        <v>2.709793107049753</v>
      </c>
      <c r="O110" s="12">
        <f t="shared" si="218"/>
        <v>-0.54635334669321001</v>
      </c>
      <c r="T110" s="5">
        <f t="shared" si="0"/>
        <v>4.0581823257107574E-2</v>
      </c>
      <c r="U110" s="5">
        <f t="shared" si="1"/>
        <v>3.2550910680393952E-2</v>
      </c>
      <c r="V110" s="5">
        <f t="shared" si="2"/>
        <v>3.7582297190277884E-2</v>
      </c>
      <c r="W110" s="5">
        <f t="shared" si="29"/>
        <v>2.0904900609788248E-2</v>
      </c>
      <c r="X110" s="5">
        <f t="shared" si="30"/>
        <v>3.4258369728723807E-2</v>
      </c>
      <c r="Y110" s="5">
        <f t="shared" ref="Y110:AA110" si="309">T110*Y$6/T$6</f>
        <v>74.313544429018791</v>
      </c>
      <c r="Z110" s="5">
        <f t="shared" si="309"/>
        <v>58.656135045073192</v>
      </c>
      <c r="AA110" s="5">
        <f t="shared" si="309"/>
        <v>68.450799865018354</v>
      </c>
      <c r="AB110" s="5">
        <f t="shared" ref="AB110:AC110" si="310">W110*AB$18/W$18</f>
        <v>40.524776979092806</v>
      </c>
      <c r="AC110" s="5">
        <f t="shared" si="310"/>
        <v>66.410877470222957</v>
      </c>
    </row>
    <row r="111" spans="1:29" ht="12.5">
      <c r="A111" s="48">
        <v>2024</v>
      </c>
      <c r="B111" s="5" t="s">
        <v>27</v>
      </c>
    </row>
    <row r="112" spans="1:29" ht="12.5">
      <c r="A112" s="48">
        <v>2024</v>
      </c>
      <c r="B112" s="5" t="s">
        <v>28</v>
      </c>
    </row>
    <row r="113" spans="1:2" ht="12.5">
      <c r="A113" s="48">
        <v>2024</v>
      </c>
      <c r="B113" s="5" t="s">
        <v>29</v>
      </c>
    </row>
    <row r="114" spans="1:2" ht="12.5">
      <c r="A114" s="48">
        <v>2024</v>
      </c>
      <c r="B114" s="5" t="s">
        <v>13</v>
      </c>
    </row>
    <row r="115" spans="1:2" ht="12.5">
      <c r="A115" s="48">
        <v>2024</v>
      </c>
      <c r="B115" s="5" t="s">
        <v>16</v>
      </c>
    </row>
    <row r="116" spans="1:2" ht="12.5">
      <c r="A116" s="48">
        <v>2024</v>
      </c>
      <c r="B116" s="5" t="s">
        <v>18</v>
      </c>
    </row>
  </sheetData>
  <mergeCells count="19">
    <mergeCell ref="A3:A5"/>
    <mergeCell ref="B3:H3"/>
    <mergeCell ref="I3:O3"/>
    <mergeCell ref="B4:B5"/>
    <mergeCell ref="C4:E4"/>
    <mergeCell ref="F4:F5"/>
    <mergeCell ref="G4:G5"/>
    <mergeCell ref="H4:H5"/>
    <mergeCell ref="I4:K4"/>
    <mergeCell ref="W4:W5"/>
    <mergeCell ref="X4:X5"/>
    <mergeCell ref="Y4:AA4"/>
    <mergeCell ref="AB4:AB5"/>
    <mergeCell ref="AC4:AC5"/>
    <mergeCell ref="L4:L5"/>
    <mergeCell ref="M4:M5"/>
    <mergeCell ref="N4:N5"/>
    <mergeCell ref="O4:O5"/>
    <mergeCell ref="T4:V4"/>
  </mergeCells>
  <conditionalFormatting sqref="O1:O2 O4:O5 O18:O1015">
    <cfRule type="containsText" dxfId="3" priority="1" operator="containsText" text="-">
      <formula>NOT(ISERROR(SEARCH(("-"),(O1))))</formula>
    </cfRule>
    <cfRule type="cellIs" dxfId="2" priority="2" operator="greaterThan">
      <formula>0</formula>
    </cfRule>
  </conditionalFormatting>
  <hyperlinks>
    <hyperlink ref="AF9" r:id="rId1" xr:uid="{00000000-0004-0000-0000-000000000000}"/>
    <hyperlink ref="AF10" r:id="rId2" location="gid=10837699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4"/>
  <sheetViews>
    <sheetView workbookViewId="0"/>
  </sheetViews>
  <sheetFormatPr baseColWidth="10" defaultColWidth="12.6328125" defaultRowHeight="15.75" customHeight="1"/>
  <cols>
    <col min="2" max="2" width="13.453125" customWidth="1"/>
    <col min="6" max="6" width="15.36328125" customWidth="1"/>
    <col min="7" max="7" width="11.36328125" customWidth="1"/>
  </cols>
  <sheetData>
    <row r="1" spans="1:10">
      <c r="A1" s="1" t="s">
        <v>30</v>
      </c>
    </row>
    <row r="4" spans="1:10" ht="15.75" customHeight="1">
      <c r="A4" s="45" t="s">
        <v>1</v>
      </c>
      <c r="B4" s="45" t="s">
        <v>4</v>
      </c>
      <c r="C4" s="45" t="s">
        <v>5</v>
      </c>
      <c r="D4" s="44"/>
      <c r="E4" s="44"/>
      <c r="F4" s="43" t="s">
        <v>6</v>
      </c>
      <c r="G4" s="43" t="s">
        <v>7</v>
      </c>
    </row>
    <row r="5" spans="1:10">
      <c r="A5" s="44"/>
      <c r="B5" s="44"/>
      <c r="C5" s="3" t="s">
        <v>10</v>
      </c>
      <c r="D5" s="3" t="s">
        <v>11</v>
      </c>
      <c r="E5" s="3" t="s">
        <v>12</v>
      </c>
      <c r="F5" s="44"/>
      <c r="G5" s="44"/>
      <c r="I5" s="8"/>
      <c r="J5" s="5" t="s">
        <v>15</v>
      </c>
    </row>
    <row r="6" spans="1:10" ht="15.75" customHeight="1">
      <c r="A6" s="47">
        <v>2016</v>
      </c>
      <c r="B6" s="5" t="s">
        <v>13</v>
      </c>
      <c r="C6" s="12">
        <f>'Índice salarios (INDEC)'!T18/'Índice salarios (INDEC)'!T6-1</f>
        <v>-5.5365301180429149E-2</v>
      </c>
      <c r="D6" s="12">
        <f>'Índice salarios (INDEC)'!U18/'Índice salarios (INDEC)'!U6-1</f>
        <v>-7.0439259140315902E-2</v>
      </c>
      <c r="E6" s="12">
        <f>'Índice salarios (INDEC)'!V18/'Índice salarios (INDEC)'!V6-1</f>
        <v>-6.0443982356878534E-2</v>
      </c>
      <c r="F6" s="12"/>
      <c r="G6" s="12"/>
      <c r="J6" s="5" t="s">
        <v>17</v>
      </c>
    </row>
    <row r="7" spans="1:10" ht="15.75" customHeight="1">
      <c r="A7" s="44"/>
      <c r="B7" s="5" t="s">
        <v>16</v>
      </c>
      <c r="C7" s="12">
        <f>'Índice salarios (INDEC)'!T19/'Índice salarios (INDEC)'!T7-1</f>
        <v>-6.0263538692380991E-2</v>
      </c>
      <c r="D7" s="12">
        <f>'Índice salarios (INDEC)'!U19/'Índice salarios (INDEC)'!U7-1</f>
        <v>-6.9475383952658287E-2</v>
      </c>
      <c r="E7" s="12">
        <f>'Índice salarios (INDEC)'!V19/'Índice salarios (INDEC)'!V7-1</f>
        <v>-6.3342223726805535E-2</v>
      </c>
      <c r="F7" s="12"/>
      <c r="G7" s="12"/>
    </row>
    <row r="8" spans="1:10">
      <c r="A8" s="44"/>
      <c r="B8" s="5" t="s">
        <v>18</v>
      </c>
      <c r="C8" s="12">
        <f>'Índice salarios (INDEC)'!T20/'Índice salarios (INDEC)'!T8-1</f>
        <v>-4.2190128026492801E-2</v>
      </c>
      <c r="D8" s="12">
        <f>'Índice salarios (INDEC)'!U20/'Índice salarios (INDEC)'!U8-1</f>
        <v>-4.4374893516424763E-2</v>
      </c>
      <c r="E8" s="12">
        <f>'Índice salarios (INDEC)'!V20/'Índice salarios (INDEC)'!V8-1</f>
        <v>-4.2815087417044317E-2</v>
      </c>
      <c r="F8" s="12"/>
      <c r="G8" s="12"/>
      <c r="I8" s="9" t="s">
        <v>31</v>
      </c>
    </row>
    <row r="9" spans="1:10">
      <c r="A9" s="47">
        <v>2017</v>
      </c>
      <c r="B9" s="5" t="s">
        <v>19</v>
      </c>
      <c r="C9" s="12">
        <f>'Índice salarios (INDEC)'!T21/'Índice salarios (INDEC)'!T9-1</f>
        <v>-4.5079416209825585E-3</v>
      </c>
      <c r="D9" s="12">
        <f>'Índice salarios (INDEC)'!U21/'Índice salarios (INDEC)'!U9-1</f>
        <v>-2.084762979917687E-2</v>
      </c>
      <c r="E9" s="12">
        <f>'Índice salarios (INDEC)'!V21/'Índice salarios (INDEC)'!V9-1</f>
        <v>-1.0411192135157288E-2</v>
      </c>
      <c r="F9" s="12"/>
      <c r="G9" s="12"/>
      <c r="I9" s="10" t="s">
        <v>22</v>
      </c>
    </row>
    <row r="10" spans="1:10" ht="15.75" customHeight="1">
      <c r="A10" s="44"/>
      <c r="B10" s="5" t="s">
        <v>21</v>
      </c>
      <c r="C10" s="12">
        <f>'Índice salarios (INDEC)'!T22/'Índice salarios (INDEC)'!T10-1</f>
        <v>1.2194301363900317E-2</v>
      </c>
      <c r="D10" s="12">
        <f>'Índice salarios (INDEC)'!U22/'Índice salarios (INDEC)'!U10-1</f>
        <v>-1.1263027773500633E-2</v>
      </c>
      <c r="E10" s="12">
        <f>'Índice salarios (INDEC)'!V22/'Índice salarios (INDEC)'!V10-1</f>
        <v>3.7453224585823897E-3</v>
      </c>
      <c r="F10" s="12"/>
      <c r="G10" s="12"/>
    </row>
    <row r="11" spans="1:10" ht="15.75" customHeight="1">
      <c r="A11" s="44"/>
      <c r="B11" s="5" t="s">
        <v>23</v>
      </c>
      <c r="C11" s="12">
        <f>'Índice salarios (INDEC)'!T23/'Índice salarios (INDEC)'!T11-1</f>
        <v>2.7228951531420131E-2</v>
      </c>
      <c r="D11" s="12">
        <f>'Índice salarios (INDEC)'!U23/'Índice salarios (INDEC)'!U11-1</f>
        <v>-2.8575132791577307E-2</v>
      </c>
      <c r="E11" s="12">
        <f>'Índice salarios (INDEC)'!V23/'Índice salarios (INDEC)'!V11-1</f>
        <v>6.0146064684747369E-3</v>
      </c>
      <c r="F11" s="12"/>
      <c r="G11" s="12"/>
    </row>
    <row r="12" spans="1:10" ht="15.75" customHeight="1">
      <c r="A12" s="44"/>
      <c r="B12" s="5" t="s">
        <v>24</v>
      </c>
      <c r="C12" s="12">
        <f>'Índice salarios (INDEC)'!T24/'Índice salarios (INDEC)'!T12-1</f>
        <v>3.2149346945489432E-2</v>
      </c>
      <c r="D12" s="12">
        <f>'Índice salarios (INDEC)'!U24/'Índice salarios (INDEC)'!U12-1</f>
        <v>3.2176458912928085E-2</v>
      </c>
      <c r="E12" s="12">
        <f>'Índice salarios (INDEC)'!V24/'Índice salarios (INDEC)'!V12-1</f>
        <v>3.2044313975831296E-2</v>
      </c>
      <c r="F12" s="12"/>
      <c r="G12" s="12"/>
    </row>
    <row r="13" spans="1:10" ht="15.75" customHeight="1">
      <c r="A13" s="44"/>
      <c r="B13" s="5" t="s">
        <v>25</v>
      </c>
      <c r="C13" s="12">
        <f>'Índice salarios (INDEC)'!T25/'Índice salarios (INDEC)'!T13-1</f>
        <v>4.7991450570545213E-2</v>
      </c>
      <c r="D13" s="12">
        <f>'Índice salarios (INDEC)'!U25/'Índice salarios (INDEC)'!U13-1</f>
        <v>4.037637523995663E-2</v>
      </c>
      <c r="E13" s="12">
        <f>'Índice salarios (INDEC)'!V25/'Índice salarios (INDEC)'!V13-1</f>
        <v>4.5053722297677012E-2</v>
      </c>
      <c r="F13" s="12"/>
      <c r="G13" s="12"/>
    </row>
    <row r="14" spans="1:10" ht="15.75" customHeight="1">
      <c r="A14" s="44"/>
      <c r="B14" s="5" t="s">
        <v>26</v>
      </c>
      <c r="C14" s="12">
        <f>'Índice salarios (INDEC)'!T26/'Índice salarios (INDEC)'!T14-1</f>
        <v>6.793172831319283E-2</v>
      </c>
      <c r="D14" s="12">
        <f>'Índice salarios (INDEC)'!U26/'Índice salarios (INDEC)'!U14-1</f>
        <v>6.1207385692368721E-2</v>
      </c>
      <c r="E14" s="12">
        <f>'Índice salarios (INDEC)'!V26/'Índice salarios (INDEC)'!V14-1</f>
        <v>6.628181896758889E-2</v>
      </c>
      <c r="F14" s="12"/>
      <c r="G14" s="12"/>
    </row>
    <row r="15" spans="1:10" ht="15.75" customHeight="1">
      <c r="A15" s="44"/>
      <c r="B15" s="5" t="s">
        <v>27</v>
      </c>
      <c r="C15" s="12">
        <f>'Índice salarios (INDEC)'!T27/'Índice salarios (INDEC)'!T15-1</f>
        <v>8.2745790035410938E-2</v>
      </c>
      <c r="D15" s="12">
        <f>'Índice salarios (INDEC)'!U27/'Índice salarios (INDEC)'!U15-1</f>
        <v>3.0489057638980466E-2</v>
      </c>
      <c r="E15" s="12">
        <f>'Índice salarios (INDEC)'!V27/'Índice salarios (INDEC)'!V15-1</f>
        <v>6.4081259841791693E-2</v>
      </c>
      <c r="F15" s="12"/>
      <c r="G15" s="12"/>
    </row>
    <row r="16" spans="1:10" ht="15.75" customHeight="1">
      <c r="A16" s="44"/>
      <c r="B16" s="5" t="s">
        <v>28</v>
      </c>
      <c r="C16" s="12">
        <f>'Índice salarios (INDEC)'!T28/'Índice salarios (INDEC)'!T16-1</f>
        <v>6.620995489091519E-2</v>
      </c>
      <c r="D16" s="12">
        <f>'Índice salarios (INDEC)'!U28/'Índice salarios (INDEC)'!U16-1</f>
        <v>1.7614913035035595E-3</v>
      </c>
      <c r="E16" s="12">
        <f>'Índice salarios (INDEC)'!V28/'Índice salarios (INDEC)'!V16-1</f>
        <v>4.1701605471912817E-2</v>
      </c>
      <c r="F16" s="12"/>
      <c r="G16" s="12"/>
    </row>
    <row r="17" spans="1:7" ht="15.75" customHeight="1">
      <c r="A17" s="44"/>
      <c r="B17" s="5" t="s">
        <v>29</v>
      </c>
      <c r="C17" s="12">
        <f>'Índice salarios (INDEC)'!T29/'Índice salarios (INDEC)'!T17-1</f>
        <v>5.3115454964864695E-2</v>
      </c>
      <c r="D17" s="12">
        <f>'Índice salarios (INDEC)'!U29/'Índice salarios (INDEC)'!U17-1</f>
        <v>5.3812770564070078E-3</v>
      </c>
      <c r="E17" s="12">
        <f>'Índice salarios (INDEC)'!V29/'Índice salarios (INDEC)'!V17-1</f>
        <v>3.4647309490557499E-2</v>
      </c>
      <c r="F17" s="12"/>
      <c r="G17" s="12"/>
    </row>
    <row r="18" spans="1:7" ht="15.75" customHeight="1">
      <c r="A18" s="44"/>
      <c r="B18" s="5" t="s">
        <v>13</v>
      </c>
      <c r="C18" s="12">
        <f>'Índice salarios (INDEC)'!T30/'Índice salarios (INDEC)'!T18-1</f>
        <v>4.4248036673963709E-2</v>
      </c>
      <c r="D18" s="12">
        <f>'Índice salarios (INDEC)'!U30/'Índice salarios (INDEC)'!U18-1</f>
        <v>2.6328023564114345E-2</v>
      </c>
      <c r="E18" s="12">
        <f>'Índice salarios (INDEC)'!V30/'Índice salarios (INDEC)'!V18-1</f>
        <v>3.7731668270382324E-2</v>
      </c>
      <c r="F18" s="12">
        <f>'Índice salarios (INDEC)'!W30/'Índice salarios (INDEC)'!W18-1</f>
        <v>4.6691674825307006E-2</v>
      </c>
      <c r="G18" s="12">
        <f>'Índice salarios (INDEC)'!X30/'Índice salarios (INDEC)'!X18-1</f>
        <v>3.9360760371277559E-2</v>
      </c>
    </row>
    <row r="19" spans="1:7" ht="15.75" customHeight="1">
      <c r="A19" s="44"/>
      <c r="B19" s="5" t="s">
        <v>16</v>
      </c>
      <c r="C19" s="12">
        <f>'Índice salarios (INDEC)'!T31/'Índice salarios (INDEC)'!T19-1</f>
        <v>4.2239355940557388E-2</v>
      </c>
      <c r="D19" s="12">
        <f>'Índice salarios (INDEC)'!U31/'Índice salarios (INDEC)'!U19-1</f>
        <v>2.6643791968950614E-2</v>
      </c>
      <c r="E19" s="12">
        <f>'Índice salarios (INDEC)'!V31/'Índice salarios (INDEC)'!V19-1</f>
        <v>3.6258000460522855E-2</v>
      </c>
      <c r="F19" s="12">
        <f>'Índice salarios (INDEC)'!W31/'Índice salarios (INDEC)'!W19-1</f>
        <v>6.9833898814974704E-2</v>
      </c>
      <c r="G19" s="12">
        <f>'Índice salarios (INDEC)'!X31/'Índice salarios (INDEC)'!X19-1</f>
        <v>4.3131213013460235E-2</v>
      </c>
    </row>
    <row r="20" spans="1:7" ht="12.5">
      <c r="A20" s="44"/>
      <c r="B20" s="5" t="s">
        <v>18</v>
      </c>
      <c r="C20" s="12">
        <f>'Índice salarios (INDEC)'!T32/'Índice salarios (INDEC)'!T20-1</f>
        <v>1.9878823950219893E-2</v>
      </c>
      <c r="D20" s="12">
        <f>'Índice salarios (INDEC)'!U32/'Índice salarios (INDEC)'!U20-1</f>
        <v>6.0631954576328972E-4</v>
      </c>
      <c r="E20" s="12">
        <f>'Índice salarios (INDEC)'!V32/'Índice salarios (INDEC)'!V20-1</f>
        <v>1.3284410599585517E-2</v>
      </c>
      <c r="F20" s="12">
        <f>'Índice salarios (INDEC)'!W32/'Índice salarios (INDEC)'!W20-1</f>
        <v>5.3398762840523917E-2</v>
      </c>
      <c r="G20" s="12">
        <f>'Índice salarios (INDEC)'!X32/'Índice salarios (INDEC)'!X20-1</f>
        <v>2.0870923973517641E-2</v>
      </c>
    </row>
    <row r="21" spans="1:7" ht="12.5">
      <c r="A21" s="47">
        <v>2018</v>
      </c>
      <c r="B21" s="5" t="s">
        <v>19</v>
      </c>
      <c r="C21" s="12">
        <f>'Índice salarios (INDEC)'!T33/'Índice salarios (INDEC)'!T21-1</f>
        <v>2.6192237430981979E-3</v>
      </c>
      <c r="D21" s="12">
        <f>'Índice salarios (INDEC)'!U33/'Índice salarios (INDEC)'!U21-1</f>
        <v>3.9572339628501929E-4</v>
      </c>
      <c r="E21" s="12">
        <f>'Índice salarios (INDEC)'!V33/'Índice salarios (INDEC)'!V21-1</f>
        <v>1.3262378545857434E-3</v>
      </c>
      <c r="F21" s="12">
        <f>'Índice salarios (INDEC)'!W33/'Índice salarios (INDEC)'!W21-1</f>
        <v>7.0753912588408685E-2</v>
      </c>
      <c r="G21" s="12">
        <f>'Índice salarios (INDEC)'!X33/'Índice salarios (INDEC)'!X21-1</f>
        <v>1.4739396890573353E-2</v>
      </c>
    </row>
    <row r="22" spans="1:7" ht="12.5">
      <c r="A22" s="44"/>
      <c r="B22" s="5" t="s">
        <v>21</v>
      </c>
      <c r="C22" s="12">
        <f>'Índice salarios (INDEC)'!T34/'Índice salarios (INDEC)'!T22-1</f>
        <v>-5.9104468192802129E-3</v>
      </c>
      <c r="D22" s="12">
        <f>'Índice salarios (INDEC)'!U34/'Índice salarios (INDEC)'!U22-1</f>
        <v>-2.1858335970881271E-4</v>
      </c>
      <c r="E22" s="12">
        <f>'Índice salarios (INDEC)'!V34/'Índice salarios (INDEC)'!V22-1</f>
        <v>-4.2568663658233419E-3</v>
      </c>
      <c r="F22" s="12">
        <f>'Índice salarios (INDEC)'!W34/'Índice salarios (INDEC)'!W22-1</f>
        <v>5.0262248986502556E-2</v>
      </c>
      <c r="G22" s="12">
        <f>'Índice salarios (INDEC)'!X34/'Índice salarios (INDEC)'!X22-1</f>
        <v>6.6673682655065125E-3</v>
      </c>
    </row>
    <row r="23" spans="1:7" ht="12.5">
      <c r="A23" s="44"/>
      <c r="B23" s="5" t="s">
        <v>23</v>
      </c>
      <c r="C23" s="12">
        <f>'Índice salarios (INDEC)'!T35/'Índice salarios (INDEC)'!T23-1</f>
        <v>-6.6058887376255759E-3</v>
      </c>
      <c r="D23" s="12">
        <f>'Índice salarios (INDEC)'!U35/'Índice salarios (INDEC)'!U23-1</f>
        <v>-1.0942612377949801E-2</v>
      </c>
      <c r="E23" s="12">
        <f>'Índice salarios (INDEC)'!V35/'Índice salarios (INDEC)'!V23-1</f>
        <v>-8.0982284975356089E-3</v>
      </c>
      <c r="F23" s="12">
        <f>'Índice salarios (INDEC)'!W35/'Índice salarios (INDEC)'!W23-1</f>
        <v>1.8758895863561387E-2</v>
      </c>
      <c r="G23" s="12">
        <f>'Índice salarios (INDEC)'!X35/'Índice salarios (INDEC)'!X23-1</f>
        <v>-2.7733745567015688E-3</v>
      </c>
    </row>
    <row r="24" spans="1:7" ht="12.5">
      <c r="A24" s="44"/>
      <c r="B24" s="5" t="s">
        <v>24</v>
      </c>
      <c r="C24" s="12">
        <f>'Índice salarios (INDEC)'!T36/'Índice salarios (INDEC)'!T24-1</f>
        <v>-4.3892101153693019E-3</v>
      </c>
      <c r="D24" s="12">
        <f>'Índice salarios (INDEC)'!U36/'Índice salarios (INDEC)'!U24-1</f>
        <v>-2.8688720714174165E-2</v>
      </c>
      <c r="E24" s="12">
        <f>'Índice salarios (INDEC)'!V36/'Índice salarios (INDEC)'!V24-1</f>
        <v>-1.2929261797476443E-2</v>
      </c>
      <c r="F24" s="12">
        <f>'Índice salarios (INDEC)'!W36/'Índice salarios (INDEC)'!W24-1</f>
        <v>1.7106666189132813E-3</v>
      </c>
      <c r="G24" s="12">
        <f>'Índice salarios (INDEC)'!X36/'Índice salarios (INDEC)'!X24-1</f>
        <v>-1.0232464552808462E-2</v>
      </c>
    </row>
    <row r="25" spans="1:7" ht="12.5">
      <c r="A25" s="44"/>
      <c r="B25" s="5" t="s">
        <v>25</v>
      </c>
      <c r="C25" s="12">
        <f>'Índice salarios (INDEC)'!T37/'Índice salarios (INDEC)'!T25-1</f>
        <v>-6.89757986572892E-3</v>
      </c>
      <c r="D25" s="12">
        <f>'Índice salarios (INDEC)'!U37/'Índice salarios (INDEC)'!U25-1</f>
        <v>-3.2718175469992783E-2</v>
      </c>
      <c r="E25" s="12">
        <f>'Índice salarios (INDEC)'!V37/'Índice salarios (INDEC)'!V25-1</f>
        <v>-1.6752438376788525E-2</v>
      </c>
      <c r="F25" s="12">
        <f>'Índice salarios (INDEC)'!W37/'Índice salarios (INDEC)'!W25-1</f>
        <v>-2.4349916710945108E-2</v>
      </c>
      <c r="G25" s="12">
        <f>'Índice salarios (INDEC)'!X37/'Índice salarios (INDEC)'!X25-1</f>
        <v>-1.7946736416597386E-2</v>
      </c>
    </row>
    <row r="26" spans="1:7" ht="12.5">
      <c r="A26" s="44"/>
      <c r="B26" s="5" t="s">
        <v>26</v>
      </c>
      <c r="C26" s="12">
        <f>'Índice salarios (INDEC)'!T38/'Índice salarios (INDEC)'!T26-1</f>
        <v>-3.4194499902947539E-2</v>
      </c>
      <c r="D26" s="12">
        <f>'Índice salarios (INDEC)'!U38/'Índice salarios (INDEC)'!U26-1</f>
        <v>-6.8537973887317971E-2</v>
      </c>
      <c r="E26" s="12">
        <f>'Índice salarios (INDEC)'!V38/'Índice salarios (INDEC)'!V26-1</f>
        <v>-4.6961370891355103E-2</v>
      </c>
      <c r="F26" s="12">
        <f>'Índice salarios (INDEC)'!W38/'Índice salarios (INDEC)'!W26-1</f>
        <v>-6.2453869096837256E-2</v>
      </c>
      <c r="G26" s="12">
        <f>'Índice salarios (INDEC)'!X38/'Índice salarios (INDEC)'!X26-1</f>
        <v>-5.0940655355274256E-2</v>
      </c>
    </row>
    <row r="27" spans="1:7" ht="12.5">
      <c r="A27" s="44"/>
      <c r="B27" s="5" t="s">
        <v>27</v>
      </c>
      <c r="C27" s="12">
        <f>'Índice salarios (INDEC)'!T39/'Índice salarios (INDEC)'!T27-1</f>
        <v>-6.8740471605274189E-2</v>
      </c>
      <c r="D27" s="12">
        <f>'Índice salarios (INDEC)'!U39/'Índice salarios (INDEC)'!U27-1</f>
        <v>-7.9369941568767866E-2</v>
      </c>
      <c r="E27" s="12">
        <f>'Índice salarios (INDEC)'!V39/'Índice salarios (INDEC)'!V27-1</f>
        <v>-7.2182997091296164E-2</v>
      </c>
      <c r="F27" s="12">
        <f>'Índice salarios (INDEC)'!W39/'Índice salarios (INDEC)'!W27-1</f>
        <v>-8.2876956379913436E-2</v>
      </c>
      <c r="G27" s="12">
        <f>'Índice salarios (INDEC)'!X39/'Índice salarios (INDEC)'!X27-1</f>
        <v>-7.4566714404067591E-2</v>
      </c>
    </row>
    <row r="28" spans="1:7" ht="12.5">
      <c r="A28" s="44"/>
      <c r="B28" s="5" t="s">
        <v>28</v>
      </c>
      <c r="C28" s="12">
        <f>'Índice salarios (INDEC)'!T40/'Índice salarios (INDEC)'!T28-1</f>
        <v>-7.8581319662229698E-2</v>
      </c>
      <c r="D28" s="12">
        <f>'Índice salarios (INDEC)'!U40/'Índice salarios (INDEC)'!U28-1</f>
        <v>-9.7354648013445289E-2</v>
      </c>
      <c r="E28" s="12">
        <f>'Índice salarios (INDEC)'!V40/'Índice salarios (INDEC)'!V28-1</f>
        <v>-8.5308332459630321E-2</v>
      </c>
      <c r="F28" s="12">
        <f>'Índice salarios (INDEC)'!W40/'Índice salarios (INDEC)'!W28-1</f>
        <v>-0.12142563781504456</v>
      </c>
      <c r="G28" s="12">
        <f>'Índice salarios (INDEC)'!X40/'Índice salarios (INDEC)'!X28-1</f>
        <v>-9.2736455595998968E-2</v>
      </c>
    </row>
    <row r="29" spans="1:7" ht="12.5">
      <c r="A29" s="44"/>
      <c r="B29" s="5" t="s">
        <v>29</v>
      </c>
      <c r="C29" s="12">
        <f>'Índice salarios (INDEC)'!T41/'Índice salarios (INDEC)'!T29-1</f>
        <v>-0.10782088052760364</v>
      </c>
      <c r="D29" s="12">
        <f>'Índice salarios (INDEC)'!U41/'Índice salarios (INDEC)'!U29-1</f>
        <v>-0.12374751686799512</v>
      </c>
      <c r="E29" s="12">
        <f>'Índice salarios (INDEC)'!V41/'Índice salarios (INDEC)'!V29-1</f>
        <v>-0.11350002943130177</v>
      </c>
      <c r="F29" s="12">
        <f>'Índice salarios (INDEC)'!W41/'Índice salarios (INDEC)'!W29-1</f>
        <v>-0.1408966260711656</v>
      </c>
      <c r="G29" s="12">
        <f>'Índice salarios (INDEC)'!X41/'Índice salarios (INDEC)'!X29-1</f>
        <v>-0.11929322380638963</v>
      </c>
    </row>
    <row r="30" spans="1:7" ht="12.5">
      <c r="A30" s="44"/>
      <c r="B30" s="5" t="s">
        <v>13</v>
      </c>
      <c r="C30" s="12">
        <f>'Índice salarios (INDEC)'!T42/'Índice salarios (INDEC)'!T30-1</f>
        <v>-0.12293658913633354</v>
      </c>
      <c r="D30" s="12">
        <f>'Índice salarios (INDEC)'!U42/'Índice salarios (INDEC)'!U30-1</f>
        <v>-0.1315792188907694</v>
      </c>
      <c r="E30" s="12">
        <f>'Índice salarios (INDEC)'!V42/'Índice salarios (INDEC)'!V30-1</f>
        <v>-0.12658330892331493</v>
      </c>
      <c r="F30" s="12">
        <f>'Índice salarios (INDEC)'!W42/'Índice salarios (INDEC)'!W30-1</f>
        <v>-0.16395684546626055</v>
      </c>
      <c r="G30" s="12">
        <f>'Índice salarios (INDEC)'!X42/'Índice salarios (INDEC)'!X30-1</f>
        <v>-0.13386631089396595</v>
      </c>
    </row>
    <row r="31" spans="1:7" ht="12.5">
      <c r="A31" s="44"/>
      <c r="B31" s="5" t="s">
        <v>16</v>
      </c>
      <c r="C31" s="12">
        <f>'Índice salarios (INDEC)'!T43/'Índice salarios (INDEC)'!T31-1</f>
        <v>-0.12838818875999314</v>
      </c>
      <c r="D31" s="12">
        <f>'Índice salarios (INDEC)'!U43/'Índice salarios (INDEC)'!U31-1</f>
        <v>-0.13849481639966732</v>
      </c>
      <c r="E31" s="12">
        <f>'Índice salarios (INDEC)'!V43/'Índice salarios (INDEC)'!V31-1</f>
        <v>-0.13208205525017536</v>
      </c>
      <c r="F31" s="12">
        <f>'Índice salarios (INDEC)'!W43/'Índice salarios (INDEC)'!W31-1</f>
        <v>-0.15793528394209655</v>
      </c>
      <c r="G31" s="12">
        <f>'Índice salarios (INDEC)'!X43/'Índice salarios (INDEC)'!X31-1</f>
        <v>-0.13766051863845408</v>
      </c>
    </row>
    <row r="32" spans="1:7" ht="12.5">
      <c r="A32" s="44"/>
      <c r="B32" s="5" t="s">
        <v>18</v>
      </c>
      <c r="C32" s="12">
        <f>'Índice salarios (INDEC)'!T44/'Índice salarios (INDEC)'!T32-1</f>
        <v>-0.11634804857620173</v>
      </c>
      <c r="D32" s="12">
        <f>'Índice salarios (INDEC)'!U44/'Índice salarios (INDEC)'!U32-1</f>
        <v>-0.11717315817298579</v>
      </c>
      <c r="E32" s="12">
        <f>'Índice salarios (INDEC)'!V44/'Índice salarios (INDEC)'!V32-1</f>
        <v>-0.11720821957105121</v>
      </c>
      <c r="F32" s="12">
        <f>'Índice salarios (INDEC)'!W44/'Índice salarios (INDEC)'!W32-1</f>
        <v>-0.1384679913025828</v>
      </c>
      <c r="G32" s="12">
        <f>'Índice salarios (INDEC)'!X44/'Índice salarios (INDEC)'!X32-1</f>
        <v>-0.12151862757809639</v>
      </c>
    </row>
    <row r="33" spans="1:7" ht="12.5">
      <c r="A33" s="47">
        <v>2019</v>
      </c>
      <c r="B33" s="5" t="s">
        <v>19</v>
      </c>
      <c r="C33" s="12">
        <f>'Índice salarios (INDEC)'!T45/'Índice salarios (INDEC)'!T33-1</f>
        <v>-0.11077088308887328</v>
      </c>
      <c r="D33" s="12">
        <f>'Índice salarios (INDEC)'!U45/'Índice salarios (INDEC)'!U33-1</f>
        <v>-0.10832010612483922</v>
      </c>
      <c r="E33" s="12">
        <f>'Índice salarios (INDEC)'!V45/'Índice salarios (INDEC)'!V33-1</f>
        <v>-0.10980911419701644</v>
      </c>
      <c r="F33" s="12">
        <f>'Índice salarios (INDEC)'!W45/'Índice salarios (INDEC)'!W33-1</f>
        <v>-0.13078140301575503</v>
      </c>
      <c r="G33" s="12">
        <f>'Índice salarios (INDEC)'!X45/'Índice salarios (INDEC)'!X33-1</f>
        <v>-0.11399899429371008</v>
      </c>
    </row>
    <row r="34" spans="1:7" ht="12.5">
      <c r="A34" s="44"/>
      <c r="B34" s="5" t="s">
        <v>21</v>
      </c>
      <c r="C34" s="12">
        <f>'Índice salarios (INDEC)'!T46/'Índice salarios (INDEC)'!T34-1</f>
        <v>-0.10488137072188264</v>
      </c>
      <c r="D34" s="12">
        <f>'Índice salarios (INDEC)'!U46/'Índice salarios (INDEC)'!U34-1</f>
        <v>-0.10299721027357378</v>
      </c>
      <c r="E34" s="12">
        <f>'Índice salarios (INDEC)'!V46/'Índice salarios (INDEC)'!V34-1</f>
        <v>-0.10402233601289979</v>
      </c>
      <c r="F34" s="12">
        <f>'Índice salarios (INDEC)'!W46/'Índice salarios (INDEC)'!W34-1</f>
        <v>-0.13062006250329572</v>
      </c>
      <c r="G34" s="12">
        <f>'Índice salarios (INDEC)'!X46/'Índice salarios (INDEC)'!X34-1</f>
        <v>-0.11009026263533994</v>
      </c>
    </row>
    <row r="35" spans="1:7" ht="12.5">
      <c r="A35" s="44"/>
      <c r="B35" s="5" t="s">
        <v>23</v>
      </c>
      <c r="C35" s="12">
        <f>'Índice salarios (INDEC)'!T47/'Índice salarios (INDEC)'!T35-1</f>
        <v>-0.10659198853221985</v>
      </c>
      <c r="D35" s="12">
        <f>'Índice salarios (INDEC)'!U47/'Índice salarios (INDEC)'!U35-1</f>
        <v>-0.10113034850987057</v>
      </c>
      <c r="E35" s="12">
        <f>'Índice salarios (INDEC)'!V47/'Índice salarios (INDEC)'!V35-1</f>
        <v>-0.10487338930086054</v>
      </c>
      <c r="F35" s="12">
        <f>'Índice salarios (INDEC)'!W47/'Índice salarios (INDEC)'!W35-1</f>
        <v>-0.14297365540053653</v>
      </c>
      <c r="G35" s="12">
        <f>'Índice salarios (INDEC)'!X47/'Índice salarios (INDEC)'!X35-1</f>
        <v>-0.11258287285397506</v>
      </c>
    </row>
    <row r="36" spans="1:7" ht="12.5">
      <c r="A36" s="44"/>
      <c r="B36" s="5" t="s">
        <v>24</v>
      </c>
      <c r="C36" s="12">
        <f>'Índice salarios (INDEC)'!T48/'Índice salarios (INDEC)'!T36-1</f>
        <v>-0.11955665931522641</v>
      </c>
      <c r="D36" s="12">
        <f>'Índice salarios (INDEC)'!U48/'Índice salarios (INDEC)'!U36-1</f>
        <v>-0.10323698602363629</v>
      </c>
      <c r="E36" s="12">
        <f>'Índice salarios (INDEC)'!V48/'Índice salarios (INDEC)'!V36-1</f>
        <v>-0.11392149149568387</v>
      </c>
      <c r="F36" s="12">
        <f>'Índice salarios (INDEC)'!W48/'Índice salarios (INDEC)'!W36-1</f>
        <v>-0.15839361416864495</v>
      </c>
      <c r="G36" s="12">
        <f>'Índice salarios (INDEC)'!X48/'Índice salarios (INDEC)'!X36-1</f>
        <v>-0.12301316908668758</v>
      </c>
    </row>
    <row r="37" spans="1:7" ht="12.5">
      <c r="A37" s="44"/>
      <c r="B37" s="5" t="s">
        <v>25</v>
      </c>
      <c r="C37" s="12">
        <f>'Índice salarios (INDEC)'!T49/'Índice salarios (INDEC)'!T37-1</f>
        <v>-0.11281052465704855</v>
      </c>
      <c r="D37" s="12">
        <f>'Índice salarios (INDEC)'!U49/'Índice salarios (INDEC)'!U37-1</f>
        <v>-0.10498288386400301</v>
      </c>
      <c r="E37" s="12">
        <f>'Índice salarios (INDEC)'!V49/'Índice salarios (INDEC)'!V37-1</f>
        <v>-0.10963313183631729</v>
      </c>
      <c r="F37" s="12">
        <f>'Índice salarios (INDEC)'!W49/'Índice salarios (INDEC)'!W37-1</f>
        <v>-0.1608583925615642</v>
      </c>
      <c r="G37" s="12">
        <f>'Índice salarios (INDEC)'!X49/'Índice salarios (INDEC)'!X37-1</f>
        <v>-0.11984636019288475</v>
      </c>
    </row>
    <row r="38" spans="1:7" ht="12.5">
      <c r="A38" s="44"/>
      <c r="B38" s="5" t="s">
        <v>26</v>
      </c>
      <c r="C38" s="12">
        <f>'Índice salarios (INDEC)'!T50/'Índice salarios (INDEC)'!T38-1</f>
        <v>-9.3341436334666072E-2</v>
      </c>
      <c r="D38" s="12">
        <f>'Índice salarios (INDEC)'!U50/'Índice salarios (INDEC)'!U38-1</f>
        <v>-8.9660981733612588E-2</v>
      </c>
      <c r="E38" s="12">
        <f>'Índice salarios (INDEC)'!V50/'Índice salarios (INDEC)'!V38-1</f>
        <v>-9.2196907876436973E-2</v>
      </c>
      <c r="F38" s="12">
        <f>'Índice salarios (INDEC)'!W50/'Índice salarios (INDEC)'!W38-1</f>
        <v>-0.14080068029834492</v>
      </c>
      <c r="G38" s="12">
        <f>'Índice salarios (INDEC)'!X50/'Índice salarios (INDEC)'!X38-1</f>
        <v>-0.10139437955198138</v>
      </c>
    </row>
    <row r="39" spans="1:7" ht="12.5">
      <c r="A39" s="44"/>
      <c r="B39" s="5" t="s">
        <v>27</v>
      </c>
      <c r="C39" s="12">
        <f>'Índice salarios (INDEC)'!T51/'Índice salarios (INDEC)'!T39-1</f>
        <v>-6.764912584903382E-2</v>
      </c>
      <c r="D39" s="12">
        <f>'Índice salarios (INDEC)'!U51/'Índice salarios (INDEC)'!U39-1</f>
        <v>-5.1633154776374535E-2</v>
      </c>
      <c r="E39" s="12">
        <f>'Índice salarios (INDEC)'!V51/'Índice salarios (INDEC)'!V39-1</f>
        <v>-6.237588468700439E-2</v>
      </c>
      <c r="F39" s="12">
        <f>'Índice salarios (INDEC)'!W51/'Índice salarios (INDEC)'!W39-1</f>
        <v>-0.12781678972137434</v>
      </c>
      <c r="G39" s="12">
        <f>'Índice salarios (INDEC)'!X51/'Índice salarios (INDEC)'!X39-1</f>
        <v>-7.5048383662395191E-2</v>
      </c>
    </row>
    <row r="40" spans="1:7" ht="12.5">
      <c r="A40" s="44"/>
      <c r="B40" s="5" t="s">
        <v>28</v>
      </c>
      <c r="C40" s="12">
        <f>'Índice salarios (INDEC)'!T52/'Índice salarios (INDEC)'!T40-1</f>
        <v>-6.8946715792049695E-2</v>
      </c>
      <c r="D40" s="12">
        <f>'Índice salarios (INDEC)'!U52/'Índice salarios (INDEC)'!U40-1</f>
        <v>-6.3546835933037338E-2</v>
      </c>
      <c r="E40" s="12">
        <f>'Índice salarios (INDEC)'!V52/'Índice salarios (INDEC)'!V40-1</f>
        <v>-6.7062469887797627E-2</v>
      </c>
      <c r="F40" s="12">
        <f>'Índice salarios (INDEC)'!W52/'Índice salarios (INDEC)'!W40-1</f>
        <v>-0.12820765029093761</v>
      </c>
      <c r="G40" s="12">
        <f>'Índice salarios (INDEC)'!X52/'Índice salarios (INDEC)'!X40-1</f>
        <v>-7.9390179353326484E-2</v>
      </c>
    </row>
    <row r="41" spans="1:7" ht="12.5">
      <c r="A41" s="44"/>
      <c r="B41" s="5" t="s">
        <v>29</v>
      </c>
      <c r="C41" s="12">
        <f>'Índice salarios (INDEC)'!T53/'Índice salarios (INDEC)'!T41-1</f>
        <v>-6.0990974750139482E-2</v>
      </c>
      <c r="D41" s="12">
        <f>'Índice salarios (INDEC)'!U53/'Índice salarios (INDEC)'!U41-1</f>
        <v>-5.7182061977710807E-2</v>
      </c>
      <c r="E41" s="12">
        <f>'Índice salarios (INDEC)'!V53/'Índice salarios (INDEC)'!V41-1</f>
        <v>-5.9796688661613584E-2</v>
      </c>
      <c r="F41" s="12">
        <f>'Índice salarios (INDEC)'!W53/'Índice salarios (INDEC)'!W41-1</f>
        <v>-0.14092636139217662</v>
      </c>
      <c r="G41" s="12">
        <f>'Índice salarios (INDEC)'!X53/'Índice salarios (INDEC)'!X41-1</f>
        <v>-7.5383180472349598E-2</v>
      </c>
    </row>
    <row r="42" spans="1:7" ht="12.5">
      <c r="A42" s="44"/>
      <c r="B42" s="5" t="s">
        <v>13</v>
      </c>
      <c r="C42" s="12">
        <f>'Índice salarios (INDEC)'!T54/'Índice salarios (INDEC)'!T42-1</f>
        <v>-4.2658625295719954E-2</v>
      </c>
      <c r="D42" s="12">
        <f>'Índice salarios (INDEC)'!U54/'Índice salarios (INDEC)'!U42-1</f>
        <v>-5.2884870225215375E-2</v>
      </c>
      <c r="E42" s="12">
        <f>'Índice salarios (INDEC)'!V54/'Índice salarios (INDEC)'!V42-1</f>
        <v>-4.6134520524512723E-2</v>
      </c>
      <c r="F42" s="12">
        <f>'Índice salarios (INDEC)'!W54/'Índice salarios (INDEC)'!W42-1</f>
        <v>-0.12015047468011952</v>
      </c>
      <c r="G42" s="12">
        <f>'Índice salarios (INDEC)'!X54/'Índice salarios (INDEC)'!X42-1</f>
        <v>-6.0642633458982687E-2</v>
      </c>
    </row>
    <row r="43" spans="1:7" ht="12.5">
      <c r="A43" s="44"/>
      <c r="B43" s="5" t="s">
        <v>16</v>
      </c>
      <c r="C43" s="12">
        <f>'Índice salarios (INDEC)'!T55/'Índice salarios (INDEC)'!T43-1</f>
        <v>-5.0211944728721591E-2</v>
      </c>
      <c r="D43" s="12">
        <f>'Índice salarios (INDEC)'!U55/'Índice salarios (INDEC)'!U43-1</f>
        <v>-6.5148339406293498E-2</v>
      </c>
      <c r="E43" s="12">
        <f>'Índice salarios (INDEC)'!V55/'Índice salarios (INDEC)'!V43-1</f>
        <v>-5.5791927689502696E-2</v>
      </c>
      <c r="F43" s="12">
        <f>'Índice salarios (INDEC)'!W55/'Índice salarios (INDEC)'!W43-1</f>
        <v>-0.15415336470918251</v>
      </c>
      <c r="G43" s="12">
        <f>'Índice salarios (INDEC)'!X55/'Índice salarios (INDEC)'!X43-1</f>
        <v>-7.5095026649386165E-2</v>
      </c>
    </row>
    <row r="44" spans="1:7" ht="12.5">
      <c r="A44" s="44"/>
      <c r="B44" s="5" t="s">
        <v>18</v>
      </c>
      <c r="C44" s="12">
        <f>'Índice salarios (INDEC)'!T56/'Índice salarios (INDEC)'!T44-1</f>
        <v>-6.2380214029833403E-2</v>
      </c>
      <c r="D44" s="12">
        <f>'Índice salarios (INDEC)'!U56/'Índice salarios (INDEC)'!U44-1</f>
        <v>-7.1513276558076044E-2</v>
      </c>
      <c r="E44" s="12">
        <f>'Índice salarios (INDEC)'!V56/'Índice salarios (INDEC)'!V44-1</f>
        <v>-6.5422075766263799E-2</v>
      </c>
      <c r="F44" s="12">
        <f>'Índice salarios (INDEC)'!W56/'Índice salarios (INDEC)'!W44-1</f>
        <v>-0.15823931359110066</v>
      </c>
      <c r="G44" s="12">
        <f>'Índice salarios (INDEC)'!X56/'Índice salarios (INDEC)'!X44-1</f>
        <v>-8.4027005302033553E-2</v>
      </c>
    </row>
    <row r="45" spans="1:7" ht="12.5">
      <c r="A45" s="47">
        <v>2020</v>
      </c>
      <c r="B45" s="5" t="s">
        <v>19</v>
      </c>
      <c r="C45" s="12">
        <f>'Índice salarios (INDEC)'!T57/'Índice salarios (INDEC)'!T45-1</f>
        <v>-1.0362444394252823E-2</v>
      </c>
      <c r="D45" s="12">
        <f>'Índice salarios (INDEC)'!U57/'Índice salarios (INDEC)'!U45-1</f>
        <v>-6.42103574922811E-2</v>
      </c>
      <c r="E45" s="12">
        <f>'Índice salarios (INDEC)'!V57/'Índice salarios (INDEC)'!V45-1</f>
        <v>-3.0104932201859724E-2</v>
      </c>
      <c r="F45" s="12">
        <f>'Índice salarios (INDEC)'!W57/'Índice salarios (INDEC)'!W45-1</f>
        <v>-0.14051727885160814</v>
      </c>
      <c r="G45" s="12">
        <f>'Índice salarios (INDEC)'!X57/'Índice salarios (INDEC)'!X45-1</f>
        <v>-5.2290121255966548E-2</v>
      </c>
    </row>
    <row r="46" spans="1:7" ht="12.5">
      <c r="A46" s="44"/>
      <c r="B46" s="5" t="s">
        <v>21</v>
      </c>
      <c r="C46" s="12">
        <f>'Índice salarios (INDEC)'!T58/'Índice salarios (INDEC)'!T46-1</f>
        <v>2.4891468143115603E-2</v>
      </c>
      <c r="D46" s="12">
        <f>'Índice salarios (INDEC)'!U58/'Índice salarios (INDEC)'!U46-1</f>
        <v>-4.5458591436755236E-2</v>
      </c>
      <c r="E46" s="12">
        <f>'Índice salarios (INDEC)'!V58/'Índice salarios (INDEC)'!V46-1</f>
        <v>-7.1612828619360691E-4</v>
      </c>
      <c r="F46" s="12">
        <f>'Índice salarios (INDEC)'!W58/'Índice salarios (INDEC)'!W46-1</f>
        <v>-0.12030565312127306</v>
      </c>
      <c r="G46" s="12">
        <f>'Índice salarios (INDEC)'!X58/'Índice salarios (INDEC)'!X46-1</f>
        <v>-2.4405274029494883E-2</v>
      </c>
    </row>
    <row r="47" spans="1:7" ht="12.5">
      <c r="A47" s="44"/>
      <c r="B47" s="5" t="s">
        <v>23</v>
      </c>
      <c r="C47" s="12">
        <f>'Índice salarios (INDEC)'!T59/'Índice salarios (INDEC)'!T47-1</f>
        <v>2.5214521750703156E-2</v>
      </c>
      <c r="D47" s="12">
        <f>'Índice salarios (INDEC)'!U59/'Índice salarios (INDEC)'!U47-1</f>
        <v>-4.5035234519726353E-2</v>
      </c>
      <c r="E47" s="12">
        <f>'Índice salarios (INDEC)'!V59/'Índice salarios (INDEC)'!V47-1</f>
        <v>-4.5967776676703043E-4</v>
      </c>
      <c r="F47" s="12">
        <f>'Índice salarios (INDEC)'!W59/'Índice salarios (INDEC)'!W47-1</f>
        <v>-0.10235046716331742</v>
      </c>
      <c r="G47" s="12">
        <f>'Índice salarios (INDEC)'!X59/'Índice salarios (INDEC)'!X47-1</f>
        <v>-2.0481777601909723E-2</v>
      </c>
    </row>
    <row r="48" spans="1:7" ht="12.5">
      <c r="A48" s="44"/>
      <c r="B48" s="5" t="s">
        <v>24</v>
      </c>
      <c r="C48" s="12">
        <f>'Índice salarios (INDEC)'!T60/'Índice salarios (INDEC)'!T48-1</f>
        <v>1.4326771765453161E-2</v>
      </c>
      <c r="D48" s="12">
        <f>'Índice salarios (INDEC)'!U60/'Índice salarios (INDEC)'!U48-1</f>
        <v>-4.0693611639016525E-2</v>
      </c>
      <c r="E48" s="12">
        <f>'Índice salarios (INDEC)'!V60/'Índice salarios (INDEC)'!V48-1</f>
        <v>-5.535025241415803E-3</v>
      </c>
      <c r="F48" s="12">
        <f>'Índice salarios (INDEC)'!W60/'Índice salarios (INDEC)'!W48-1</f>
        <v>-9.0078420777714885E-2</v>
      </c>
      <c r="G48" s="12">
        <f>'Índice salarios (INDEC)'!X60/'Índice salarios (INDEC)'!X48-1</f>
        <v>-2.2184687044620843E-2</v>
      </c>
    </row>
    <row r="49" spans="1:7" ht="12.5">
      <c r="A49" s="44"/>
      <c r="B49" s="5" t="s">
        <v>25</v>
      </c>
      <c r="C49" s="12">
        <f>'Índice salarios (INDEC)'!T61/'Índice salarios (INDEC)'!T49-1</f>
        <v>-1.4452506406126941E-2</v>
      </c>
      <c r="D49" s="12">
        <f>'Índice salarios (INDEC)'!U61/'Índice salarios (INDEC)'!U49-1</f>
        <v>-4.3992994115000794E-2</v>
      </c>
      <c r="E49" s="12">
        <f>'Índice salarios (INDEC)'!V61/'Índice salarios (INDEC)'!V49-1</f>
        <v>-2.5260164588272627E-2</v>
      </c>
      <c r="F49" s="12">
        <f>'Índice salarios (INDEC)'!W61/'Índice salarios (INDEC)'!W49-1</f>
        <v>-7.8480165356864973E-2</v>
      </c>
      <c r="G49" s="12">
        <f>'Índice salarios (INDEC)'!X61/'Índice salarios (INDEC)'!X49-1</f>
        <v>-3.5564614591676147E-2</v>
      </c>
    </row>
    <row r="50" spans="1:7" ht="12.5">
      <c r="A50" s="44"/>
      <c r="B50" s="5" t="s">
        <v>26</v>
      </c>
      <c r="C50" s="12">
        <f>'Índice salarios (INDEC)'!T62/'Índice salarios (INDEC)'!T50-1</f>
        <v>-3.4214412402024164E-2</v>
      </c>
      <c r="D50" s="12">
        <f>'Índice salarios (INDEC)'!U62/'Índice salarios (INDEC)'!U50-1</f>
        <v>-5.086794726239019E-2</v>
      </c>
      <c r="E50" s="12">
        <f>'Índice salarios (INDEC)'!V62/'Índice salarios (INDEC)'!V50-1</f>
        <v>-4.0067202409493574E-2</v>
      </c>
      <c r="F50" s="12">
        <f>'Índice salarios (INDEC)'!W62/'Índice salarios (INDEC)'!W50-1</f>
        <v>-6.2437240122698801E-2</v>
      </c>
      <c r="G50" s="12">
        <f>'Índice salarios (INDEC)'!X62/'Índice salarios (INDEC)'!X50-1</f>
        <v>-4.4002601855406054E-2</v>
      </c>
    </row>
    <row r="51" spans="1:7" ht="12.5">
      <c r="A51" s="44"/>
      <c r="B51" s="5" t="s">
        <v>27</v>
      </c>
      <c r="C51" s="12">
        <f>'Índice salarios (INDEC)'!T63/'Índice salarios (INDEC)'!T51-1</f>
        <v>-5.927067668555519E-2</v>
      </c>
      <c r="D51" s="12">
        <f>'Índice salarios (INDEC)'!U63/'Índice salarios (INDEC)'!U51-1</f>
        <v>-9.4560176042224664E-2</v>
      </c>
      <c r="E51" s="12">
        <f>'Índice salarios (INDEC)'!V63/'Índice salarios (INDEC)'!V51-1</f>
        <v>-7.2050713736636518E-2</v>
      </c>
      <c r="F51" s="12">
        <f>'Índice salarios (INDEC)'!W63/'Índice salarios (INDEC)'!W51-1</f>
        <v>-5.3429657824997201E-2</v>
      </c>
      <c r="G51" s="12">
        <f>'Índice salarios (INDEC)'!X63/'Índice salarios (INDEC)'!X51-1</f>
        <v>-6.8515081680219692E-2</v>
      </c>
    </row>
    <row r="52" spans="1:7" ht="12.5">
      <c r="A52" s="44"/>
      <c r="B52" s="5" t="s">
        <v>28</v>
      </c>
      <c r="C52" s="12">
        <f>'Índice salarios (INDEC)'!T64/'Índice salarios (INDEC)'!T52-1</f>
        <v>-5.4629896887556928E-2</v>
      </c>
      <c r="D52" s="12">
        <f>'Índice salarios (INDEC)'!U64/'Índice salarios (INDEC)'!U52-1</f>
        <v>-9.2407544542200015E-2</v>
      </c>
      <c r="E52" s="12">
        <f>'Índice salarios (INDEC)'!V64/'Índice salarios (INDEC)'!V52-1</f>
        <v>-6.7999844092817452E-2</v>
      </c>
      <c r="F52" s="12">
        <f>'Índice salarios (INDEC)'!W64/'Índice salarios (INDEC)'!W52-1</f>
        <v>-3.1019111773565755E-2</v>
      </c>
      <c r="G52" s="12">
        <f>'Índice salarios (INDEC)'!X64/'Índice salarios (INDEC)'!X52-1</f>
        <v>-6.1321460009348905E-2</v>
      </c>
    </row>
    <row r="53" spans="1:7" ht="12.5">
      <c r="A53" s="44"/>
      <c r="B53" s="5" t="s">
        <v>29</v>
      </c>
      <c r="C53" s="12">
        <f>'Índice salarios (INDEC)'!T65/'Índice salarios (INDEC)'!T53-1</f>
        <v>-3.0810904715963372E-2</v>
      </c>
      <c r="D53" s="12">
        <f>'Índice salarios (INDEC)'!U65/'Índice salarios (INDEC)'!U53-1</f>
        <v>-6.8813002015502556E-2</v>
      </c>
      <c r="E53" s="12">
        <f>'Índice salarios (INDEC)'!V65/'Índice salarios (INDEC)'!V53-1</f>
        <v>-4.4654351734939257E-2</v>
      </c>
      <c r="F53" s="12">
        <f>'Índice salarios (INDEC)'!W65/'Índice salarios (INDEC)'!W53-1</f>
        <v>7.0228404106729148E-3</v>
      </c>
      <c r="G53" s="12">
        <f>'Índice salarios (INDEC)'!X65/'Índice salarios (INDEC)'!X53-1</f>
        <v>-3.5331376242474954E-2</v>
      </c>
    </row>
    <row r="54" spans="1:7" ht="12.5">
      <c r="A54" s="44"/>
      <c r="B54" s="5" t="s">
        <v>13</v>
      </c>
      <c r="C54" s="12">
        <f>'Índice salarios (INDEC)'!T66/'Índice salarios (INDEC)'!T54-1</f>
        <v>-2.0336404101821692E-2</v>
      </c>
      <c r="D54" s="12">
        <f>'Índice salarios (INDEC)'!U66/'Índice salarios (INDEC)'!U54-1</f>
        <v>-7.2122655158107674E-2</v>
      </c>
      <c r="E54" s="12">
        <f>'Índice salarios (INDEC)'!V66/'Índice salarios (INDEC)'!V54-1</f>
        <v>-3.9297839909716248E-2</v>
      </c>
      <c r="F54" s="12">
        <f>'Índice salarios (INDEC)'!W66/'Índice salarios (INDEC)'!W54-1</f>
        <v>3.2648949407949601E-3</v>
      </c>
      <c r="G54" s="12">
        <f>'Índice salarios (INDEC)'!X66/'Índice salarios (INDEC)'!X54-1</f>
        <v>-3.1547276082177E-2</v>
      </c>
    </row>
    <row r="55" spans="1:7" ht="12.5">
      <c r="A55" s="44"/>
      <c r="B55" s="5" t="s">
        <v>16</v>
      </c>
      <c r="C55" s="12">
        <f>'Índice salarios (INDEC)'!T67/'Índice salarios (INDEC)'!T55-1</f>
        <v>-1.167907709502225E-2</v>
      </c>
      <c r="D55" s="12">
        <f>'Índice salarios (INDEC)'!U67/'Índice salarios (INDEC)'!U55-1</f>
        <v>-6.1532316282321697E-2</v>
      </c>
      <c r="E55" s="12">
        <f>'Índice salarios (INDEC)'!V67/'Índice salarios (INDEC)'!V55-1</f>
        <v>-2.9668785664512254E-2</v>
      </c>
      <c r="F55" s="12">
        <f>'Índice salarios (INDEC)'!W67/'Índice salarios (INDEC)'!W55-1</f>
        <v>6.537107193267544E-2</v>
      </c>
      <c r="G55" s="12">
        <f>'Índice salarios (INDEC)'!X67/'Índice salarios (INDEC)'!X55-1</f>
        <v>-1.2359868476494618E-2</v>
      </c>
    </row>
    <row r="56" spans="1:7" ht="12.5">
      <c r="A56" s="44"/>
      <c r="B56" s="5" t="s">
        <v>18</v>
      </c>
      <c r="C56" s="12">
        <f>'Índice salarios (INDEC)'!T68/'Índice salarios (INDEC)'!T56-1</f>
        <v>-1.2771302020853303E-2</v>
      </c>
      <c r="D56" s="12">
        <f>'Índice salarios (INDEC)'!U68/'Índice salarios (INDEC)'!U56-1</f>
        <v>-6.8332798610013956E-2</v>
      </c>
      <c r="E56" s="12">
        <f>'Índice salarios (INDEC)'!V68/'Índice salarios (INDEC)'!V56-1</f>
        <v>-3.3393694236436677E-2</v>
      </c>
      <c r="F56" s="12">
        <f>'Índice salarios (INDEC)'!W68/'Índice salarios (INDEC)'!W56-1</f>
        <v>2.1449127669630252E-2</v>
      </c>
      <c r="G56" s="12">
        <f>'Índice salarios (INDEC)'!X68/'Índice salarios (INDEC)'!X56-1</f>
        <v>-2.3072866060511621E-2</v>
      </c>
    </row>
    <row r="57" spans="1:7" ht="12.5">
      <c r="A57" s="47">
        <v>2021</v>
      </c>
      <c r="B57" s="5" t="s">
        <v>19</v>
      </c>
      <c r="C57" s="12">
        <f>'Índice salarios (INDEC)'!T69/'Índice salarios (INDEC)'!T57-1</f>
        <v>-7.043476196403331E-2</v>
      </c>
      <c r="D57" s="12">
        <f>'Índice salarios (INDEC)'!U69/'Índice salarios (INDEC)'!U57-1</f>
        <v>-8.7203055219404746E-2</v>
      </c>
      <c r="E57" s="12">
        <f>'Índice salarios (INDEC)'!V69/'Índice salarios (INDEC)'!V57-1</f>
        <v>-7.6358473242347569E-2</v>
      </c>
      <c r="F57" s="12">
        <f>'Índice salarios (INDEC)'!W69/'Índice salarios (INDEC)'!W57-1</f>
        <v>-1.2718967317323915E-2</v>
      </c>
      <c r="G57" s="12">
        <f>'Índice salarios (INDEC)'!X69/'Índice salarios (INDEC)'!X57-1</f>
        <v>-6.4829278069775453E-2</v>
      </c>
    </row>
    <row r="58" spans="1:7" ht="12.5">
      <c r="A58" s="44"/>
      <c r="B58" s="5" t="s">
        <v>21</v>
      </c>
      <c r="C58" s="12">
        <f>'Índice salarios (INDEC)'!T70/'Índice salarios (INDEC)'!T58-1</f>
        <v>-8.0272615418328419E-2</v>
      </c>
      <c r="D58" s="12">
        <f>'Índice salarios (INDEC)'!U70/'Índice salarios (INDEC)'!U58-1</f>
        <v>-9.285129745429499E-2</v>
      </c>
      <c r="E58" s="12">
        <f>'Índice salarios (INDEC)'!V70/'Índice salarios (INDEC)'!V58-1</f>
        <v>-8.4716731621358732E-2</v>
      </c>
      <c r="F58" s="12">
        <f>'Índice salarios (INDEC)'!W70/'Índice salarios (INDEC)'!W58-1</f>
        <v>-3.1154588039144504E-2</v>
      </c>
      <c r="G58" s="12">
        <f>'Índice salarios (INDEC)'!X70/'Índice salarios (INDEC)'!X58-1</f>
        <v>-7.482449233681121E-2</v>
      </c>
    </row>
    <row r="59" spans="1:7" ht="12.5">
      <c r="A59" s="44"/>
      <c r="B59" s="5" t="s">
        <v>23</v>
      </c>
      <c r="C59" s="12">
        <f>'Índice salarios (INDEC)'!T71/'Índice salarios (INDEC)'!T59-1</f>
        <v>-7.8080100839391764E-2</v>
      </c>
      <c r="D59" s="12">
        <f>'Índice salarios (INDEC)'!U71/'Índice salarios (INDEC)'!U59-1</f>
        <v>-7.6310738236852305E-2</v>
      </c>
      <c r="E59" s="12">
        <f>'Índice salarios (INDEC)'!V71/'Índice salarios (INDEC)'!V59-1</f>
        <v>-7.7399729916257765E-2</v>
      </c>
      <c r="F59" s="12">
        <f>'Índice salarios (INDEC)'!W71/'Índice salarios (INDEC)'!W59-1</f>
        <v>-3.7041200177643452E-2</v>
      </c>
      <c r="G59" s="12">
        <f>'Índice salarios (INDEC)'!X71/'Índice salarios (INDEC)'!X59-1</f>
        <v>-7.0166735142452641E-2</v>
      </c>
    </row>
    <row r="60" spans="1:7" ht="12.5">
      <c r="A60" s="44"/>
      <c r="B60" s="5" t="s">
        <v>24</v>
      </c>
      <c r="C60" s="12">
        <f>'Índice salarios (INDEC)'!T72/'Índice salarios (INDEC)'!T60-1</f>
        <v>-5.6355992179075387E-2</v>
      </c>
      <c r="D60" s="12">
        <f>'Índice salarios (INDEC)'!U72/'Índice salarios (INDEC)'!U60-1</f>
        <v>-9.0450026313639187E-2</v>
      </c>
      <c r="E60" s="12">
        <f>'Índice salarios (INDEC)'!V72/'Índice salarios (INDEC)'!V60-1</f>
        <v>-6.8613462262647307E-2</v>
      </c>
      <c r="F60" s="12">
        <f>'Índice salarios (INDEC)'!W72/'Índice salarios (INDEC)'!W60-1</f>
        <v>-5.4118774254857671E-2</v>
      </c>
      <c r="G60" s="12">
        <f>'Índice salarios (INDEC)'!X72/'Índice salarios (INDEC)'!X60-1</f>
        <v>-6.5860146963727995E-2</v>
      </c>
    </row>
    <row r="61" spans="1:7" ht="12.5">
      <c r="A61" s="44"/>
      <c r="B61" s="5" t="s">
        <v>25</v>
      </c>
      <c r="C61" s="12">
        <f>'Índice salarios (INDEC)'!T73/'Índice salarios (INDEC)'!T61-1</f>
        <v>-3.7704293668134325E-2</v>
      </c>
      <c r="D61" s="12">
        <f>'Índice salarios (INDEC)'!U73/'Índice salarios (INDEC)'!U61-1</f>
        <v>-8.5034744878340396E-2</v>
      </c>
      <c r="E61" s="12">
        <f>'Índice salarios (INDEC)'!V73/'Índice salarios (INDEC)'!V61-1</f>
        <v>-5.4439583213251819E-2</v>
      </c>
      <c r="F61" s="12">
        <f>'Índice salarios (INDEC)'!W73/'Índice salarios (INDEC)'!W61-1</f>
        <v>-5.7095160235578812E-2</v>
      </c>
      <c r="G61" s="12">
        <f>'Índice salarios (INDEC)'!X73/'Índice salarios (INDEC)'!X61-1</f>
        <v>-5.4876714756466494E-2</v>
      </c>
    </row>
    <row r="62" spans="1:7" ht="12.5">
      <c r="A62" s="44"/>
      <c r="B62" s="5" t="s">
        <v>26</v>
      </c>
      <c r="C62" s="12">
        <f>'Índice salarios (INDEC)'!T74/'Índice salarios (INDEC)'!T62-1</f>
        <v>-3.083604049595523E-2</v>
      </c>
      <c r="D62" s="12">
        <f>'Índice salarios (INDEC)'!U74/'Índice salarios (INDEC)'!U62-1</f>
        <v>-6.5201953670860346E-2</v>
      </c>
      <c r="E62" s="12">
        <f>'Índice salarios (INDEC)'!V74/'Índice salarios (INDEC)'!V62-1</f>
        <v>-4.3253033747704062E-2</v>
      </c>
      <c r="F62" s="12">
        <f>'Índice salarios (INDEC)'!W74/'Índice salarios (INDEC)'!W62-1</f>
        <v>-6.8978175321469326E-2</v>
      </c>
      <c r="G62" s="12">
        <f>'Índice salarios (INDEC)'!X74/'Índice salarios (INDEC)'!X62-1</f>
        <v>-4.8043286687486586E-2</v>
      </c>
    </row>
    <row r="63" spans="1:7" ht="12.5">
      <c r="A63" s="44"/>
      <c r="B63" s="5" t="s">
        <v>27</v>
      </c>
      <c r="C63" s="12">
        <f>'Índice salarios (INDEC)'!T75/'Índice salarios (INDEC)'!T63-1</f>
        <v>-4.728800698280522E-3</v>
      </c>
      <c r="D63" s="12">
        <f>'Índice salarios (INDEC)'!U75/'Índice salarios (INDEC)'!U63-1</f>
        <v>-2.9696398312829775E-2</v>
      </c>
      <c r="E63" s="12">
        <f>'Índice salarios (INDEC)'!V75/'Índice salarios (INDEC)'!V63-1</f>
        <v>-1.3767950034796583E-2</v>
      </c>
      <c r="F63" s="12">
        <f>'Índice salarios (INDEC)'!W75/'Índice salarios (INDEC)'!W63-1</f>
        <v>-9.5129896670183345E-2</v>
      </c>
      <c r="G63" s="12">
        <f>'Índice salarios (INDEC)'!X75/'Índice salarios (INDEC)'!X63-1</f>
        <v>-2.9051020411351214E-2</v>
      </c>
    </row>
    <row r="64" spans="1:7" ht="12.5">
      <c r="A64" s="44"/>
      <c r="B64" s="5" t="s">
        <v>28</v>
      </c>
      <c r="C64" s="12">
        <f>'Índice salarios (INDEC)'!T76/'Índice salarios (INDEC)'!T64-1</f>
        <v>9.9266739587338115E-3</v>
      </c>
      <c r="D64" s="12">
        <f>'Índice salarios (INDEC)'!U76/'Índice salarios (INDEC)'!U64-1</f>
        <v>-4.0273028893483831E-3</v>
      </c>
      <c r="E64" s="12">
        <f>'Índice salarios (INDEC)'!V76/'Índice salarios (INDEC)'!V64-1</f>
        <v>4.8787790898006111E-3</v>
      </c>
      <c r="F64" s="12">
        <f>'Índice salarios (INDEC)'!W76/'Índice salarios (INDEC)'!W64-1</f>
        <v>-0.10365860213152345</v>
      </c>
      <c r="G64" s="12">
        <f>'Índice salarios (INDEC)'!X76/'Índice salarios (INDEC)'!X64-1</f>
        <v>-1.5783638894956931E-2</v>
      </c>
    </row>
    <row r="65" spans="1:7" ht="12.5">
      <c r="A65" s="44"/>
      <c r="B65" s="5" t="s">
        <v>29</v>
      </c>
      <c r="C65" s="12">
        <f>'Índice salarios (INDEC)'!T77/'Índice salarios (INDEC)'!T65-1</f>
        <v>1.7592333107702141E-2</v>
      </c>
      <c r="D65" s="12">
        <f>'Índice salarios (INDEC)'!U77/'Índice salarios (INDEC)'!U65-1</f>
        <v>2.2656095880612348E-2</v>
      </c>
      <c r="E65" s="12">
        <f>'Índice salarios (INDEC)'!V77/'Índice salarios (INDEC)'!V65-1</f>
        <v>1.9488664396712263E-2</v>
      </c>
      <c r="F65" s="12">
        <f>'Índice salarios (INDEC)'!W77/'Índice salarios (INDEC)'!W65-1</f>
        <v>-0.1225235729081452</v>
      </c>
      <c r="G65" s="12">
        <f>'Índice salarios (INDEC)'!X77/'Índice salarios (INDEC)'!X65-1</f>
        <v>-7.8809381054241179E-3</v>
      </c>
    </row>
    <row r="66" spans="1:7" ht="12.5">
      <c r="A66" s="44"/>
      <c r="B66" s="5" t="s">
        <v>13</v>
      </c>
      <c r="C66" s="12">
        <f>'Índice salarios (INDEC)'!T78/'Índice salarios (INDEC)'!T66-1</f>
        <v>4.1409183261174043E-3</v>
      </c>
      <c r="D66" s="12">
        <f>'Índice salarios (INDEC)'!U78/'Índice salarios (INDEC)'!U66-1</f>
        <v>3.0397022296578591E-2</v>
      </c>
      <c r="E66" s="12">
        <f>'Índice salarios (INDEC)'!V78/'Índice salarios (INDEC)'!V66-1</f>
        <v>1.3426066422116856E-2</v>
      </c>
      <c r="F66" s="12">
        <f>'Índice salarios (INDEC)'!W78/'Índice salarios (INDEC)'!W66-1</f>
        <v>-9.0007452300302604E-2</v>
      </c>
      <c r="G66" s="12">
        <f>'Índice salarios (INDEC)'!X78/'Índice salarios (INDEC)'!X66-1</f>
        <v>-5.8255293718094681E-3</v>
      </c>
    </row>
    <row r="67" spans="1:7" ht="12.5">
      <c r="A67" s="44"/>
      <c r="B67" s="5" t="s">
        <v>16</v>
      </c>
      <c r="C67" s="12">
        <f>'Índice salarios (INDEC)'!T79/'Índice salarios (INDEC)'!T67-1</f>
        <v>2.8912107324337688E-2</v>
      </c>
      <c r="D67" s="12">
        <f>'Índice salarios (INDEC)'!U79/'Índice salarios (INDEC)'!U67-1</f>
        <v>4.6561595578335613E-2</v>
      </c>
      <c r="E67" s="12">
        <f>'Índice salarios (INDEC)'!V79/'Índice salarios (INDEC)'!V67-1</f>
        <v>3.5099749708071615E-2</v>
      </c>
      <c r="F67" s="12">
        <f>'Índice salarios (INDEC)'!W79/'Índice salarios (INDEC)'!W67-1</f>
        <v>-0.11062685464193245</v>
      </c>
      <c r="G67" s="12">
        <f>'Índice salarios (INDEC)'!X79/'Índice salarios (INDEC)'!X67-1</f>
        <v>6.6547258222546812E-3</v>
      </c>
    </row>
    <row r="68" spans="1:7" ht="12.5">
      <c r="A68" s="44"/>
      <c r="B68" s="5" t="s">
        <v>18</v>
      </c>
      <c r="C68" s="12">
        <f>'Índice salarios (INDEC)'!T80/'Índice salarios (INDEC)'!T68-1</f>
        <v>2.9064025580539887E-2</v>
      </c>
      <c r="D68" s="12">
        <f>'Índice salarios (INDEC)'!U80/'Índice salarios (INDEC)'!U68-1</f>
        <v>5.1638642013335456E-2</v>
      </c>
      <c r="E68" s="12">
        <f>'Índice salarios (INDEC)'!V80/'Índice salarios (INDEC)'!V68-1</f>
        <v>3.7292962523323592E-2</v>
      </c>
      <c r="F68" s="12">
        <f>'Índice salarios (INDEC)'!W80/'Índice salarios (INDEC)'!W68-1</f>
        <v>-6.8358282467835596E-2</v>
      </c>
      <c r="G68" s="12">
        <f>'Índice salarios (INDEC)'!X80/'Índice salarios (INDEC)'!X68-1</f>
        <v>1.6625439385954399E-2</v>
      </c>
    </row>
    <row r="69" spans="1:7" ht="12.5">
      <c r="A69" s="47">
        <v>2022</v>
      </c>
      <c r="B69" s="5" t="s">
        <v>19</v>
      </c>
      <c r="C69" s="12">
        <f>'Índice salarios (INDEC)'!T81/'Índice salarios (INDEC)'!T69-1</f>
        <v>3.6807808779312667E-2</v>
      </c>
      <c r="D69" s="12">
        <f>'Índice salarios (INDEC)'!U81/'Índice salarios (INDEC)'!U69-1</f>
        <v>5.8124666109542034E-2</v>
      </c>
      <c r="E69" s="12">
        <f>'Índice salarios (INDEC)'!V81/'Índice salarios (INDEC)'!V69-1</f>
        <v>4.4251385084546957E-2</v>
      </c>
      <c r="F69" s="12">
        <f>'Índice salarios (INDEC)'!W81/'Índice salarios (INDEC)'!W69-1</f>
        <v>-6.6148453104273308E-2</v>
      </c>
      <c r="G69" s="12">
        <f>'Índice salarios (INDEC)'!X81/'Índice salarios (INDEC)'!X69-1</f>
        <v>2.3031331220210172E-2</v>
      </c>
    </row>
    <row r="70" spans="1:7" ht="12.5">
      <c r="A70" s="44"/>
      <c r="B70" s="5" t="s">
        <v>21</v>
      </c>
      <c r="C70" s="12">
        <f>'Índice salarios (INDEC)'!T82/'Índice salarios (INDEC)'!T70-1</f>
        <v>1.3506003061769745E-2</v>
      </c>
      <c r="D70" s="12">
        <f>'Índice salarios (INDEC)'!U82/'Índice salarios (INDEC)'!U70-1</f>
        <v>3.2466218325496454E-2</v>
      </c>
      <c r="E70" s="12">
        <f>'Índice salarios (INDEC)'!V82/'Índice salarios (INDEC)'!V70-1</f>
        <v>2.0059552554306359E-2</v>
      </c>
      <c r="F70" s="12">
        <f>'Índice salarios (INDEC)'!W82/'Índice salarios (INDEC)'!W70-1</f>
        <v>-8.1899566932801871E-2</v>
      </c>
      <c r="G70" s="12">
        <f>'Índice salarios (INDEC)'!X82/'Índice salarios (INDEC)'!X70-1</f>
        <v>5.3328010363928868E-4</v>
      </c>
    </row>
    <row r="71" spans="1:7" ht="12.5">
      <c r="A71" s="44"/>
      <c r="B71" s="5" t="s">
        <v>23</v>
      </c>
      <c r="C71" s="12">
        <f>'Índice salarios (INDEC)'!T83/'Índice salarios (INDEC)'!T71-1</f>
        <v>9.3004990756835326E-3</v>
      </c>
      <c r="D71" s="12">
        <f>'Índice salarios (INDEC)'!U83/'Índice salarios (INDEC)'!U71-1</f>
        <v>5.6866852664370082E-2</v>
      </c>
      <c r="E71" s="12">
        <f>'Índice salarios (INDEC)'!V83/'Índice salarios (INDEC)'!V71-1</f>
        <v>2.6098438547013991E-2</v>
      </c>
      <c r="F71" s="12">
        <f>'Índice salarios (INDEC)'!W83/'Índice salarios (INDEC)'!W71-1</f>
        <v>-8.6470037012949752E-2</v>
      </c>
      <c r="G71" s="12">
        <f>'Índice salarios (INDEC)'!X83/'Índice salarios (INDEC)'!X71-1</f>
        <v>4.9236505949954434E-3</v>
      </c>
    </row>
    <row r="72" spans="1:7" ht="12.5">
      <c r="A72" s="44"/>
      <c r="B72" s="5" t="s">
        <v>24</v>
      </c>
      <c r="C72" s="12">
        <f>'Índice salarios (INDEC)'!T84/'Índice salarios (INDEC)'!T72-1</f>
        <v>-5.1297977605446743E-4</v>
      </c>
      <c r="D72" s="12">
        <f>'Índice salarios (INDEC)'!U84/'Índice salarios (INDEC)'!U72-1</f>
        <v>4.9518203619260071E-2</v>
      </c>
      <c r="E72" s="12">
        <f>'Índice salarios (INDEC)'!V84/'Índice salarios (INDEC)'!V72-1</f>
        <v>1.6596037844718747E-2</v>
      </c>
      <c r="F72" s="12">
        <f>'Índice salarios (INDEC)'!W84/'Índice salarios (INDEC)'!W72-1</f>
        <v>-5.3147723466933972E-2</v>
      </c>
      <c r="G72" s="12">
        <f>'Índice salarios (INDEC)'!X84/'Índice salarios (INDEC)'!X72-1</f>
        <v>3.7609001829099764E-3</v>
      </c>
    </row>
    <row r="73" spans="1:7" ht="12.5">
      <c r="A73" s="44"/>
      <c r="B73" s="5" t="s">
        <v>25</v>
      </c>
      <c r="C73" s="12">
        <f>'Índice salarios (INDEC)'!T85/'Índice salarios (INDEC)'!T73-1</f>
        <v>1.5113421556603113E-2</v>
      </c>
      <c r="D73" s="12">
        <f>'Índice salarios (INDEC)'!U85/'Índice salarios (INDEC)'!U73-1</f>
        <v>6.9119912839884723E-2</v>
      </c>
      <c r="E73" s="12">
        <f>'Índice salarios (INDEC)'!V85/'Índice salarios (INDEC)'!V73-1</f>
        <v>3.3790444578716938E-2</v>
      </c>
      <c r="F73" s="12">
        <f>'Índice salarios (INDEC)'!W85/'Índice salarios (INDEC)'!W73-1</f>
        <v>-4.8128223380994761E-2</v>
      </c>
      <c r="G73" s="12">
        <f>'Índice salarios (INDEC)'!X85/'Índice salarios (INDEC)'!X73-1</f>
        <v>1.8827368637746034E-2</v>
      </c>
    </row>
    <row r="74" spans="1:7" ht="12.5">
      <c r="A74" s="44"/>
      <c r="B74" s="5" t="s">
        <v>26</v>
      </c>
      <c r="C74" s="12">
        <f>'Índice salarios (INDEC)'!T86/'Índice salarios (INDEC)'!T74-1</f>
        <v>2.7125132446773392E-2</v>
      </c>
      <c r="D74" s="12">
        <f>'Índice salarios (INDEC)'!U86/'Índice salarios (INDEC)'!U74-1</f>
        <v>5.3665311192384824E-2</v>
      </c>
      <c r="E74" s="12">
        <f>'Índice salarios (INDEC)'!V86/'Índice salarios (INDEC)'!V74-1</f>
        <v>3.6438462327517573E-2</v>
      </c>
      <c r="F74" s="12">
        <f>'Índice salarios (INDEC)'!W86/'Índice salarios (INDEC)'!W74-1</f>
        <v>-3.5366100187010474E-2</v>
      </c>
      <c r="G74" s="12">
        <f>'Índice salarios (INDEC)'!X86/'Índice salarios (INDEC)'!X74-1</f>
        <v>2.3321389078953869E-2</v>
      </c>
    </row>
    <row r="75" spans="1:7" ht="12.5">
      <c r="A75" s="44"/>
      <c r="B75" s="5" t="s">
        <v>27</v>
      </c>
      <c r="C75" s="12">
        <f>'Índice salarios (INDEC)'!T87/'Índice salarios (INDEC)'!T75-1</f>
        <v>-1.2828931364567864E-2</v>
      </c>
      <c r="D75" s="12">
        <f>'Índice salarios (INDEC)'!U87/'Índice salarios (INDEC)'!U75-1</f>
        <v>2.2832827697202518E-2</v>
      </c>
      <c r="E75" s="12">
        <f>'Índice salarios (INDEC)'!V87/'Índice salarios (INDEC)'!V75-1</f>
        <v>-3.2554076452850911E-4</v>
      </c>
      <c r="F75" s="12">
        <f>'Índice salarios (INDEC)'!W87/'Índice salarios (INDEC)'!W75-1</f>
        <v>-6.9766080202454783E-2</v>
      </c>
      <c r="G75" s="12">
        <f>'Índice salarios (INDEC)'!X87/'Índice salarios (INDEC)'!X75-1</f>
        <v>-1.2599489372887906E-2</v>
      </c>
    </row>
    <row r="76" spans="1:7" ht="12.5">
      <c r="A76" s="44"/>
      <c r="B76" s="5" t="s">
        <v>28</v>
      </c>
      <c r="C76" s="12">
        <f>'Índice salarios (INDEC)'!T88/'Índice salarios (INDEC)'!T76-1</f>
        <v>-1.0419700425900236E-2</v>
      </c>
      <c r="D76" s="12">
        <f>'Índice salarios (INDEC)'!U88/'Índice salarios (INDEC)'!U76-1</f>
        <v>-1.0685436163062612E-2</v>
      </c>
      <c r="E76" s="12">
        <f>'Índice salarios (INDEC)'!V88/'Índice salarios (INDEC)'!V76-1</f>
        <v>-1.0631050915803075E-2</v>
      </c>
      <c r="F76" s="12">
        <f>'Índice salarios (INDEC)'!W88/'Índice salarios (INDEC)'!W76-1</f>
        <v>-8.3994929336172031E-2</v>
      </c>
      <c r="G76" s="12">
        <f>'Índice salarios (INDEC)'!X88/'Índice salarios (INDEC)'!X76-1</f>
        <v>-2.3307565526333396E-2</v>
      </c>
    </row>
    <row r="77" spans="1:7" ht="12.5">
      <c r="A77" s="44"/>
      <c r="B77" s="5" t="s">
        <v>29</v>
      </c>
      <c r="C77" s="12">
        <f>'Índice salarios (INDEC)'!T89/'Índice salarios (INDEC)'!T77-1</f>
        <v>-1.4985517841824669E-2</v>
      </c>
      <c r="D77" s="12">
        <f>'Índice salarios (INDEC)'!U89/'Índice salarios (INDEC)'!U77-1</f>
        <v>-2.6068044225148301E-2</v>
      </c>
      <c r="E77" s="12">
        <f>'Índice salarios (INDEC)'!V89/'Índice salarios (INDEC)'!V77-1</f>
        <v>-1.9043337000026361E-2</v>
      </c>
      <c r="F77" s="12">
        <f>'Índice salarios (INDEC)'!W89/'Índice salarios (INDEC)'!W77-1</f>
        <v>-4.4161370834837621E-2</v>
      </c>
      <c r="G77" s="12">
        <f>'Índice salarios (INDEC)'!X89/'Índice salarios (INDEC)'!X77-1</f>
        <v>-2.311533716059111E-2</v>
      </c>
    </row>
    <row r="78" spans="1:7" ht="12.5">
      <c r="A78" s="44"/>
      <c r="B78" s="5" t="s">
        <v>13</v>
      </c>
      <c r="C78" s="12">
        <f>'Índice salarios (INDEC)'!T90/'Índice salarios (INDEC)'!T78-1</f>
        <v>-2.6309892695017045E-2</v>
      </c>
      <c r="D78" s="12">
        <f>'Índice salarios (INDEC)'!U90/'Índice salarios (INDEC)'!U78-1</f>
        <v>-3.0415465954930498E-2</v>
      </c>
      <c r="E78" s="12">
        <f>'Índice salarios (INDEC)'!V90/'Índice salarios (INDEC)'!V78-1</f>
        <v>-2.7645659152524482E-2</v>
      </c>
      <c r="F78" s="12">
        <f>'Índice salarios (INDEC)'!W90/'Índice salarios (INDEC)'!W78-1</f>
        <v>-9.1646017449962813E-2</v>
      </c>
      <c r="G78" s="12">
        <f>'Índice salarios (INDEC)'!X90/'Índice salarios (INDEC)'!X78-1</f>
        <v>-3.8881604649932178E-2</v>
      </c>
    </row>
    <row r="79" spans="1:7" ht="12.5">
      <c r="A79" s="44"/>
      <c r="B79" s="5" t="s">
        <v>16</v>
      </c>
      <c r="C79" s="12">
        <f>'Índice salarios (INDEC)'!T91/'Índice salarios (INDEC)'!T79-1</f>
        <v>-2.2449370833348081E-2</v>
      </c>
      <c r="D79" s="12">
        <f>'Índice salarios (INDEC)'!U91/'Índice salarios (INDEC)'!U79-1</f>
        <v>-2.5067041940601609E-2</v>
      </c>
      <c r="E79" s="12">
        <f>'Índice salarios (INDEC)'!V91/'Índice salarios (INDEC)'!V79-1</f>
        <v>-2.3408872012678827E-2</v>
      </c>
      <c r="F79" s="12">
        <f>'Índice salarios (INDEC)'!W91/'Índice salarios (INDEC)'!W79-1</f>
        <v>-9.4620197557633179E-2</v>
      </c>
      <c r="G79" s="12">
        <f>'Índice salarios (INDEC)'!X91/'Índice salarios (INDEC)'!X79-1</f>
        <v>-3.5661892124766781E-2</v>
      </c>
    </row>
    <row r="80" spans="1:7" ht="12.5">
      <c r="A80" s="44"/>
      <c r="B80" s="5" t="s">
        <v>18</v>
      </c>
      <c r="C80" s="12">
        <f>'Índice salarios (INDEC)'!T92/'Índice salarios (INDEC)'!T80-1</f>
        <v>-5.0149708146773886E-3</v>
      </c>
      <c r="D80" s="12">
        <f>'Índice salarios (INDEC)'!U92/'Índice salarios (INDEC)'!U80-1</f>
        <v>2.3503632842293731E-2</v>
      </c>
      <c r="E80" s="12">
        <f>'Índice salarios (INDEC)'!V92/'Índice salarios (INDEC)'!V80-1</f>
        <v>5.1118683419320021E-3</v>
      </c>
      <c r="F80" s="12">
        <f>'Índice salarios (INDEC)'!W92/'Índice salarios (INDEC)'!W80-1</f>
        <v>-0.15057015636926041</v>
      </c>
      <c r="G80" s="12">
        <f>'Índice salarios (INDEC)'!X92/'Índice salarios (INDEC)'!X80-1</f>
        <v>-2.2489168160263251E-2</v>
      </c>
    </row>
    <row r="81" spans="1:7" ht="12.5">
      <c r="A81" s="47">
        <v>2023</v>
      </c>
      <c r="B81" s="5" t="s">
        <v>19</v>
      </c>
      <c r="C81" s="12">
        <f>'Índice salarios (INDEC)'!T93/'Índice salarios (INDEC)'!T81-1</f>
        <v>-2.5206697944780032E-2</v>
      </c>
      <c r="D81" s="12">
        <f>'Índice salarios (INDEC)'!U93/'Índice salarios (INDEC)'!U81-1</f>
        <v>1.3019718988595885E-2</v>
      </c>
      <c r="E81" s="12">
        <f>'Índice salarios (INDEC)'!V93/'Índice salarios (INDEC)'!V81-1</f>
        <v>-1.1659014465068895E-2</v>
      </c>
      <c r="F81" s="12">
        <f>'Índice salarios (INDEC)'!W93/'Índice salarios (INDEC)'!W81-1</f>
        <v>-0.13342174801561513</v>
      </c>
      <c r="G81" s="12">
        <f>'Índice salarios (INDEC)'!X93/'Índice salarios (INDEC)'!X81-1</f>
        <v>-3.3142957889415015E-2</v>
      </c>
    </row>
    <row r="82" spans="1:7" ht="12.5">
      <c r="A82" s="44"/>
      <c r="B82" s="5" t="s">
        <v>21</v>
      </c>
      <c r="C82" s="12">
        <f>'Índice salarios (INDEC)'!T94/'Índice salarios (INDEC)'!T82-1</f>
        <v>-1.4624677270307584E-2</v>
      </c>
      <c r="D82" s="12">
        <f>'Índice salarios (INDEC)'!U94/'Índice salarios (INDEC)'!U82-1</f>
        <v>9.3134265460590449E-3</v>
      </c>
      <c r="E82" s="12">
        <f>'Índice salarios (INDEC)'!V94/'Índice salarios (INDEC)'!V82-1</f>
        <v>-6.2140779239453492E-3</v>
      </c>
      <c r="F82" s="12">
        <f>'Índice salarios (INDEC)'!W94/'Índice salarios (INDEC)'!W82-1</f>
        <v>-0.10781933014342793</v>
      </c>
      <c r="G82" s="12">
        <f>'Índice salarios (INDEC)'!X94/'Índice salarios (INDEC)'!X82-1</f>
        <v>-2.4122321628204157E-2</v>
      </c>
    </row>
    <row r="83" spans="1:7" ht="12.5">
      <c r="A83" s="44"/>
      <c r="B83" s="5" t="s">
        <v>23</v>
      </c>
      <c r="C83" s="12">
        <f>'Índice salarios (INDEC)'!T95/'Índice salarios (INDEC)'!T83-1</f>
        <v>-1.0029378616206452E-3</v>
      </c>
      <c r="D83" s="12">
        <f>'Índice salarios (INDEC)'!U95/'Índice salarios (INDEC)'!U83-1</f>
        <v>3.7460057462141538E-2</v>
      </c>
      <c r="E83" s="12">
        <f>'Índice salarios (INDEC)'!V95/'Índice salarios (INDEC)'!V83-1</f>
        <v>1.3044469962164129E-2</v>
      </c>
      <c r="F83" s="12">
        <f>'Índice salarios (INDEC)'!W95/'Índice salarios (INDEC)'!W83-1</f>
        <v>-0.11252216530825421</v>
      </c>
      <c r="G83" s="12">
        <f>'Índice salarios (INDEC)'!X95/'Índice salarios (INDEC)'!X83-1</f>
        <v>-8.6643508336904373E-3</v>
      </c>
    </row>
    <row r="84" spans="1:7" ht="12.5">
      <c r="A84" s="44"/>
      <c r="B84" s="5" t="s">
        <v>24</v>
      </c>
      <c r="C84" s="12">
        <f>'Índice salarios (INDEC)'!T96/'Índice salarios (INDEC)'!T84-1</f>
        <v>-1.143617932611718E-2</v>
      </c>
      <c r="D84" s="12">
        <f>'Índice salarios (INDEC)'!U96/'Índice salarios (INDEC)'!U84-1</f>
        <v>2.8350014938035573E-2</v>
      </c>
      <c r="E84" s="12">
        <f>'Índice salarios (INDEC)'!V96/'Índice salarios (INDEC)'!V84-1</f>
        <v>2.8455536058249464E-3</v>
      </c>
      <c r="F84" s="12">
        <f>'Índice salarios (INDEC)'!W96/'Índice salarios (INDEC)'!W84-1</f>
        <v>-0.15002646819736642</v>
      </c>
      <c r="G84" s="12">
        <f>'Índice salarios (INDEC)'!X96/'Índice salarios (INDEC)'!X84-1</f>
        <v>-2.392438047050327E-2</v>
      </c>
    </row>
    <row r="85" spans="1:7" ht="12.5">
      <c r="A85" s="44"/>
      <c r="B85" s="5" t="s">
        <v>25</v>
      </c>
      <c r="C85" s="12">
        <f>'Índice salarios (INDEC)'!T97/'Índice salarios (INDEC)'!T85-1</f>
        <v>-2.5667883844199157E-2</v>
      </c>
      <c r="D85" s="12">
        <f>'Índice salarios (INDEC)'!U97/'Índice salarios (INDEC)'!U85-1</f>
        <v>1.995143527385701E-2</v>
      </c>
      <c r="E85" s="12">
        <f>'Índice salarios (INDEC)'!V97/'Índice salarios (INDEC)'!V85-1</f>
        <v>-9.3926830160421249E-3</v>
      </c>
      <c r="F85" s="12">
        <f>'Índice salarios (INDEC)'!W97/'Índice salarios (INDEC)'!W85-1</f>
        <v>-0.17161233952759958</v>
      </c>
      <c r="G85" s="12">
        <f>'Índice salarios (INDEC)'!X97/'Índice salarios (INDEC)'!X85-1</f>
        <v>-3.6876301382397836E-2</v>
      </c>
    </row>
    <row r="86" spans="1:7" ht="12.5">
      <c r="A86" s="44"/>
      <c r="B86" s="5" t="s">
        <v>26</v>
      </c>
      <c r="C86" s="15">
        <f>'Índice salarios (INDEC)'!T98/'Índice salarios (INDEC)'!T86-1</f>
        <v>-2.6151025304402276E-2</v>
      </c>
      <c r="D86" s="15">
        <f>'Índice salarios (INDEC)'!U98/'Índice salarios (INDEC)'!U86-1</f>
        <v>2.6918224136158075E-2</v>
      </c>
      <c r="E86" s="15">
        <f>'Índice salarios (INDEC)'!V98/'Índice salarios (INDEC)'!V86-1</f>
        <v>-7.1760876851578725E-3</v>
      </c>
      <c r="F86" s="15">
        <f>'Índice salarios (INDEC)'!W98/'Índice salarios (INDEC)'!W86-1</f>
        <v>-0.15414449652358786</v>
      </c>
      <c r="G86" s="15">
        <f>'Índice salarios (INDEC)'!X98/'Índice salarios (INDEC)'!X86-1</f>
        <v>-3.2136917332274972E-2</v>
      </c>
    </row>
    <row r="87" spans="1:7" ht="12.5">
      <c r="A87" s="44"/>
      <c r="B87" s="5" t="s">
        <v>27</v>
      </c>
      <c r="C87" s="15">
        <f>'Índice salarios (INDEC)'!T99/'Índice salarios (INDEC)'!T87-1</f>
        <v>3.4381979487782655E-2</v>
      </c>
      <c r="D87" s="15">
        <f>'Índice salarios (INDEC)'!U99/'Índice salarios (INDEC)'!U87-1</f>
        <v>9.5541956090914759E-2</v>
      </c>
      <c r="E87" s="15">
        <f>'Índice salarios (INDEC)'!V99/'Índice salarios (INDEC)'!V87-1</f>
        <v>5.6425301380865323E-2</v>
      </c>
      <c r="F87" s="15">
        <f>'Índice salarios (INDEC)'!W99/'Índice salarios (INDEC)'!W87-1</f>
        <v>-0.11189174256889634</v>
      </c>
      <c r="G87" s="15">
        <f>'Índice salarios (INDEC)'!X99/'Índice salarios (INDEC)'!X87-1</f>
        <v>2.8538713283286832E-2</v>
      </c>
    </row>
    <row r="88" spans="1:7" ht="12.5">
      <c r="A88" s="44"/>
      <c r="B88" s="5" t="s">
        <v>28</v>
      </c>
      <c r="C88" s="15">
        <f>'Índice salarios (INDEC)'!T100/'Índice salarios (INDEC)'!T88-1</f>
        <v>-1.34879925538679E-2</v>
      </c>
      <c r="D88" s="15">
        <f>'Índice salarios (INDEC)'!U100/'Índice salarios (INDEC)'!U88-1</f>
        <v>6.0655320337419605E-2</v>
      </c>
      <c r="E88" s="15">
        <f>'Índice salarios (INDEC)'!V100/'Índice salarios (INDEC)'!V88-1</f>
        <v>1.25743948478787E-2</v>
      </c>
      <c r="F88" s="15">
        <f>'Índice salarios (INDEC)'!W100/'Índice salarios (INDEC)'!W88-1</f>
        <v>-0.12942950582854562</v>
      </c>
      <c r="G88" s="15">
        <f>'Índice salarios (INDEC)'!X100/'Índice salarios (INDEC)'!X88-1</f>
        <v>-1.0839003254046631E-2</v>
      </c>
    </row>
    <row r="89" spans="1:7" ht="12.5">
      <c r="A89" s="44"/>
      <c r="B89" s="5" t="s">
        <v>29</v>
      </c>
      <c r="C89" s="15">
        <f>'Índice salarios (INDEC)'!T101/'Índice salarios (INDEC)'!T89-1</f>
        <v>-5.3555644766095645E-3</v>
      </c>
      <c r="D89" s="15">
        <f>'Índice salarios (INDEC)'!U101/'Índice salarios (INDEC)'!U89-1</f>
        <v>2.937491411497728E-2</v>
      </c>
      <c r="E89" s="15">
        <f>'Índice salarios (INDEC)'!V101/'Índice salarios (INDEC)'!V89-1</f>
        <v>7.0130976601412431E-3</v>
      </c>
      <c r="F89" s="15">
        <f>'Índice salarios (INDEC)'!W101/'Índice salarios (INDEC)'!W89-1</f>
        <v>-0.18351025296260381</v>
      </c>
      <c r="G89" s="15">
        <f>'Índice salarios (INDEC)'!X101/'Índice salarios (INDEC)'!X89-1</f>
        <v>-2.4623831957530373E-2</v>
      </c>
    </row>
    <row r="90" spans="1:7" ht="12.5">
      <c r="A90" s="44"/>
      <c r="B90" s="5" t="s">
        <v>13</v>
      </c>
      <c r="C90" s="15">
        <f>'Índice salarios (INDEC)'!T102/'Índice salarios (INDEC)'!T90-1</f>
        <v>8.0846382636865499E-3</v>
      </c>
      <c r="D90" s="15">
        <f>'Índice salarios (INDEC)'!U102/'Índice salarios (INDEC)'!U90-1</f>
        <v>4.0528903279672956E-2</v>
      </c>
      <c r="E90" s="15">
        <f>'Índice salarios (INDEC)'!V102/'Índice salarios (INDEC)'!V90-1</f>
        <v>1.9629270351802397E-2</v>
      </c>
      <c r="F90" s="15">
        <f>'Índice salarios (INDEC)'!W102/'Índice salarios (INDEC)'!W90-1</f>
        <v>-0.18478845212691919</v>
      </c>
      <c r="G90" s="15">
        <f>'Índice salarios (INDEC)'!X102/'Índice salarios (INDEC)'!X90-1</f>
        <v>-1.352642415851002E-2</v>
      </c>
    </row>
    <row r="91" spans="1:7" ht="12.5">
      <c r="A91" s="44"/>
      <c r="B91" s="5" t="s">
        <v>16</v>
      </c>
      <c r="C91" s="15">
        <f>'Índice salarios (INDEC)'!T103/'Índice salarios (INDEC)'!T91-1</f>
        <v>-3.9798091787278445E-2</v>
      </c>
      <c r="D91" s="15">
        <f>'Índice salarios (INDEC)'!U103/'Índice salarios (INDEC)'!U91-1</f>
        <v>-1.2941257088771363E-2</v>
      </c>
      <c r="E91" s="15">
        <f>'Índice salarios (INDEC)'!V103/'Índice salarios (INDEC)'!V91-1</f>
        <v>-3.0325471915655156E-2</v>
      </c>
      <c r="F91" s="15">
        <f>'Índice salarios (INDEC)'!W103/'Índice salarios (INDEC)'!W91-1</f>
        <v>-0.22833995971517673</v>
      </c>
      <c r="G91" s="15">
        <f>'Índice salarios (INDEC)'!X103/'Índice salarios (INDEC)'!X91-1</f>
        <v>-6.2457747777175388E-2</v>
      </c>
    </row>
    <row r="92" spans="1:7" ht="12.5">
      <c r="A92" s="44"/>
      <c r="B92" s="5" t="s">
        <v>18</v>
      </c>
      <c r="C92" s="15">
        <f>'Índice salarios (INDEC)'!T104/'Índice salarios (INDEC)'!T92-1</f>
        <v>-0.14591246952874104</v>
      </c>
      <c r="D92" s="15">
        <f>'Índice salarios (INDEC)'!U104/'Índice salarios (INDEC)'!U92-1</f>
        <v>-0.20118976423336876</v>
      </c>
      <c r="E92" s="15">
        <f>'Índice salarios (INDEC)'!V104/'Índice salarios (INDEC)'!V92-1</f>
        <v>-0.166046458148006</v>
      </c>
      <c r="F92" s="15">
        <f>'Índice salarios (INDEC)'!W104/'Índice salarios (INDEC)'!W92-1</f>
        <v>-0.30820637516859817</v>
      </c>
      <c r="G92" s="15">
        <f>'Índice salarios (INDEC)'!X104/'Índice salarios (INDEC)'!X92-1</f>
        <v>-0.18808475961108861</v>
      </c>
    </row>
    <row r="93" spans="1:7" ht="12.5">
      <c r="A93" s="47">
        <v>2024</v>
      </c>
      <c r="B93" s="5" t="s">
        <v>19</v>
      </c>
      <c r="C93" s="15">
        <f>'Índice salarios (INDEC)'!T105/'Índice salarios (INDEC)'!T93-1</f>
        <v>-0.1388442942419299</v>
      </c>
      <c r="D93" s="15">
        <f>'Índice salarios (INDEC)'!U105/'Índice salarios (INDEC)'!U93-1</f>
        <v>-0.24263233331805811</v>
      </c>
      <c r="E93" s="15">
        <f>'Índice salarios (INDEC)'!V105/'Índice salarios (INDEC)'!V93-1</f>
        <v>-0.17644457867546071</v>
      </c>
      <c r="F93" s="15">
        <f>'Índice salarios (INDEC)'!W105/'Índice salarios (INDEC)'!W93-1</f>
        <v>-0.36623860503955397</v>
      </c>
      <c r="G93" s="15">
        <f>'Índice salarios (INDEC)'!X105/'Índice salarios (INDEC)'!X93-1</f>
        <v>-0.20642644495845386</v>
      </c>
    </row>
    <row r="94" spans="1:7" ht="12.5">
      <c r="A94" s="44"/>
      <c r="B94" s="5" t="s">
        <v>21</v>
      </c>
      <c r="C94" s="15">
        <f>'Índice salarios (INDEC)'!T106/'Índice salarios (INDEC)'!T94-1</f>
        <v>-0.13466199907981713</v>
      </c>
      <c r="D94" s="15">
        <f>'Índice salarios (INDEC)'!U106/'Índice salarios (INDEC)'!U94-1</f>
        <v>-0.20949864555614039</v>
      </c>
      <c r="E94" s="15">
        <f>'Índice salarios (INDEC)'!V106/'Índice salarios (INDEC)'!V94-1</f>
        <v>-0.16125030049782352</v>
      </c>
      <c r="F94" s="15">
        <f>'Índice salarios (INDEC)'!W106/'Índice salarios (INDEC)'!W94-1</f>
        <v>-0.41086722449856961</v>
      </c>
      <c r="G94" s="15">
        <f>'Índice salarios (INDEC)'!X106/'Índice salarios (INDEC)'!X94-1</f>
        <v>-0.20103427482979563</v>
      </c>
    </row>
    <row r="95" spans="1:7" ht="12.5">
      <c r="A95" s="44"/>
      <c r="B95" s="5" t="s">
        <v>23</v>
      </c>
      <c r="C95" s="15">
        <f>'Índice salarios (INDEC)'!T107/'Índice salarios (INDEC)'!T95-1</f>
        <v>-0.14397824993449326</v>
      </c>
      <c r="D95" s="15">
        <f>'Índice salarios (INDEC)'!U107/'Índice salarios (INDEC)'!U95-1</f>
        <v>-0.26786156525651672</v>
      </c>
      <c r="E95" s="15">
        <f>'Índice salarios (INDEC)'!V107/'Índice salarios (INDEC)'!V95-1</f>
        <v>-0.19018099140818046</v>
      </c>
      <c r="F95" s="15">
        <f>'Índice salarios (INDEC)'!W107/'Índice salarios (INDEC)'!W95-1</f>
        <v>-0.40854812431834797</v>
      </c>
      <c r="G95" s="15">
        <f>'Índice salarios (INDEC)'!X107/'Índice salarios (INDEC)'!X95-1</f>
        <v>-0.22370019727928947</v>
      </c>
    </row>
    <row r="96" spans="1:7" ht="12.5">
      <c r="A96" s="44"/>
      <c r="B96" s="5" t="s">
        <v>24</v>
      </c>
      <c r="C96" s="15">
        <f>'Índice salarios (INDEC)'!T108/'Índice salarios (INDEC)'!T96-1</f>
        <v>-0.10640706868102345</v>
      </c>
      <c r="D96" s="15">
        <f>'Índice salarios (INDEC)'!U108/'Índice salarios (INDEC)'!U96-1</f>
        <v>-0.24640603200264311</v>
      </c>
      <c r="E96" s="15">
        <f>'Índice salarios (INDEC)'!V108/'Índice salarios (INDEC)'!V96-1</f>
        <v>-0.1577389111989026</v>
      </c>
      <c r="F96" s="15">
        <f>'Índice salarios (INDEC)'!W108/'Índice salarios (INDEC)'!W96-1</f>
        <v>-0.3942923716533977</v>
      </c>
      <c r="G96" s="15">
        <f>'Índice salarios (INDEC)'!X108/'Índice salarios (INDEC)'!X96-1</f>
        <v>-0.19381332920809302</v>
      </c>
    </row>
    <row r="97" spans="1:7" ht="12.5">
      <c r="A97" s="44"/>
      <c r="B97" s="5" t="s">
        <v>25</v>
      </c>
      <c r="C97" s="15">
        <f>'Índice salarios (INDEC)'!T109/'Índice salarios (INDEC)'!T97-1</f>
        <v>-7.9523765971444393E-2</v>
      </c>
      <c r="D97" s="15">
        <f>'Índice salarios (INDEC)'!U109/'Índice salarios (INDEC)'!U97-1</f>
        <v>-0.22194364832155589</v>
      </c>
      <c r="E97" s="15">
        <f>'Índice salarios (INDEC)'!V109/'Índice salarios (INDEC)'!V97-1</f>
        <v>-0.13184207704496786</v>
      </c>
      <c r="F97" s="15">
        <f>'Índice salarios (INDEC)'!W109/'Índice salarios (INDEC)'!W97-1</f>
        <v>-0.32106030839424482</v>
      </c>
      <c r="G97" s="15">
        <f>'Índice salarios (INDEC)'!X109/'Índice salarios (INDEC)'!X97-1</f>
        <v>-0.15959082006710945</v>
      </c>
    </row>
    <row r="98" spans="1:7" ht="12.5">
      <c r="A98" s="44"/>
      <c r="B98" s="5" t="s">
        <v>26</v>
      </c>
      <c r="C98" s="15">
        <f>'Índice salarios (INDEC)'!T110/'Índice salarios (INDEC)'!T98-1</f>
        <v>-5.8524423261775649E-2</v>
      </c>
      <c r="D98" s="15">
        <f>'Índice salarios (INDEC)'!U110/'Índice salarios (INDEC)'!U98-1</f>
        <v>-0.2269385004443395</v>
      </c>
      <c r="E98" s="15">
        <f>'Índice salarios (INDEC)'!V110/'Índice salarios (INDEC)'!V98-1</f>
        <v>-0.12050563447637452</v>
      </c>
      <c r="F98" s="15">
        <f>'Índice salarios (INDEC)'!W110/'Índice salarios (INDEC)'!W98-1</f>
        <v>-0.30101477007943467</v>
      </c>
      <c r="G98" s="15">
        <f>'Índice salarios (INDEC)'!X110/'Índice salarios (INDEC)'!X98-1</f>
        <v>-0.14727326590126277</v>
      </c>
    </row>
    <row r="99" spans="1:7" ht="12.5">
      <c r="A99" s="44"/>
      <c r="B99" s="5" t="s">
        <v>27</v>
      </c>
    </row>
    <row r="100" spans="1:7" ht="12.5">
      <c r="A100" s="44"/>
      <c r="B100" s="5" t="s">
        <v>28</v>
      </c>
    </row>
    <row r="101" spans="1:7" ht="12.5">
      <c r="A101" s="44"/>
      <c r="B101" s="5" t="s">
        <v>29</v>
      </c>
    </row>
    <row r="102" spans="1:7" ht="12.5">
      <c r="A102" s="44"/>
      <c r="B102" s="5" t="s">
        <v>13</v>
      </c>
    </row>
    <row r="103" spans="1:7" ht="12.5">
      <c r="A103" s="44"/>
      <c r="B103" s="5" t="s">
        <v>16</v>
      </c>
    </row>
    <row r="104" spans="1:7" ht="12.5">
      <c r="A104" s="44"/>
      <c r="B104" s="5" t="s">
        <v>18</v>
      </c>
    </row>
  </sheetData>
  <mergeCells count="14">
    <mergeCell ref="F4:F5"/>
    <mergeCell ref="G4:G5"/>
    <mergeCell ref="A6:A8"/>
    <mergeCell ref="A9:A20"/>
    <mergeCell ref="A81:A92"/>
    <mergeCell ref="A93:A104"/>
    <mergeCell ref="A4:A5"/>
    <mergeCell ref="B4:B5"/>
    <mergeCell ref="C4:E4"/>
    <mergeCell ref="A21:A32"/>
    <mergeCell ref="A33:A44"/>
    <mergeCell ref="A45:A56"/>
    <mergeCell ref="A57:A68"/>
    <mergeCell ref="A69:A80"/>
  </mergeCells>
  <hyperlinks>
    <hyperlink ref="I8" r:id="rId1" xr:uid="{00000000-0004-0000-0100-000000000000}"/>
    <hyperlink ref="I9" r:id="rId2" location="gid=10837699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436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2.6328125" defaultRowHeight="15.75" customHeight="1"/>
  <cols>
    <col min="3" max="3" width="14.36328125" customWidth="1"/>
    <col min="5" max="5" width="16.26953125" customWidth="1"/>
    <col min="6" max="6" width="16.08984375" customWidth="1"/>
  </cols>
  <sheetData>
    <row r="1" spans="1:12">
      <c r="A1" s="1" t="s">
        <v>32</v>
      </c>
    </row>
    <row r="3" spans="1:12" ht="15.75" customHeight="1">
      <c r="A3" s="4" t="s">
        <v>33</v>
      </c>
      <c r="B3" s="4" t="s">
        <v>34</v>
      </c>
      <c r="C3" s="4" t="s">
        <v>35</v>
      </c>
      <c r="D3" s="4" t="s">
        <v>8</v>
      </c>
      <c r="E3" s="4" t="s">
        <v>36</v>
      </c>
      <c r="F3" s="4" t="s">
        <v>37</v>
      </c>
      <c r="G3" s="4" t="s">
        <v>38</v>
      </c>
    </row>
    <row r="4" spans="1:12" ht="15.75" customHeight="1">
      <c r="A4" s="16">
        <v>1994</v>
      </c>
      <c r="B4" s="16"/>
      <c r="C4" s="16"/>
      <c r="D4" s="17"/>
      <c r="E4" s="17"/>
      <c r="F4" s="18"/>
      <c r="G4" s="18"/>
    </row>
    <row r="5" spans="1:12" ht="15.75" customHeight="1">
      <c r="A5" s="5" t="s">
        <v>39</v>
      </c>
      <c r="B5" s="5">
        <v>874.87</v>
      </c>
      <c r="C5" s="12"/>
      <c r="D5" s="14">
        <f>D12*0.971</f>
        <v>97.1</v>
      </c>
      <c r="E5" s="13">
        <f t="shared" ref="E5:E10" si="0">B5*D$389/D5</f>
        <v>764236.59592329676</v>
      </c>
      <c r="F5" s="12"/>
      <c r="G5" s="19">
        <f t="shared" ref="G5:G10" si="1">E5*G$270/E$270</f>
        <v>85.248740973917279</v>
      </c>
      <c r="I5" s="5" t="s">
        <v>40</v>
      </c>
    </row>
    <row r="6" spans="1:12" ht="15.75" customHeight="1">
      <c r="A6" s="5" t="s">
        <v>41</v>
      </c>
      <c r="B6" s="5">
        <v>893</v>
      </c>
      <c r="C6" s="12">
        <f t="shared" ref="C6:C10" si="2">B6/B5-1</f>
        <v>2.0723078857430188E-2</v>
      </c>
      <c r="D6" s="14">
        <f>D5*1.0021</f>
        <v>97.303909999999988</v>
      </c>
      <c r="E6" s="13">
        <f t="shared" si="0"/>
        <v>778439.20882781083</v>
      </c>
      <c r="F6" s="12"/>
      <c r="G6" s="19">
        <f t="shared" si="1"/>
        <v>86.833008038735059</v>
      </c>
    </row>
    <row r="7" spans="1:12" ht="15.75" customHeight="1">
      <c r="A7" s="5" t="s">
        <v>42</v>
      </c>
      <c r="B7" s="5">
        <v>907.99</v>
      </c>
      <c r="C7" s="12">
        <f t="shared" si="2"/>
        <v>1.6786114221724491E-2</v>
      </c>
      <c r="D7" s="14">
        <f>D6*1.0068</f>
        <v>97.965576587999976</v>
      </c>
      <c r="E7" s="13">
        <f t="shared" si="0"/>
        <v>786160.28834114375</v>
      </c>
      <c r="F7" s="12"/>
      <c r="G7" s="19">
        <f t="shared" si="1"/>
        <v>87.694275754756859</v>
      </c>
      <c r="I7" s="20"/>
    </row>
    <row r="8" spans="1:12" ht="15.75" customHeight="1">
      <c r="A8" s="5" t="s">
        <v>43</v>
      </c>
      <c r="B8" s="5">
        <v>910.75</v>
      </c>
      <c r="C8" s="12">
        <f t="shared" si="2"/>
        <v>3.0396810537560714E-3</v>
      </c>
      <c r="D8" s="14">
        <f>D7*1.0032</f>
        <v>98.279066433081582</v>
      </c>
      <c r="E8" s="13">
        <f t="shared" si="0"/>
        <v>786034.65398208704</v>
      </c>
      <c r="F8" s="12"/>
      <c r="G8" s="19">
        <f t="shared" si="1"/>
        <v>87.680261546343161</v>
      </c>
    </row>
    <row r="9" spans="1:12" ht="15.75" customHeight="1">
      <c r="A9" s="5" t="s">
        <v>44</v>
      </c>
      <c r="B9" s="5">
        <v>916.93</v>
      </c>
      <c r="C9" s="12">
        <f t="shared" si="2"/>
        <v>6.7856162503430184E-3</v>
      </c>
      <c r="D9" s="14">
        <f>D8*1.0023</f>
        <v>98.505108285877668</v>
      </c>
      <c r="E9" s="13">
        <f t="shared" si="0"/>
        <v>789552.41295368713</v>
      </c>
      <c r="F9" s="12"/>
      <c r="G9" s="19">
        <f t="shared" si="1"/>
        <v>88.072659038138625</v>
      </c>
    </row>
    <row r="10" spans="1:12">
      <c r="A10" s="5" t="s">
        <v>45</v>
      </c>
      <c r="B10" s="5">
        <v>936.83</v>
      </c>
      <c r="C10" s="12">
        <f t="shared" si="2"/>
        <v>2.170285627038071E-2</v>
      </c>
      <c r="D10" s="14">
        <f>D9*1.0022</f>
        <v>98.721819524106593</v>
      </c>
      <c r="E10" s="13">
        <f t="shared" si="0"/>
        <v>804917.13778682228</v>
      </c>
      <c r="F10" s="12"/>
      <c r="G10" s="19">
        <f t="shared" si="1"/>
        <v>89.786556873471966</v>
      </c>
      <c r="I10" s="9" t="s">
        <v>46</v>
      </c>
    </row>
    <row r="11" spans="1:12">
      <c r="A11" s="16">
        <v>1995</v>
      </c>
      <c r="B11" s="16"/>
      <c r="C11" s="16"/>
      <c r="D11" s="17"/>
      <c r="E11" s="21"/>
      <c r="F11" s="18"/>
      <c r="G11" s="18"/>
      <c r="I11" s="22" t="s">
        <v>22</v>
      </c>
    </row>
    <row r="12" spans="1:12" ht="15.75" customHeight="1">
      <c r="A12" s="5" t="s">
        <v>47</v>
      </c>
      <c r="B12" s="5">
        <v>934.85</v>
      </c>
      <c r="C12" s="12">
        <f>B12/B10-1</f>
        <v>-2.1135104554721451E-3</v>
      </c>
      <c r="D12" s="14">
        <v>100</v>
      </c>
      <c r="E12" s="13">
        <f t="shared" ref="E12:E23" si="3">B12*D$389/D12</f>
        <v>792949.38771431858</v>
      </c>
      <c r="F12" s="12"/>
      <c r="G12" s="19">
        <f t="shared" ref="G12:G23" si="4">E12*G$270/E$270</f>
        <v>88.451583343790531</v>
      </c>
      <c r="I12" s="5" t="s">
        <v>48</v>
      </c>
      <c r="K12" s="23">
        <f t="array" ref="K12">INDEX(B:B,MATCH(100^100,B:B),1)</f>
        <v>933179.85</v>
      </c>
      <c r="L12" s="24" t="str">
        <f t="array" ref="L12">CONCATENATE(INDEX(A:A,MATCH(100^100,B:B),1),"-",INDEX(A:A,MATCH(100^100,A:A),1))</f>
        <v>junio-2024</v>
      </c>
    </row>
    <row r="13" spans="1:12" ht="15.75" customHeight="1">
      <c r="A13" s="5" t="s">
        <v>49</v>
      </c>
      <c r="B13" s="5">
        <v>928.29</v>
      </c>
      <c r="C13" s="12">
        <f t="shared" ref="C13:C23" si="5">B13/B12-1</f>
        <v>-7.0171685297106823E-3</v>
      </c>
      <c r="D13" s="14">
        <v>100</v>
      </c>
      <c r="E13" s="13">
        <f t="shared" si="3"/>
        <v>787385.1282251965</v>
      </c>
      <c r="F13" s="12"/>
      <c r="G13" s="19">
        <f t="shared" si="4"/>
        <v>87.830903676747411</v>
      </c>
    </row>
    <row r="14" spans="1:12" ht="15.75" customHeight="1">
      <c r="A14" s="5" t="s">
        <v>50</v>
      </c>
      <c r="B14" s="5">
        <v>931.37</v>
      </c>
      <c r="C14" s="12">
        <f t="shared" si="5"/>
        <v>3.3179286645337314E-3</v>
      </c>
      <c r="D14" s="14">
        <v>99.55</v>
      </c>
      <c r="E14" s="13">
        <f t="shared" si="3"/>
        <v>793568.67494943482</v>
      </c>
      <c r="F14" s="12"/>
      <c r="G14" s="19">
        <f t="shared" si="4"/>
        <v>88.520663334694518</v>
      </c>
    </row>
    <row r="15" spans="1:12" ht="15.75" customHeight="1">
      <c r="A15" s="5" t="s">
        <v>51</v>
      </c>
      <c r="B15" s="5">
        <v>909.07</v>
      </c>
      <c r="C15" s="12">
        <f t="shared" si="5"/>
        <v>-2.3943223423558813E-2</v>
      </c>
      <c r="D15" s="14">
        <v>100</v>
      </c>
      <c r="E15" s="13">
        <f t="shared" si="3"/>
        <v>771082.52649029868</v>
      </c>
      <c r="F15" s="12"/>
      <c r="G15" s="19">
        <f t="shared" si="4"/>
        <v>86.012387944953375</v>
      </c>
    </row>
    <row r="16" spans="1:12" ht="15.75" customHeight="1">
      <c r="A16" s="5" t="s">
        <v>52</v>
      </c>
      <c r="B16" s="5">
        <v>920.51</v>
      </c>
      <c r="C16" s="12">
        <f t="shared" si="5"/>
        <v>1.258428943865697E-2</v>
      </c>
      <c r="D16" s="14">
        <v>100.02</v>
      </c>
      <c r="E16" s="13">
        <f t="shared" si="3"/>
        <v>780629.92619950371</v>
      </c>
      <c r="F16" s="12"/>
      <c r="G16" s="19">
        <f t="shared" si="4"/>
        <v>87.077377254711791</v>
      </c>
    </row>
    <row r="17" spans="1:7" ht="15.75" customHeight="1">
      <c r="A17" s="5" t="s">
        <v>53</v>
      </c>
      <c r="B17" s="5">
        <v>944.4</v>
      </c>
      <c r="C17" s="12">
        <f t="shared" si="5"/>
        <v>2.5953004312826655E-2</v>
      </c>
      <c r="D17" s="14">
        <v>99.81</v>
      </c>
      <c r="E17" s="13">
        <f t="shared" si="3"/>
        <v>802574.68787144474</v>
      </c>
      <c r="F17" s="12"/>
      <c r="G17" s="19">
        <f t="shared" si="4"/>
        <v>89.525262259806993</v>
      </c>
    </row>
    <row r="18" spans="1:7" ht="15.75" customHeight="1">
      <c r="A18" s="5" t="s">
        <v>39</v>
      </c>
      <c r="B18" s="5">
        <v>914.41</v>
      </c>
      <c r="C18" s="12">
        <f t="shared" si="5"/>
        <v>-3.1755612028801394E-2</v>
      </c>
      <c r="D18" s="14">
        <v>100.21</v>
      </c>
      <c r="E18" s="13">
        <f t="shared" si="3"/>
        <v>773986.5975731865</v>
      </c>
      <c r="F18" s="12">
        <f t="shared" ref="F18:F23" si="6">E18/E5-1</f>
        <v>1.2757831412287368E-2</v>
      </c>
      <c r="G18" s="19">
        <f t="shared" si="4"/>
        <v>86.336330039372243</v>
      </c>
    </row>
    <row r="19" spans="1:7" ht="15.75" customHeight="1">
      <c r="A19" s="5" t="s">
        <v>41</v>
      </c>
      <c r="B19" s="5">
        <v>912.86</v>
      </c>
      <c r="C19" s="12">
        <f t="shared" si="5"/>
        <v>-1.6950820747804185E-3</v>
      </c>
      <c r="D19" s="14">
        <v>99.97</v>
      </c>
      <c r="E19" s="13">
        <f t="shared" si="3"/>
        <v>774529.60236243624</v>
      </c>
      <c r="F19" s="12">
        <f t="shared" si="6"/>
        <v>-5.0223658071665289E-3</v>
      </c>
      <c r="G19" s="19">
        <f t="shared" si="4"/>
        <v>86.396900908227892</v>
      </c>
    </row>
    <row r="20" spans="1:7" ht="15.75" customHeight="1">
      <c r="A20" s="5" t="s">
        <v>42</v>
      </c>
      <c r="B20" s="5">
        <v>914.69</v>
      </c>
      <c r="C20" s="12">
        <f t="shared" si="5"/>
        <v>2.0046885612252652E-3</v>
      </c>
      <c r="D20" s="14">
        <v>100.13</v>
      </c>
      <c r="E20" s="13">
        <f t="shared" si="3"/>
        <v>774842.17348319548</v>
      </c>
      <c r="F20" s="12">
        <f t="shared" si="6"/>
        <v>-1.4396701316254923E-2</v>
      </c>
      <c r="G20" s="19">
        <f t="shared" si="4"/>
        <v>86.431767459570324</v>
      </c>
    </row>
    <row r="21" spans="1:7" ht="15.75" customHeight="1">
      <c r="A21" s="5" t="s">
        <v>43</v>
      </c>
      <c r="B21" s="5">
        <v>916.48</v>
      </c>
      <c r="C21" s="12">
        <f t="shared" si="5"/>
        <v>1.9569471624265589E-3</v>
      </c>
      <c r="D21" s="14">
        <v>100.47</v>
      </c>
      <c r="E21" s="13">
        <f t="shared" si="3"/>
        <v>773731.22795282223</v>
      </c>
      <c r="F21" s="12">
        <f t="shared" si="6"/>
        <v>-1.5652523673015062E-2</v>
      </c>
      <c r="G21" s="19">
        <f t="shared" si="4"/>
        <v>86.307844176832873</v>
      </c>
    </row>
    <row r="22" spans="1:7" ht="15.75" customHeight="1">
      <c r="A22" s="5" t="s">
        <v>44</v>
      </c>
      <c r="B22" s="5">
        <v>921.41</v>
      </c>
      <c r="C22" s="12">
        <f t="shared" si="5"/>
        <v>5.3792772346368256E-3</v>
      </c>
      <c r="D22" s="14">
        <v>100.24</v>
      </c>
      <c r="E22" s="13">
        <f t="shared" si="3"/>
        <v>779678.2137309676</v>
      </c>
      <c r="F22" s="12">
        <f t="shared" si="6"/>
        <v>-1.2506071871505653E-2</v>
      </c>
      <c r="G22" s="19">
        <f t="shared" si="4"/>
        <v>86.97121603429305</v>
      </c>
    </row>
    <row r="23" spans="1:7" ht="15.75" customHeight="1">
      <c r="A23" s="5" t="s">
        <v>45</v>
      </c>
      <c r="B23" s="5">
        <v>938.88</v>
      </c>
      <c r="C23" s="12">
        <f t="shared" si="5"/>
        <v>1.8960072063467948E-2</v>
      </c>
      <c r="D23" s="14">
        <v>100.34</v>
      </c>
      <c r="E23" s="13">
        <f t="shared" si="3"/>
        <v>793669.1998952179</v>
      </c>
      <c r="F23" s="12">
        <f t="shared" si="6"/>
        <v>-1.3974032063140518E-2</v>
      </c>
      <c r="G23" s="19">
        <f t="shared" si="4"/>
        <v>88.531876648883056</v>
      </c>
    </row>
    <row r="24" spans="1:7" ht="12.5">
      <c r="A24" s="16">
        <v>1996</v>
      </c>
      <c r="B24" s="16"/>
      <c r="C24" s="16"/>
      <c r="D24" s="17"/>
      <c r="E24" s="21"/>
      <c r="F24" s="18"/>
      <c r="G24" s="18"/>
    </row>
    <row r="25" spans="1:7" ht="12.5">
      <c r="A25" s="5" t="s">
        <v>47</v>
      </c>
      <c r="B25" s="5">
        <v>938.19</v>
      </c>
      <c r="C25" s="12">
        <f>B25/B23-1</f>
        <v>-7.3491820040894051E-4</v>
      </c>
      <c r="D25" s="14">
        <v>100.64</v>
      </c>
      <c r="E25" s="13">
        <f t="shared" ref="E25:E36" si="7">B25*D$389/D25</f>
        <v>790721.79061621462</v>
      </c>
      <c r="F25" s="12">
        <f t="shared" ref="F25:F36" si="8">E25/E12-1</f>
        <v>-2.809255083133344E-3</v>
      </c>
      <c r="G25" s="19">
        <f t="shared" ref="G25:G36" si="9">E25*G$270/E$270</f>
        <v>88.203100283670778</v>
      </c>
    </row>
    <row r="26" spans="1:7" ht="12.5">
      <c r="A26" s="5" t="s">
        <v>49</v>
      </c>
      <c r="B26" s="5">
        <v>933.47</v>
      </c>
      <c r="C26" s="12">
        <f t="shared" ref="C26:C36" si="10">B26/B25-1</f>
        <v>-5.0309638772529919E-3</v>
      </c>
      <c r="D26" s="14">
        <v>100.32</v>
      </c>
      <c r="E26" s="13">
        <f t="shared" si="7"/>
        <v>789253.24712610838</v>
      </c>
      <c r="F26" s="12">
        <f t="shared" si="8"/>
        <v>2.3725605601958577E-3</v>
      </c>
      <c r="G26" s="19">
        <f t="shared" si="9"/>
        <v>88.039287814777225</v>
      </c>
    </row>
    <row r="27" spans="1:7" ht="12.5">
      <c r="A27" s="5" t="s">
        <v>50</v>
      </c>
      <c r="B27" s="5">
        <v>932.13</v>
      </c>
      <c r="C27" s="12">
        <f t="shared" si="10"/>
        <v>-1.4355040869016289E-3</v>
      </c>
      <c r="D27" s="14">
        <v>99.77</v>
      </c>
      <c r="E27" s="13">
        <f t="shared" si="7"/>
        <v>792464.92505865905</v>
      </c>
      <c r="F27" s="12">
        <f t="shared" si="8"/>
        <v>-1.3908687749627502E-3</v>
      </c>
      <c r="G27" s="19">
        <f t="shared" si="9"/>
        <v>88.397542708123282</v>
      </c>
    </row>
    <row r="28" spans="1:7" ht="12.5">
      <c r="A28" s="5" t="s">
        <v>51</v>
      </c>
      <c r="B28" s="5">
        <v>924.13</v>
      </c>
      <c r="C28" s="12">
        <f t="shared" si="10"/>
        <v>-8.5824938581527954E-3</v>
      </c>
      <c r="D28" s="14">
        <v>99.78</v>
      </c>
      <c r="E28" s="13">
        <f t="shared" si="7"/>
        <v>785584.86011947924</v>
      </c>
      <c r="F28" s="12">
        <f t="shared" si="8"/>
        <v>1.8807758094571581E-2</v>
      </c>
      <c r="G28" s="19">
        <f t="shared" si="9"/>
        <v>87.630088130558505</v>
      </c>
    </row>
    <row r="29" spans="1:7" ht="12.5">
      <c r="A29" s="5" t="s">
        <v>52</v>
      </c>
      <c r="B29" s="5">
        <v>929.27</v>
      </c>
      <c r="C29" s="12">
        <f t="shared" si="10"/>
        <v>5.5619880319868198E-3</v>
      </c>
      <c r="D29" s="14">
        <v>99.69</v>
      </c>
      <c r="E29" s="13">
        <f t="shared" si="7"/>
        <v>790667.44338189671</v>
      </c>
      <c r="F29" s="12">
        <f t="shared" si="8"/>
        <v>1.285822749745269E-2</v>
      </c>
      <c r="G29" s="19">
        <f t="shared" si="9"/>
        <v>88.197037981334404</v>
      </c>
    </row>
    <row r="30" spans="1:7" ht="12.5">
      <c r="A30" s="5" t="s">
        <v>53</v>
      </c>
      <c r="B30" s="5">
        <v>940.95</v>
      </c>
      <c r="C30" s="12">
        <f t="shared" si="10"/>
        <v>1.2569005778729547E-2</v>
      </c>
      <c r="D30" s="14">
        <v>99.69</v>
      </c>
      <c r="E30" s="13">
        <f t="shared" si="7"/>
        <v>800605.34704681719</v>
      </c>
      <c r="F30" s="12">
        <f t="shared" si="8"/>
        <v>-2.4537788873588706E-3</v>
      </c>
      <c r="G30" s="19">
        <f t="shared" si="9"/>
        <v>89.305587061388636</v>
      </c>
    </row>
    <row r="31" spans="1:7" ht="12.5">
      <c r="A31" s="5" t="s">
        <v>39</v>
      </c>
      <c r="B31" s="5">
        <v>930.16</v>
      </c>
      <c r="C31" s="12">
        <f t="shared" si="10"/>
        <v>-1.1467134279185998E-2</v>
      </c>
      <c r="D31" s="14">
        <v>100.23</v>
      </c>
      <c r="E31" s="13">
        <f t="shared" si="7"/>
        <v>787160.81159703818</v>
      </c>
      <c r="F31" s="12">
        <f t="shared" si="8"/>
        <v>1.702124308761821E-2</v>
      </c>
      <c r="G31" s="19">
        <f t="shared" si="9"/>
        <v>87.805881700265246</v>
      </c>
    </row>
    <row r="32" spans="1:7" ht="12.5">
      <c r="A32" s="5" t="s">
        <v>41</v>
      </c>
      <c r="B32" s="5">
        <v>936.68</v>
      </c>
      <c r="C32" s="12">
        <f t="shared" si="10"/>
        <v>7.0095467446460447E-3</v>
      </c>
      <c r="D32" s="14">
        <v>100.15</v>
      </c>
      <c r="E32" s="13">
        <f t="shared" si="7"/>
        <v>793311.64507370407</v>
      </c>
      <c r="F32" s="12">
        <f t="shared" si="8"/>
        <v>2.4249612479600113E-2</v>
      </c>
      <c r="G32" s="19">
        <f t="shared" si="9"/>
        <v>88.49199227469083</v>
      </c>
    </row>
    <row r="33" spans="1:7" ht="12.5">
      <c r="A33" s="5" t="s">
        <v>42</v>
      </c>
      <c r="B33" s="5">
        <v>939.25</v>
      </c>
      <c r="C33" s="12">
        <f t="shared" si="10"/>
        <v>2.7437331852928626E-3</v>
      </c>
      <c r="D33" s="14">
        <v>100.34</v>
      </c>
      <c r="E33" s="13">
        <f t="shared" si="7"/>
        <v>793981.9742688986</v>
      </c>
      <c r="F33" s="12">
        <f t="shared" si="8"/>
        <v>2.4701547541821078E-2</v>
      </c>
      <c r="G33" s="19">
        <f t="shared" si="9"/>
        <v>88.566765872596534</v>
      </c>
    </row>
    <row r="34" spans="1:7" ht="12.5">
      <c r="A34" s="5" t="s">
        <v>43</v>
      </c>
      <c r="B34" s="5">
        <v>940.12</v>
      </c>
      <c r="C34" s="12">
        <f t="shared" si="10"/>
        <v>9.2627096087305461E-4</v>
      </c>
      <c r="D34" s="14">
        <v>100.88</v>
      </c>
      <c r="E34" s="13">
        <f t="shared" si="7"/>
        <v>790463.37820375897</v>
      </c>
      <c r="F34" s="12">
        <f t="shared" si="8"/>
        <v>2.1625274573972675E-2</v>
      </c>
      <c r="G34" s="19">
        <f t="shared" si="9"/>
        <v>88.174275005044507</v>
      </c>
    </row>
    <row r="35" spans="1:7" ht="12.5">
      <c r="A35" s="5" t="s">
        <v>44</v>
      </c>
      <c r="B35" s="5">
        <v>921.9</v>
      </c>
      <c r="C35" s="12">
        <f t="shared" si="10"/>
        <v>-1.9380504616431926E-2</v>
      </c>
      <c r="D35" s="14">
        <v>100.72</v>
      </c>
      <c r="E35" s="13">
        <f t="shared" si="7"/>
        <v>776375.16330920381</v>
      </c>
      <c r="F35" s="12">
        <f t="shared" si="8"/>
        <v>-4.2364277513383675E-3</v>
      </c>
      <c r="G35" s="19">
        <f t="shared" si="9"/>
        <v>86.60276876111773</v>
      </c>
    </row>
    <row r="36" spans="1:7" ht="12.5">
      <c r="A36" s="5" t="s">
        <v>45</v>
      </c>
      <c r="B36" s="5">
        <v>940.06</v>
      </c>
      <c r="C36" s="12">
        <f t="shared" si="10"/>
        <v>1.9698448855624218E-2</v>
      </c>
      <c r="D36" s="14">
        <v>100.43</v>
      </c>
      <c r="E36" s="13">
        <f t="shared" si="7"/>
        <v>793954.55871221074</v>
      </c>
      <c r="F36" s="12">
        <f t="shared" si="8"/>
        <v>3.595437709194016E-4</v>
      </c>
      <c r="G36" s="19">
        <f t="shared" si="9"/>
        <v>88.563707733659967</v>
      </c>
    </row>
    <row r="37" spans="1:7" ht="12.5">
      <c r="A37" s="16">
        <v>1997</v>
      </c>
      <c r="B37" s="16"/>
      <c r="C37" s="16"/>
      <c r="D37" s="17"/>
      <c r="E37" s="21"/>
      <c r="F37" s="18"/>
      <c r="G37" s="18"/>
    </row>
    <row r="38" spans="1:7" ht="12.5">
      <c r="A38" s="5" t="s">
        <v>47</v>
      </c>
      <c r="B38" s="5">
        <v>923.49</v>
      </c>
      <c r="C38" s="12">
        <f>B38/B36-1</f>
        <v>-1.7626534476522737E-2</v>
      </c>
      <c r="D38" s="14">
        <v>100.9</v>
      </c>
      <c r="E38" s="13">
        <f t="shared" ref="E38:E49" si="11">B38*D$389/D38</f>
        <v>776326.77784233086</v>
      </c>
      <c r="F38" s="12">
        <f t="shared" ref="F38:F49" si="12">E38/E25-1</f>
        <v>-1.8204902084038466E-2</v>
      </c>
      <c r="G38" s="19">
        <f t="shared" ref="G38:G49" si="13">E38*G$270/E$270</f>
        <v>86.597371479497937</v>
      </c>
    </row>
    <row r="39" spans="1:7" ht="12.5">
      <c r="A39" s="5" t="s">
        <v>49</v>
      </c>
      <c r="B39" s="5">
        <v>923.58</v>
      </c>
      <c r="C39" s="12">
        <f t="shared" ref="C39:C49" si="14">B39/B38-1</f>
        <v>9.7456388266303762E-5</v>
      </c>
      <c r="D39" s="14">
        <v>101.29</v>
      </c>
      <c r="E39" s="13">
        <f t="shared" si="11"/>
        <v>773413.0296858818</v>
      </c>
      <c r="F39" s="12">
        <f t="shared" si="12"/>
        <v>-2.0069879342156982E-2</v>
      </c>
      <c r="G39" s="19">
        <f t="shared" si="13"/>
        <v>86.272349930965206</v>
      </c>
    </row>
    <row r="40" spans="1:7" ht="12.5">
      <c r="A40" s="5" t="s">
        <v>50</v>
      </c>
      <c r="B40" s="5">
        <v>919.47</v>
      </c>
      <c r="C40" s="12">
        <f t="shared" si="14"/>
        <v>-4.4500747092834914E-3</v>
      </c>
      <c r="D40" s="14">
        <v>100.79</v>
      </c>
      <c r="E40" s="13">
        <f t="shared" si="11"/>
        <v>773790.9648628321</v>
      </c>
      <c r="F40" s="12">
        <f t="shared" si="12"/>
        <v>-2.3564399641340161E-2</v>
      </c>
      <c r="G40" s="19">
        <f t="shared" si="13"/>
        <v>86.314507684436634</v>
      </c>
    </row>
    <row r="41" spans="1:7" ht="12.5">
      <c r="A41" s="5" t="s">
        <v>51</v>
      </c>
      <c r="B41" s="5">
        <v>912.02</v>
      </c>
      <c r="C41" s="12">
        <f t="shared" si="14"/>
        <v>-8.1024938279661285E-3</v>
      </c>
      <c r="D41" s="14">
        <v>100.46</v>
      </c>
      <c r="E41" s="13">
        <f t="shared" si="11"/>
        <v>770042.55110474594</v>
      </c>
      <c r="F41" s="12">
        <f t="shared" si="12"/>
        <v>-1.9784379516134654E-2</v>
      </c>
      <c r="G41" s="19">
        <f t="shared" si="13"/>
        <v>85.896381209951215</v>
      </c>
    </row>
    <row r="42" spans="1:7" ht="12.5">
      <c r="A42" s="5" t="s">
        <v>52</v>
      </c>
      <c r="B42" s="5">
        <v>914.59</v>
      </c>
      <c r="C42" s="12">
        <f t="shared" si="14"/>
        <v>2.8179206596348205E-3</v>
      </c>
      <c r="D42" s="14">
        <v>100.71</v>
      </c>
      <c r="E42" s="13">
        <f t="shared" si="11"/>
        <v>770295.54888285766</v>
      </c>
      <c r="F42" s="12">
        <f t="shared" si="12"/>
        <v>-2.5765439907204257E-2</v>
      </c>
      <c r="G42" s="19">
        <f t="shared" si="13"/>
        <v>85.924602499232918</v>
      </c>
    </row>
    <row r="43" spans="1:7" ht="12.5">
      <c r="A43" s="5" t="s">
        <v>53</v>
      </c>
      <c r="B43" s="5">
        <v>928.71</v>
      </c>
      <c r="C43" s="12">
        <f t="shared" si="14"/>
        <v>1.5438611836998017E-2</v>
      </c>
      <c r="D43" s="14">
        <v>100.94</v>
      </c>
      <c r="E43" s="13">
        <f t="shared" si="11"/>
        <v>780405.56424226915</v>
      </c>
      <c r="F43" s="12">
        <f t="shared" si="12"/>
        <v>-2.5230636891270697E-2</v>
      </c>
      <c r="G43" s="19">
        <f t="shared" si="13"/>
        <v>87.052350221880957</v>
      </c>
    </row>
    <row r="44" spans="1:7" ht="12.5">
      <c r="A44" s="5" t="s">
        <v>39</v>
      </c>
      <c r="B44" s="5">
        <v>905.05</v>
      </c>
      <c r="C44" s="12">
        <f t="shared" si="14"/>
        <v>-2.5476198167350472E-2</v>
      </c>
      <c r="D44" s="14">
        <v>101.16</v>
      </c>
      <c r="E44" s="13">
        <f t="shared" si="11"/>
        <v>758869.83109196846</v>
      </c>
      <c r="F44" s="12">
        <f t="shared" si="12"/>
        <v>-3.5940534752576525E-2</v>
      </c>
      <c r="G44" s="19">
        <f t="shared" si="13"/>
        <v>84.650091357536226</v>
      </c>
    </row>
    <row r="45" spans="1:7" ht="12.5">
      <c r="A45" s="5" t="s">
        <v>41</v>
      </c>
      <c r="B45" s="5">
        <v>898.67</v>
      </c>
      <c r="C45" s="12">
        <f t="shared" si="14"/>
        <v>-7.0493342909231371E-3</v>
      </c>
      <c r="D45" s="14">
        <v>101.32</v>
      </c>
      <c r="E45" s="13">
        <f t="shared" si="11"/>
        <v>752330.37849915982</v>
      </c>
      <c r="F45" s="12">
        <f t="shared" si="12"/>
        <v>-5.1658470954043301E-2</v>
      </c>
      <c r="G45" s="19">
        <f t="shared" si="13"/>
        <v>83.920631262103285</v>
      </c>
    </row>
    <row r="46" spans="1:7" ht="12.5">
      <c r="A46" s="5" t="s">
        <v>42</v>
      </c>
      <c r="B46" s="5">
        <v>910.27</v>
      </c>
      <c r="C46" s="12">
        <f t="shared" si="14"/>
        <v>1.2907963991231508E-2</v>
      </c>
      <c r="D46" s="14">
        <v>101.27</v>
      </c>
      <c r="E46" s="13">
        <f t="shared" si="11"/>
        <v>762417.67437135358</v>
      </c>
      <c r="F46" s="12">
        <f t="shared" si="12"/>
        <v>-3.9754428841548339E-2</v>
      </c>
      <c r="G46" s="19">
        <f t="shared" si="13"/>
        <v>85.04584468098831</v>
      </c>
    </row>
    <row r="47" spans="1:7" ht="12.5">
      <c r="A47" s="5" t="s">
        <v>43</v>
      </c>
      <c r="B47" s="5">
        <v>913.02</v>
      </c>
      <c r="C47" s="12">
        <f t="shared" si="14"/>
        <v>3.0210816570908072E-3</v>
      </c>
      <c r="D47" s="14">
        <v>101.12</v>
      </c>
      <c r="E47" s="13">
        <f t="shared" si="11"/>
        <v>765855.3769064513</v>
      </c>
      <c r="F47" s="12">
        <f t="shared" si="12"/>
        <v>-3.1131108633048465E-2</v>
      </c>
      <c r="G47" s="19">
        <f t="shared" si="13"/>
        <v>85.429312071222185</v>
      </c>
    </row>
    <row r="48" spans="1:7" ht="12.5">
      <c r="A48" s="5" t="s">
        <v>44</v>
      </c>
      <c r="B48" s="5">
        <v>899.56</v>
      </c>
      <c r="C48" s="12">
        <f t="shared" si="14"/>
        <v>-1.474228384920373E-2</v>
      </c>
      <c r="D48" s="14">
        <v>100.92</v>
      </c>
      <c r="E48" s="13">
        <f t="shared" si="11"/>
        <v>756060.29196556401</v>
      </c>
      <c r="F48" s="12">
        <f t="shared" si="12"/>
        <v>-2.6166307609648554E-2</v>
      </c>
      <c r="G48" s="19">
        <f t="shared" si="13"/>
        <v>84.336694073867051</v>
      </c>
    </row>
    <row r="49" spans="1:7" ht="12.5">
      <c r="A49" s="5" t="s">
        <v>45</v>
      </c>
      <c r="B49" s="5">
        <v>915.57</v>
      </c>
      <c r="C49" s="12">
        <f t="shared" si="14"/>
        <v>1.7797589932856184E-2</v>
      </c>
      <c r="D49" s="14">
        <v>101.09</v>
      </c>
      <c r="E49" s="13">
        <f t="shared" si="11"/>
        <v>768222.27061246638</v>
      </c>
      <c r="F49" s="12">
        <f t="shared" si="12"/>
        <v>-3.2410278166904116E-2</v>
      </c>
      <c r="G49" s="19">
        <f t="shared" si="13"/>
        <v>85.69333333051965</v>
      </c>
    </row>
    <row r="50" spans="1:7" ht="12.5">
      <c r="A50" s="16">
        <v>1998</v>
      </c>
      <c r="B50" s="16"/>
      <c r="C50" s="16"/>
      <c r="D50" s="17"/>
      <c r="E50" s="21"/>
      <c r="F50" s="18"/>
      <c r="G50" s="18"/>
    </row>
    <row r="51" spans="1:7" ht="12.5">
      <c r="A51" s="5" t="s">
        <v>47</v>
      </c>
      <c r="B51" s="5">
        <v>912.48</v>
      </c>
      <c r="C51" s="12">
        <f>B51/B49-1</f>
        <v>-3.3749467544808009E-3</v>
      </c>
      <c r="D51" s="14">
        <v>101.72</v>
      </c>
      <c r="E51" s="13">
        <f t="shared" ref="E51:E62" si="15">B51*D$389/D51</f>
        <v>760887.65589097189</v>
      </c>
      <c r="F51" s="12">
        <f t="shared" ref="F51:F62" si="16">E51/E38-1</f>
        <v>-1.9887401017222972E-2</v>
      </c>
      <c r="G51" s="19">
        <f t="shared" ref="G51:G62" si="17">E51*G$270/E$270</f>
        <v>84.875174825847722</v>
      </c>
    </row>
    <row r="52" spans="1:7" ht="12.5">
      <c r="A52" s="5" t="s">
        <v>49</v>
      </c>
      <c r="B52" s="5">
        <v>908.13</v>
      </c>
      <c r="C52" s="12">
        <f t="shared" ref="C52:C62" si="18">B52/B51-1</f>
        <v>-4.7672277748553871E-3</v>
      </c>
      <c r="D52" s="14">
        <v>102.07</v>
      </c>
      <c r="E52" s="13">
        <f t="shared" si="15"/>
        <v>754663.67083335097</v>
      </c>
      <c r="F52" s="12">
        <f t="shared" si="16"/>
        <v>-2.4242362273293683E-2</v>
      </c>
      <c r="G52" s="19">
        <f t="shared" si="17"/>
        <v>84.180904369770403</v>
      </c>
    </row>
    <row r="53" spans="1:7" ht="12.5">
      <c r="A53" s="5" t="s">
        <v>50</v>
      </c>
      <c r="B53" s="5">
        <v>910.79</v>
      </c>
      <c r="C53" s="12">
        <f t="shared" si="18"/>
        <v>2.929096054529623E-3</v>
      </c>
      <c r="D53" s="14">
        <v>101.95</v>
      </c>
      <c r="E53" s="13">
        <f t="shared" si="15"/>
        <v>757765.03009869263</v>
      </c>
      <c r="F53" s="12">
        <f t="shared" si="16"/>
        <v>-2.071093550049441E-2</v>
      </c>
      <c r="G53" s="19">
        <f t="shared" si="17"/>
        <v>84.526853483027338</v>
      </c>
    </row>
    <row r="54" spans="1:7" ht="12.5">
      <c r="A54" s="5" t="s">
        <v>51</v>
      </c>
      <c r="B54" s="5">
        <v>899.86</v>
      </c>
      <c r="C54" s="12">
        <f t="shared" si="18"/>
        <v>-1.200057093292628E-2</v>
      </c>
      <c r="D54" s="14">
        <v>101.96</v>
      </c>
      <c r="E54" s="13">
        <f t="shared" si="15"/>
        <v>748597.98915068666</v>
      </c>
      <c r="F54" s="12">
        <f t="shared" si="16"/>
        <v>-2.7848541516691139E-2</v>
      </c>
      <c r="G54" s="19">
        <f t="shared" si="17"/>
        <v>83.50429227169235</v>
      </c>
    </row>
    <row r="55" spans="1:7" ht="12.5">
      <c r="A55" s="5" t="s">
        <v>52</v>
      </c>
      <c r="B55" s="5">
        <v>896.37</v>
      </c>
      <c r="C55" s="12">
        <f t="shared" si="18"/>
        <v>-3.8783810815016251E-3</v>
      </c>
      <c r="D55" s="14">
        <v>101.88</v>
      </c>
      <c r="E55" s="13">
        <f t="shared" si="15"/>
        <v>746280.18829309393</v>
      </c>
      <c r="F55" s="12">
        <f t="shared" si="16"/>
        <v>-3.1176813399211079E-2</v>
      </c>
      <c r="G55" s="19">
        <f t="shared" si="17"/>
        <v>83.245747200712941</v>
      </c>
    </row>
    <row r="56" spans="1:7" ht="12.5">
      <c r="A56" s="5" t="s">
        <v>53</v>
      </c>
      <c r="B56" s="5">
        <v>920.38</v>
      </c>
      <c r="C56" s="12">
        <f t="shared" si="18"/>
        <v>2.6785813893816179E-2</v>
      </c>
      <c r="D56" s="14">
        <v>102.08</v>
      </c>
      <c r="E56" s="13">
        <f t="shared" si="15"/>
        <v>764768.59800872509</v>
      </c>
      <c r="F56" s="12">
        <f t="shared" si="16"/>
        <v>-2.0036974299032173E-2</v>
      </c>
      <c r="G56" s="19">
        <f t="shared" si="17"/>
        <v>85.308084517814777</v>
      </c>
    </row>
    <row r="57" spans="1:7" ht="12.5">
      <c r="A57" s="5" t="s">
        <v>39</v>
      </c>
      <c r="B57" s="5">
        <v>898.35</v>
      </c>
      <c r="C57" s="12">
        <f t="shared" si="18"/>
        <v>-2.3935765662009167E-2</v>
      </c>
      <c r="D57" s="14">
        <v>102.4</v>
      </c>
      <c r="E57" s="13">
        <f t="shared" si="15"/>
        <v>744130.57832343399</v>
      </c>
      <c r="F57" s="12">
        <f t="shared" si="16"/>
        <v>-1.9422636352963929E-2</v>
      </c>
      <c r="G57" s="19">
        <f t="shared" si="17"/>
        <v>83.005963415853628</v>
      </c>
    </row>
    <row r="58" spans="1:7" ht="12.5">
      <c r="A58" s="5" t="s">
        <v>41</v>
      </c>
      <c r="B58" s="5">
        <v>888.71</v>
      </c>
      <c r="C58" s="12">
        <f t="shared" si="18"/>
        <v>-1.0730784215506217E-2</v>
      </c>
      <c r="D58" s="14">
        <v>102.42</v>
      </c>
      <c r="E58" s="13">
        <f t="shared" si="15"/>
        <v>736001.72332269896</v>
      </c>
      <c r="F58" s="12">
        <f t="shared" si="16"/>
        <v>-2.1704101872152548E-2</v>
      </c>
      <c r="G58" s="19">
        <f t="shared" si="17"/>
        <v>82.099209332015235</v>
      </c>
    </row>
    <row r="59" spans="1:7" ht="12.5">
      <c r="A59" s="5" t="s">
        <v>42</v>
      </c>
      <c r="B59" s="5">
        <v>894.03</v>
      </c>
      <c r="C59" s="12">
        <f t="shared" si="18"/>
        <v>5.9862047237004834E-3</v>
      </c>
      <c r="D59" s="14">
        <v>102.39</v>
      </c>
      <c r="E59" s="13">
        <f t="shared" si="15"/>
        <v>740624.51778410026</v>
      </c>
      <c r="F59" s="12">
        <f t="shared" si="16"/>
        <v>-2.8584275154983407E-2</v>
      </c>
      <c r="G59" s="19">
        <f t="shared" si="17"/>
        <v>82.614870855838973</v>
      </c>
    </row>
    <row r="60" spans="1:7" ht="12.5">
      <c r="A60" s="5" t="s">
        <v>43</v>
      </c>
      <c r="B60" s="5">
        <v>892.2</v>
      </c>
      <c r="C60" s="12">
        <f t="shared" si="18"/>
        <v>-2.0469111774772397E-3</v>
      </c>
      <c r="D60" s="14">
        <v>102.01</v>
      </c>
      <c r="E60" s="13">
        <f t="shared" si="15"/>
        <v>741861.79681613995</v>
      </c>
      <c r="F60" s="12">
        <f t="shared" si="16"/>
        <v>-3.1329126639065397E-2</v>
      </c>
      <c r="G60" s="19">
        <f t="shared" si="17"/>
        <v>82.752886334654633</v>
      </c>
    </row>
    <row r="61" spans="1:7" ht="12.5">
      <c r="A61" s="5" t="s">
        <v>44</v>
      </c>
      <c r="B61" s="5">
        <v>891.18</v>
      </c>
      <c r="C61" s="12">
        <f t="shared" si="18"/>
        <v>-1.1432414256894452E-3</v>
      </c>
      <c r="D61" s="14">
        <v>101.77</v>
      </c>
      <c r="E61" s="13">
        <f t="shared" si="15"/>
        <v>742761.17169933068</v>
      </c>
      <c r="F61" s="12">
        <f t="shared" si="16"/>
        <v>-1.7590026096541922E-2</v>
      </c>
      <c r="G61" s="19">
        <f t="shared" si="17"/>
        <v>82.853209424211656</v>
      </c>
    </row>
    <row r="62" spans="1:7" ht="12.5">
      <c r="A62" s="5" t="s">
        <v>45</v>
      </c>
      <c r="B62" s="5">
        <v>905.15</v>
      </c>
      <c r="C62" s="12">
        <f t="shared" si="18"/>
        <v>1.5675845508202668E-2</v>
      </c>
      <c r="D62" s="14">
        <v>101.76</v>
      </c>
      <c r="E62" s="13">
        <f t="shared" si="15"/>
        <v>754478.71674669115</v>
      </c>
      <c r="F62" s="12">
        <f t="shared" si="16"/>
        <v>-1.7890074775908538E-2</v>
      </c>
      <c r="G62" s="19">
        <f t="shared" si="17"/>
        <v>84.160273189439806</v>
      </c>
    </row>
    <row r="63" spans="1:7" ht="12.5">
      <c r="A63" s="16">
        <v>1999</v>
      </c>
      <c r="B63" s="16"/>
      <c r="C63" s="16"/>
      <c r="D63" s="17"/>
      <c r="E63" s="21"/>
      <c r="F63" s="18"/>
      <c r="G63" s="18"/>
    </row>
    <row r="64" spans="1:7" ht="12.5">
      <c r="A64" s="5" t="s">
        <v>47</v>
      </c>
      <c r="B64" s="5">
        <v>890.77</v>
      </c>
      <c r="C64" s="12">
        <f>B64/B62-1</f>
        <v>-1.5886869579627705E-2</v>
      </c>
      <c r="D64" s="14">
        <v>102.23</v>
      </c>
      <c r="E64" s="13">
        <f t="shared" ref="E64:E75" si="19">B64*D$389/D64</f>
        <v>739078.82052268286</v>
      </c>
      <c r="F64" s="12">
        <f t="shared" ref="F64:F75" si="20">E64/E51-1</f>
        <v>-2.8662359284501338E-2</v>
      </c>
      <c r="G64" s="19">
        <f t="shared" ref="G64:G75" si="21">E64*G$270/E$270</f>
        <v>82.442452070654412</v>
      </c>
    </row>
    <row r="65" spans="1:7" ht="12.5">
      <c r="A65" s="5" t="s">
        <v>49</v>
      </c>
      <c r="B65" s="5">
        <v>897.38</v>
      </c>
      <c r="C65" s="12">
        <f t="shared" ref="C65:C75" si="22">B65/B64-1</f>
        <v>7.4205462689582724E-3</v>
      </c>
      <c r="D65" s="14">
        <v>102.07</v>
      </c>
      <c r="E65" s="13">
        <f t="shared" si="19"/>
        <v>745730.33038489264</v>
      </c>
      <c r="F65" s="12">
        <f t="shared" si="20"/>
        <v>-1.1837512250448601E-2</v>
      </c>
      <c r="G65" s="19">
        <f t="shared" si="21"/>
        <v>83.184411883039388</v>
      </c>
    </row>
    <row r="66" spans="1:7" ht="12.5">
      <c r="A66" s="5" t="s">
        <v>50</v>
      </c>
      <c r="B66" s="5">
        <v>896.72</v>
      </c>
      <c r="C66" s="12">
        <f t="shared" si="22"/>
        <v>-7.3547438097565365E-4</v>
      </c>
      <c r="D66" s="14">
        <v>101.3</v>
      </c>
      <c r="E66" s="13">
        <f t="shared" si="19"/>
        <v>750846.12974708364</v>
      </c>
      <c r="F66" s="12">
        <f t="shared" si="20"/>
        <v>-9.130667260678238E-3</v>
      </c>
      <c r="G66" s="19">
        <f t="shared" si="21"/>
        <v>83.755066909281709</v>
      </c>
    </row>
    <row r="67" spans="1:7" ht="12.5">
      <c r="A67" s="5" t="s">
        <v>51</v>
      </c>
      <c r="B67" s="5">
        <v>884.93</v>
      </c>
      <c r="C67" s="12">
        <f t="shared" si="22"/>
        <v>-1.3147916852529251E-2</v>
      </c>
      <c r="D67" s="14">
        <v>101.2</v>
      </c>
      <c r="E67" s="13">
        <f t="shared" si="19"/>
        <v>741706.25507762749</v>
      </c>
      <c r="F67" s="12">
        <f t="shared" si="20"/>
        <v>-9.2061883319751736E-3</v>
      </c>
      <c r="G67" s="19">
        <f t="shared" si="21"/>
        <v>82.735536030510843</v>
      </c>
    </row>
    <row r="68" spans="1:7" ht="12.5">
      <c r="A68" s="5" t="s">
        <v>52</v>
      </c>
      <c r="B68" s="5">
        <v>883.81</v>
      </c>
      <c r="C68" s="12">
        <f t="shared" si="22"/>
        <v>-1.26563683003178E-3</v>
      </c>
      <c r="D68" s="14">
        <v>100.71</v>
      </c>
      <c r="E68" s="13">
        <f t="shared" si="19"/>
        <v>744371.69557742635</v>
      </c>
      <c r="F68" s="12">
        <f t="shared" si="20"/>
        <v>-2.5573407221659572E-3</v>
      </c>
      <c r="G68" s="19">
        <f t="shared" si="21"/>
        <v>83.032859461449434</v>
      </c>
    </row>
    <row r="69" spans="1:7" ht="12.5">
      <c r="A69" s="5" t="s">
        <v>53</v>
      </c>
      <c r="B69" s="5">
        <v>898.59</v>
      </c>
      <c r="C69" s="12">
        <f t="shared" si="22"/>
        <v>1.6723051334562866E-2</v>
      </c>
      <c r="D69" s="14">
        <v>100.7</v>
      </c>
      <c r="E69" s="13">
        <f t="shared" si="19"/>
        <v>756895.01754946436</v>
      </c>
      <c r="F69" s="12">
        <f t="shared" si="20"/>
        <v>-1.0295376248137922E-2</v>
      </c>
      <c r="G69" s="19">
        <f t="shared" si="21"/>
        <v>84.429805690695943</v>
      </c>
    </row>
    <row r="70" spans="1:7" ht="12.5">
      <c r="A70" s="5" t="s">
        <v>39</v>
      </c>
      <c r="B70" s="5">
        <v>888.23</v>
      </c>
      <c r="C70" s="12">
        <f t="shared" si="22"/>
        <v>-1.1529173482901056E-2</v>
      </c>
      <c r="D70" s="14">
        <v>100.88</v>
      </c>
      <c r="E70" s="13">
        <f t="shared" si="19"/>
        <v>746833.68763766834</v>
      </c>
      <c r="F70" s="12">
        <f t="shared" si="20"/>
        <v>3.6325738962703635E-3</v>
      </c>
      <c r="G70" s="19">
        <f t="shared" si="21"/>
        <v>83.307488711792843</v>
      </c>
    </row>
    <row r="71" spans="1:7" ht="12.5">
      <c r="A71" s="5" t="s">
        <v>41</v>
      </c>
      <c r="B71" s="5">
        <v>883.4</v>
      </c>
      <c r="C71" s="12">
        <f t="shared" si="22"/>
        <v>-5.437780754984689E-3</v>
      </c>
      <c r="D71" s="14">
        <v>100.5</v>
      </c>
      <c r="E71" s="13">
        <f t="shared" si="19"/>
        <v>745581.0630825432</v>
      </c>
      <c r="F71" s="12">
        <f t="shared" si="20"/>
        <v>1.3015376807268941E-2</v>
      </c>
      <c r="G71" s="19">
        <f t="shared" si="21"/>
        <v>83.167761477050277</v>
      </c>
    </row>
    <row r="72" spans="1:7" ht="12.5">
      <c r="A72" s="5" t="s">
        <v>42</v>
      </c>
      <c r="B72" s="5">
        <v>886.14</v>
      </c>
      <c r="C72" s="12">
        <f t="shared" si="22"/>
        <v>3.1016527054561482E-3</v>
      </c>
      <c r="D72" s="14">
        <v>100.3</v>
      </c>
      <c r="E72" s="13">
        <f t="shared" si="19"/>
        <v>749384.90985743771</v>
      </c>
      <c r="F72" s="12">
        <f t="shared" si="20"/>
        <v>1.1828385184368351E-2</v>
      </c>
      <c r="G72" s="19">
        <f t="shared" si="21"/>
        <v>83.592071370278688</v>
      </c>
    </row>
    <row r="73" spans="1:7" ht="12.5">
      <c r="A73" s="5" t="s">
        <v>43</v>
      </c>
      <c r="B73" s="5">
        <v>888.3</v>
      </c>
      <c r="C73" s="12">
        <f t="shared" si="22"/>
        <v>2.4375380865324647E-3</v>
      </c>
      <c r="D73" s="14">
        <v>100.29</v>
      </c>
      <c r="E73" s="13">
        <f t="shared" si="19"/>
        <v>751286.46805168816</v>
      </c>
      <c r="F73" s="12">
        <f t="shared" si="20"/>
        <v>1.2704079487576125E-2</v>
      </c>
      <c r="G73" s="19">
        <f t="shared" si="21"/>
        <v>83.804185580476428</v>
      </c>
    </row>
    <row r="74" spans="1:7" ht="12.5">
      <c r="A74" s="5" t="s">
        <v>44</v>
      </c>
      <c r="B74" s="5">
        <v>887.21</v>
      </c>
      <c r="C74" s="12">
        <f t="shared" si="22"/>
        <v>-1.2270629291905033E-3</v>
      </c>
      <c r="D74" s="14">
        <v>99.97</v>
      </c>
      <c r="E74" s="13">
        <f t="shared" si="19"/>
        <v>752766.47953900613</v>
      </c>
      <c r="F74" s="12">
        <f t="shared" si="20"/>
        <v>1.3470423900571848E-2</v>
      </c>
      <c r="G74" s="19">
        <f t="shared" si="21"/>
        <v>83.969277276678667</v>
      </c>
    </row>
    <row r="75" spans="1:7" ht="12.5">
      <c r="A75" s="5" t="s">
        <v>45</v>
      </c>
      <c r="B75" s="5">
        <v>892.14</v>
      </c>
      <c r="C75" s="12">
        <f t="shared" si="22"/>
        <v>5.5567453026903468E-3</v>
      </c>
      <c r="D75" s="14">
        <v>99.91</v>
      </c>
      <c r="E75" s="13">
        <f t="shared" si="19"/>
        <v>757403.989905781</v>
      </c>
      <c r="F75" s="12">
        <f t="shared" si="20"/>
        <v>3.8772109725024873E-3</v>
      </c>
      <c r="G75" s="19">
        <f t="shared" si="21"/>
        <v>84.486580324098696</v>
      </c>
    </row>
    <row r="76" spans="1:7" ht="12.5">
      <c r="A76" s="16">
        <v>2000</v>
      </c>
      <c r="B76" s="16"/>
      <c r="C76" s="16"/>
      <c r="D76" s="17"/>
      <c r="E76" s="21"/>
      <c r="F76" s="18"/>
      <c r="G76" s="18"/>
    </row>
    <row r="77" spans="1:7" ht="12.5">
      <c r="A77" s="5" t="s">
        <v>47</v>
      </c>
      <c r="B77" s="5">
        <v>888.29</v>
      </c>
      <c r="C77" s="12">
        <f>B77/B75-1</f>
        <v>-4.3154661824377216E-3</v>
      </c>
      <c r="D77" s="14">
        <v>100.75</v>
      </c>
      <c r="E77" s="13">
        <f t="shared" ref="E77:E88" si="23">B77*D$389/D77</f>
        <v>747847.85777286196</v>
      </c>
      <c r="F77" s="12">
        <f t="shared" ref="F77:F88" si="24">E77/E64-1</f>
        <v>1.1864820106707308E-2</v>
      </c>
      <c r="G77" s="19">
        <f t="shared" ref="G77:G88" si="25">E77*G$270/E$270</f>
        <v>83.42061693362858</v>
      </c>
    </row>
    <row r="78" spans="1:7" ht="12.5">
      <c r="A78" s="5" t="s">
        <v>49</v>
      </c>
      <c r="B78" s="5">
        <v>893.47</v>
      </c>
      <c r="C78" s="12">
        <f t="shared" ref="C78:C88" si="26">B78/B77-1</f>
        <v>5.8314289252383578E-3</v>
      </c>
      <c r="D78" s="14">
        <v>100.76</v>
      </c>
      <c r="E78" s="13">
        <f t="shared" si="23"/>
        <v>752134.22588117688</v>
      </c>
      <c r="F78" s="12">
        <f t="shared" si="24"/>
        <v>8.5874145590658646E-3</v>
      </c>
      <c r="G78" s="19">
        <f t="shared" si="25"/>
        <v>83.898750912731131</v>
      </c>
    </row>
    <row r="79" spans="1:7" ht="12.5">
      <c r="A79" s="5" t="s">
        <v>50</v>
      </c>
      <c r="B79" s="5">
        <v>889.13</v>
      </c>
      <c r="C79" s="12">
        <f t="shared" si="26"/>
        <v>-4.8574658354505473E-3</v>
      </c>
      <c r="D79" s="14">
        <v>100.22</v>
      </c>
      <c r="E79" s="13">
        <f t="shared" si="23"/>
        <v>752513.6832449194</v>
      </c>
      <c r="F79" s="12">
        <f t="shared" si="24"/>
        <v>2.2208991053831451E-3</v>
      </c>
      <c r="G79" s="19">
        <f t="shared" si="25"/>
        <v>83.941078462451856</v>
      </c>
    </row>
    <row r="80" spans="1:7" ht="12.5">
      <c r="A80" s="5" t="s">
        <v>51</v>
      </c>
      <c r="B80" s="5">
        <v>871.69</v>
      </c>
      <c r="C80" s="12">
        <f t="shared" si="26"/>
        <v>-1.9614679518180633E-2</v>
      </c>
      <c r="D80" s="14">
        <v>100.11</v>
      </c>
      <c r="E80" s="13">
        <f t="shared" si="23"/>
        <v>738564.00551968592</v>
      </c>
      <c r="F80" s="12">
        <f t="shared" si="24"/>
        <v>-4.23651484186649E-3</v>
      </c>
      <c r="G80" s="19">
        <f t="shared" si="25"/>
        <v>82.385025704167802</v>
      </c>
    </row>
    <row r="81" spans="1:10" ht="12.5">
      <c r="A81" s="5" t="s">
        <v>52</v>
      </c>
      <c r="B81" s="5">
        <v>878.6</v>
      </c>
      <c r="C81" s="12">
        <f t="shared" si="26"/>
        <v>7.9271300577039572E-3</v>
      </c>
      <c r="D81" s="14">
        <v>99.72</v>
      </c>
      <c r="E81" s="13">
        <f t="shared" si="23"/>
        <v>747330.083248768</v>
      </c>
      <c r="F81" s="12">
        <f t="shared" si="24"/>
        <v>3.9743419704409977E-3</v>
      </c>
      <c r="G81" s="19">
        <f t="shared" si="25"/>
        <v>83.362860439732799</v>
      </c>
    </row>
    <row r="82" spans="1:10" ht="12.5">
      <c r="A82" s="5" t="s">
        <v>53</v>
      </c>
      <c r="B82" s="5">
        <v>903.02</v>
      </c>
      <c r="C82" s="12">
        <f t="shared" si="26"/>
        <v>2.7794218074209009E-2</v>
      </c>
      <c r="D82" s="14">
        <v>99.54</v>
      </c>
      <c r="E82" s="13">
        <f t="shared" si="23"/>
        <v>769490.51059678919</v>
      </c>
      <c r="F82" s="12">
        <f t="shared" si="24"/>
        <v>1.6641004043208341E-2</v>
      </c>
      <c r="G82" s="19">
        <f t="shared" si="25"/>
        <v>85.834802428562085</v>
      </c>
    </row>
    <row r="83" spans="1:10" ht="12.5">
      <c r="A83" s="5" t="s">
        <v>39</v>
      </c>
      <c r="B83" s="5">
        <v>882.35</v>
      </c>
      <c r="C83" s="12">
        <f t="shared" si="26"/>
        <v>-2.288985847489533E-2</v>
      </c>
      <c r="D83" s="14">
        <v>99.97</v>
      </c>
      <c r="E83" s="13">
        <f t="shared" si="23"/>
        <v>748642.94047772454</v>
      </c>
      <c r="F83" s="12">
        <f t="shared" si="24"/>
        <v>2.4225645816529084E-3</v>
      </c>
      <c r="G83" s="19">
        <f t="shared" si="25"/>
        <v>83.509306483332466</v>
      </c>
    </row>
    <row r="84" spans="1:10" ht="12.5">
      <c r="A84" s="5" t="s">
        <v>41</v>
      </c>
      <c r="B84" s="5">
        <v>881.81</v>
      </c>
      <c r="C84" s="12">
        <f t="shared" si="26"/>
        <v>-6.1200204000688707E-4</v>
      </c>
      <c r="D84" s="14">
        <v>99.75</v>
      </c>
      <c r="E84" s="13">
        <f t="shared" si="23"/>
        <v>749834.90129330743</v>
      </c>
      <c r="F84" s="12">
        <f t="shared" si="24"/>
        <v>5.7054000180436493E-3</v>
      </c>
      <c r="G84" s="19">
        <f t="shared" si="25"/>
        <v>83.6422668248821</v>
      </c>
    </row>
    <row r="85" spans="1:10" ht="12.5">
      <c r="A85" s="5" t="s">
        <v>42</v>
      </c>
      <c r="B85" s="5">
        <v>873.15</v>
      </c>
      <c r="C85" s="12">
        <f t="shared" si="26"/>
        <v>-9.8207096766876889E-3</v>
      </c>
      <c r="D85" s="14">
        <v>99.6</v>
      </c>
      <c r="E85" s="13">
        <f t="shared" si="23"/>
        <v>743589.16962470126</v>
      </c>
      <c r="F85" s="12">
        <f t="shared" si="24"/>
        <v>-7.7339964502874947E-3</v>
      </c>
      <c r="G85" s="19">
        <f t="shared" si="25"/>
        <v>82.945570587028769</v>
      </c>
    </row>
    <row r="86" spans="1:10" ht="12.5">
      <c r="A86" s="5" t="s">
        <v>43</v>
      </c>
      <c r="B86" s="5">
        <v>879.95</v>
      </c>
      <c r="C86" s="12">
        <f t="shared" si="26"/>
        <v>7.787894405314244E-3</v>
      </c>
      <c r="D86" s="14">
        <v>99.78</v>
      </c>
      <c r="E86" s="13">
        <f t="shared" si="23"/>
        <v>748028.30517582584</v>
      </c>
      <c r="F86" s="12">
        <f t="shared" si="24"/>
        <v>-4.336778332121094E-3</v>
      </c>
      <c r="G86" s="19">
        <f t="shared" si="25"/>
        <v>83.440745404309965</v>
      </c>
    </row>
    <row r="87" spans="1:10" ht="12.5">
      <c r="A87" s="5" t="s">
        <v>44</v>
      </c>
      <c r="B87" s="5">
        <v>877.91</v>
      </c>
      <c r="C87" s="12">
        <f t="shared" si="26"/>
        <v>-2.3183135405421273E-3</v>
      </c>
      <c r="D87" s="14">
        <v>99.29</v>
      </c>
      <c r="E87" s="13">
        <f t="shared" si="23"/>
        <v>749977.13155097992</v>
      </c>
      <c r="F87" s="12">
        <f t="shared" si="24"/>
        <v>-3.7054625356517379E-3</v>
      </c>
      <c r="G87" s="19">
        <f t="shared" si="25"/>
        <v>83.658132265584172</v>
      </c>
    </row>
    <row r="88" spans="1:10" ht="12.5">
      <c r="A88" s="5" t="s">
        <v>45</v>
      </c>
      <c r="B88" s="5">
        <v>884.83</v>
      </c>
      <c r="C88" s="12">
        <f t="shared" si="26"/>
        <v>7.8823569614199229E-3</v>
      </c>
      <c r="D88" s="14">
        <v>99.18</v>
      </c>
      <c r="E88" s="13">
        <f t="shared" si="23"/>
        <v>756727.07109272189</v>
      </c>
      <c r="F88" s="12">
        <f t="shared" si="24"/>
        <v>-8.9373547285287458E-4</v>
      </c>
      <c r="G88" s="19">
        <f t="shared" si="25"/>
        <v>84.411071670283008</v>
      </c>
    </row>
    <row r="89" spans="1:10" ht="12.5">
      <c r="A89" s="16">
        <v>2001</v>
      </c>
      <c r="B89" s="16"/>
      <c r="C89" s="16"/>
      <c r="D89" s="17"/>
      <c r="E89" s="21"/>
      <c r="F89" s="18"/>
      <c r="G89" s="18"/>
    </row>
    <row r="90" spans="1:10" ht="12.5">
      <c r="A90" s="5" t="s">
        <v>47</v>
      </c>
      <c r="B90" s="5">
        <v>887.75</v>
      </c>
      <c r="C90" s="12">
        <v>3.0000000000000001E-3</v>
      </c>
      <c r="D90" s="14">
        <v>99.26</v>
      </c>
      <c r="E90" s="13">
        <f t="shared" ref="E90:E101" si="27">B90*D$389/D90</f>
        <v>758612.41502181266</v>
      </c>
      <c r="F90" s="12"/>
      <c r="G90" s="19">
        <f t="shared" ref="G90:G101" si="28">E90*G$270/E$270</f>
        <v>84.62137721847995</v>
      </c>
    </row>
    <row r="91" spans="1:10" ht="12.5">
      <c r="A91" s="5" t="s">
        <v>49</v>
      </c>
      <c r="B91" s="5">
        <v>892.27</v>
      </c>
      <c r="C91" s="12">
        <v>5.0000000000000001E-3</v>
      </c>
      <c r="D91" s="14">
        <v>99.03</v>
      </c>
      <c r="E91" s="13">
        <f t="shared" si="27"/>
        <v>764245.77769595338</v>
      </c>
      <c r="F91" s="12"/>
      <c r="G91" s="19">
        <f t="shared" si="28"/>
        <v>85.249765178415018</v>
      </c>
      <c r="J91" s="5" t="s">
        <v>15</v>
      </c>
    </row>
    <row r="92" spans="1:10" ht="12.5">
      <c r="A92" s="5" t="s">
        <v>50</v>
      </c>
      <c r="B92" s="5">
        <v>892.12</v>
      </c>
      <c r="C92" s="12">
        <v>0</v>
      </c>
      <c r="D92" s="14">
        <v>99.22</v>
      </c>
      <c r="E92" s="13">
        <f t="shared" si="27"/>
        <v>762654.06380679924</v>
      </c>
      <c r="F92" s="12"/>
      <c r="G92" s="19">
        <f t="shared" si="28"/>
        <v>85.072213349877998</v>
      </c>
      <c r="J92" s="5" t="s">
        <v>17</v>
      </c>
    </row>
    <row r="93" spans="1:10" ht="12.5">
      <c r="A93" s="5" t="s">
        <v>51</v>
      </c>
      <c r="B93" s="5">
        <v>884.92</v>
      </c>
      <c r="C93" s="12">
        <v>-8.0000000000000002E-3</v>
      </c>
      <c r="D93" s="14">
        <v>99.88</v>
      </c>
      <c r="E93" s="13">
        <f t="shared" si="27"/>
        <v>751500.04809339147</v>
      </c>
      <c r="F93" s="12"/>
      <c r="G93" s="19">
        <f t="shared" si="28"/>
        <v>83.828009916748059</v>
      </c>
    </row>
    <row r="94" spans="1:10" ht="12.5">
      <c r="A94" s="5" t="s">
        <v>52</v>
      </c>
      <c r="B94" s="5">
        <v>882.57</v>
      </c>
      <c r="C94" s="12">
        <v>-3.0000000000000001E-3</v>
      </c>
      <c r="D94" s="14">
        <v>99.95</v>
      </c>
      <c r="E94" s="13">
        <f t="shared" si="27"/>
        <v>748979.44358072628</v>
      </c>
      <c r="F94" s="12"/>
      <c r="G94" s="19">
        <f t="shared" si="28"/>
        <v>83.546842589320761</v>
      </c>
    </row>
    <row r="95" spans="1:10" ht="12.5">
      <c r="A95" s="5" t="s">
        <v>53</v>
      </c>
      <c r="B95" s="5">
        <v>889.09</v>
      </c>
      <c r="C95" s="12">
        <v>7.0000000000000001E-3</v>
      </c>
      <c r="D95" s="14">
        <v>99.23</v>
      </c>
      <c r="E95" s="13">
        <f t="shared" si="27"/>
        <v>759987.1862708244</v>
      </c>
      <c r="F95" s="12"/>
      <c r="G95" s="19">
        <f t="shared" si="28"/>
        <v>84.774729621035078</v>
      </c>
    </row>
    <row r="96" spans="1:10" ht="12.5">
      <c r="A96" s="5" t="s">
        <v>39</v>
      </c>
      <c r="B96" s="5">
        <v>881.29</v>
      </c>
      <c r="C96" s="12">
        <v>-8.9999999999999993E-3</v>
      </c>
      <c r="D96" s="14">
        <v>98.9</v>
      </c>
      <c r="E96" s="13">
        <f t="shared" si="27"/>
        <v>755833.41222479939</v>
      </c>
      <c r="F96" s="12"/>
      <c r="G96" s="19">
        <f t="shared" si="28"/>
        <v>84.311386188382571</v>
      </c>
    </row>
    <row r="97" spans="1:12" ht="12.5">
      <c r="A97" s="5" t="s">
        <v>41</v>
      </c>
      <c r="B97" s="5">
        <v>879.63</v>
      </c>
      <c r="C97" s="12">
        <v>-2E-3</v>
      </c>
      <c r="D97" s="14">
        <v>98.55</v>
      </c>
      <c r="E97" s="13">
        <f t="shared" si="27"/>
        <v>757089.00620221882</v>
      </c>
      <c r="F97" s="12"/>
      <c r="G97" s="19">
        <f t="shared" si="28"/>
        <v>84.451444654988876</v>
      </c>
      <c r="L97" s="25"/>
    </row>
    <row r="98" spans="1:12" ht="12.5">
      <c r="A98" s="5" t="s">
        <v>42</v>
      </c>
      <c r="B98" s="5">
        <v>876.4</v>
      </c>
      <c r="C98" s="12">
        <v>-4.0000000000000001E-3</v>
      </c>
      <c r="D98" s="14">
        <v>98.47</v>
      </c>
      <c r="E98" s="13">
        <f t="shared" si="27"/>
        <v>754921.79992091423</v>
      </c>
      <c r="F98" s="12"/>
      <c r="G98" s="19">
        <f t="shared" si="28"/>
        <v>84.209698044191242</v>
      </c>
    </row>
    <row r="99" spans="1:12" ht="12.5">
      <c r="A99" s="5" t="s">
        <v>43</v>
      </c>
      <c r="B99" s="5">
        <v>880.26</v>
      </c>
      <c r="C99" s="12">
        <v>4.0000000000000001E-3</v>
      </c>
      <c r="D99" s="14">
        <v>98.04</v>
      </c>
      <c r="E99" s="13">
        <f t="shared" si="27"/>
        <v>761572.40727632737</v>
      </c>
      <c r="F99" s="12"/>
      <c r="G99" s="19">
        <f t="shared" si="28"/>
        <v>84.951557184129285</v>
      </c>
    </row>
    <row r="100" spans="1:12" ht="12.5">
      <c r="A100" s="5" t="s">
        <v>44</v>
      </c>
      <c r="B100" s="5">
        <v>875.83</v>
      </c>
      <c r="C100" s="12">
        <v>-5.0000000000000001E-3</v>
      </c>
      <c r="D100" s="14">
        <v>97.72</v>
      </c>
      <c r="E100" s="13">
        <f t="shared" si="27"/>
        <v>760221.05660865537</v>
      </c>
      <c r="F100" s="12"/>
      <c r="G100" s="19">
        <f t="shared" si="28"/>
        <v>84.800817290688144</v>
      </c>
    </row>
    <row r="101" spans="1:12" ht="12.5">
      <c r="A101" s="5" t="s">
        <v>45</v>
      </c>
      <c r="B101" s="5">
        <v>870.52</v>
      </c>
      <c r="C101" s="12">
        <v>-6.0000000000000001E-3</v>
      </c>
      <c r="D101" s="14">
        <v>97.64</v>
      </c>
      <c r="E101" s="13">
        <f t="shared" si="27"/>
        <v>756231.07321674074</v>
      </c>
      <c r="F101" s="12"/>
      <c r="G101" s="19">
        <f t="shared" si="28"/>
        <v>84.355744308732056</v>
      </c>
    </row>
    <row r="102" spans="1:12" ht="12.5">
      <c r="A102" s="16">
        <v>2002</v>
      </c>
      <c r="B102" s="16"/>
      <c r="C102" s="16"/>
      <c r="D102" s="17"/>
      <c r="E102" s="21"/>
      <c r="F102" s="18"/>
      <c r="G102" s="18"/>
    </row>
    <row r="103" spans="1:12" ht="12.5">
      <c r="A103" s="5" t="s">
        <v>47</v>
      </c>
      <c r="B103" s="5">
        <v>875.77</v>
      </c>
      <c r="C103" s="12">
        <v>6.0000000000000001E-3</v>
      </c>
      <c r="D103" s="14">
        <v>99.88</v>
      </c>
      <c r="E103" s="13">
        <f t="shared" ref="E103:E114" si="29">B103*D$389/D103</f>
        <v>743729.59942000348</v>
      </c>
      <c r="F103" s="12">
        <f t="shared" ref="F103:F114" si="30">E103/E90-1</f>
        <v>-1.9618470917564967E-2</v>
      </c>
      <c r="G103" s="19">
        <f>E103*G270/E270</f>
        <v>82.961235190514898</v>
      </c>
    </row>
    <row r="104" spans="1:12" ht="12.5">
      <c r="A104" s="5" t="s">
        <v>49</v>
      </c>
      <c r="B104" s="5">
        <v>887.02</v>
      </c>
      <c r="C104" s="12">
        <v>1.2999999999999999E-2</v>
      </c>
      <c r="D104" s="14">
        <v>103.01</v>
      </c>
      <c r="E104" s="13">
        <f t="shared" si="29"/>
        <v>730394.61182451108</v>
      </c>
      <c r="F104" s="12">
        <f t="shared" si="30"/>
        <v>-4.4293559558152507E-2</v>
      </c>
      <c r="G104" s="19">
        <f>E104*G270/E270</f>
        <v>81.473749627166384</v>
      </c>
    </row>
    <row r="105" spans="1:12" ht="12.5">
      <c r="A105" s="5" t="s">
        <v>50</v>
      </c>
      <c r="B105" s="5">
        <v>882.39</v>
      </c>
      <c r="C105" s="12">
        <v>-5.0000000000000001E-3</v>
      </c>
      <c r="D105" s="14">
        <v>107.09</v>
      </c>
      <c r="E105" s="13">
        <f t="shared" si="29"/>
        <v>698900.2483958354</v>
      </c>
      <c r="F105" s="12">
        <f t="shared" si="30"/>
        <v>-8.3594670816720895E-2</v>
      </c>
      <c r="G105" s="19">
        <f>E105*G270/E270</f>
        <v>77.960629679245102</v>
      </c>
    </row>
    <row r="106" spans="1:12" ht="12.5">
      <c r="A106" s="5" t="s">
        <v>51</v>
      </c>
      <c r="B106" s="5">
        <v>882.13</v>
      </c>
      <c r="C106" s="12">
        <v>0</v>
      </c>
      <c r="D106" s="14">
        <v>118.22</v>
      </c>
      <c r="E106" s="13">
        <f t="shared" si="29"/>
        <v>632914.68561345502</v>
      </c>
      <c r="F106" s="12">
        <f t="shared" si="30"/>
        <v>-0.1577982101009785</v>
      </c>
      <c r="G106" s="19">
        <f>E106*G270/E270</f>
        <v>70.600099995558139</v>
      </c>
    </row>
    <row r="107" spans="1:12" ht="12.5">
      <c r="A107" s="5" t="s">
        <v>52</v>
      </c>
      <c r="B107" s="5">
        <v>882.12</v>
      </c>
      <c r="C107" s="12">
        <v>0</v>
      </c>
      <c r="D107" s="14">
        <v>122.96</v>
      </c>
      <c r="E107" s="13">
        <f t="shared" si="29"/>
        <v>608509.48213186942</v>
      </c>
      <c r="F107" s="12">
        <f t="shared" si="30"/>
        <v>-0.18754848701494009</v>
      </c>
      <c r="G107" s="19">
        <f>E107*G270/E270</f>
        <v>67.877758666818309</v>
      </c>
    </row>
    <row r="108" spans="1:12" ht="12.5">
      <c r="A108" s="5" t="s">
        <v>53</v>
      </c>
      <c r="B108" s="5">
        <v>874.52</v>
      </c>
      <c r="C108" s="12">
        <v>-8.9999999999999993E-3</v>
      </c>
      <c r="D108" s="14">
        <v>127.41</v>
      </c>
      <c r="E108" s="13">
        <f t="shared" si="29"/>
        <v>582196.73576699593</v>
      </c>
      <c r="F108" s="12">
        <f t="shared" si="30"/>
        <v>-0.23393874754155675</v>
      </c>
      <c r="G108" s="19">
        <f>E108*G270/E270</f>
        <v>64.942635550316027</v>
      </c>
    </row>
    <row r="109" spans="1:12" ht="12.5">
      <c r="A109" s="5" t="s">
        <v>39</v>
      </c>
      <c r="B109" s="5">
        <v>906.76</v>
      </c>
      <c r="C109" s="12">
        <v>3.6999999999999998E-2</v>
      </c>
      <c r="D109" s="14">
        <v>131.47</v>
      </c>
      <c r="E109" s="13">
        <f t="shared" si="29"/>
        <v>585017.99705261586</v>
      </c>
      <c r="F109" s="12">
        <f t="shared" si="30"/>
        <v>-0.22599611555856935</v>
      </c>
      <c r="G109" s="19">
        <f>E109*G270/E270</f>
        <v>65.257340412449707</v>
      </c>
    </row>
    <row r="110" spans="1:12" ht="12.5">
      <c r="A110" s="5" t="s">
        <v>41</v>
      </c>
      <c r="B110" s="5">
        <v>885.3</v>
      </c>
      <c r="C110" s="12">
        <v>-2.4E-2</v>
      </c>
      <c r="D110" s="14">
        <v>134.56</v>
      </c>
      <c r="E110" s="13">
        <f t="shared" si="29"/>
        <v>558056.30792591418</v>
      </c>
      <c r="F110" s="12">
        <f t="shared" si="30"/>
        <v>-0.2628920729871792</v>
      </c>
      <c r="G110" s="19">
        <f>E110*G270/E270</f>
        <v>62.249829302876819</v>
      </c>
    </row>
    <row r="111" spans="1:12" ht="12.5">
      <c r="A111" s="5" t="s">
        <v>42</v>
      </c>
      <c r="B111" s="5">
        <v>891.87</v>
      </c>
      <c r="C111" s="12">
        <v>7.0000000000000001E-3</v>
      </c>
      <c r="D111" s="14">
        <v>136.37</v>
      </c>
      <c r="E111" s="13">
        <f t="shared" si="29"/>
        <v>554735.8726531585</v>
      </c>
      <c r="F111" s="12">
        <f t="shared" si="30"/>
        <v>-0.26517438930592185</v>
      </c>
      <c r="G111" s="19">
        <f>E111*G270/E270</f>
        <v>61.879442791686756</v>
      </c>
    </row>
    <row r="112" spans="1:12" ht="12.5">
      <c r="A112" s="5" t="s">
        <v>43</v>
      </c>
      <c r="B112" s="5">
        <v>900.78</v>
      </c>
      <c r="C112" s="12">
        <v>0.01</v>
      </c>
      <c r="D112" s="14">
        <v>136.66999999999999</v>
      </c>
      <c r="E112" s="13">
        <f t="shared" si="29"/>
        <v>559047.9719053033</v>
      </c>
      <c r="F112" s="12">
        <f t="shared" si="30"/>
        <v>-0.26592932390411639</v>
      </c>
      <c r="G112" s="19">
        <f>E112*G270/E270</f>
        <v>62.360447017551913</v>
      </c>
    </row>
    <row r="113" spans="1:7" ht="12.5">
      <c r="A113" s="5" t="s">
        <v>44</v>
      </c>
      <c r="B113" s="5">
        <v>894.65</v>
      </c>
      <c r="C113" s="12">
        <v>-7.0000000000000001E-3</v>
      </c>
      <c r="D113" s="14">
        <v>137.37</v>
      </c>
      <c r="E113" s="13">
        <f t="shared" si="29"/>
        <v>552414.16185315966</v>
      </c>
      <c r="F113" s="12">
        <f t="shared" si="30"/>
        <v>-0.27335061683574235</v>
      </c>
      <c r="G113" s="19">
        <f>E113*G270/E270</f>
        <v>61.620461576103466</v>
      </c>
    </row>
    <row r="114" spans="1:7" ht="12.5">
      <c r="A114" s="5" t="s">
        <v>45</v>
      </c>
      <c r="B114" s="5">
        <v>900.69</v>
      </c>
      <c r="C114" s="12">
        <v>7.0000000000000001E-3</v>
      </c>
      <c r="D114" s="14">
        <v>137.63</v>
      </c>
      <c r="E114" s="13">
        <f t="shared" si="29"/>
        <v>555093.02061836829</v>
      </c>
      <c r="F114" s="12">
        <f t="shared" si="30"/>
        <v>-0.26597432943716792</v>
      </c>
      <c r="G114" s="19">
        <f>E114*G270/E270</f>
        <v>61.919281782043853</v>
      </c>
    </row>
    <row r="115" spans="1:7" ht="12.5">
      <c r="A115" s="16">
        <v>2003</v>
      </c>
      <c r="B115" s="16"/>
      <c r="C115" s="16"/>
      <c r="D115" s="17"/>
      <c r="E115" s="21"/>
      <c r="F115" s="18"/>
      <c r="G115" s="18"/>
    </row>
    <row r="116" spans="1:7" ht="12.5">
      <c r="A116" s="5" t="s">
        <v>47</v>
      </c>
      <c r="B116" s="5">
        <v>882.03</v>
      </c>
      <c r="C116" s="12">
        <v>-2.1000000000000001E-2</v>
      </c>
      <c r="D116" s="14">
        <v>139.44</v>
      </c>
      <c r="E116" s="13">
        <f t="shared" ref="E116:E127" si="31">B116*D$389/D116</f>
        <v>536536.80457790371</v>
      </c>
      <c r="F116" s="12">
        <f t="shared" ref="F116:F127" si="32">E116/E103-1</f>
        <v>-0.27858618912529343</v>
      </c>
      <c r="G116" s="19">
        <f>E116*G270/E270</f>
        <v>59.849380833662174</v>
      </c>
    </row>
    <row r="117" spans="1:7" ht="12.5">
      <c r="A117" s="5" t="s">
        <v>49</v>
      </c>
      <c r="B117" s="5">
        <v>890.6</v>
      </c>
      <c r="C117" s="12">
        <v>0.01</v>
      </c>
      <c r="D117" s="14">
        <v>140.22999999999999</v>
      </c>
      <c r="E117" s="13">
        <f t="shared" si="31"/>
        <v>538697.91233786126</v>
      </c>
      <c r="F117" s="12">
        <f t="shared" si="32"/>
        <v>-0.26245634398615747</v>
      </c>
      <c r="G117" s="19">
        <f>E117*G270/E270</f>
        <v>60.090447169176734</v>
      </c>
    </row>
    <row r="118" spans="1:7" ht="12.5">
      <c r="A118" s="5" t="s">
        <v>50</v>
      </c>
      <c r="B118" s="5">
        <v>892.09</v>
      </c>
      <c r="C118" s="12">
        <v>2E-3</v>
      </c>
      <c r="D118" s="14">
        <v>141.05000000000001</v>
      </c>
      <c r="E118" s="13">
        <f t="shared" si="31"/>
        <v>536462.18773517688</v>
      </c>
      <c r="F118" s="12">
        <f t="shared" si="32"/>
        <v>-0.23241952057321158</v>
      </c>
      <c r="G118" s="19">
        <f>E118*G270/E270</f>
        <v>59.841057505609264</v>
      </c>
    </row>
    <row r="119" spans="1:7" ht="12.5">
      <c r="A119" s="5" t="s">
        <v>51</v>
      </c>
      <c r="B119" s="5">
        <v>889.92</v>
      </c>
      <c r="C119" s="12">
        <v>-2E-3</v>
      </c>
      <c r="D119" s="14">
        <v>141.13</v>
      </c>
      <c r="E119" s="13">
        <f t="shared" si="31"/>
        <v>534853.89320169995</v>
      </c>
      <c r="F119" s="12">
        <f t="shared" si="32"/>
        <v>-0.15493524584077123</v>
      </c>
      <c r="G119" s="19">
        <f>E119*G270/E270</f>
        <v>59.661656146363306</v>
      </c>
    </row>
    <row r="120" spans="1:7" ht="12.5">
      <c r="A120" s="5" t="s">
        <v>52</v>
      </c>
      <c r="B120" s="5">
        <v>887.23</v>
      </c>
      <c r="C120" s="12">
        <v>-3.0000000000000001E-3</v>
      </c>
      <c r="D120" s="14">
        <v>140.58000000000001</v>
      </c>
      <c r="E120" s="13">
        <f t="shared" si="31"/>
        <v>535323.38440809771</v>
      </c>
      <c r="F120" s="12">
        <f t="shared" si="32"/>
        <v>-0.1202710884099446</v>
      </c>
      <c r="G120" s="19">
        <f>E120*G270/E270</f>
        <v>59.714026753132515</v>
      </c>
    </row>
    <row r="121" spans="1:7" ht="12.5">
      <c r="A121" s="5" t="s">
        <v>53</v>
      </c>
      <c r="B121" s="5">
        <v>903.82</v>
      </c>
      <c r="C121" s="12">
        <v>1.9E-2</v>
      </c>
      <c r="D121" s="14">
        <v>140.46</v>
      </c>
      <c r="E121" s="13">
        <f t="shared" si="31"/>
        <v>545799.10471196414</v>
      </c>
      <c r="F121" s="12">
        <f t="shared" si="32"/>
        <v>-6.2517751850808545E-2</v>
      </c>
      <c r="G121" s="19">
        <f>E121*G270/E270</f>
        <v>60.882567976443866</v>
      </c>
    </row>
    <row r="122" spans="1:7" ht="12.5">
      <c r="A122" s="5" t="s">
        <v>39</v>
      </c>
      <c r="B122" s="5">
        <v>918.96</v>
      </c>
      <c r="C122" s="12">
        <v>1.7000000000000001E-2</v>
      </c>
      <c r="D122" s="14">
        <v>141.09</v>
      </c>
      <c r="E122" s="13">
        <f t="shared" si="31"/>
        <v>552463.90689515974</v>
      </c>
      <c r="F122" s="12">
        <f t="shared" si="32"/>
        <v>-5.5646305449519762E-2</v>
      </c>
      <c r="G122" s="19">
        <f>E122*G270/E270</f>
        <v>61.62601051503524</v>
      </c>
    </row>
    <row r="123" spans="1:7" ht="12.5">
      <c r="A123" s="5" t="s">
        <v>41</v>
      </c>
      <c r="B123" s="5">
        <v>941.34</v>
      </c>
      <c r="C123" s="12">
        <v>2.4E-2</v>
      </c>
      <c r="D123" s="14">
        <v>141.12</v>
      </c>
      <c r="E123" s="13">
        <f t="shared" si="31"/>
        <v>565798.09558055748</v>
      </c>
      <c r="F123" s="12">
        <f t="shared" si="32"/>
        <v>1.3872771519090277E-2</v>
      </c>
      <c r="G123" s="19">
        <f>E123*G270/E270</f>
        <v>63.113406961898008</v>
      </c>
    </row>
    <row r="124" spans="1:7" ht="12.5">
      <c r="A124" s="5" t="s">
        <v>42</v>
      </c>
      <c r="B124" s="5">
        <v>971.97</v>
      </c>
      <c r="C124" s="12">
        <v>3.3000000000000002E-2</v>
      </c>
      <c r="D124" s="14">
        <v>141.18</v>
      </c>
      <c r="E124" s="13">
        <f t="shared" si="31"/>
        <v>583960.15979882842</v>
      </c>
      <c r="F124" s="12">
        <f t="shared" si="32"/>
        <v>5.2681444605155336E-2</v>
      </c>
      <c r="G124" s="19">
        <f>E124*G270/E270</f>
        <v>65.13934122931488</v>
      </c>
    </row>
    <row r="125" spans="1:7" ht="12.5">
      <c r="A125" s="5" t="s">
        <v>43</v>
      </c>
      <c r="B125" s="13">
        <v>1008.52</v>
      </c>
      <c r="C125" s="12">
        <v>3.7999999999999999E-2</v>
      </c>
      <c r="D125" s="14">
        <v>142.01</v>
      </c>
      <c r="E125" s="13">
        <f t="shared" si="31"/>
        <v>602378.0294553251</v>
      </c>
      <c r="F125" s="12">
        <f t="shared" si="32"/>
        <v>7.7506868332511303E-2</v>
      </c>
      <c r="G125" s="19">
        <f>E125*G270/E270</f>
        <v>67.193809973697853</v>
      </c>
    </row>
    <row r="126" spans="1:7" ht="12.5">
      <c r="A126" s="5" t="s">
        <v>44</v>
      </c>
      <c r="B126" s="13">
        <v>1020.36</v>
      </c>
      <c r="C126" s="12">
        <v>1.2E-2</v>
      </c>
      <c r="D126" s="14">
        <v>142.36000000000001</v>
      </c>
      <c r="E126" s="13">
        <f t="shared" si="31"/>
        <v>607951.56605727889</v>
      </c>
      <c r="F126" s="12">
        <f t="shared" si="32"/>
        <v>0.10053580816576169</v>
      </c>
      <c r="G126" s="19">
        <f>E126*G270/E270</f>
        <v>67.815524480204289</v>
      </c>
    </row>
    <row r="127" spans="1:7" ht="12.5">
      <c r="A127" s="5" t="s">
        <v>45</v>
      </c>
      <c r="B127" s="13">
        <v>1040.73</v>
      </c>
      <c r="C127" s="12">
        <v>0.02</v>
      </c>
      <c r="D127" s="14">
        <v>142.66</v>
      </c>
      <c r="E127" s="13">
        <f t="shared" si="31"/>
        <v>618784.44764139387</v>
      </c>
      <c r="F127" s="12">
        <f t="shared" si="32"/>
        <v>0.1147400969878416</v>
      </c>
      <c r="G127" s="19">
        <f>E127*G270/E270</f>
        <v>69.023906179133064</v>
      </c>
    </row>
    <row r="128" spans="1:7" ht="12.5">
      <c r="A128" s="16">
        <v>2004</v>
      </c>
      <c r="B128" s="16"/>
      <c r="C128" s="16"/>
      <c r="D128" s="17"/>
      <c r="E128" s="21"/>
      <c r="F128" s="18"/>
      <c r="G128" s="18"/>
    </row>
    <row r="129" spans="1:7" ht="12.5">
      <c r="A129" s="5" t="s">
        <v>47</v>
      </c>
      <c r="B129" s="13">
        <v>1065.01</v>
      </c>
      <c r="C129" s="12">
        <v>2.3E-2</v>
      </c>
      <c r="D129" s="14">
        <v>143.26</v>
      </c>
      <c r="E129" s="13">
        <f t="shared" ref="E129:E140" si="33">B129*D$389/D129</f>
        <v>630568.50397687324</v>
      </c>
      <c r="F129" s="12">
        <f t="shared" ref="F129:F140" si="34">E129/E116-1</f>
        <v>0.17525675516881778</v>
      </c>
      <c r="G129" s="19">
        <f>E129*G270/E270</f>
        <v>70.338389117432641</v>
      </c>
    </row>
    <row r="130" spans="1:7" ht="12.5">
      <c r="A130" s="5" t="s">
        <v>49</v>
      </c>
      <c r="B130" s="13">
        <v>1090.92</v>
      </c>
      <c r="C130" s="12">
        <v>2.4E-2</v>
      </c>
      <c r="D130" s="14">
        <v>143.4</v>
      </c>
      <c r="E130" s="13">
        <f t="shared" si="33"/>
        <v>645278.63832547108</v>
      </c>
      <c r="F130" s="12">
        <f t="shared" si="34"/>
        <v>0.19784878230744729</v>
      </c>
      <c r="G130" s="19">
        <f>E130*G270/E270</f>
        <v>71.979268969908333</v>
      </c>
    </row>
    <row r="131" spans="1:7" ht="12.5">
      <c r="A131" s="5" t="s">
        <v>50</v>
      </c>
      <c r="B131" s="13">
        <v>1102.42</v>
      </c>
      <c r="C131" s="12">
        <v>1.0999999999999999E-2</v>
      </c>
      <c r="D131" s="14">
        <v>144.26</v>
      </c>
      <c r="E131" s="13">
        <f t="shared" si="33"/>
        <v>648193.52950953075</v>
      </c>
      <c r="F131" s="12">
        <f t="shared" si="34"/>
        <v>0.20827440279818887</v>
      </c>
      <c r="G131" s="19">
        <f>E131*G270/E270</f>
        <v>72.30441802040211</v>
      </c>
    </row>
    <row r="132" spans="1:7" ht="12.5">
      <c r="A132" s="5" t="s">
        <v>51</v>
      </c>
      <c r="B132" s="13">
        <v>1099.03</v>
      </c>
      <c r="C132" s="12">
        <v>-3.0000000000000001E-3</v>
      </c>
      <c r="D132" s="14">
        <v>145.49</v>
      </c>
      <c r="E132" s="13">
        <f t="shared" si="33"/>
        <v>640737.20035343349</v>
      </c>
      <c r="F132" s="12">
        <f t="shared" si="34"/>
        <v>0.19796678774815168</v>
      </c>
      <c r="G132" s="19">
        <f>E132*G270/E270</f>
        <v>71.472682565393626</v>
      </c>
    </row>
    <row r="133" spans="1:7" ht="12.5">
      <c r="A133" s="5" t="s">
        <v>52</v>
      </c>
      <c r="B133" s="13">
        <v>1088.57</v>
      </c>
      <c r="C133" s="12">
        <v>-0.01</v>
      </c>
      <c r="D133" s="14">
        <v>146.36000000000001</v>
      </c>
      <c r="E133" s="13">
        <f t="shared" si="33"/>
        <v>630866.54357883427</v>
      </c>
      <c r="F133" s="12">
        <f t="shared" si="34"/>
        <v>0.17847746232191541</v>
      </c>
      <c r="G133" s="19">
        <f>E133*G270/E270</f>
        <v>70.371634713054576</v>
      </c>
    </row>
    <row r="134" spans="1:7" ht="12.5">
      <c r="A134" s="5" t="s">
        <v>53</v>
      </c>
      <c r="B134" s="13">
        <v>1100.6199999999999</v>
      </c>
      <c r="C134" s="12">
        <v>1.0999999999999999E-2</v>
      </c>
      <c r="D134" s="14">
        <v>147.38</v>
      </c>
      <c r="E134" s="13">
        <f t="shared" si="33"/>
        <v>633435.4777799513</v>
      </c>
      <c r="F134" s="12">
        <f t="shared" si="34"/>
        <v>0.16056525617467932</v>
      </c>
      <c r="G134" s="19">
        <f>E134*G270/E270</f>
        <v>70.658193100153909</v>
      </c>
    </row>
    <row r="135" spans="1:7" ht="12.5">
      <c r="A135" s="5" t="s">
        <v>39</v>
      </c>
      <c r="B135" s="13">
        <v>1087.79</v>
      </c>
      <c r="C135" s="12">
        <v>-1.2E-2</v>
      </c>
      <c r="D135" s="14">
        <v>148.06</v>
      </c>
      <c r="E135" s="13">
        <f t="shared" si="33"/>
        <v>623176.19151517004</v>
      </c>
      <c r="F135" s="12">
        <f t="shared" si="34"/>
        <v>0.12799439698678672</v>
      </c>
      <c r="G135" s="19">
        <f>E135*G270/E270</f>
        <v>69.51379456960855</v>
      </c>
    </row>
    <row r="136" spans="1:7" ht="12.5">
      <c r="A136" s="5" t="s">
        <v>41</v>
      </c>
      <c r="B136" s="13">
        <v>1085.02</v>
      </c>
      <c r="C136" s="12">
        <v>-3.0000000000000001E-3</v>
      </c>
      <c r="D136" s="14">
        <v>148.57</v>
      </c>
      <c r="E136" s="13">
        <f t="shared" si="33"/>
        <v>619455.56078593747</v>
      </c>
      <c r="F136" s="12">
        <f t="shared" si="34"/>
        <v>9.483500496819941E-2</v>
      </c>
      <c r="G136" s="19">
        <f>E136*G270/E270</f>
        <v>69.098767224689595</v>
      </c>
    </row>
    <row r="137" spans="1:7" ht="12.5">
      <c r="A137" s="5" t="s">
        <v>42</v>
      </c>
      <c r="B137" s="13">
        <v>1083.6400000000001</v>
      </c>
      <c r="C137" s="12">
        <v>-1E-3</v>
      </c>
      <c r="D137" s="14">
        <v>149.51</v>
      </c>
      <c r="E137" s="13">
        <f t="shared" si="33"/>
        <v>614778.00579376682</v>
      </c>
      <c r="F137" s="12">
        <f t="shared" si="34"/>
        <v>5.2773884447108621E-2</v>
      </c>
      <c r="G137" s="19">
        <f>E137*G270/E270</f>
        <v>68.576997296311518</v>
      </c>
    </row>
    <row r="138" spans="1:7" ht="12.5">
      <c r="A138" s="5" t="s">
        <v>43</v>
      </c>
      <c r="B138" s="13">
        <v>1088.43</v>
      </c>
      <c r="C138" s="12">
        <v>4.0000000000000001E-3</v>
      </c>
      <c r="D138" s="14">
        <v>150.1</v>
      </c>
      <c r="E138" s="13">
        <f t="shared" si="33"/>
        <v>615068.30362536013</v>
      </c>
      <c r="F138" s="12">
        <f t="shared" si="34"/>
        <v>2.1066960528938417E-2</v>
      </c>
      <c r="G138" s="19">
        <f>E138*G270/E270</f>
        <v>68.609379316202734</v>
      </c>
    </row>
    <row r="139" spans="1:7" ht="12.5">
      <c r="A139" s="5" t="s">
        <v>44</v>
      </c>
      <c r="B139" s="13">
        <v>1090.4100000000001</v>
      </c>
      <c r="C139" s="12">
        <v>2E-3</v>
      </c>
      <c r="D139" s="14">
        <v>150.1</v>
      </c>
      <c r="E139" s="13">
        <f t="shared" si="33"/>
        <v>616187.19527772011</v>
      </c>
      <c r="F139" s="12">
        <f t="shared" si="34"/>
        <v>1.3546521927480848E-2</v>
      </c>
      <c r="G139" s="19">
        <f>E139*G270/E270</f>
        <v>68.734188969598989</v>
      </c>
    </row>
    <row r="140" spans="1:7" ht="12.5">
      <c r="A140" s="5" t="s">
        <v>45</v>
      </c>
      <c r="B140" s="13">
        <v>1102.69</v>
      </c>
      <c r="C140" s="12">
        <v>1.0999999999999999E-2</v>
      </c>
      <c r="D140" s="14">
        <v>151.36000000000001</v>
      </c>
      <c r="E140" s="13">
        <f t="shared" si="33"/>
        <v>617939.35151176166</v>
      </c>
      <c r="F140" s="12">
        <f t="shared" si="34"/>
        <v>-1.3657358921244089E-3</v>
      </c>
      <c r="G140" s="19">
        <f>E140*G270/E270</f>
        <v>68.92963775304959</v>
      </c>
    </row>
    <row r="141" spans="1:7" ht="12.5">
      <c r="A141" s="16">
        <v>2005</v>
      </c>
      <c r="B141" s="16"/>
      <c r="C141" s="16"/>
      <c r="D141" s="17"/>
      <c r="E141" s="21"/>
      <c r="F141" s="18"/>
      <c r="G141" s="18"/>
    </row>
    <row r="142" spans="1:7" ht="12.5">
      <c r="A142" s="5" t="s">
        <v>47</v>
      </c>
      <c r="B142" s="13">
        <v>1101.82</v>
      </c>
      <c r="C142" s="12">
        <v>-1E-3</v>
      </c>
      <c r="D142" s="14">
        <v>153.6</v>
      </c>
      <c r="E142" s="13">
        <f t="shared" ref="E142:E153" si="35">B142*D$389/D142</f>
        <v>608447.30436045793</v>
      </c>
      <c r="F142" s="12">
        <f t="shared" ref="F142:F153" si="36">E142/E129-1</f>
        <v>-3.5081358293192921E-2</v>
      </c>
      <c r="G142" s="19">
        <f>E142*G270/E270</f>
        <v>67.870822887037974</v>
      </c>
    </row>
    <row r="143" spans="1:7" ht="12.5">
      <c r="A143" s="5" t="s">
        <v>49</v>
      </c>
      <c r="B143" s="13">
        <v>1102.3699999999999</v>
      </c>
      <c r="C143" s="12">
        <v>0</v>
      </c>
      <c r="D143" s="14">
        <v>155.06</v>
      </c>
      <c r="E143" s="13">
        <f t="shared" si="35"/>
        <v>603019.20234493096</v>
      </c>
      <c r="F143" s="12">
        <f t="shared" si="36"/>
        <v>-6.5490213793850893E-2</v>
      </c>
      <c r="G143" s="19">
        <f>E143*G270/E270</f>
        <v>67.265331256343941</v>
      </c>
    </row>
    <row r="144" spans="1:7" ht="12.5">
      <c r="A144" s="5" t="s">
        <v>50</v>
      </c>
      <c r="B144" s="13">
        <v>1113.6400000000001</v>
      </c>
      <c r="C144" s="12">
        <v>0.01</v>
      </c>
      <c r="D144" s="14">
        <v>157.46</v>
      </c>
      <c r="E144" s="13">
        <f t="shared" si="35"/>
        <v>599898.9617055374</v>
      </c>
      <c r="F144" s="12">
        <f t="shared" si="36"/>
        <v>-7.4506402185989806E-2</v>
      </c>
      <c r="G144" s="19">
        <f>E144*G270/E270</f>
        <v>66.917275971550097</v>
      </c>
    </row>
    <row r="145" spans="1:7" ht="12.5">
      <c r="A145" s="5" t="s">
        <v>51</v>
      </c>
      <c r="B145" s="13">
        <v>1156.06</v>
      </c>
      <c r="C145" s="12">
        <v>3.7999999999999999E-2</v>
      </c>
      <c r="D145" s="14">
        <v>158.22999999999999</v>
      </c>
      <c r="E145" s="13">
        <f t="shared" si="35"/>
        <v>619719.38666338811</v>
      </c>
      <c r="F145" s="12">
        <f t="shared" si="36"/>
        <v>-3.2802549435949513E-2</v>
      </c>
      <c r="G145" s="19">
        <f>E145*G270/E270</f>
        <v>69.128196362222369</v>
      </c>
    </row>
    <row r="146" spans="1:7" ht="12.5">
      <c r="A146" s="5" t="s">
        <v>52</v>
      </c>
      <c r="B146" s="13">
        <v>1170.58</v>
      </c>
      <c r="C146" s="12">
        <v>1.2999999999999999E-2</v>
      </c>
      <c r="D146" s="14">
        <v>159.18</v>
      </c>
      <c r="E146" s="13">
        <f t="shared" si="35"/>
        <v>623758.00910848705</v>
      </c>
      <c r="F146" s="12">
        <f t="shared" si="36"/>
        <v>-1.1267889449361634E-2</v>
      </c>
      <c r="G146" s="19">
        <f>E146*G270/E270</f>
        <v>69.578694912737021</v>
      </c>
    </row>
    <row r="147" spans="1:7" ht="12.5">
      <c r="A147" s="5" t="s">
        <v>53</v>
      </c>
      <c r="B147" s="13">
        <v>1196.5899999999999</v>
      </c>
      <c r="C147" s="12">
        <v>2.1999999999999999E-2</v>
      </c>
      <c r="D147" s="14">
        <v>160.63999999999999</v>
      </c>
      <c r="E147" s="13">
        <f t="shared" si="35"/>
        <v>631822.67709732591</v>
      </c>
      <c r="F147" s="12">
        <f t="shared" si="36"/>
        <v>-2.5461167541134255E-3</v>
      </c>
      <c r="G147" s="19">
        <f>E147*G270/E270</f>
        <v>70.478289090886221</v>
      </c>
    </row>
    <row r="148" spans="1:7" ht="12.5">
      <c r="A148" s="5" t="s">
        <v>39</v>
      </c>
      <c r="B148" s="13">
        <v>1231.3399999999999</v>
      </c>
      <c r="C148" s="12">
        <v>2.9000000000000001E-2</v>
      </c>
      <c r="D148" s="14">
        <v>162.25</v>
      </c>
      <c r="E148" s="13">
        <f t="shared" si="35"/>
        <v>643719.72634595295</v>
      </c>
      <c r="F148" s="12">
        <f t="shared" si="36"/>
        <v>3.2965853173616999E-2</v>
      </c>
      <c r="G148" s="19">
        <f>E148*G270/E270</f>
        <v>71.805376114931249</v>
      </c>
    </row>
    <row r="149" spans="1:7" ht="12.5">
      <c r="A149" s="5" t="s">
        <v>41</v>
      </c>
      <c r="B149" s="13">
        <v>1277.97</v>
      </c>
      <c r="C149" s="12">
        <v>3.7999999999999999E-2</v>
      </c>
      <c r="D149" s="14">
        <v>162.96</v>
      </c>
      <c r="E149" s="13">
        <f t="shared" si="35"/>
        <v>665186.12035139126</v>
      </c>
      <c r="F149" s="12">
        <f t="shared" si="36"/>
        <v>7.3823793764048018E-2</v>
      </c>
      <c r="G149" s="19">
        <f>E149*G270/E270</f>
        <v>74.199900365635045</v>
      </c>
    </row>
    <row r="150" spans="1:7" ht="12.5">
      <c r="A150" s="5" t="s">
        <v>42</v>
      </c>
      <c r="B150" s="13">
        <v>1304.53</v>
      </c>
      <c r="C150" s="12">
        <v>2.1000000000000001E-2</v>
      </c>
      <c r="D150" s="14">
        <v>164.86</v>
      </c>
      <c r="E150" s="13">
        <f t="shared" si="35"/>
        <v>671185.10674103384</v>
      </c>
      <c r="F150" s="12">
        <f t="shared" si="36"/>
        <v>9.1751982692414913E-2</v>
      </c>
      <c r="G150" s="19">
        <f>E150*G270/E270</f>
        <v>74.869072765340462</v>
      </c>
    </row>
    <row r="151" spans="1:7" ht="12.5">
      <c r="A151" s="5" t="s">
        <v>43</v>
      </c>
      <c r="B151" s="13">
        <v>1352.94</v>
      </c>
      <c r="C151" s="12">
        <v>3.6999999999999998E-2</v>
      </c>
      <c r="D151" s="14">
        <v>166.14</v>
      </c>
      <c r="E151" s="13">
        <f t="shared" si="35"/>
        <v>690729.28073563532</v>
      </c>
      <c r="F151" s="12">
        <f t="shared" si="36"/>
        <v>0.12301231694807102</v>
      </c>
      <c r="G151" s="19">
        <f>E151*G270/E270</f>
        <v>77.049178030257892</v>
      </c>
    </row>
    <row r="152" spans="1:7" ht="12.5">
      <c r="A152" s="5" t="s">
        <v>44</v>
      </c>
      <c r="B152" s="13">
        <v>1366.43</v>
      </c>
      <c r="C152" s="12">
        <v>0.01</v>
      </c>
      <c r="D152" s="14">
        <v>168.15</v>
      </c>
      <c r="E152" s="13">
        <f t="shared" si="35"/>
        <v>689277.42123043712</v>
      </c>
      <c r="F152" s="12">
        <f t="shared" si="36"/>
        <v>0.11861691789907236</v>
      </c>
      <c r="G152" s="19">
        <f>E152*G270/E270</f>
        <v>76.887226619465238</v>
      </c>
    </row>
    <row r="153" spans="1:7" ht="12.5">
      <c r="A153" s="5" t="s">
        <v>45</v>
      </c>
      <c r="B153" s="13">
        <v>1371.54</v>
      </c>
      <c r="C153" s="12">
        <v>4.0000000000000001E-3</v>
      </c>
      <c r="D153" s="14">
        <v>170.02</v>
      </c>
      <c r="E153" s="13">
        <f t="shared" si="35"/>
        <v>684245.58191420836</v>
      </c>
      <c r="F153" s="12">
        <f t="shared" si="36"/>
        <v>0.10730216523714087</v>
      </c>
      <c r="G153" s="19">
        <f>E153*G270/E270</f>
        <v>76.325937132963588</v>
      </c>
    </row>
    <row r="154" spans="1:7" ht="12.5">
      <c r="A154" s="16">
        <v>2006</v>
      </c>
      <c r="B154" s="16"/>
      <c r="C154" s="16"/>
      <c r="D154" s="17"/>
      <c r="E154" s="21"/>
      <c r="F154" s="18"/>
      <c r="G154" s="18"/>
    </row>
    <row r="155" spans="1:7" ht="12.5">
      <c r="A155" s="5" t="s">
        <v>47</v>
      </c>
      <c r="B155" s="13">
        <v>1388.13</v>
      </c>
      <c r="C155" s="12">
        <v>1.2E-2</v>
      </c>
      <c r="D155" s="14">
        <v>172.19</v>
      </c>
      <c r="E155" s="13">
        <f t="shared" ref="E155:E166" si="37">B155*D$389/D155</f>
        <v>683794.73084851517</v>
      </c>
      <c r="F155" s="12">
        <f t="shared" ref="F155:F166" si="38">E155/E142-1</f>
        <v>0.12383558271698702</v>
      </c>
      <c r="G155" s="19">
        <f>E155*G270/E270</f>
        <v>76.275645788735744</v>
      </c>
    </row>
    <row r="156" spans="1:7" ht="12.5">
      <c r="A156" s="5" t="s">
        <v>49</v>
      </c>
      <c r="B156" s="13">
        <v>1407.77</v>
      </c>
      <c r="C156" s="12">
        <v>1.4E-2</v>
      </c>
      <c r="D156" s="14">
        <v>172.87</v>
      </c>
      <c r="E156" s="13">
        <f t="shared" si="37"/>
        <v>690741.59605709824</v>
      </c>
      <c r="F156" s="12">
        <f t="shared" si="38"/>
        <v>0.14547197397868183</v>
      </c>
      <c r="G156" s="19">
        <f>E156*G270/E270</f>
        <v>77.050551774534213</v>
      </c>
    </row>
    <row r="157" spans="1:7" ht="12.5">
      <c r="A157" s="5" t="s">
        <v>50</v>
      </c>
      <c r="B157" s="13">
        <v>1441.65</v>
      </c>
      <c r="C157" s="12">
        <v>2.4E-2</v>
      </c>
      <c r="D157" s="14">
        <v>174.96</v>
      </c>
      <c r="E157" s="13">
        <f t="shared" si="37"/>
        <v>698915.38732312026</v>
      </c>
      <c r="F157" s="12">
        <f t="shared" si="38"/>
        <v>0.16505517085089649</v>
      </c>
      <c r="G157" s="19">
        <f>E157*G270/E270</f>
        <v>77.962318389910891</v>
      </c>
    </row>
    <row r="158" spans="1:7" ht="12.5">
      <c r="A158" s="5" t="s">
        <v>51</v>
      </c>
      <c r="B158" s="13">
        <v>1465.06</v>
      </c>
      <c r="C158" s="12">
        <v>1.6E-2</v>
      </c>
      <c r="D158" s="14">
        <v>176.66</v>
      </c>
      <c r="E158" s="13">
        <f t="shared" si="37"/>
        <v>703429.73197217705</v>
      </c>
      <c r="F158" s="12">
        <f t="shared" si="38"/>
        <v>0.13507782249558331</v>
      </c>
      <c r="G158" s="19">
        <f>E158*G270/E270</f>
        <v>78.465882599878483</v>
      </c>
    </row>
    <row r="159" spans="1:7" ht="12.5">
      <c r="A159" s="5" t="s">
        <v>52</v>
      </c>
      <c r="B159" s="13">
        <v>1502.34</v>
      </c>
      <c r="C159" s="12">
        <v>2.5000000000000001E-2</v>
      </c>
      <c r="D159" s="14">
        <v>177.49</v>
      </c>
      <c r="E159" s="13">
        <f t="shared" si="37"/>
        <v>717956.0786736107</v>
      </c>
      <c r="F159" s="12">
        <f t="shared" si="38"/>
        <v>0.15101701010582169</v>
      </c>
      <c r="G159" s="19">
        <f>E159*G270/E270</f>
        <v>80.086261385523713</v>
      </c>
    </row>
    <row r="160" spans="1:7" ht="12.5">
      <c r="A160" s="5" t="s">
        <v>53</v>
      </c>
      <c r="B160" s="13">
        <v>1527.82</v>
      </c>
      <c r="C160" s="12">
        <v>1.7000000000000001E-2</v>
      </c>
      <c r="D160" s="14">
        <v>178.35</v>
      </c>
      <c r="E160" s="13">
        <f t="shared" si="37"/>
        <v>726612.07859569322</v>
      </c>
      <c r="F160" s="12">
        <f t="shared" si="38"/>
        <v>0.15002532345600805</v>
      </c>
      <c r="G160" s="19">
        <f>E160*G270/E270</f>
        <v>81.051817208372483</v>
      </c>
    </row>
    <row r="161" spans="1:7" ht="12.5">
      <c r="A161" s="5" t="s">
        <v>39</v>
      </c>
      <c r="B161" s="13">
        <v>1554.83</v>
      </c>
      <c r="C161" s="12">
        <v>1.7999999999999999E-2</v>
      </c>
      <c r="D161" s="14">
        <v>179.45</v>
      </c>
      <c r="E161" s="13">
        <f t="shared" si="37"/>
        <v>734924.93845285557</v>
      </c>
      <c r="F161" s="12">
        <f t="shared" si="38"/>
        <v>0.14168466239899935</v>
      </c>
      <c r="G161" s="19">
        <f>E161*G270/E270</f>
        <v>81.979096588208435</v>
      </c>
    </row>
    <row r="162" spans="1:7" ht="12.5">
      <c r="A162" s="5" t="s">
        <v>41</v>
      </c>
      <c r="B162" s="13">
        <v>1583.35</v>
      </c>
      <c r="C162" s="12">
        <v>1.7999999999999999E-2</v>
      </c>
      <c r="D162" s="14">
        <v>180.46</v>
      </c>
      <c r="E162" s="13">
        <f t="shared" si="37"/>
        <v>744216.86770848022</v>
      </c>
      <c r="F162" s="12">
        <f t="shared" si="38"/>
        <v>0.11880997654512115</v>
      </c>
      <c r="G162" s="19">
        <f>E162*G270/E270</f>
        <v>83.015588787726472</v>
      </c>
    </row>
    <row r="163" spans="1:7" ht="12.5">
      <c r="A163" s="5" t="s">
        <v>42</v>
      </c>
      <c r="B163" s="13">
        <v>1596.46</v>
      </c>
      <c r="C163" s="12">
        <v>8.0000000000000002E-3</v>
      </c>
      <c r="D163" s="14">
        <v>182.08</v>
      </c>
      <c r="E163" s="13">
        <f t="shared" si="37"/>
        <v>743702.65616327338</v>
      </c>
      <c r="F163" s="12">
        <f t="shared" si="38"/>
        <v>0.10804403836424714</v>
      </c>
      <c r="G163" s="19">
        <f>E163*G270/E270</f>
        <v>82.958229735494527</v>
      </c>
    </row>
    <row r="164" spans="1:7" ht="12.5">
      <c r="A164" s="5" t="s">
        <v>43</v>
      </c>
      <c r="B164" s="13">
        <v>1634.32</v>
      </c>
      <c r="C164" s="12">
        <v>2.4E-2</v>
      </c>
      <c r="D164" s="14">
        <v>183.64</v>
      </c>
      <c r="E164" s="13">
        <f t="shared" si="37"/>
        <v>754872.05284516339</v>
      </c>
      <c r="F164" s="12">
        <f t="shared" si="38"/>
        <v>9.286239037270172E-2</v>
      </c>
      <c r="G164" s="19">
        <f>E164*G270/E270</f>
        <v>84.204148878399494</v>
      </c>
    </row>
    <row r="165" spans="1:7" ht="12.5">
      <c r="A165" s="5" t="s">
        <v>44</v>
      </c>
      <c r="B165" s="13">
        <v>1641.74</v>
      </c>
      <c r="C165" s="12">
        <v>5.0000000000000001E-3</v>
      </c>
      <c r="D165" s="14">
        <v>184.94</v>
      </c>
      <c r="E165" s="13">
        <f t="shared" si="37"/>
        <v>752968.94029503583</v>
      </c>
      <c r="F165" s="12">
        <f t="shared" si="38"/>
        <v>9.2403315563278188E-2</v>
      </c>
      <c r="G165" s="19">
        <f>E165*G270/E270</f>
        <v>83.991861283568966</v>
      </c>
    </row>
    <row r="166" spans="1:7" ht="12.5">
      <c r="A166" s="5" t="s">
        <v>45</v>
      </c>
      <c r="B166" s="13">
        <v>1672.88</v>
      </c>
      <c r="C166" s="12">
        <v>1.9E-2</v>
      </c>
      <c r="D166" s="14">
        <v>186.75</v>
      </c>
      <c r="E166" s="13">
        <f t="shared" si="37"/>
        <v>759814.73978538718</v>
      </c>
      <c r="F166" s="12">
        <f t="shared" si="38"/>
        <v>0.11044157224920714</v>
      </c>
      <c r="G166" s="19">
        <f>E166*G270/E270</f>
        <v>84.755493633322217</v>
      </c>
    </row>
    <row r="167" spans="1:7" ht="12.5">
      <c r="A167" s="16">
        <v>2007</v>
      </c>
      <c r="B167" s="16"/>
      <c r="C167" s="16"/>
      <c r="D167" s="17"/>
      <c r="E167" s="21"/>
      <c r="F167" s="18"/>
      <c r="G167" s="18"/>
    </row>
    <row r="168" spans="1:7" ht="12.5">
      <c r="A168" s="5" t="s">
        <v>47</v>
      </c>
      <c r="B168" s="13">
        <v>1693.86</v>
      </c>
      <c r="C168" s="12">
        <v>1.2999999999999999E-2</v>
      </c>
      <c r="D168" s="14">
        <v>189.44</v>
      </c>
      <c r="E168" s="13">
        <f t="shared" ref="E168:E179" si="39">B168*D$389/D168</f>
        <v>758419.27702224755</v>
      </c>
      <c r="F168" s="12">
        <f t="shared" ref="F168:F179" si="40">E168/E155-1</f>
        <v>0.10913296462687194</v>
      </c>
      <c r="G168" s="19">
        <f>E168*G270/E270</f>
        <v>84.599833142489658</v>
      </c>
    </row>
    <row r="169" spans="1:7" ht="12.5">
      <c r="A169" s="5" t="s">
        <v>49</v>
      </c>
      <c r="B169" s="13">
        <v>1728.39</v>
      </c>
      <c r="C169" s="12">
        <v>0.02</v>
      </c>
      <c r="D169" s="14">
        <v>191.61</v>
      </c>
      <c r="E169" s="13">
        <f t="shared" si="39"/>
        <v>765115.69314480212</v>
      </c>
      <c r="F169" s="12">
        <f t="shared" si="40"/>
        <v>0.10767282224242347</v>
      </c>
      <c r="G169" s="19">
        <f>E169*G270/E270</f>
        <v>85.346802139434303</v>
      </c>
    </row>
    <row r="170" spans="1:7" ht="12.5">
      <c r="A170" s="5" t="s">
        <v>50</v>
      </c>
      <c r="B170" s="13">
        <v>1764.52</v>
      </c>
      <c r="C170" s="12">
        <v>2.1000000000000001E-2</v>
      </c>
      <c r="D170" s="14">
        <v>193.82</v>
      </c>
      <c r="E170" s="13">
        <f t="shared" si="39"/>
        <v>772203.08396415575</v>
      </c>
      <c r="F170" s="12">
        <f t="shared" si="40"/>
        <v>0.10485918320060295</v>
      </c>
      <c r="G170" s="19">
        <f>E170*G270/E270</f>
        <v>86.137383416702306</v>
      </c>
    </row>
    <row r="171" spans="1:7" ht="12.5">
      <c r="A171" s="5" t="s">
        <v>51</v>
      </c>
      <c r="B171" s="13">
        <v>1815.39</v>
      </c>
      <c r="C171" s="12">
        <v>2.9000000000000001E-2</v>
      </c>
      <c r="D171" s="14">
        <v>197.45</v>
      </c>
      <c r="E171" s="13">
        <f t="shared" si="39"/>
        <v>779859.44527154393</v>
      </c>
      <c r="F171" s="12">
        <f t="shared" si="40"/>
        <v>0.10865294687656157</v>
      </c>
      <c r="G171" s="19">
        <f>E171*G270/E270</f>
        <v>86.991431973625581</v>
      </c>
    </row>
    <row r="172" spans="1:7" ht="12.5">
      <c r="A172" s="5" t="s">
        <v>52</v>
      </c>
      <c r="B172" s="13">
        <v>1830.07</v>
      </c>
      <c r="C172" s="12">
        <v>8.0000000000000002E-3</v>
      </c>
      <c r="D172" s="14">
        <v>201.74</v>
      </c>
      <c r="E172" s="13">
        <f t="shared" si="39"/>
        <v>769447.90409247065</v>
      </c>
      <c r="F172" s="12">
        <f t="shared" si="40"/>
        <v>7.1720021528320466E-2</v>
      </c>
      <c r="G172" s="19">
        <f>E172*G270/E270</f>
        <v>85.830049776216185</v>
      </c>
    </row>
    <row r="173" spans="1:7" ht="12.5">
      <c r="A173" s="5" t="s">
        <v>53</v>
      </c>
      <c r="B173" s="13">
        <v>1837.71</v>
      </c>
      <c r="C173" s="12">
        <v>4.0000000000000001E-3</v>
      </c>
      <c r="D173" s="14">
        <v>206.21</v>
      </c>
      <c r="E173" s="13">
        <f t="shared" si="39"/>
        <v>755911.2207537397</v>
      </c>
      <c r="F173" s="12">
        <f t="shared" si="40"/>
        <v>4.0322949509279171E-2</v>
      </c>
      <c r="G173" s="19">
        <f>E173*G270/E270</f>
        <v>84.320065541301005</v>
      </c>
    </row>
    <row r="174" spans="1:7" ht="12.5">
      <c r="A174" s="5" t="s">
        <v>39</v>
      </c>
      <c r="B174" s="13">
        <v>1896.64</v>
      </c>
      <c r="C174" s="12">
        <v>3.2000000000000001E-2</v>
      </c>
      <c r="D174" s="14">
        <v>212.34</v>
      </c>
      <c r="E174" s="13">
        <f t="shared" si="39"/>
        <v>757629.06686762255</v>
      </c>
      <c r="F174" s="12">
        <f t="shared" si="40"/>
        <v>3.0893125579005476E-2</v>
      </c>
      <c r="G174" s="19">
        <f>E174*G270/E270</f>
        <v>84.511687113961401</v>
      </c>
    </row>
    <row r="175" spans="1:7" ht="12.5">
      <c r="A175" s="5" t="s">
        <v>41</v>
      </c>
      <c r="B175" s="13">
        <v>1941.51</v>
      </c>
      <c r="C175" s="12">
        <v>2.4E-2</v>
      </c>
      <c r="D175" s="14">
        <v>219.55</v>
      </c>
      <c r="E175" s="13">
        <f t="shared" si="39"/>
        <v>750083.69674706913</v>
      </c>
      <c r="F175" s="12">
        <f t="shared" si="40"/>
        <v>7.8832250290878925E-3</v>
      </c>
      <c r="G175" s="19">
        <f>E175*G270/E270</f>
        <v>83.670019355062351</v>
      </c>
    </row>
    <row r="176" spans="1:7" ht="12.5">
      <c r="A176" s="5" t="s">
        <v>42</v>
      </c>
      <c r="B176" s="13">
        <v>1946.53</v>
      </c>
      <c r="C176" s="12">
        <v>3.0000000000000001E-3</v>
      </c>
      <c r="D176" s="14">
        <v>225.19</v>
      </c>
      <c r="E176" s="13">
        <f t="shared" si="39"/>
        <v>733188.31735593488</v>
      </c>
      <c r="F176" s="12">
        <f t="shared" si="40"/>
        <v>-1.4137826079015925E-2</v>
      </c>
      <c r="G176" s="19">
        <f>E176*G270/E270</f>
        <v>81.785380711671053</v>
      </c>
    </row>
    <row r="177" spans="1:7" ht="12.5">
      <c r="A177" s="5" t="s">
        <v>43</v>
      </c>
      <c r="B177" s="13">
        <v>2019.04</v>
      </c>
      <c r="C177" s="12">
        <v>3.6999999999999998E-2</v>
      </c>
      <c r="D177" s="14">
        <v>230.58</v>
      </c>
      <c r="E177" s="13">
        <f t="shared" si="39"/>
        <v>742722.91605298198</v>
      </c>
      <c r="F177" s="12">
        <f t="shared" si="40"/>
        <v>-1.6094299353632824E-2</v>
      </c>
      <c r="G177" s="19">
        <f>E177*G270/E270</f>
        <v>82.848942099532664</v>
      </c>
    </row>
    <row r="178" spans="1:7" ht="12.5">
      <c r="A178" s="5" t="s">
        <v>44</v>
      </c>
      <c r="B178" s="13">
        <v>2020.25</v>
      </c>
      <c r="C178" s="12">
        <v>1E-3</v>
      </c>
      <c r="D178" s="14">
        <v>231.8</v>
      </c>
      <c r="E178" s="13">
        <f t="shared" si="39"/>
        <v>739256.61530777253</v>
      </c>
      <c r="F178" s="12">
        <f t="shared" si="40"/>
        <v>-1.8211010114029924E-2</v>
      </c>
      <c r="G178" s="19">
        <f>E178*G270/E270</f>
        <v>82.462284648237684</v>
      </c>
    </row>
    <row r="179" spans="1:7" ht="12.5">
      <c r="A179" s="5" t="s">
        <v>45</v>
      </c>
      <c r="B179" s="13">
        <v>2042.46</v>
      </c>
      <c r="C179" s="12">
        <v>1.0999999999999999E-2</v>
      </c>
      <c r="D179" s="14">
        <v>233.91</v>
      </c>
      <c r="E179" s="13">
        <f t="shared" si="39"/>
        <v>740641.94980093325</v>
      </c>
      <c r="F179" s="12">
        <f t="shared" si="40"/>
        <v>-2.5233506248996118E-2</v>
      </c>
      <c r="G179" s="19">
        <f>E179*G270/E270</f>
        <v>82.616815355089045</v>
      </c>
    </row>
    <row r="180" spans="1:7" ht="12.5">
      <c r="A180" s="16">
        <v>2008</v>
      </c>
      <c r="B180" s="16"/>
      <c r="C180" s="16"/>
      <c r="D180" s="17"/>
      <c r="E180" s="21"/>
      <c r="F180" s="18"/>
      <c r="G180" s="18"/>
    </row>
    <row r="181" spans="1:7" ht="12.5">
      <c r="A181" s="5" t="s">
        <v>47</v>
      </c>
      <c r="B181" s="13">
        <v>2050.27</v>
      </c>
      <c r="C181" s="12">
        <v>4.0000000000000001E-3</v>
      </c>
      <c r="D181" s="14">
        <v>236.64</v>
      </c>
      <c r="E181" s="13">
        <f t="shared" ref="E181:E192" si="41">B181*D$389/D181</f>
        <v>734896.93506104429</v>
      </c>
      <c r="F181" s="12">
        <f t="shared" ref="F181:F192" si="42">E181/E168-1</f>
        <v>-3.101495791820863E-2</v>
      </c>
      <c r="G181" s="19">
        <f>E181*G270/E270</f>
        <v>81.975972877687852</v>
      </c>
    </row>
    <row r="182" spans="1:7" ht="12.5">
      <c r="A182" s="5" t="s">
        <v>49</v>
      </c>
      <c r="B182" s="13">
        <v>2130.98</v>
      </c>
      <c r="C182" s="12">
        <v>3.9E-2</v>
      </c>
      <c r="D182" s="14">
        <v>242.53</v>
      </c>
      <c r="E182" s="13">
        <f t="shared" si="41"/>
        <v>745276.52639714431</v>
      </c>
      <c r="F182" s="12">
        <f t="shared" si="42"/>
        <v>-2.5929629891806583E-2</v>
      </c>
      <c r="G182" s="19">
        <f>E182*G270/E270</f>
        <v>83.133791147509513</v>
      </c>
    </row>
    <row r="183" spans="1:7" ht="12.5">
      <c r="A183" s="5" t="s">
        <v>50</v>
      </c>
      <c r="B183" s="13">
        <v>2190.5300000000002</v>
      </c>
      <c r="C183" s="12">
        <v>2.8000000000000001E-2</v>
      </c>
      <c r="D183" s="14">
        <v>251.87</v>
      </c>
      <c r="E183" s="13">
        <f t="shared" si="41"/>
        <v>737694.08112119837</v>
      </c>
      <c r="F183" s="12">
        <f t="shared" si="42"/>
        <v>-4.4689024894595253E-2</v>
      </c>
      <c r="G183" s="19">
        <f>E183*G270/E270</f>
        <v>82.287987744838006</v>
      </c>
    </row>
    <row r="184" spans="1:7" ht="12.5">
      <c r="A184" s="5" t="s">
        <v>51</v>
      </c>
      <c r="B184" s="13">
        <v>2336.11</v>
      </c>
      <c r="C184" s="12">
        <v>6.6000000000000003E-2</v>
      </c>
      <c r="D184" s="14">
        <v>260.33999999999997</v>
      </c>
      <c r="E184" s="13">
        <f t="shared" si="41"/>
        <v>761124.88893120585</v>
      </c>
      <c r="F184" s="12">
        <f t="shared" si="42"/>
        <v>-2.4022990878586836E-2</v>
      </c>
      <c r="G184" s="19">
        <f>E184*G270/E270</f>
        <v>84.901637596807987</v>
      </c>
    </row>
    <row r="185" spans="1:7" ht="12.5">
      <c r="A185" s="5" t="s">
        <v>52</v>
      </c>
      <c r="B185" s="13">
        <v>2383.41</v>
      </c>
      <c r="C185" s="12">
        <v>0.02</v>
      </c>
      <c r="D185" s="14">
        <v>264.97000000000003</v>
      </c>
      <c r="E185" s="13">
        <f t="shared" si="41"/>
        <v>762966.70659499685</v>
      </c>
      <c r="F185" s="12">
        <f t="shared" si="42"/>
        <v>-8.4231790911407645E-3</v>
      </c>
      <c r="G185" s="19">
        <f>E185*G270/E270</f>
        <v>85.107087895549583</v>
      </c>
    </row>
    <row r="186" spans="1:7" ht="12.5">
      <c r="A186" s="5" t="s">
        <v>53</v>
      </c>
      <c r="B186" s="13">
        <v>2400.12</v>
      </c>
      <c r="C186" s="12">
        <v>7.0000000000000001E-3</v>
      </c>
      <c r="D186" s="14">
        <v>270.35000000000002</v>
      </c>
      <c r="E186" s="13">
        <f t="shared" si="41"/>
        <v>753026.25351464457</v>
      </c>
      <c r="F186" s="12">
        <f t="shared" si="42"/>
        <v>-3.8165424191195507E-3</v>
      </c>
      <c r="G186" s="19">
        <f>E186*G270/E270</f>
        <v>83.998254434379675</v>
      </c>
    </row>
    <row r="187" spans="1:7" ht="12.5">
      <c r="A187" s="5" t="s">
        <v>39</v>
      </c>
      <c r="B187" s="13">
        <v>2485.91</v>
      </c>
      <c r="C187" s="12">
        <v>3.5999999999999997E-2</v>
      </c>
      <c r="D187" s="14">
        <v>274.45999999999998</v>
      </c>
      <c r="E187" s="13">
        <f t="shared" si="41"/>
        <v>768262.92974651989</v>
      </c>
      <c r="F187" s="12">
        <f t="shared" si="42"/>
        <v>1.40357113314864E-2</v>
      </c>
      <c r="G187" s="19">
        <f>E187*G270/E270</f>
        <v>85.697868758429863</v>
      </c>
    </row>
    <row r="188" spans="1:7" ht="12.5">
      <c r="A188" s="5" t="s">
        <v>41</v>
      </c>
      <c r="B188" s="13">
        <v>2530.7399999999998</v>
      </c>
      <c r="C188" s="12">
        <v>1.7999999999999999E-2</v>
      </c>
      <c r="D188" s="14">
        <v>277.52999999999997</v>
      </c>
      <c r="E188" s="13">
        <f t="shared" si="41"/>
        <v>773465.82502513623</v>
      </c>
      <c r="F188" s="12">
        <f t="shared" si="42"/>
        <v>3.1172692300165616E-2</v>
      </c>
      <c r="G188" s="19">
        <f>E188*G270/E270</f>
        <v>86.278239123166614</v>
      </c>
    </row>
    <row r="189" spans="1:7" ht="12.5">
      <c r="A189" s="5" t="s">
        <v>42</v>
      </c>
      <c r="B189" s="13">
        <v>2585.35</v>
      </c>
      <c r="C189" s="12">
        <v>2.1999999999999999E-2</v>
      </c>
      <c r="D189" s="14">
        <v>281.38</v>
      </c>
      <c r="E189" s="13">
        <f t="shared" si="41"/>
        <v>779344.824798716</v>
      </c>
      <c r="F189" s="12">
        <f t="shared" si="42"/>
        <v>6.2953140891869763E-2</v>
      </c>
      <c r="G189" s="19">
        <f>E189*G270/E270</f>
        <v>86.934027306508099</v>
      </c>
    </row>
    <row r="190" spans="1:7" ht="12.5">
      <c r="A190" s="5" t="s">
        <v>43</v>
      </c>
      <c r="B190" s="13">
        <v>2628.32</v>
      </c>
      <c r="C190" s="12">
        <v>1.7000000000000001E-2</v>
      </c>
      <c r="D190" s="14">
        <v>283.72000000000003</v>
      </c>
      <c r="E190" s="13">
        <f t="shared" si="41"/>
        <v>785763.45132276672</v>
      </c>
      <c r="F190" s="12">
        <f t="shared" si="42"/>
        <v>5.794965301261068E-2</v>
      </c>
      <c r="G190" s="19">
        <f>E190*G270/E270</f>
        <v>87.650009546662474</v>
      </c>
    </row>
    <row r="191" spans="1:7" ht="12.5">
      <c r="A191" s="5" t="s">
        <v>44</v>
      </c>
      <c r="B191" s="13">
        <v>2592.17</v>
      </c>
      <c r="C191" s="12">
        <v>-1.4E-2</v>
      </c>
      <c r="D191" s="14">
        <v>285.99</v>
      </c>
      <c r="E191" s="13">
        <f t="shared" si="41"/>
        <v>768804.94499200094</v>
      </c>
      <c r="F191" s="12">
        <f t="shared" si="42"/>
        <v>3.9970328397976651E-2</v>
      </c>
      <c r="G191" s="19">
        <f>E191*G270/E270</f>
        <v>85.758329246075178</v>
      </c>
    </row>
    <row r="192" spans="1:7" ht="12.5">
      <c r="A192" s="5" t="s">
        <v>45</v>
      </c>
      <c r="B192" s="13">
        <v>2625.44</v>
      </c>
      <c r="C192" s="12">
        <v>1.2999999999999999E-2</v>
      </c>
      <c r="D192" s="14">
        <v>287.58</v>
      </c>
      <c r="E192" s="13">
        <f t="shared" si="41"/>
        <v>774367.20859016047</v>
      </c>
      <c r="F192" s="12">
        <f t="shared" si="42"/>
        <v>4.553517228978432E-2</v>
      </c>
      <c r="G192" s="19">
        <f>E192*G270/E270</f>
        <v>86.378786276316305</v>
      </c>
    </row>
    <row r="193" spans="1:7" ht="12.5">
      <c r="A193" s="16">
        <v>2009</v>
      </c>
      <c r="B193" s="16"/>
      <c r="C193" s="16"/>
      <c r="D193" s="17"/>
      <c r="E193" s="21"/>
      <c r="F193" s="18"/>
      <c r="G193" s="18"/>
    </row>
    <row r="194" spans="1:7" ht="12.5">
      <c r="A194" s="5" t="s">
        <v>47</v>
      </c>
      <c r="B194" s="13">
        <v>2594.54</v>
      </c>
      <c r="C194" s="12">
        <v>-1.2E-2</v>
      </c>
      <c r="D194" s="14">
        <v>290.06</v>
      </c>
      <c r="E194" s="13">
        <f t="shared" ref="E194:E205" si="43">B194*D$389/D194</f>
        <v>758710.44630942773</v>
      </c>
      <c r="F194" s="12">
        <f t="shared" ref="F194:F205" si="44">E194/E181-1</f>
        <v>3.2403878846501533E-2</v>
      </c>
      <c r="G194" s="19">
        <f>E194*G270/E270</f>
        <v>84.632312371140557</v>
      </c>
    </row>
    <row r="195" spans="1:7" ht="12.5">
      <c r="A195" s="5" t="s">
        <v>49</v>
      </c>
      <c r="B195" s="13">
        <v>2578.64</v>
      </c>
      <c r="C195" s="12">
        <v>-6.0000000000000001E-3</v>
      </c>
      <c r="D195" s="14">
        <v>291.61</v>
      </c>
      <c r="E195" s="13">
        <f t="shared" si="43"/>
        <v>750052.8023683374</v>
      </c>
      <c r="F195" s="12">
        <f t="shared" si="44"/>
        <v>6.4087299170454415E-3</v>
      </c>
      <c r="G195" s="19">
        <f>E195*G270/E270</f>
        <v>83.666573161953963</v>
      </c>
    </row>
    <row r="196" spans="1:7" ht="12.5">
      <c r="A196" s="5" t="s">
        <v>50</v>
      </c>
      <c r="B196" s="13">
        <v>2681.73</v>
      </c>
      <c r="C196" s="12">
        <v>0.04</v>
      </c>
      <c r="D196" s="14">
        <v>296.12</v>
      </c>
      <c r="E196" s="13">
        <f t="shared" si="43"/>
        <v>768158.50856873882</v>
      </c>
      <c r="F196" s="12">
        <f t="shared" si="44"/>
        <v>4.1296830525247685E-2</v>
      </c>
      <c r="G196" s="19">
        <f>E196*G270/E270</f>
        <v>85.686220829000234</v>
      </c>
    </row>
    <row r="197" spans="1:7" ht="12.5">
      <c r="A197" s="5" t="s">
        <v>51</v>
      </c>
      <c r="B197" s="13">
        <v>2731.19</v>
      </c>
      <c r="C197" s="12">
        <v>1.7999999999999999E-2</v>
      </c>
      <c r="D197" s="14">
        <v>300.13</v>
      </c>
      <c r="E197" s="13">
        <f t="shared" si="43"/>
        <v>771873.34035819152</v>
      </c>
      <c r="F197" s="12">
        <f t="shared" si="44"/>
        <v>1.4121797333521702E-2</v>
      </c>
      <c r="G197" s="19">
        <f>E197*G270/E270</f>
        <v>86.100601316234204</v>
      </c>
    </row>
    <row r="198" spans="1:7" ht="12.5">
      <c r="A198" s="5" t="s">
        <v>52</v>
      </c>
      <c r="B198" s="13">
        <v>2698.39</v>
      </c>
      <c r="C198" s="12">
        <v>-1.2E-2</v>
      </c>
      <c r="D198" s="14">
        <v>301.91000000000003</v>
      </c>
      <c r="E198" s="13">
        <f t="shared" si="43"/>
        <v>758107.4356501702</v>
      </c>
      <c r="F198" s="12">
        <f t="shared" si="44"/>
        <v>-6.3689161044953035E-3</v>
      </c>
      <c r="G198" s="19">
        <f>E198*G270/E270</f>
        <v>84.56504799284491</v>
      </c>
    </row>
    <row r="199" spans="1:7" ht="12.5">
      <c r="A199" s="5" t="s">
        <v>53</v>
      </c>
      <c r="B199" s="13">
        <v>2780.38</v>
      </c>
      <c r="C199" s="12">
        <v>0.03</v>
      </c>
      <c r="D199" s="14">
        <v>303.39999999999998</v>
      </c>
      <c r="E199" s="13">
        <f t="shared" si="43"/>
        <v>777306.17023156804</v>
      </c>
      <c r="F199" s="12">
        <f t="shared" si="44"/>
        <v>3.22431211443166E-2</v>
      </c>
      <c r="G199" s="19">
        <f>E199*G270/E270</f>
        <v>86.706620328018502</v>
      </c>
    </row>
    <row r="200" spans="1:7" ht="12.5">
      <c r="A200" s="5" t="s">
        <v>39</v>
      </c>
      <c r="B200" s="13">
        <v>2803.3</v>
      </c>
      <c r="C200" s="12">
        <v>8.0000000000000002E-3</v>
      </c>
      <c r="D200" s="14">
        <v>306.20999999999998</v>
      </c>
      <c r="E200" s="13">
        <f t="shared" si="43"/>
        <v>776521.96214460221</v>
      </c>
      <c r="F200" s="12">
        <f t="shared" si="44"/>
        <v>1.0750268011509245E-2</v>
      </c>
      <c r="G200" s="19">
        <f>E200*G270/E270</f>
        <v>86.619143815598122</v>
      </c>
    </row>
    <row r="201" spans="1:7" ht="12.5">
      <c r="A201" s="5" t="s">
        <v>41</v>
      </c>
      <c r="B201" s="13">
        <v>2829.14</v>
      </c>
      <c r="C201" s="12">
        <v>8.9999999999999993E-3</v>
      </c>
      <c r="D201" s="14">
        <v>310.7</v>
      </c>
      <c r="E201" s="13">
        <f t="shared" si="43"/>
        <v>772354.57165248948</v>
      </c>
      <c r="F201" s="12">
        <f t="shared" si="44"/>
        <v>-1.4367194214568446E-3</v>
      </c>
      <c r="G201" s="19">
        <f>E201*G270/E270</f>
        <v>86.154281501369255</v>
      </c>
    </row>
    <row r="202" spans="1:7" ht="12.5">
      <c r="A202" s="5" t="s">
        <v>42</v>
      </c>
      <c r="B202" s="13">
        <v>2752.01</v>
      </c>
      <c r="C202" s="12">
        <v>-2.7E-2</v>
      </c>
      <c r="D202" s="14">
        <v>313.8</v>
      </c>
      <c r="E202" s="13">
        <f t="shared" si="43"/>
        <v>743876.09770959197</v>
      </c>
      <c r="F202" s="12">
        <f t="shared" si="44"/>
        <v>-4.5510954792424063E-2</v>
      </c>
      <c r="G202" s="19">
        <f>E202*G270/E270</f>
        <v>82.977576719838254</v>
      </c>
    </row>
    <row r="203" spans="1:7" ht="12.5">
      <c r="A203" s="5" t="s">
        <v>43</v>
      </c>
      <c r="B203" s="13">
        <v>2795.21</v>
      </c>
      <c r="C203" s="12">
        <v>1.6E-2</v>
      </c>
      <c r="D203" s="14">
        <v>318.68</v>
      </c>
      <c r="E203" s="13">
        <f t="shared" si="43"/>
        <v>743983.26818540879</v>
      </c>
      <c r="F203" s="12">
        <f t="shared" si="44"/>
        <v>-5.3171451366215261E-2</v>
      </c>
      <c r="G203" s="19">
        <f>E203*G270/E270</f>
        <v>82.9895313268038</v>
      </c>
    </row>
    <row r="204" spans="1:7" ht="12.5">
      <c r="A204" s="5" t="s">
        <v>44</v>
      </c>
      <c r="B204" s="13">
        <v>2789.73</v>
      </c>
      <c r="C204" s="12">
        <v>-2E-3</v>
      </c>
      <c r="D204" s="14">
        <v>322.73</v>
      </c>
      <c r="E204" s="13">
        <f t="shared" si="43"/>
        <v>733206.60820969613</v>
      </c>
      <c r="F204" s="12">
        <f t="shared" si="44"/>
        <v>-4.6303470098875588E-2</v>
      </c>
      <c r="G204" s="19">
        <f>E204*G270/E270</f>
        <v>81.787421012100012</v>
      </c>
    </row>
    <row r="205" spans="1:7" ht="12.5">
      <c r="A205" s="5" t="s">
        <v>45</v>
      </c>
      <c r="B205" s="13">
        <v>3015.95</v>
      </c>
      <c r="C205" s="12">
        <v>8.1000000000000003E-2</v>
      </c>
      <c r="D205" s="14">
        <v>330.44</v>
      </c>
      <c r="E205" s="13">
        <f t="shared" si="43"/>
        <v>774167.72122656822</v>
      </c>
      <c r="F205" s="12">
        <f t="shared" si="44"/>
        <v>-2.5761339243102199E-4</v>
      </c>
      <c r="G205" s="19">
        <f>E205*G270/E270</f>
        <v>86.356533944149589</v>
      </c>
    </row>
    <row r="206" spans="1:7" ht="12.5">
      <c r="A206" s="16">
        <v>2010</v>
      </c>
      <c r="B206" s="16"/>
      <c r="C206" s="16"/>
      <c r="D206" s="17"/>
      <c r="E206" s="21"/>
      <c r="F206" s="18"/>
      <c r="G206" s="18"/>
    </row>
    <row r="207" spans="1:7" ht="12.5">
      <c r="A207" s="5" t="s">
        <v>47</v>
      </c>
      <c r="B207" s="13">
        <v>3011.99</v>
      </c>
      <c r="C207" s="12">
        <v>-1E-3</v>
      </c>
      <c r="D207" s="14">
        <v>337.47</v>
      </c>
      <c r="E207" s="13">
        <f t="shared" ref="E207:E218" si="45">B207*D$389/D207</f>
        <v>757045.33892810834</v>
      </c>
      <c r="F207" s="12">
        <f t="shared" ref="F207:F218" si="46">E207/E194-1</f>
        <v>-2.1946546135207523E-3</v>
      </c>
      <c r="G207" s="19">
        <f>E207*G270/E270</f>
        <v>84.446573676342297</v>
      </c>
    </row>
    <row r="208" spans="1:7" ht="12.5">
      <c r="A208" s="5" t="s">
        <v>49</v>
      </c>
      <c r="B208" s="13">
        <v>3110.52</v>
      </c>
      <c r="C208" s="12">
        <v>3.3000000000000002E-2</v>
      </c>
      <c r="D208" s="14">
        <v>348.99</v>
      </c>
      <c r="E208" s="13">
        <f t="shared" si="45"/>
        <v>756003.05594858248</v>
      </c>
      <c r="F208" s="12">
        <f t="shared" si="46"/>
        <v>7.9331129241257958E-3</v>
      </c>
      <c r="G208" s="19">
        <f>E208*G270/E270</f>
        <v>84.330309534822376</v>
      </c>
    </row>
    <row r="209" spans="1:7" ht="12.5">
      <c r="A209" s="5" t="s">
        <v>50</v>
      </c>
      <c r="B209" s="13">
        <v>3233.2</v>
      </c>
      <c r="C209" s="12">
        <v>3.9E-2</v>
      </c>
      <c r="D209" s="14">
        <v>358.07</v>
      </c>
      <c r="E209" s="13">
        <f t="shared" si="45"/>
        <v>765893.12231794</v>
      </c>
      <c r="F209" s="12">
        <f t="shared" si="46"/>
        <v>-2.9491130092664797E-3</v>
      </c>
      <c r="G209" s="19">
        <f>E209*G270/E270</f>
        <v>85.43352248043854</v>
      </c>
    </row>
    <row r="210" spans="1:7" ht="12.5">
      <c r="A210" s="5" t="s">
        <v>51</v>
      </c>
      <c r="B210" s="13">
        <v>3305.06</v>
      </c>
      <c r="C210" s="12">
        <v>2.1999999999999999E-2</v>
      </c>
      <c r="D210" s="14">
        <v>365.08</v>
      </c>
      <c r="E210" s="13">
        <f t="shared" si="45"/>
        <v>767882.62692500267</v>
      </c>
      <c r="F210" s="12">
        <f t="shared" si="46"/>
        <v>-5.1701661717412639E-3</v>
      </c>
      <c r="G210" s="19">
        <f>E210*G270/E270</f>
        <v>85.655446899942419</v>
      </c>
    </row>
    <row r="211" spans="1:7" ht="12.5">
      <c r="A211" s="5" t="s">
        <v>52</v>
      </c>
      <c r="B211" s="13">
        <v>3340.58</v>
      </c>
      <c r="C211" s="12">
        <v>1.0999999999999999E-2</v>
      </c>
      <c r="D211" s="14">
        <v>370.65</v>
      </c>
      <c r="E211" s="13">
        <f t="shared" si="45"/>
        <v>764471.69130087842</v>
      </c>
      <c r="F211" s="12">
        <f t="shared" si="46"/>
        <v>8.3949257736142258E-3</v>
      </c>
      <c r="G211" s="19">
        <f>E211*G270/E270</f>
        <v>85.274965293786963</v>
      </c>
    </row>
    <row r="212" spans="1:7" ht="12.5">
      <c r="A212" s="5" t="s">
        <v>53</v>
      </c>
      <c r="B212" s="13">
        <v>3399.89</v>
      </c>
      <c r="C212" s="12">
        <v>1.7999999999999999E-2</v>
      </c>
      <c r="D212" s="14">
        <v>375.13</v>
      </c>
      <c r="E212" s="13">
        <f t="shared" si="45"/>
        <v>768752.61269068311</v>
      </c>
      <c r="F212" s="12">
        <f t="shared" si="46"/>
        <v>-1.1004103490310335E-2</v>
      </c>
      <c r="G212" s="19">
        <f>E212*G270/E270</f>
        <v>85.752491704633954</v>
      </c>
    </row>
    <row r="213" spans="1:7" ht="12.5">
      <c r="A213" s="5" t="s">
        <v>39</v>
      </c>
      <c r="B213" s="13">
        <v>3485.26</v>
      </c>
      <c r="C213" s="12">
        <v>2.5000000000000001E-2</v>
      </c>
      <c r="D213" s="14">
        <v>380.21</v>
      </c>
      <c r="E213" s="13">
        <f t="shared" si="45"/>
        <v>777526.46912786795</v>
      </c>
      <c r="F213" s="12">
        <f t="shared" si="46"/>
        <v>1.2935976472467914E-3</v>
      </c>
      <c r="G213" s="19">
        <f>E213*G270/E270</f>
        <v>86.731194136244511</v>
      </c>
    </row>
    <row r="214" spans="1:7" ht="12.5">
      <c r="A214" s="5" t="s">
        <v>41</v>
      </c>
      <c r="B214" s="13">
        <v>3570.19</v>
      </c>
      <c r="C214" s="12">
        <v>2.4E-2</v>
      </c>
      <c r="D214" s="14">
        <v>385.15</v>
      </c>
      <c r="E214" s="13">
        <f t="shared" si="45"/>
        <v>786257.79255585198</v>
      </c>
      <c r="F214" s="12">
        <f t="shared" si="46"/>
        <v>1.8001085788378113E-2</v>
      </c>
      <c r="G214" s="19">
        <f>E214*G270/E270</f>
        <v>87.705152113711478</v>
      </c>
    </row>
    <row r="215" spans="1:7" ht="12.5">
      <c r="A215" s="5" t="s">
        <v>42</v>
      </c>
      <c r="B215" s="13">
        <v>3719.15</v>
      </c>
      <c r="C215" s="12">
        <v>4.2000000000000003E-2</v>
      </c>
      <c r="D215" s="14">
        <v>389.52</v>
      </c>
      <c r="E215" s="13">
        <f t="shared" si="45"/>
        <v>809874.02252150385</v>
      </c>
      <c r="F215" s="12">
        <f t="shared" si="46"/>
        <v>8.872166348014221E-2</v>
      </c>
      <c r="G215" s="19">
        <f>E215*G270/E270</f>
        <v>90.33948535797343</v>
      </c>
    </row>
    <row r="216" spans="1:7" ht="12.5">
      <c r="A216" s="5" t="s">
        <v>43</v>
      </c>
      <c r="B216" s="13">
        <v>3795.5</v>
      </c>
      <c r="C216" s="12">
        <v>2.1000000000000001E-2</v>
      </c>
      <c r="D216" s="14">
        <v>399.48</v>
      </c>
      <c r="E216" s="13">
        <f t="shared" si="45"/>
        <v>805893.19816079037</v>
      </c>
      <c r="F216" s="12">
        <f t="shared" si="46"/>
        <v>8.3214142874988628E-2</v>
      </c>
      <c r="G216" s="19">
        <f>E216*G270/E270</f>
        <v>89.895434043760801</v>
      </c>
    </row>
    <row r="217" spans="1:7" ht="12.5">
      <c r="A217" s="5" t="s">
        <v>44</v>
      </c>
      <c r="B217" s="13">
        <v>3842.72</v>
      </c>
      <c r="C217" s="12">
        <v>1.2E-2</v>
      </c>
      <c r="D217" s="14">
        <v>408.5</v>
      </c>
      <c r="E217" s="13">
        <f t="shared" si="45"/>
        <v>797903.21611039154</v>
      </c>
      <c r="F217" s="12">
        <f t="shared" si="46"/>
        <v>8.8237895262111898E-2</v>
      </c>
      <c r="G217" s="19">
        <f>E217*G270/E270</f>
        <v>89.004170901123942</v>
      </c>
    </row>
    <row r="218" spans="1:7" ht="12.5">
      <c r="A218" s="5" t="s">
        <v>45</v>
      </c>
      <c r="B218" s="13">
        <v>3885.52</v>
      </c>
      <c r="C218" s="12">
        <v>1.0999999999999999E-2</v>
      </c>
      <c r="D218" s="14">
        <v>416.33</v>
      </c>
      <c r="E218" s="13">
        <f t="shared" si="45"/>
        <v>791616.7554911538</v>
      </c>
      <c r="F218" s="12">
        <f t="shared" si="46"/>
        <v>2.2539087830915738E-2</v>
      </c>
      <c r="G218" s="19">
        <f>E218*G270/E270</f>
        <v>88.302931447490238</v>
      </c>
    </row>
    <row r="219" spans="1:7" ht="12.5">
      <c r="A219" s="16">
        <v>2011</v>
      </c>
      <c r="B219" s="16"/>
      <c r="C219" s="16"/>
      <c r="D219" s="17"/>
      <c r="E219" s="21"/>
      <c r="F219" s="18"/>
      <c r="G219" s="18"/>
    </row>
    <row r="220" spans="1:7" ht="12.5">
      <c r="A220" s="5" t="s">
        <v>47</v>
      </c>
      <c r="B220" s="13">
        <v>3935.3</v>
      </c>
      <c r="C220" s="12">
        <v>1.2999999999999999E-2</v>
      </c>
      <c r="D220" s="14">
        <v>422.66</v>
      </c>
      <c r="E220" s="13">
        <f t="shared" ref="E220:E231" si="47">B220*D$389/D220</f>
        <v>789751.08746315329</v>
      </c>
      <c r="F220" s="12">
        <f t="shared" ref="F220:F231" si="48">E220/E207-1</f>
        <v>4.3201835944664424E-2</v>
      </c>
      <c r="G220" s="19">
        <f>E220*G270/E270</f>
        <v>88.094820698396646</v>
      </c>
    </row>
    <row r="221" spans="1:7" ht="12.5">
      <c r="A221" s="5" t="s">
        <v>49</v>
      </c>
      <c r="B221" s="13">
        <v>4017.23</v>
      </c>
      <c r="C221" s="12">
        <v>2.1000000000000001E-2</v>
      </c>
      <c r="D221" s="14">
        <v>428.79</v>
      </c>
      <c r="E221" s="13">
        <f t="shared" si="47"/>
        <v>794667.74298972299</v>
      </c>
      <c r="F221" s="12">
        <f t="shared" si="48"/>
        <v>5.1143559191869414E-2</v>
      </c>
      <c r="G221" s="19">
        <f>E221*G270/E270</f>
        <v>88.643261712185236</v>
      </c>
    </row>
    <row r="222" spans="1:7" ht="12.5">
      <c r="A222" s="5" t="s">
        <v>50</v>
      </c>
      <c r="B222" s="13">
        <v>4289.54</v>
      </c>
      <c r="C222" s="12">
        <v>6.8000000000000005E-2</v>
      </c>
      <c r="D222" s="14">
        <v>438.66</v>
      </c>
      <c r="E222" s="13">
        <f t="shared" si="47"/>
        <v>829442.38332293008</v>
      </c>
      <c r="F222" s="12">
        <f t="shared" si="48"/>
        <v>8.2974058851267962E-2</v>
      </c>
      <c r="G222" s="19">
        <f>E222*G270/E270</f>
        <v>92.522288602601563</v>
      </c>
    </row>
    <row r="223" spans="1:7" ht="12.5">
      <c r="A223" s="5" t="s">
        <v>51</v>
      </c>
      <c r="B223" s="13">
        <v>4343.04</v>
      </c>
      <c r="C223" s="12">
        <v>1.2E-2</v>
      </c>
      <c r="D223" s="14">
        <v>448.03</v>
      </c>
      <c r="E223" s="13">
        <f t="shared" si="47"/>
        <v>822224.22808541358</v>
      </c>
      <c r="F223" s="12">
        <f t="shared" si="48"/>
        <v>7.0768108634027271E-2</v>
      </c>
      <c r="G223" s="19">
        <f>E223*G270/E270</f>
        <v>91.717120871253712</v>
      </c>
    </row>
    <row r="224" spans="1:7" ht="12.5">
      <c r="A224" s="5" t="s">
        <v>52</v>
      </c>
      <c r="B224" s="13">
        <v>4510.43</v>
      </c>
      <c r="C224" s="12">
        <v>3.9E-2</v>
      </c>
      <c r="D224" s="14">
        <v>454.91</v>
      </c>
      <c r="E224" s="13">
        <f t="shared" si="47"/>
        <v>841000.0064178349</v>
      </c>
      <c r="F224" s="12">
        <f t="shared" si="48"/>
        <v>0.10010614649017358</v>
      </c>
      <c r="G224" s="19">
        <f>E224*G270/E270</f>
        <v>93.811513461431275</v>
      </c>
    </row>
    <row r="225" spans="1:7" ht="12.5">
      <c r="A225" s="5" t="s">
        <v>53</v>
      </c>
      <c r="B225" s="13">
        <v>4575.38</v>
      </c>
      <c r="C225" s="12">
        <v>1.4E-2</v>
      </c>
      <c r="D225" s="14">
        <v>461.07</v>
      </c>
      <c r="E225" s="13">
        <f t="shared" si="47"/>
        <v>841712.62224812096</v>
      </c>
      <c r="F225" s="12">
        <f t="shared" si="48"/>
        <v>9.4907006952565931E-2</v>
      </c>
      <c r="G225" s="19">
        <f>E225*G270/E270</f>
        <v>93.891004031045483</v>
      </c>
    </row>
    <row r="226" spans="1:7" ht="12.5">
      <c r="A226" s="5" t="s">
        <v>39</v>
      </c>
      <c r="B226" s="13">
        <v>4718.8999999999996</v>
      </c>
      <c r="C226" s="12">
        <v>3.1E-2</v>
      </c>
      <c r="D226" s="14">
        <v>469.99</v>
      </c>
      <c r="E226" s="13">
        <f t="shared" si="47"/>
        <v>851639.29614028358</v>
      </c>
      <c r="F226" s="12">
        <f t="shared" si="48"/>
        <v>9.531871898270694E-2</v>
      </c>
      <c r="G226" s="19">
        <f>E226*G270/E270</f>
        <v>94.998300457151799</v>
      </c>
    </row>
    <row r="227" spans="1:7" ht="12.5">
      <c r="A227" s="5" t="s">
        <v>41</v>
      </c>
      <c r="B227" s="13">
        <v>4875.01</v>
      </c>
      <c r="C227" s="12">
        <v>3.3000000000000002E-2</v>
      </c>
      <c r="D227" s="14">
        <v>478.94</v>
      </c>
      <c r="E227" s="13">
        <f t="shared" si="47"/>
        <v>863371.95389519469</v>
      </c>
      <c r="F227" s="12">
        <f t="shared" si="48"/>
        <v>9.8077452547301602E-2</v>
      </c>
      <c r="G227" s="19">
        <f>E227*G270/E270</f>
        <v>96.307050008297892</v>
      </c>
    </row>
    <row r="228" spans="1:7" ht="12.5">
      <c r="A228" s="5" t="s">
        <v>42</v>
      </c>
      <c r="B228" s="13">
        <v>5034.58</v>
      </c>
      <c r="C228" s="12">
        <v>3.3000000000000002E-2</v>
      </c>
      <c r="D228" s="14">
        <v>487.67</v>
      </c>
      <c r="E228" s="13">
        <f t="shared" si="47"/>
        <v>875670.54599175008</v>
      </c>
      <c r="F228" s="12">
        <f t="shared" si="48"/>
        <v>8.1242911416508745E-2</v>
      </c>
      <c r="G228" s="19">
        <f>E228*G270/E270</f>
        <v>97.678928164324262</v>
      </c>
    </row>
    <row r="229" spans="1:7" ht="12.5">
      <c r="A229" s="5" t="s">
        <v>43</v>
      </c>
      <c r="B229" s="13">
        <v>5115.7700000000004</v>
      </c>
      <c r="C229" s="12">
        <v>1.6E-2</v>
      </c>
      <c r="D229" s="14">
        <v>492.6</v>
      </c>
      <c r="E229" s="13">
        <f t="shared" si="47"/>
        <v>880886.87472974742</v>
      </c>
      <c r="F229" s="12">
        <f t="shared" si="48"/>
        <v>9.3056594521591318E-2</v>
      </c>
      <c r="G229" s="19">
        <f>E229*G270/E270</f>
        <v>98.260796998913506</v>
      </c>
    </row>
    <row r="230" spans="1:7" ht="12.5">
      <c r="A230" s="5" t="s">
        <v>44</v>
      </c>
      <c r="B230" s="13">
        <v>5242.9</v>
      </c>
      <c r="C230" s="12">
        <v>2.5000000000000001E-2</v>
      </c>
      <c r="D230" s="14">
        <v>501.18</v>
      </c>
      <c r="E230" s="13">
        <f t="shared" si="47"/>
        <v>887322.2632246135</v>
      </c>
      <c r="F230" s="12">
        <f t="shared" si="48"/>
        <v>0.1120675356468932</v>
      </c>
      <c r="G230" s="19">
        <f>E230*G270/E270</f>
        <v>98.978648996307811</v>
      </c>
    </row>
    <row r="231" spans="1:7" ht="12.5">
      <c r="A231" s="5" t="s">
        <v>45</v>
      </c>
      <c r="B231" s="13">
        <v>5280.28</v>
      </c>
      <c r="C231" s="12">
        <v>7.0000000000000001E-3</v>
      </c>
      <c r="D231" s="14">
        <v>510.2</v>
      </c>
      <c r="E231" s="13">
        <f t="shared" si="47"/>
        <v>877849.43539664045</v>
      </c>
      <c r="F231" s="12">
        <f t="shared" si="48"/>
        <v>0.10893235812319824</v>
      </c>
      <c r="G231" s="19">
        <f>E231*G270/E270</f>
        <v>97.92197799925647</v>
      </c>
    </row>
    <row r="232" spans="1:7" ht="12.5">
      <c r="A232" s="16">
        <v>2012</v>
      </c>
      <c r="B232" s="16"/>
      <c r="C232" s="16"/>
      <c r="D232" s="17"/>
      <c r="E232" s="21"/>
      <c r="F232" s="18"/>
      <c r="G232" s="18"/>
    </row>
    <row r="233" spans="1:7" ht="12.5">
      <c r="A233" s="5" t="s">
        <v>47</v>
      </c>
      <c r="B233" s="13">
        <v>5350.76</v>
      </c>
      <c r="C233" s="12">
        <v>1.2999999999999999E-2</v>
      </c>
      <c r="D233" s="14">
        <v>516.97</v>
      </c>
      <c r="E233" s="13">
        <f t="shared" ref="E233:E244" si="49">B233*D$389/D233</f>
        <v>877917.41890055605</v>
      </c>
      <c r="F233" s="12">
        <f t="shared" ref="F233:F244" si="50">E233/E220-1</f>
        <v>0.11163812603362344</v>
      </c>
      <c r="G233" s="19">
        <f>E233*G270/E270</f>
        <v>97.929561394433733</v>
      </c>
    </row>
    <row r="234" spans="1:7" ht="12.5">
      <c r="A234" s="5" t="s">
        <v>49</v>
      </c>
      <c r="B234" s="13">
        <v>5501.32</v>
      </c>
      <c r="C234" s="12">
        <v>2.8000000000000001E-2</v>
      </c>
      <c r="D234" s="14">
        <v>523.04999999999995</v>
      </c>
      <c r="E234" s="13">
        <f t="shared" si="49"/>
        <v>892128.13716621045</v>
      </c>
      <c r="F234" s="12">
        <f t="shared" si="50"/>
        <v>0.12264294736542225</v>
      </c>
      <c r="G234" s="19">
        <f>E234*G270/E270</f>
        <v>99.514732592652123</v>
      </c>
    </row>
    <row r="235" spans="1:7" ht="12.5">
      <c r="A235" s="5" t="s">
        <v>50</v>
      </c>
      <c r="B235" s="13">
        <v>5711.74</v>
      </c>
      <c r="C235" s="12">
        <v>3.7999999999999999E-2</v>
      </c>
      <c r="D235" s="14">
        <v>537.62</v>
      </c>
      <c r="E235" s="13">
        <f t="shared" si="49"/>
        <v>901148.88401543163</v>
      </c>
      <c r="F235" s="12">
        <f t="shared" si="50"/>
        <v>8.6451454777641601E-2</v>
      </c>
      <c r="G235" s="19">
        <f>E235*G270/E270</f>
        <v>100.52097505165329</v>
      </c>
    </row>
    <row r="236" spans="1:7" ht="12.5">
      <c r="A236" s="5" t="s">
        <v>51</v>
      </c>
      <c r="B236" s="13">
        <v>5983.14</v>
      </c>
      <c r="C236" s="12">
        <v>4.8000000000000001E-2</v>
      </c>
      <c r="D236" s="14">
        <v>552.01</v>
      </c>
      <c r="E236" s="13">
        <f t="shared" si="49"/>
        <v>919360.31999428233</v>
      </c>
      <c r="F236" s="12">
        <f t="shared" si="50"/>
        <v>0.11813820195380842</v>
      </c>
      <c r="G236" s="19">
        <f>E236*G270/E270</f>
        <v>102.55241661936374</v>
      </c>
    </row>
    <row r="237" spans="1:7" ht="12.5">
      <c r="A237" s="5" t="s">
        <v>52</v>
      </c>
      <c r="B237" s="13">
        <v>6163.78</v>
      </c>
      <c r="C237" s="12">
        <v>0.03</v>
      </c>
      <c r="D237" s="14">
        <v>561</v>
      </c>
      <c r="E237" s="13">
        <f t="shared" si="49"/>
        <v>931939.68071665114</v>
      </c>
      <c r="F237" s="12">
        <f t="shared" si="50"/>
        <v>0.10813278668827331</v>
      </c>
      <c r="G237" s="19">
        <f>E237*G270/E270</f>
        <v>103.9556138354603</v>
      </c>
    </row>
    <row r="238" spans="1:7" ht="12.5">
      <c r="A238" s="5" t="s">
        <v>53</v>
      </c>
      <c r="B238" s="13">
        <v>6193.16</v>
      </c>
      <c r="C238" s="12">
        <v>5.0000000000000001E-3</v>
      </c>
      <c r="D238" s="14">
        <v>570.47</v>
      </c>
      <c r="E238" s="13">
        <f t="shared" si="49"/>
        <v>920837.55974567391</v>
      </c>
      <c r="F238" s="12">
        <f t="shared" si="50"/>
        <v>9.4004694008531064E-2</v>
      </c>
      <c r="G238" s="19">
        <f>E238*G270/E270</f>
        <v>102.71719913513768</v>
      </c>
    </row>
    <row r="239" spans="1:7" ht="12.5">
      <c r="A239" s="5" t="s">
        <v>39</v>
      </c>
      <c r="B239" s="13">
        <v>6413.3</v>
      </c>
      <c r="C239" s="12">
        <v>3.5999999999999997E-2</v>
      </c>
      <c r="D239" s="14">
        <v>588.37</v>
      </c>
      <c r="E239" s="13">
        <f t="shared" si="49"/>
        <v>924558.8727970788</v>
      </c>
      <c r="F239" s="12">
        <f t="shared" si="50"/>
        <v>8.5622606879783847E-2</v>
      </c>
      <c r="G239" s="19">
        <f>E239*G270/E270</f>
        <v>103.13230259144208</v>
      </c>
    </row>
    <row r="240" spans="1:7" ht="12.5">
      <c r="A240" s="5" t="s">
        <v>41</v>
      </c>
      <c r="B240" s="13">
        <v>6468.61</v>
      </c>
      <c r="C240" s="12">
        <v>8.9999999999999993E-3</v>
      </c>
      <c r="D240" s="14">
        <v>599.62</v>
      </c>
      <c r="E240" s="13">
        <f t="shared" si="49"/>
        <v>915036.44823456893</v>
      </c>
      <c r="F240" s="12">
        <f t="shared" si="50"/>
        <v>5.9840366722922145E-2</v>
      </c>
      <c r="G240" s="19">
        <f>E240*G270/E270</f>
        <v>102.07009919879725</v>
      </c>
    </row>
    <row r="241" spans="1:7" ht="12.5">
      <c r="A241" s="5" t="s">
        <v>42</v>
      </c>
      <c r="B241" s="13">
        <v>6577.58</v>
      </c>
      <c r="C241" s="12">
        <v>1.7000000000000001E-2</v>
      </c>
      <c r="D241" s="14">
        <v>610.26</v>
      </c>
      <c r="E241" s="13">
        <f t="shared" si="49"/>
        <v>914228.5298044869</v>
      </c>
      <c r="F241" s="12">
        <f t="shared" si="50"/>
        <v>4.403252340646846E-2</v>
      </c>
      <c r="G241" s="19">
        <f>E241*G270/E270</f>
        <v>101.97997785503863</v>
      </c>
    </row>
    <row r="242" spans="1:7" ht="12.5">
      <c r="A242" s="5" t="s">
        <v>43</v>
      </c>
      <c r="B242" s="13">
        <v>6743.8</v>
      </c>
      <c r="C242" s="12">
        <v>2.5000000000000001E-2</v>
      </c>
      <c r="D242" s="14">
        <v>619.49</v>
      </c>
      <c r="E242" s="13">
        <f t="shared" si="49"/>
        <v>923366.08178537572</v>
      </c>
      <c r="F242" s="12">
        <f t="shared" si="50"/>
        <v>4.8223226244187956E-2</v>
      </c>
      <c r="G242" s="19">
        <f>E242*G270/E270</f>
        <v>102.99924964352634</v>
      </c>
    </row>
    <row r="243" spans="1:7" ht="12.5">
      <c r="A243" s="5" t="s">
        <v>44</v>
      </c>
      <c r="B243" s="13">
        <v>6907.3</v>
      </c>
      <c r="C243" s="12">
        <v>2.4E-2</v>
      </c>
      <c r="D243" s="14">
        <v>630.5</v>
      </c>
      <c r="E243" s="13">
        <f t="shared" si="49"/>
        <v>929237.57686539134</v>
      </c>
      <c r="F243" s="12">
        <f t="shared" si="50"/>
        <v>4.7237982611248341E-2</v>
      </c>
      <c r="G243" s="19">
        <f>E243*G270/E270</f>
        <v>103.65420069648025</v>
      </c>
    </row>
    <row r="244" spans="1:7" ht="12.5">
      <c r="A244" s="5" t="s">
        <v>45</v>
      </c>
      <c r="B244" s="13">
        <v>6985.82</v>
      </c>
      <c r="C244" s="12">
        <v>1.0999999999999999E-2</v>
      </c>
      <c r="D244" s="14">
        <v>640.87</v>
      </c>
      <c r="E244" s="13">
        <f t="shared" si="49"/>
        <v>924593.81683464104</v>
      </c>
      <c r="F244" s="12">
        <f t="shared" si="50"/>
        <v>5.324874580215444E-2</v>
      </c>
      <c r="G244" s="19">
        <f>E244*G270/E270</f>
        <v>103.13620051418306</v>
      </c>
    </row>
    <row r="245" spans="1:7" ht="12.5">
      <c r="A245" s="16">
        <v>2013</v>
      </c>
      <c r="B245" s="16"/>
      <c r="C245" s="16"/>
      <c r="D245" s="17"/>
      <c r="E245" s="21"/>
      <c r="F245" s="18"/>
      <c r="G245" s="18"/>
    </row>
    <row r="246" spans="1:7" ht="12.5">
      <c r="A246" s="5" t="s">
        <v>47</v>
      </c>
      <c r="B246" s="13">
        <v>7063.81</v>
      </c>
      <c r="C246" s="12">
        <v>1.0999999999999999E-2</v>
      </c>
      <c r="D246" s="14">
        <v>654.51</v>
      </c>
      <c r="E246" s="13">
        <f t="shared" ref="E246:E257" si="51">B246*D$389/D246</f>
        <v>915432.35616070183</v>
      </c>
      <c r="F246" s="12">
        <f t="shared" ref="F246:F257" si="52">E246/E233-1</f>
        <v>4.2731738148135801E-2</v>
      </c>
      <c r="G246" s="19">
        <f>E246*G270/E270</f>
        <v>102.11426176890244</v>
      </c>
    </row>
    <row r="247" spans="1:7" ht="12.5">
      <c r="A247" s="5" t="s">
        <v>49</v>
      </c>
      <c r="B247" s="13">
        <v>7300.21</v>
      </c>
      <c r="C247" s="12">
        <v>3.3000000000000002E-2</v>
      </c>
      <c r="D247" s="14">
        <v>664.33</v>
      </c>
      <c r="E247" s="13">
        <f t="shared" si="51"/>
        <v>932083.93816099293</v>
      </c>
      <c r="F247" s="12">
        <f t="shared" si="52"/>
        <v>4.4787065142569693E-2</v>
      </c>
      <c r="G247" s="19">
        <f>E247*G270/E270</f>
        <v>103.97170540392463</v>
      </c>
    </row>
    <row r="248" spans="1:7" ht="12.5">
      <c r="A248" s="5" t="s">
        <v>50</v>
      </c>
      <c r="B248" s="13">
        <v>7490.7</v>
      </c>
      <c r="C248" s="12">
        <v>2.5999999999999999E-2</v>
      </c>
      <c r="D248" s="14">
        <v>676.29</v>
      </c>
      <c r="E248" s="13">
        <f t="shared" si="51"/>
        <v>939491.75710737461</v>
      </c>
      <c r="F248" s="12">
        <f t="shared" si="52"/>
        <v>4.2548877074663594E-2</v>
      </c>
      <c r="G248" s="19">
        <f>E248*G270/E270</f>
        <v>104.79802966255143</v>
      </c>
    </row>
    <row r="249" spans="1:7" ht="12.5">
      <c r="A249" s="5" t="s">
        <v>51</v>
      </c>
      <c r="B249" s="13">
        <v>7634.27</v>
      </c>
      <c r="C249" s="12">
        <v>1.9E-2</v>
      </c>
      <c r="D249" s="14">
        <v>687.93</v>
      </c>
      <c r="E249" s="13">
        <f t="shared" si="51"/>
        <v>941297.27663950867</v>
      </c>
      <c r="F249" s="12">
        <f t="shared" si="52"/>
        <v>2.3861108825495858E-2</v>
      </c>
      <c r="G249" s="19">
        <f>E249*G270/E270</f>
        <v>104.99943099263596</v>
      </c>
    </row>
    <row r="250" spans="1:7" ht="12.5">
      <c r="A250" s="5" t="s">
        <v>52</v>
      </c>
      <c r="B250" s="13">
        <v>7896.3</v>
      </c>
      <c r="C250" s="12">
        <v>3.4000000000000002E-2</v>
      </c>
      <c r="D250" s="14">
        <v>698.87</v>
      </c>
      <c r="E250" s="13">
        <f t="shared" si="51"/>
        <v>958364.631039322</v>
      </c>
      <c r="F250" s="12">
        <f t="shared" si="52"/>
        <v>2.8354786119151321E-2</v>
      </c>
      <c r="G250" s="19">
        <f>E250*G270/E270</f>
        <v>106.90325303164988</v>
      </c>
    </row>
    <row r="251" spans="1:7" ht="12.5">
      <c r="A251" s="5" t="s">
        <v>53</v>
      </c>
      <c r="B251" s="13">
        <v>7985.95</v>
      </c>
      <c r="C251" s="12">
        <v>1.0999999999999999E-2</v>
      </c>
      <c r="D251" s="14">
        <v>713.66</v>
      </c>
      <c r="E251" s="13">
        <f t="shared" si="51"/>
        <v>949158.55579149083</v>
      </c>
      <c r="F251" s="12">
        <f t="shared" si="52"/>
        <v>3.0755691648415073E-2</v>
      </c>
      <c r="G251" s="19">
        <f>E251*G270/E270</f>
        <v>105.87633763872682</v>
      </c>
    </row>
    <row r="252" spans="1:7" ht="12.5">
      <c r="A252" s="5" t="s">
        <v>39</v>
      </c>
      <c r="B252" s="13">
        <v>8176.79</v>
      </c>
      <c r="C252" s="12">
        <v>2.4E-2</v>
      </c>
      <c r="D252" s="14">
        <v>732.39</v>
      </c>
      <c r="E252" s="13">
        <f t="shared" si="51"/>
        <v>946986.90596797946</v>
      </c>
      <c r="F252" s="12">
        <f t="shared" si="52"/>
        <v>2.4258090891550177E-2</v>
      </c>
      <c r="G252" s="19">
        <f>E252*G270/E270</f>
        <v>105.63409536156013</v>
      </c>
    </row>
    <row r="253" spans="1:7" ht="12.5">
      <c r="A253" s="5" t="s">
        <v>41</v>
      </c>
      <c r="B253" s="13">
        <v>8255.89</v>
      </c>
      <c r="C253" s="12">
        <v>0.01</v>
      </c>
      <c r="D253" s="14">
        <v>748.03</v>
      </c>
      <c r="E253" s="13">
        <f t="shared" si="51"/>
        <v>936156.41543758684</v>
      </c>
      <c r="F253" s="12">
        <f t="shared" si="52"/>
        <v>2.3081011957245989E-2</v>
      </c>
      <c r="G253" s="19">
        <f>E253*G270/E270</f>
        <v>104.42598037888196</v>
      </c>
    </row>
    <row r="254" spans="1:7" ht="12.5">
      <c r="A254" s="5" t="s">
        <v>42</v>
      </c>
      <c r="B254" s="13">
        <v>8439.6</v>
      </c>
      <c r="C254" s="12">
        <v>2.1999999999999999E-2</v>
      </c>
      <c r="D254" s="14">
        <v>763.74</v>
      </c>
      <c r="E254" s="13">
        <f t="shared" si="51"/>
        <v>937302.68761644594</v>
      </c>
      <c r="F254" s="12">
        <f t="shared" si="52"/>
        <v>2.5238938689534862E-2</v>
      </c>
      <c r="G254" s="19">
        <f>E254*G270/E270</f>
        <v>104.55384426368207</v>
      </c>
    </row>
    <row r="255" spans="1:7" ht="12.5">
      <c r="A255" s="5" t="s">
        <v>43</v>
      </c>
      <c r="B255" s="13">
        <v>8626.56</v>
      </c>
      <c r="C255" s="12">
        <v>2.1999999999999999E-2</v>
      </c>
      <c r="D255" s="14">
        <v>781.66</v>
      </c>
      <c r="E255" s="13">
        <f t="shared" si="51"/>
        <v>936102.26208860986</v>
      </c>
      <c r="F255" s="12">
        <f t="shared" si="52"/>
        <v>1.3793207866817037E-2</v>
      </c>
      <c r="G255" s="19">
        <f>E255*G270/E270</f>
        <v>104.41993970398569</v>
      </c>
    </row>
    <row r="256" spans="1:7" ht="12.5">
      <c r="A256" s="5" t="s">
        <v>44</v>
      </c>
      <c r="B256" s="13">
        <v>8666.7199999999993</v>
      </c>
      <c r="C256" s="12">
        <v>5.0000000000000001E-3</v>
      </c>
      <c r="D256" s="14">
        <v>800.76</v>
      </c>
      <c r="E256" s="13">
        <f t="shared" si="51"/>
        <v>918028.00676943676</v>
      </c>
      <c r="F256" s="12">
        <f t="shared" si="52"/>
        <v>-1.2063190700668747E-2</v>
      </c>
      <c r="G256" s="19">
        <f>E256*G270/E270</f>
        <v>102.40380030655322</v>
      </c>
    </row>
    <row r="257" spans="1:7" ht="12.5">
      <c r="A257" s="5" t="s">
        <v>45</v>
      </c>
      <c r="B257" s="13">
        <v>8743.73</v>
      </c>
      <c r="C257" s="12">
        <v>8.9999999999999993E-3</v>
      </c>
      <c r="D257" s="14">
        <v>820.28</v>
      </c>
      <c r="E257" s="13">
        <f t="shared" si="51"/>
        <v>904145.13840200542</v>
      </c>
      <c r="F257" s="12">
        <f t="shared" si="52"/>
        <v>-2.2116391068503938E-2</v>
      </c>
      <c r="G257" s="19">
        <f>E257*G270/E270</f>
        <v>100.85519997029174</v>
      </c>
    </row>
    <row r="258" spans="1:7" ht="12.5">
      <c r="A258" s="16">
        <v>2014</v>
      </c>
      <c r="B258" s="16"/>
      <c r="C258" s="16"/>
      <c r="D258" s="17"/>
      <c r="E258" s="21"/>
      <c r="F258" s="18"/>
      <c r="G258" s="18"/>
    </row>
    <row r="259" spans="1:7" ht="12.5">
      <c r="A259" s="5" t="s">
        <v>47</v>
      </c>
      <c r="B259" s="13">
        <v>8785.0300000000007</v>
      </c>
      <c r="C259" s="12">
        <v>5.0000000000000001E-3</v>
      </c>
      <c r="D259" s="14">
        <v>859.85</v>
      </c>
      <c r="E259" s="13">
        <f t="shared" ref="E259:E270" si="53">B259*D$389/D259</f>
        <v>866610.78399457783</v>
      </c>
      <c r="F259" s="12">
        <f t="shared" ref="F259:F264" si="54">E259/E246-1</f>
        <v>-5.3331709150941875E-2</v>
      </c>
      <c r="G259" s="19">
        <f>E259*G270/E270</f>
        <v>96.668333660080194</v>
      </c>
    </row>
    <row r="260" spans="1:7" ht="12.5">
      <c r="A260" s="5" t="s">
        <v>49</v>
      </c>
      <c r="B260" s="13">
        <v>9249.2099999999991</v>
      </c>
      <c r="C260" s="12">
        <v>5.2999999999999999E-2</v>
      </c>
      <c r="D260" s="14">
        <v>898.88</v>
      </c>
      <c r="E260" s="13">
        <f t="shared" si="53"/>
        <v>872783.3612551234</v>
      </c>
      <c r="F260" s="12">
        <f t="shared" si="54"/>
        <v>-6.3621498534638277E-2</v>
      </c>
      <c r="G260" s="19">
        <f>E260*G270/E270</f>
        <v>97.356869700925017</v>
      </c>
    </row>
    <row r="261" spans="1:7" ht="12.5">
      <c r="A261" s="5" t="s">
        <v>50</v>
      </c>
      <c r="B261" s="13">
        <v>9634.75</v>
      </c>
      <c r="C261" s="12">
        <v>4.2000000000000003E-2</v>
      </c>
      <c r="D261" s="14">
        <v>930.22</v>
      </c>
      <c r="E261" s="13">
        <f t="shared" si="53"/>
        <v>878533.47295008739</v>
      </c>
      <c r="F261" s="12">
        <f t="shared" si="54"/>
        <v>-6.488432037442593E-2</v>
      </c>
      <c r="G261" s="19">
        <f>E261*G270/E270</f>
        <v>97.998280731317834</v>
      </c>
    </row>
    <row r="262" spans="1:7" ht="12.5">
      <c r="A262" s="5" t="s">
        <v>51</v>
      </c>
      <c r="B262" s="13">
        <v>10156.89</v>
      </c>
      <c r="C262" s="12">
        <v>5.3999999999999999E-2</v>
      </c>
      <c r="D262" s="14">
        <v>958.45</v>
      </c>
      <c r="E262" s="13">
        <f t="shared" si="53"/>
        <v>898865.73027701653</v>
      </c>
      <c r="F262" s="12">
        <f t="shared" si="54"/>
        <v>-4.5077731993420245E-2</v>
      </c>
      <c r="G262" s="19">
        <f>E262*G270/E270</f>
        <v>100.26629478288829</v>
      </c>
    </row>
    <row r="263" spans="1:7" ht="12.5">
      <c r="A263" s="5" t="s">
        <v>52</v>
      </c>
      <c r="B263" s="13">
        <v>10295</v>
      </c>
      <c r="C263" s="12">
        <v>1.4E-2</v>
      </c>
      <c r="D263" s="14">
        <v>982.17</v>
      </c>
      <c r="E263" s="13">
        <f t="shared" si="53"/>
        <v>889084.87478872552</v>
      </c>
      <c r="F263" s="12">
        <f t="shared" si="54"/>
        <v>-7.2289558699035417E-2</v>
      </c>
      <c r="G263" s="19">
        <f>E263*G270/E270</f>
        <v>99.175264046500587</v>
      </c>
    </row>
    <row r="264" spans="1:7" ht="12.5">
      <c r="A264" s="5" t="s">
        <v>53</v>
      </c>
      <c r="B264" s="13">
        <v>10394.200000000001</v>
      </c>
      <c r="C264" s="12">
        <v>0.01</v>
      </c>
      <c r="D264" s="14">
        <v>1003.73</v>
      </c>
      <c r="E264" s="13">
        <f t="shared" si="53"/>
        <v>878370.41587674373</v>
      </c>
      <c r="F264" s="12">
        <f t="shared" si="54"/>
        <v>-7.4579889190081405E-2</v>
      </c>
      <c r="G264" s="19">
        <f>E264*G270/E270</f>
        <v>97.980092109778937</v>
      </c>
    </row>
    <row r="265" spans="1:7" ht="12.5">
      <c r="A265" s="5" t="s">
        <v>54</v>
      </c>
      <c r="D265" s="14">
        <v>1027.6500000000001</v>
      </c>
      <c r="E265" s="13">
        <f t="shared" si="53"/>
        <v>0</v>
      </c>
      <c r="F265" s="12"/>
      <c r="G265" s="19"/>
    </row>
    <row r="266" spans="1:7" ht="12.5">
      <c r="A266" s="5" t="s">
        <v>41</v>
      </c>
      <c r="B266" s="13">
        <v>10946.2</v>
      </c>
      <c r="C266" s="12">
        <v>5.0000000000000001E-3</v>
      </c>
      <c r="D266" s="14">
        <v>1051.1099999999999</v>
      </c>
      <c r="E266" s="13">
        <f t="shared" si="53"/>
        <v>883321.38922114391</v>
      </c>
      <c r="F266" s="12">
        <f t="shared" ref="F266:F270" si="55">E266/E253-1</f>
        <v>-5.6438246157557215E-2</v>
      </c>
      <c r="G266" s="19">
        <f>E266*G270/E270</f>
        <v>98.532361193014367</v>
      </c>
    </row>
    <row r="267" spans="1:7" ht="12.5">
      <c r="A267" s="5" t="s">
        <v>42</v>
      </c>
      <c r="B267" s="13">
        <v>11393.26</v>
      </c>
      <c r="C267" s="12">
        <v>4.1000000000000002E-2</v>
      </c>
      <c r="D267" s="14">
        <v>1075.68</v>
      </c>
      <c r="E267" s="13">
        <f t="shared" si="53"/>
        <v>898397.32500231429</v>
      </c>
      <c r="F267" s="12">
        <f t="shared" si="55"/>
        <v>-4.1507789456005639E-2</v>
      </c>
      <c r="G267" s="19">
        <f>E267*G270/E270</f>
        <v>100.21404530916915</v>
      </c>
    </row>
    <row r="268" spans="1:7" ht="12.5">
      <c r="A268" s="5" t="s">
        <v>43</v>
      </c>
      <c r="B268" s="13">
        <v>11730.67</v>
      </c>
      <c r="C268" s="12">
        <v>0.03</v>
      </c>
      <c r="D268" s="14">
        <v>1094.3499999999999</v>
      </c>
      <c r="E268" s="13">
        <f t="shared" si="53"/>
        <v>909222.36751047301</v>
      </c>
      <c r="F268" s="12">
        <f t="shared" si="55"/>
        <v>-2.8714698881469491E-2</v>
      </c>
      <c r="G268" s="5">
        <f>E268*G270/E270</f>
        <v>101.42155257816454</v>
      </c>
    </row>
    <row r="269" spans="1:7" ht="12.5">
      <c r="A269" s="5" t="s">
        <v>44</v>
      </c>
      <c r="B269" s="13">
        <v>11709.66</v>
      </c>
      <c r="C269" s="12">
        <v>-2E-3</v>
      </c>
      <c r="D269" s="14">
        <v>1114.79</v>
      </c>
      <c r="E269" s="13">
        <f t="shared" si="53"/>
        <v>890952.92213784531</v>
      </c>
      <c r="F269" s="12">
        <f t="shared" si="55"/>
        <v>-2.9492656467932088E-2</v>
      </c>
      <c r="G269" s="5">
        <f>E269*G270/E270</f>
        <v>99.383640203101322</v>
      </c>
    </row>
    <row r="270" spans="1:7" ht="12.5">
      <c r="A270" s="5" t="s">
        <v>45</v>
      </c>
      <c r="B270" s="13">
        <v>11953.5</v>
      </c>
      <c r="C270" s="12">
        <v>2.1000000000000001E-2</v>
      </c>
      <c r="D270" s="14">
        <v>1130.99</v>
      </c>
      <c r="E270" s="13">
        <f t="shared" si="53"/>
        <v>896478.45492184197</v>
      </c>
      <c r="F270" s="12">
        <f t="shared" si="55"/>
        <v>-8.4794831654059211E-3</v>
      </c>
      <c r="G270" s="5">
        <v>100</v>
      </c>
    </row>
    <row r="271" spans="1:7" ht="12.5">
      <c r="A271" s="16">
        <v>2015</v>
      </c>
      <c r="B271" s="16"/>
      <c r="C271" s="16"/>
      <c r="D271" s="17"/>
      <c r="E271" s="21"/>
      <c r="F271" s="18"/>
      <c r="G271" s="18"/>
    </row>
    <row r="272" spans="1:7" ht="12.5">
      <c r="A272" s="5" t="s">
        <v>47</v>
      </c>
      <c r="B272" s="13">
        <v>11997.96</v>
      </c>
      <c r="C272" s="12">
        <v>4.0000000000000001E-3</v>
      </c>
      <c r="D272" s="14">
        <v>1153.19</v>
      </c>
      <c r="E272" s="13">
        <f t="shared" ref="E272:E283" si="56">B272*D$389/D272</f>
        <v>882490.5788919389</v>
      </c>
      <c r="F272" s="12">
        <f t="shared" ref="F272:F277" si="57">E272/E259-1</f>
        <v>1.8324021799226209E-2</v>
      </c>
      <c r="G272" s="19">
        <f>E272*G270/E270</f>
        <v>98.439686313362373</v>
      </c>
    </row>
    <row r="273" spans="1:7" ht="12.5">
      <c r="A273" s="5" t="s">
        <v>49</v>
      </c>
      <c r="B273" s="13">
        <v>12410.76</v>
      </c>
      <c r="C273" s="12">
        <v>3.4000000000000002E-2</v>
      </c>
      <c r="D273" s="14">
        <v>1169.8599999999999</v>
      </c>
      <c r="E273" s="13">
        <f t="shared" si="56"/>
        <v>899845.64935978886</v>
      </c>
      <c r="F273" s="12">
        <f t="shared" si="57"/>
        <v>3.1006879033243617E-2</v>
      </c>
      <c r="G273" s="19">
        <f>E273*G270/E270</f>
        <v>100.37560238279686</v>
      </c>
    </row>
    <row r="274" spans="1:7" ht="12.5">
      <c r="A274" s="5" t="s">
        <v>50</v>
      </c>
      <c r="B274" s="13">
        <v>12869.99</v>
      </c>
      <c r="C274" s="12">
        <v>3.6999999999999998E-2</v>
      </c>
      <c r="D274" s="14">
        <v>1189.72</v>
      </c>
      <c r="E274" s="13">
        <f t="shared" si="56"/>
        <v>917565.30310893513</v>
      </c>
      <c r="F274" s="12">
        <f t="shared" si="57"/>
        <v>4.442839272564103E-2</v>
      </c>
      <c r="G274" s="19">
        <f>E274*G270/E270</f>
        <v>102.35218683408644</v>
      </c>
    </row>
    <row r="275" spans="1:7" ht="12.5">
      <c r="A275" s="5" t="s">
        <v>51</v>
      </c>
      <c r="B275" s="13">
        <v>13077.29</v>
      </c>
      <c r="C275" s="12">
        <v>1.6E-2</v>
      </c>
      <c r="D275" s="14">
        <v>1217.05</v>
      </c>
      <c r="E275" s="13">
        <f t="shared" si="56"/>
        <v>911408.07007477409</v>
      </c>
      <c r="F275" s="12">
        <f t="shared" si="57"/>
        <v>1.3953518723972547E-2</v>
      </c>
      <c r="G275" s="19">
        <f>E275*G270/E270</f>
        <v>101.66536240452467</v>
      </c>
    </row>
    <row r="276" spans="1:7" ht="12.5">
      <c r="A276" s="5" t="s">
        <v>52</v>
      </c>
      <c r="B276" s="13">
        <v>13556.91</v>
      </c>
      <c r="C276" s="12">
        <v>3.6999999999999998E-2</v>
      </c>
      <c r="D276" s="14">
        <v>1243.81</v>
      </c>
      <c r="E276" s="13">
        <f t="shared" si="56"/>
        <v>924507.00148447626</v>
      </c>
      <c r="F276" s="12">
        <f t="shared" si="57"/>
        <v>3.9841108200348252E-2</v>
      </c>
      <c r="G276" s="19">
        <f>E276*G270/E270</f>
        <v>103.12651647217534</v>
      </c>
    </row>
    <row r="277" spans="1:7" ht="12.5">
      <c r="A277" s="5" t="s">
        <v>53</v>
      </c>
      <c r="B277" s="13">
        <v>14104.4</v>
      </c>
      <c r="C277" s="12">
        <v>0.04</v>
      </c>
      <c r="D277" s="14">
        <v>1261.04</v>
      </c>
      <c r="E277" s="13">
        <f t="shared" si="56"/>
        <v>948700.84896022454</v>
      </c>
      <c r="F277" s="12">
        <f t="shared" si="57"/>
        <v>8.0069218876503978E-2</v>
      </c>
      <c r="G277" s="19">
        <f>E277*G270/E270</f>
        <v>105.82528155045684</v>
      </c>
    </row>
    <row r="278" spans="1:7" ht="12.5">
      <c r="A278" s="5" t="s">
        <v>39</v>
      </c>
      <c r="B278" s="13">
        <v>14535.78</v>
      </c>
      <c r="C278" s="12">
        <v>3.1E-2</v>
      </c>
      <c r="D278" s="14">
        <v>1286.68</v>
      </c>
      <c r="E278" s="13">
        <f t="shared" si="56"/>
        <v>958233.44885714247</v>
      </c>
      <c r="F278" s="12"/>
      <c r="G278" s="19">
        <f>E278*G270/E270</f>
        <v>106.88861997700597</v>
      </c>
    </row>
    <row r="279" spans="1:7" ht="12.5">
      <c r="A279" s="5" t="s">
        <v>41</v>
      </c>
      <c r="B279" s="13">
        <v>14598.39</v>
      </c>
      <c r="C279" s="12">
        <v>4.0000000000000001E-3</v>
      </c>
      <c r="D279" s="14">
        <v>1310.42</v>
      </c>
      <c r="E279" s="13">
        <f t="shared" si="56"/>
        <v>944926.40419752884</v>
      </c>
      <c r="F279" s="12">
        <f t="shared" ref="F279:F283" si="58">E279/E266-1</f>
        <v>6.9742469420676301E-2</v>
      </c>
      <c r="G279" s="19">
        <f>E279*G270/E270</f>
        <v>105.40425138046521</v>
      </c>
    </row>
    <row r="280" spans="1:7" ht="12.5">
      <c r="A280" s="5" t="s">
        <v>42</v>
      </c>
      <c r="B280" s="13">
        <v>14983.39</v>
      </c>
      <c r="C280" s="12">
        <v>2.5999999999999999E-2</v>
      </c>
      <c r="D280" s="14">
        <v>1332.79</v>
      </c>
      <c r="E280" s="13">
        <f t="shared" si="56"/>
        <v>953568.49516848102</v>
      </c>
      <c r="F280" s="12">
        <f t="shared" si="58"/>
        <v>6.1410657212302544E-2</v>
      </c>
      <c r="G280" s="19">
        <f>E280*G270/E270</f>
        <v>106.3682556935087</v>
      </c>
    </row>
    <row r="281" spans="1:7" ht="12.5">
      <c r="A281" s="5" t="s">
        <v>43</v>
      </c>
      <c r="B281" s="13">
        <v>15202.43</v>
      </c>
      <c r="C281" s="12">
        <v>1.4999999999999999E-2</v>
      </c>
      <c r="D281" s="14">
        <v>1355.09</v>
      </c>
      <c r="E281" s="13">
        <f t="shared" si="56"/>
        <v>951586.79705659777</v>
      </c>
      <c r="F281" s="12">
        <f t="shared" si="58"/>
        <v>4.6594134790284736E-2</v>
      </c>
      <c r="G281" s="19">
        <f>E281*G270/E270</f>
        <v>106.14720206963148</v>
      </c>
    </row>
    <row r="282" spans="1:7" ht="12.5">
      <c r="A282" s="5" t="s">
        <v>44</v>
      </c>
      <c r="B282" s="13">
        <v>15526.15</v>
      </c>
      <c r="C282" s="12">
        <v>2.1000000000000001E-2</v>
      </c>
      <c r="D282" s="14">
        <v>1381.78</v>
      </c>
      <c r="E282" s="13">
        <f t="shared" si="56"/>
        <v>953077.92576660728</v>
      </c>
      <c r="F282" s="12">
        <f t="shared" si="58"/>
        <v>6.9728716394680923E-2</v>
      </c>
      <c r="G282" s="19">
        <f>E282*G270/E270</f>
        <v>106.31353386509437</v>
      </c>
    </row>
    <row r="283" spans="1:7" ht="12.5">
      <c r="A283" s="5" t="s">
        <v>45</v>
      </c>
      <c r="B283" s="13">
        <v>15800.97</v>
      </c>
      <c r="C283" s="12">
        <v>1.7999999999999999E-2</v>
      </c>
      <c r="D283" s="14">
        <v>1435.99</v>
      </c>
      <c r="E283" s="13">
        <f t="shared" si="56"/>
        <v>933331.38211264531</v>
      </c>
      <c r="F283" s="12">
        <f t="shared" si="58"/>
        <v>4.1108547548994068E-2</v>
      </c>
      <c r="G283" s="19">
        <f>E283*G270/E270</f>
        <v>104.11085475489942</v>
      </c>
    </row>
    <row r="284" spans="1:7" ht="12.5">
      <c r="A284" s="16">
        <v>2016</v>
      </c>
      <c r="B284" s="16"/>
      <c r="C284" s="16"/>
      <c r="D284" s="17"/>
      <c r="E284" s="21"/>
      <c r="F284" s="18"/>
      <c r="G284" s="18"/>
    </row>
    <row r="285" spans="1:7" ht="12.5">
      <c r="A285" s="5" t="s">
        <v>47</v>
      </c>
      <c r="B285" s="13">
        <v>15822.89</v>
      </c>
      <c r="C285" s="12">
        <v>1E-3</v>
      </c>
      <c r="D285" s="14">
        <v>1496.31</v>
      </c>
      <c r="E285" s="13">
        <f t="shared" ref="E285:E296" si="59">B285*D$389/D285</f>
        <v>896949.03352325456</v>
      </c>
      <c r="F285" s="12">
        <f t="shared" ref="F285:F296" si="60">E285/E272-1</f>
        <v>1.6383692899554658E-2</v>
      </c>
      <c r="G285" s="19">
        <f>E285*G270/E270</f>
        <v>100.05249190304897</v>
      </c>
    </row>
    <row r="286" spans="1:7" ht="12.5">
      <c r="A286" s="5" t="s">
        <v>49</v>
      </c>
      <c r="B286" s="13">
        <v>16520.52</v>
      </c>
      <c r="C286" s="12">
        <v>4.3999999999999997E-2</v>
      </c>
      <c r="D286" s="14">
        <v>1554.55</v>
      </c>
      <c r="E286" s="13">
        <f t="shared" si="59"/>
        <v>901410.37771139399</v>
      </c>
      <c r="F286" s="12">
        <f t="shared" si="60"/>
        <v>1.7388852774009589E-3</v>
      </c>
      <c r="G286" s="19">
        <f>E286*G270/E270</f>
        <v>100.55014403999057</v>
      </c>
    </row>
    <row r="287" spans="1:7" ht="12.5">
      <c r="A287" s="5" t="s">
        <v>50</v>
      </c>
      <c r="B287" s="13">
        <v>16977.259999999998</v>
      </c>
      <c r="C287" s="12">
        <v>2.8000000000000001E-2</v>
      </c>
      <c r="D287" s="14">
        <v>1606.2</v>
      </c>
      <c r="E287" s="13">
        <f t="shared" si="59"/>
        <v>896543.80485883506</v>
      </c>
      <c r="F287" s="12">
        <f t="shared" si="60"/>
        <v>-2.2910084087611082E-2</v>
      </c>
      <c r="G287" s="19">
        <f>E287*G270/E270</f>
        <v>100.00728962716664</v>
      </c>
    </row>
    <row r="288" spans="1:7" ht="12.5">
      <c r="A288" s="5" t="s">
        <v>51</v>
      </c>
      <c r="B288" s="13">
        <v>17691.29</v>
      </c>
      <c r="C288" s="12">
        <v>4.2000000000000003E-2</v>
      </c>
      <c r="D288" s="14">
        <v>1705.9</v>
      </c>
      <c r="E288" s="13">
        <f t="shared" si="59"/>
        <v>879649.11105962121</v>
      </c>
      <c r="F288" s="12">
        <f t="shared" si="60"/>
        <v>-3.4846036652437462E-2</v>
      </c>
      <c r="G288" s="19">
        <f>E288*G270/E270</f>
        <v>98.122727459893284</v>
      </c>
    </row>
    <row r="289" spans="1:7" ht="12.5">
      <c r="A289" s="5" t="s">
        <v>52</v>
      </c>
      <c r="B289" s="13">
        <v>18042.71</v>
      </c>
      <c r="C289" s="12">
        <v>0.02</v>
      </c>
      <c r="D289" s="20">
        <v>1777.38</v>
      </c>
      <c r="E289" s="13">
        <f t="shared" si="59"/>
        <v>861043.34722831286</v>
      </c>
      <c r="F289" s="12">
        <f t="shared" si="60"/>
        <v>-6.8645942274379923E-2</v>
      </c>
      <c r="G289" s="19">
        <f>E289*G270/E270</f>
        <v>96.047299575468486</v>
      </c>
    </row>
    <row r="290" spans="1:7" ht="12.5">
      <c r="A290" s="5" t="s">
        <v>53</v>
      </c>
      <c r="B290" s="13">
        <v>18277.57</v>
      </c>
      <c r="C290" s="12">
        <v>1.2999999999999999E-2</v>
      </c>
      <c r="D290" s="20">
        <v>1832.12</v>
      </c>
      <c r="E290" s="13">
        <f t="shared" si="59"/>
        <v>846190.36488879658</v>
      </c>
      <c r="F290" s="12">
        <f t="shared" si="60"/>
        <v>-0.10805353888296754</v>
      </c>
      <c r="G290" s="19">
        <f>E290*G270/E270</f>
        <v>94.39048537564355</v>
      </c>
    </row>
    <row r="291" spans="1:7" ht="12.5">
      <c r="A291" s="5" t="s">
        <v>39</v>
      </c>
      <c r="B291" s="13">
        <v>18988.439999999999</v>
      </c>
      <c r="C291" s="12">
        <v>3.9E-2</v>
      </c>
      <c r="D291" s="20">
        <v>1868.76</v>
      </c>
      <c r="E291" s="13">
        <f t="shared" si="59"/>
        <v>861865.09560425533</v>
      </c>
      <c r="F291" s="12">
        <f t="shared" si="60"/>
        <v>-0.10056876366382628</v>
      </c>
      <c r="G291" s="19">
        <f>E291*G270/E270</f>
        <v>96.138963616185919</v>
      </c>
    </row>
    <row r="292" spans="1:7" ht="12.5">
      <c r="A292" s="5" t="s">
        <v>41</v>
      </c>
      <c r="B292" s="13">
        <v>19216.78</v>
      </c>
      <c r="C292" s="12">
        <v>1.2E-2</v>
      </c>
      <c r="D292" s="20">
        <v>1872.5</v>
      </c>
      <c r="E292" s="13">
        <f t="shared" si="59"/>
        <v>870487.07598240383</v>
      </c>
      <c r="F292" s="12">
        <f t="shared" si="60"/>
        <v>-7.8777911046249205E-2</v>
      </c>
      <c r="G292" s="19">
        <f>E292*G270/E270</f>
        <v>97.100724641318436</v>
      </c>
    </row>
    <row r="293" spans="1:7" ht="12.5">
      <c r="A293" s="5" t="s">
        <v>42</v>
      </c>
      <c r="B293" s="13">
        <v>19666.45</v>
      </c>
      <c r="C293" s="12">
        <v>2.3E-2</v>
      </c>
      <c r="D293" s="20">
        <v>1893.1</v>
      </c>
      <c r="E293" s="13">
        <f t="shared" si="59"/>
        <v>881162.39068008354</v>
      </c>
      <c r="F293" s="12">
        <f t="shared" si="60"/>
        <v>-7.5931728926934006E-2</v>
      </c>
      <c r="G293" s="19">
        <f>E293*G270/E270</f>
        <v>98.291530135758393</v>
      </c>
    </row>
    <row r="294" spans="1:7" ht="12.5">
      <c r="A294" s="5" t="s">
        <v>43</v>
      </c>
      <c r="B294" s="13">
        <v>20069.28</v>
      </c>
      <c r="C294" s="12">
        <v>0.02</v>
      </c>
      <c r="D294" s="20">
        <v>1938.53</v>
      </c>
      <c r="E294" s="13">
        <f t="shared" si="59"/>
        <v>878138.06174111366</v>
      </c>
      <c r="F294" s="12">
        <f t="shared" si="60"/>
        <v>-7.7185534249395005E-2</v>
      </c>
      <c r="G294" s="19">
        <f>E294*G270/E270</f>
        <v>97.954173568808486</v>
      </c>
    </row>
    <row r="295" spans="1:7" ht="12.5">
      <c r="A295" s="5" t="s">
        <v>44</v>
      </c>
      <c r="B295" s="13">
        <v>20422.650000000001</v>
      </c>
      <c r="C295" s="12">
        <v>1.7999999999999999E-2</v>
      </c>
      <c r="D295" s="20">
        <v>1969.55</v>
      </c>
      <c r="E295" s="13">
        <f t="shared" si="59"/>
        <v>879525.87330771377</v>
      </c>
      <c r="F295" s="12">
        <f t="shared" si="60"/>
        <v>-7.7173178048092983E-2</v>
      </c>
      <c r="G295" s="19">
        <f>E295*G270/E270</f>
        <v>98.108980587201486</v>
      </c>
    </row>
    <row r="296" spans="1:7" ht="12.5">
      <c r="A296" s="5" t="s">
        <v>45</v>
      </c>
      <c r="B296" s="13">
        <v>20690.14</v>
      </c>
      <c r="C296" s="12">
        <v>1.2999999999999999E-2</v>
      </c>
      <c r="D296" s="20">
        <v>1993.18</v>
      </c>
      <c r="E296" s="13">
        <f t="shared" si="59"/>
        <v>880481.923743102</v>
      </c>
      <c r="F296" s="12">
        <f t="shared" si="60"/>
        <v>-5.6624538060550123E-2</v>
      </c>
      <c r="G296" s="19">
        <f>E296*G270/E270</f>
        <v>98.215625697314209</v>
      </c>
    </row>
    <row r="297" spans="1:7" ht="12.5">
      <c r="A297" s="16">
        <v>2017</v>
      </c>
      <c r="B297" s="16"/>
      <c r="C297" s="16"/>
      <c r="D297" s="17"/>
      <c r="E297" s="21"/>
      <c r="F297" s="18"/>
      <c r="G297" s="18"/>
    </row>
    <row r="298" spans="1:7" ht="12.5">
      <c r="A298" s="5" t="s">
        <v>47</v>
      </c>
      <c r="B298" s="13">
        <v>21048.21</v>
      </c>
      <c r="C298" s="12">
        <v>1.7000000000000001E-2</v>
      </c>
      <c r="D298" s="20">
        <v>2025.07</v>
      </c>
      <c r="E298" s="13">
        <f t="shared" ref="E298:E309" si="61">B298*D$389/D298</f>
        <v>881614.37705749983</v>
      </c>
      <c r="F298" s="12">
        <f t="shared" ref="F298:F309" si="62">E298/E285-1</f>
        <v>-1.7096463558826214E-2</v>
      </c>
      <c r="G298" s="19">
        <f>E298*G270/E270</f>
        <v>98.341948121258753</v>
      </c>
    </row>
    <row r="299" spans="1:7" ht="12.5">
      <c r="A299" s="5" t="s">
        <v>49</v>
      </c>
      <c r="B299" s="13">
        <v>21483.03</v>
      </c>
      <c r="C299" s="12">
        <v>2.1000000000000001E-2</v>
      </c>
      <c r="D299" s="20">
        <v>2067.6</v>
      </c>
      <c r="E299" s="13">
        <f t="shared" si="61"/>
        <v>881317.81112865231</v>
      </c>
      <c r="F299" s="12">
        <f t="shared" si="62"/>
        <v>-2.2290143401449414E-2</v>
      </c>
      <c r="G299" s="19">
        <f>E299*G270/E270</f>
        <v>98.308866910302768</v>
      </c>
    </row>
    <row r="300" spans="1:7" ht="12.5">
      <c r="A300" s="5" t="s">
        <v>50</v>
      </c>
      <c r="B300" s="13">
        <v>22285.48</v>
      </c>
      <c r="C300" s="12">
        <v>3.6999999999999998E-2</v>
      </c>
      <c r="D300" s="20">
        <v>2115.15</v>
      </c>
      <c r="E300" s="13">
        <f t="shared" si="61"/>
        <v>893684.76980272401</v>
      </c>
      <c r="F300" s="12">
        <f t="shared" si="62"/>
        <v>-3.1889518845776843E-3</v>
      </c>
      <c r="G300" s="19">
        <f>E300*G270/E270</f>
        <v>99.688371192438581</v>
      </c>
    </row>
    <row r="301" spans="1:7" ht="12.5">
      <c r="A301" s="5" t="s">
        <v>51</v>
      </c>
      <c r="B301" s="13">
        <v>22650.53</v>
      </c>
      <c r="C301" s="12">
        <v>1.6E-2</v>
      </c>
      <c r="D301" s="20">
        <v>2172.2600000000002</v>
      </c>
      <c r="E301" s="13">
        <f t="shared" si="61"/>
        <v>884443.50925340131</v>
      </c>
      <c r="F301" s="12">
        <f t="shared" si="62"/>
        <v>5.4503530254295107E-3</v>
      </c>
      <c r="G301" s="19">
        <f>E301*G270/E270</f>
        <v>98.657530964367695</v>
      </c>
    </row>
    <row r="302" spans="1:7" ht="12.5">
      <c r="A302" s="5" t="s">
        <v>52</v>
      </c>
      <c r="B302" s="13">
        <v>23029.98</v>
      </c>
      <c r="C302" s="12">
        <v>1.7000000000000001E-2</v>
      </c>
      <c r="D302" s="20">
        <v>2202.6799999999998</v>
      </c>
      <c r="E302" s="13">
        <f t="shared" si="61"/>
        <v>886840.84696280968</v>
      </c>
      <c r="F302" s="12">
        <f t="shared" si="62"/>
        <v>2.9960744505533432E-2</v>
      </c>
      <c r="G302" s="19">
        <f>E302*G270/E270</f>
        <v>98.924948178495541</v>
      </c>
    </row>
    <row r="303" spans="1:7" ht="12.5">
      <c r="A303" s="5" t="s">
        <v>53</v>
      </c>
      <c r="B303" s="13">
        <v>23469.98</v>
      </c>
      <c r="C303" s="12">
        <v>1.9E-2</v>
      </c>
      <c r="D303" s="20">
        <v>2229.11</v>
      </c>
      <c r="E303" s="13">
        <f t="shared" si="61"/>
        <v>893068.46654448775</v>
      </c>
      <c r="F303" s="12">
        <f t="shared" si="62"/>
        <v>5.5399001927718405E-2</v>
      </c>
      <c r="G303" s="19">
        <f>E303*G270/E270</f>
        <v>99.619624056927108</v>
      </c>
    </row>
    <row r="304" spans="1:7" ht="12.5">
      <c r="A304" s="5" t="s">
        <v>39</v>
      </c>
      <c r="B304" s="13">
        <v>24489.17</v>
      </c>
      <c r="C304" s="12">
        <v>4.2999999999999997E-2</v>
      </c>
      <c r="D304" s="20">
        <v>2269.23</v>
      </c>
      <c r="E304" s="13">
        <f t="shared" si="61"/>
        <v>915375.08044543921</v>
      </c>
      <c r="F304" s="12">
        <f t="shared" si="62"/>
        <v>6.2086265140680608E-2</v>
      </c>
      <c r="G304" s="19">
        <f>E304*G270/E270</f>
        <v>102.10787280161068</v>
      </c>
    </row>
    <row r="305" spans="1:7" ht="12.5">
      <c r="A305" s="5" t="s">
        <v>41</v>
      </c>
      <c r="B305" s="13">
        <v>24700.42</v>
      </c>
      <c r="C305" s="12">
        <v>8.9999999999999993E-3</v>
      </c>
      <c r="D305" s="20">
        <v>2301</v>
      </c>
      <c r="E305" s="13">
        <f t="shared" si="61"/>
        <v>910523.70105723431</v>
      </c>
      <c r="F305" s="12">
        <f t="shared" si="62"/>
        <v>4.5993359556368407E-2</v>
      </c>
      <c r="G305" s="19">
        <f>E305*G270/E270</f>
        <v>101.56671318293051</v>
      </c>
    </row>
    <row r="306" spans="1:7" ht="12.5">
      <c r="A306" s="5" t="s">
        <v>42</v>
      </c>
      <c r="B306" s="13">
        <v>25136.35</v>
      </c>
      <c r="C306" s="12">
        <v>1.7999999999999999E-2</v>
      </c>
      <c r="D306" s="20">
        <v>2344.7199999999998</v>
      </c>
      <c r="E306" s="13">
        <f t="shared" si="61"/>
        <v>909315.85315791739</v>
      </c>
      <c r="F306" s="12">
        <f t="shared" si="62"/>
        <v>3.1950367804627788E-2</v>
      </c>
      <c r="G306" s="19">
        <f>E306*G270/E270</f>
        <v>101.43198067567555</v>
      </c>
    </row>
    <row r="307" spans="1:7" ht="12.5">
      <c r="A307" s="5" t="s">
        <v>43</v>
      </c>
      <c r="B307" s="13">
        <v>25843.46</v>
      </c>
      <c r="C307" s="12">
        <v>2.8000000000000001E-2</v>
      </c>
      <c r="D307" s="20">
        <v>2379.89</v>
      </c>
      <c r="E307" s="13">
        <f t="shared" si="61"/>
        <v>921079.90910903411</v>
      </c>
      <c r="F307" s="12">
        <f t="shared" si="62"/>
        <v>4.8901020510121462E-2</v>
      </c>
      <c r="G307" s="19">
        <f>E307*G270/E270</f>
        <v>102.74423261954878</v>
      </c>
    </row>
    <row r="308" spans="1:7" ht="12.5">
      <c r="A308" s="5" t="s">
        <v>44</v>
      </c>
      <c r="B308" s="13">
        <v>26177.33</v>
      </c>
      <c r="C308" s="12">
        <v>1.2999999999999999E-2</v>
      </c>
      <c r="D308" s="20">
        <v>2413.21</v>
      </c>
      <c r="E308" s="13">
        <f t="shared" si="61"/>
        <v>920097.32338841329</v>
      </c>
      <c r="F308" s="12">
        <f t="shared" si="62"/>
        <v>4.6128773822330826E-2</v>
      </c>
      <c r="G308" s="19">
        <f>E308*G270/E270</f>
        <v>102.63462756264795</v>
      </c>
    </row>
    <row r="309" spans="1:7" ht="12.5">
      <c r="A309" s="5" t="s">
        <v>45</v>
      </c>
      <c r="B309" s="13">
        <v>26301.42</v>
      </c>
      <c r="C309" s="12">
        <v>5.0000000000000001E-3</v>
      </c>
      <c r="D309" s="20">
        <v>2488.02</v>
      </c>
      <c r="E309" s="13">
        <f t="shared" si="61"/>
        <v>896662.20658903313</v>
      </c>
      <c r="F309" s="12">
        <f t="shared" si="62"/>
        <v>1.8376621267981896E-2</v>
      </c>
      <c r="G309" s="19">
        <f>E309*G270/E270</f>
        <v>100.02049705335163</v>
      </c>
    </row>
    <row r="310" spans="1:7" ht="12.5">
      <c r="A310" s="16">
        <v>2018</v>
      </c>
      <c r="B310" s="16"/>
      <c r="C310" s="16"/>
      <c r="D310" s="17"/>
      <c r="E310" s="21"/>
      <c r="F310" s="18"/>
      <c r="G310" s="18"/>
    </row>
    <row r="311" spans="1:7" ht="12.5">
      <c r="A311" s="5" t="s">
        <v>47</v>
      </c>
      <c r="B311" s="13">
        <v>26929.81</v>
      </c>
      <c r="C311" s="12">
        <v>2.4E-2</v>
      </c>
      <c r="D311" s="20">
        <v>2532.8000000000002</v>
      </c>
      <c r="E311" s="13">
        <f t="shared" ref="E311:E322" si="63">B311*D$389/D311</f>
        <v>901853.35972985113</v>
      </c>
      <c r="F311" s="12">
        <f t="shared" ref="F311:F322" si="64">E311/E298-1</f>
        <v>2.2956729380822383E-2</v>
      </c>
      <c r="G311" s="19">
        <f>E311*G270/E270</f>
        <v>100.59955761106136</v>
      </c>
    </row>
    <row r="312" spans="1:7" ht="12.5">
      <c r="A312" s="5" t="s">
        <v>49</v>
      </c>
      <c r="B312" s="13">
        <v>27440.22</v>
      </c>
      <c r="C312" s="12">
        <v>1.9E-2</v>
      </c>
      <c r="D312" s="20">
        <v>2593.59</v>
      </c>
      <c r="E312" s="13">
        <f t="shared" si="63"/>
        <v>897407.72089356754</v>
      </c>
      <c r="F312" s="12">
        <f t="shared" si="64"/>
        <v>1.8256648806756592E-2</v>
      </c>
      <c r="G312" s="19">
        <f>E312*G270/E270</f>
        <v>100.10365736807435</v>
      </c>
    </row>
    <row r="313" spans="1:7" ht="12.5">
      <c r="A313" s="5" t="s">
        <v>50</v>
      </c>
      <c r="B313" s="13">
        <v>28072.31</v>
      </c>
      <c r="C313" s="12">
        <v>2.3E-2</v>
      </c>
      <c r="D313" s="20">
        <v>2653.24</v>
      </c>
      <c r="E313" s="13">
        <f t="shared" si="63"/>
        <v>897439.43816805864</v>
      </c>
      <c r="F313" s="12">
        <f t="shared" si="64"/>
        <v>4.2013341753193156E-3</v>
      </c>
      <c r="G313" s="19">
        <f>E313*G270/E270</f>
        <v>100.10719535321131</v>
      </c>
    </row>
    <row r="314" spans="1:7" ht="12.5">
      <c r="A314" s="5" t="s">
        <v>51</v>
      </c>
      <c r="B314" s="13">
        <v>28858.05</v>
      </c>
      <c r="C314" s="12">
        <v>2.8000000000000001E-2</v>
      </c>
      <c r="D314" s="20">
        <v>2724.88</v>
      </c>
      <c r="E314" s="13">
        <f t="shared" si="63"/>
        <v>898303.59138473694</v>
      </c>
      <c r="F314" s="12">
        <f t="shared" si="64"/>
        <v>1.5670963703533269E-2</v>
      </c>
      <c r="G314" s="19">
        <f>E314*G270/E270</f>
        <v>100.2035895511905</v>
      </c>
    </row>
    <row r="315" spans="1:7" ht="12.5">
      <c r="A315" s="5" t="s">
        <v>52</v>
      </c>
      <c r="B315" s="13">
        <v>29338.79</v>
      </c>
      <c r="C315" s="12">
        <v>1.7000000000000001E-2</v>
      </c>
      <c r="D315" s="20">
        <v>2782.1</v>
      </c>
      <c r="E315" s="13">
        <f t="shared" si="63"/>
        <v>894484.86807684763</v>
      </c>
      <c r="F315" s="12">
        <f t="shared" si="64"/>
        <v>8.6193832187777542E-3</v>
      </c>
      <c r="G315" s="19">
        <f>E315*G270/E270</f>
        <v>99.777620216743728</v>
      </c>
    </row>
    <row r="316" spans="1:7" ht="12.5">
      <c r="A316" s="5" t="s">
        <v>53</v>
      </c>
      <c r="B316" s="13">
        <v>29598.12</v>
      </c>
      <c r="C316" s="12">
        <v>8.9999999999999993E-3</v>
      </c>
      <c r="D316" s="20">
        <v>2885.04</v>
      </c>
      <c r="E316" s="13">
        <f t="shared" si="63"/>
        <v>870193.47699674114</v>
      </c>
      <c r="F316" s="12">
        <f t="shared" si="64"/>
        <v>-2.5613925924689585E-2</v>
      </c>
      <c r="G316" s="19">
        <f>E316*G270/E270</f>
        <v>97.067974385687563</v>
      </c>
    </row>
    <row r="317" spans="1:7" ht="12.5">
      <c r="A317" s="5" t="s">
        <v>39</v>
      </c>
      <c r="B317" s="13">
        <v>30283.84</v>
      </c>
      <c r="C317" s="12">
        <v>2.3E-2</v>
      </c>
      <c r="D317" s="20">
        <v>2974.48</v>
      </c>
      <c r="E317" s="13">
        <f t="shared" si="63"/>
        <v>863581.68982200755</v>
      </c>
      <c r="F317" s="12">
        <f t="shared" si="64"/>
        <v>-5.6581604338877156E-2</v>
      </c>
      <c r="G317" s="19">
        <f>E317*G270/E270</f>
        <v>96.330445542865561</v>
      </c>
    </row>
    <row r="318" spans="1:7" ht="12.5">
      <c r="A318" s="5" t="s">
        <v>41</v>
      </c>
      <c r="B318" s="13">
        <v>30978.75</v>
      </c>
      <c r="C318" s="12">
        <v>2.3E-2</v>
      </c>
      <c r="D318" s="20">
        <v>3090.48</v>
      </c>
      <c r="E318" s="13">
        <f t="shared" si="63"/>
        <v>850239.91284962266</v>
      </c>
      <c r="F318" s="12">
        <f t="shared" si="64"/>
        <v>-6.6207818794408624E-2</v>
      </c>
      <c r="G318" s="19">
        <f>E318*G270/E270</f>
        <v>94.842202640971379</v>
      </c>
    </row>
    <row r="319" spans="1:7" ht="12.5">
      <c r="A319" s="5" t="s">
        <v>42</v>
      </c>
      <c r="B319" s="13">
        <v>31523.56</v>
      </c>
      <c r="C319" s="12">
        <v>1.7999999999999999E-2</v>
      </c>
      <c r="D319" s="20">
        <v>3291.36</v>
      </c>
      <c r="E319" s="13">
        <f t="shared" si="63"/>
        <v>812387.82465689571</v>
      </c>
      <c r="F319" s="12">
        <f t="shared" si="64"/>
        <v>-0.10659445578167936</v>
      </c>
      <c r="G319" s="19">
        <f>E319*G270/E270</f>
        <v>90.61989389669408</v>
      </c>
    </row>
    <row r="320" spans="1:7" ht="12.5">
      <c r="A320" s="5" t="s">
        <v>43</v>
      </c>
      <c r="B320" s="13">
        <v>33154.28</v>
      </c>
      <c r="C320" s="12">
        <v>5.1999999999999998E-2</v>
      </c>
      <c r="D320" s="20">
        <v>3469.1</v>
      </c>
      <c r="E320" s="13">
        <f t="shared" si="63"/>
        <v>810636.80454398377</v>
      </c>
      <c r="F320" s="12">
        <f t="shared" si="64"/>
        <v>-0.11990610529316892</v>
      </c>
      <c r="G320" s="19">
        <f>E320*G270/E270</f>
        <v>90.424571844803324</v>
      </c>
    </row>
    <row r="321" spans="1:7" ht="12.5">
      <c r="A321" s="5" t="s">
        <v>44</v>
      </c>
      <c r="B321" s="13">
        <v>33733.800000000003</v>
      </c>
      <c r="C321" s="12">
        <v>1.7000000000000001E-2</v>
      </c>
      <c r="D321" s="20">
        <v>3580.11</v>
      </c>
      <c r="E321" s="13">
        <f t="shared" si="63"/>
        <v>799231.20274302096</v>
      </c>
      <c r="F321" s="12">
        <f t="shared" si="64"/>
        <v>-0.13136232175992268</v>
      </c>
      <c r="G321" s="19">
        <f>E321*G270/E270</f>
        <v>89.152304593053572</v>
      </c>
    </row>
    <row r="322" spans="1:7" ht="12.5">
      <c r="A322" s="5" t="s">
        <v>45</v>
      </c>
      <c r="B322" s="13">
        <v>34339.61</v>
      </c>
      <c r="C322" s="12">
        <v>1.7999999999999999E-2</v>
      </c>
      <c r="D322" s="20">
        <v>3673.19</v>
      </c>
      <c r="E322" s="13">
        <f t="shared" si="63"/>
        <v>792967.7061922166</v>
      </c>
      <c r="F322" s="12">
        <f t="shared" si="64"/>
        <v>-0.11564499946002826</v>
      </c>
      <c r="G322" s="19">
        <f>E322*G270/E270</f>
        <v>88.453626725625014</v>
      </c>
    </row>
    <row r="323" spans="1:7" ht="12.5">
      <c r="A323" s="16">
        <v>2019</v>
      </c>
      <c r="B323" s="16"/>
      <c r="C323" s="16"/>
      <c r="D323" s="17"/>
      <c r="E323" s="21"/>
      <c r="F323" s="18"/>
      <c r="G323" s="18"/>
    </row>
    <row r="324" spans="1:7" ht="12.5">
      <c r="A324" s="5" t="s">
        <v>47</v>
      </c>
      <c r="B324" s="13">
        <v>35362.230000000003</v>
      </c>
      <c r="C324" s="12">
        <v>0.03</v>
      </c>
      <c r="D324" s="20">
        <v>3779.94</v>
      </c>
      <c r="E324" s="13">
        <f t="shared" ref="E324:E335" si="65">B324*D$389/D324</f>
        <v>793520.72497901681</v>
      </c>
      <c r="F324" s="12">
        <f t="shared" ref="F324:F335" si="66">E324/E311-1</f>
        <v>-0.12012222783456195</v>
      </c>
      <c r="G324" s="19">
        <f>E324*G270/E270</f>
        <v>88.515314631649304</v>
      </c>
    </row>
    <row r="325" spans="1:7" ht="12.5">
      <c r="A325" s="5" t="s">
        <v>49</v>
      </c>
      <c r="B325" s="13">
        <v>36733.68</v>
      </c>
      <c r="C325" s="12">
        <v>3.9E-2</v>
      </c>
      <c r="D325" s="20">
        <v>3922.28</v>
      </c>
      <c r="E325" s="13">
        <f t="shared" si="65"/>
        <v>794381.97403592977</v>
      </c>
      <c r="F325" s="12">
        <f t="shared" si="66"/>
        <v>-0.11480372238724768</v>
      </c>
      <c r="G325" s="19">
        <f>E325*G270/E270</f>
        <v>88.611384877641783</v>
      </c>
    </row>
    <row r="326" spans="1:7" ht="12.5">
      <c r="A326" s="5" t="s">
        <v>50</v>
      </c>
      <c r="B326" s="13">
        <v>38884.43</v>
      </c>
      <c r="C326" s="12">
        <v>5.8999999999999997E-2</v>
      </c>
      <c r="D326" s="20">
        <v>4105.82</v>
      </c>
      <c r="E326" s="13">
        <f t="shared" si="65"/>
        <v>803302.95941080584</v>
      </c>
      <c r="F326" s="12">
        <f t="shared" si="66"/>
        <v>-0.10489451962286545</v>
      </c>
      <c r="G326" s="19">
        <f>E326*G270/E270</f>
        <v>89.606499185843845</v>
      </c>
    </row>
    <row r="327" spans="1:7" ht="12.5">
      <c r="A327" s="5" t="s">
        <v>51</v>
      </c>
      <c r="B327" s="13">
        <v>39658.15</v>
      </c>
      <c r="C327" s="12">
        <v>0.02</v>
      </c>
      <c r="D327" s="20">
        <v>4247.25</v>
      </c>
      <c r="E327" s="13">
        <f t="shared" si="65"/>
        <v>792005.43486005068</v>
      </c>
      <c r="F327" s="12">
        <f t="shared" si="66"/>
        <v>-0.11833210681127015</v>
      </c>
      <c r="G327" s="19">
        <f>E327*G270/E270</f>
        <v>88.346287689546358</v>
      </c>
    </row>
    <row r="328" spans="1:7" ht="12.5">
      <c r="A328" s="5" t="s">
        <v>52</v>
      </c>
      <c r="B328" s="13">
        <v>40911.089999999997</v>
      </c>
      <c r="C328" s="12">
        <v>3.2000000000000001E-2</v>
      </c>
      <c r="D328" s="20">
        <v>4377.18</v>
      </c>
      <c r="E328" s="13">
        <f t="shared" si="65"/>
        <v>792775.42688009352</v>
      </c>
      <c r="F328" s="12">
        <f t="shared" si="66"/>
        <v>-0.11370727982847884</v>
      </c>
      <c r="G328" s="19">
        <f>E328*G270/E270</f>
        <v>88.432178434138763</v>
      </c>
    </row>
    <row r="329" spans="1:7" ht="12.5">
      <c r="A329" s="5" t="s">
        <v>53</v>
      </c>
      <c r="B329" s="13">
        <v>41584.199999999997</v>
      </c>
      <c r="C329" s="12">
        <v>1.6E-2</v>
      </c>
      <c r="D329" s="20">
        <v>4496.1499999999996</v>
      </c>
      <c r="E329" s="13">
        <f t="shared" si="65"/>
        <v>784496.65285298717</v>
      </c>
      <c r="F329" s="12">
        <f t="shared" si="66"/>
        <v>-9.8480195966896389E-2</v>
      </c>
      <c r="G329" s="19">
        <f>E329*G270/E270</f>
        <v>87.508701246075375</v>
      </c>
    </row>
    <row r="330" spans="1:7" ht="12.5">
      <c r="A330" s="5" t="s">
        <v>39</v>
      </c>
      <c r="B330" s="13">
        <v>43290.96</v>
      </c>
      <c r="C330" s="12">
        <v>4.1000000000000002E-2</v>
      </c>
      <c r="D330" s="20">
        <v>4594.97</v>
      </c>
      <c r="E330" s="13">
        <f t="shared" si="65"/>
        <v>799131.17274662107</v>
      </c>
      <c r="F330" s="12">
        <f t="shared" si="66"/>
        <v>-7.4631639177841214E-2</v>
      </c>
      <c r="G330" s="19">
        <f>E330*G270/E270</f>
        <v>89.14114648926973</v>
      </c>
    </row>
    <row r="331" spans="1:7" ht="12.5">
      <c r="A331" s="5" t="s">
        <v>41</v>
      </c>
      <c r="B331" s="13">
        <v>44092.81</v>
      </c>
      <c r="C331" s="12">
        <v>1.9E-2</v>
      </c>
      <c r="D331" s="20">
        <v>4776.66</v>
      </c>
      <c r="E331" s="13">
        <f t="shared" si="65"/>
        <v>782973.35518477205</v>
      </c>
      <c r="F331" s="12">
        <f t="shared" si="66"/>
        <v>-7.911479648068187E-2</v>
      </c>
      <c r="G331" s="19">
        <f>E331*G270/E270</f>
        <v>87.338781081251341</v>
      </c>
    </row>
    <row r="332" spans="1:7" ht="12.5">
      <c r="A332" s="5" t="s">
        <v>42</v>
      </c>
      <c r="B332" s="13">
        <v>45485.23</v>
      </c>
      <c r="C332" s="12">
        <v>3.2000000000000001E-2</v>
      </c>
      <c r="D332" s="20">
        <v>5057.8</v>
      </c>
      <c r="E332" s="13">
        <f t="shared" si="65"/>
        <v>762802.80036680785</v>
      </c>
      <c r="F332" s="12">
        <f t="shared" si="66"/>
        <v>-6.1036148973588555E-2</v>
      </c>
      <c r="G332" s="19">
        <f>E332*G270/E270</f>
        <v>85.088804552844678</v>
      </c>
    </row>
    <row r="333" spans="1:7" ht="12.5">
      <c r="A333" s="5" t="s">
        <v>43</v>
      </c>
      <c r="B333" s="13">
        <v>47834.32</v>
      </c>
      <c r="C333" s="12">
        <v>5.1999999999999998E-2</v>
      </c>
      <c r="D333" s="20">
        <v>5224.38</v>
      </c>
      <c r="E333" s="13">
        <f t="shared" si="65"/>
        <v>776619.66285633575</v>
      </c>
      <c r="F333" s="12">
        <f t="shared" si="66"/>
        <v>-4.1963480435340039E-2</v>
      </c>
      <c r="G333" s="19">
        <f>E333*G270/E270</f>
        <v>86.630042093319929</v>
      </c>
    </row>
    <row r="334" spans="1:7" ht="12.5">
      <c r="A334" s="5" t="s">
        <v>44</v>
      </c>
      <c r="B334" s="13">
        <v>48591.6</v>
      </c>
      <c r="C334" s="12">
        <v>1.6E-2</v>
      </c>
      <c r="D334" s="20">
        <v>5446.65</v>
      </c>
      <c r="E334" s="13">
        <f t="shared" si="65"/>
        <v>756720.09453907027</v>
      </c>
      <c r="F334" s="12">
        <f t="shared" si="66"/>
        <v>-5.3190000663199122E-2</v>
      </c>
      <c r="G334" s="19">
        <f>E334*G270/E270</f>
        <v>84.410293452623321</v>
      </c>
    </row>
    <row r="335" spans="1:7" ht="12.5">
      <c r="A335" s="5" t="s">
        <v>45</v>
      </c>
      <c r="B335" s="13">
        <v>49574.33</v>
      </c>
      <c r="C335" s="12">
        <v>0.02</v>
      </c>
      <c r="D335" s="20">
        <v>5650.56</v>
      </c>
      <c r="E335" s="13">
        <f t="shared" si="65"/>
        <v>744164.4142441611</v>
      </c>
      <c r="F335" s="12">
        <f t="shared" si="66"/>
        <v>-6.1545119135312576E-2</v>
      </c>
      <c r="G335" s="19">
        <f>E335*G270/E270</f>
        <v>83.009737730845956</v>
      </c>
    </row>
    <row r="336" spans="1:7" ht="12.5">
      <c r="A336" s="16">
        <v>2020</v>
      </c>
      <c r="B336" s="16"/>
      <c r="C336" s="16"/>
      <c r="D336" s="17"/>
      <c r="E336" s="21"/>
      <c r="F336" s="18"/>
      <c r="G336" s="18"/>
    </row>
    <row r="337" spans="1:8" ht="12.5">
      <c r="A337" s="5" t="s">
        <v>47</v>
      </c>
      <c r="B337" s="13">
        <v>53070.21</v>
      </c>
      <c r="C337" s="12">
        <v>7.0999999999999994E-2</v>
      </c>
      <c r="D337" s="20">
        <v>5777.86</v>
      </c>
      <c r="E337" s="13">
        <f t="shared" ref="E337:E348" si="67">B337*D$389/D337</f>
        <v>779089.45711810677</v>
      </c>
      <c r="F337" s="12">
        <f t="shared" ref="F337:F348" si="68">E337/E324-1</f>
        <v>-1.8186378007066684E-2</v>
      </c>
      <c r="G337" s="19">
        <f>E337*G270/E270</f>
        <v>86.905541660343687</v>
      </c>
      <c r="H337" s="13">
        <f>AVERAGE(B337:B348)</f>
        <v>59918.382500000007</v>
      </c>
    </row>
    <row r="338" spans="1:8" ht="12.5">
      <c r="A338" s="5" t="s">
        <v>49</v>
      </c>
      <c r="B338" s="13">
        <v>56386.47</v>
      </c>
      <c r="C338" s="12">
        <v>6.2E-2</v>
      </c>
      <c r="D338" s="20">
        <v>5894.2</v>
      </c>
      <c r="E338" s="13">
        <f t="shared" si="67"/>
        <v>811434.69778167317</v>
      </c>
      <c r="F338" s="12">
        <f t="shared" si="68"/>
        <v>2.1466654963361531E-2</v>
      </c>
      <c r="G338" s="19">
        <f>E338*G270/E270</f>
        <v>90.513574902635767</v>
      </c>
    </row>
    <row r="339" spans="1:8" ht="12.5">
      <c r="A339" s="5" t="s">
        <v>50</v>
      </c>
      <c r="B339" s="13">
        <v>56872.86</v>
      </c>
      <c r="C339" s="12">
        <v>8.9999999999999993E-3</v>
      </c>
      <c r="D339" s="20">
        <v>6091.27</v>
      </c>
      <c r="E339" s="13">
        <f t="shared" si="67"/>
        <v>791955.45360189246</v>
      </c>
      <c r="F339" s="12">
        <f t="shared" si="68"/>
        <v>-1.4126060007592089E-2</v>
      </c>
      <c r="G339" s="19">
        <f>E339*G270/E270</f>
        <v>88.340712401274359</v>
      </c>
    </row>
    <row r="340" spans="1:8" ht="12.5">
      <c r="A340" s="5" t="s">
        <v>51</v>
      </c>
      <c r="B340" s="13">
        <v>56955.63</v>
      </c>
      <c r="C340" s="12">
        <v>1E-3</v>
      </c>
      <c r="D340" s="20">
        <v>6182.43</v>
      </c>
      <c r="E340" s="13">
        <f t="shared" si="67"/>
        <v>781413.64033481595</v>
      </c>
      <c r="F340" s="12">
        <f t="shared" si="68"/>
        <v>-1.3373386165091539E-2</v>
      </c>
      <c r="G340" s="19">
        <f>E340*G270/E270</f>
        <v>87.164798668021788</v>
      </c>
    </row>
    <row r="341" spans="1:8" ht="12.5">
      <c r="A341" s="5" t="s">
        <v>52</v>
      </c>
      <c r="B341" s="13">
        <v>57057.9</v>
      </c>
      <c r="C341" s="12">
        <v>2E-3</v>
      </c>
      <c r="D341" s="20">
        <v>6277.81</v>
      </c>
      <c r="E341" s="13">
        <f t="shared" si="67"/>
        <v>770923.26448718691</v>
      </c>
      <c r="F341" s="12">
        <f t="shared" si="68"/>
        <v>-2.7564126803102496E-2</v>
      </c>
      <c r="G341" s="19">
        <f>E341*G270/E270</f>
        <v>85.994622654305587</v>
      </c>
    </row>
    <row r="342" spans="1:8" ht="12.5">
      <c r="A342" s="5" t="s">
        <v>53</v>
      </c>
      <c r="B342" s="13">
        <v>58361.93</v>
      </c>
      <c r="C342" s="12">
        <v>2.3E-2</v>
      </c>
      <c r="D342" s="20">
        <v>6418.65</v>
      </c>
      <c r="E342" s="13">
        <f t="shared" si="67"/>
        <v>771239.89393614465</v>
      </c>
      <c r="F342" s="12">
        <f t="shared" si="68"/>
        <v>-1.6898426358648577E-2</v>
      </c>
      <c r="G342" s="19">
        <f>E342*G270/E270</f>
        <v>86.029941902327593</v>
      </c>
    </row>
    <row r="343" spans="1:8" ht="12.5">
      <c r="A343" s="5" t="s">
        <v>39</v>
      </c>
      <c r="B343" s="13">
        <v>60440.53</v>
      </c>
      <c r="C343" s="12">
        <v>3.5999999999999997E-2</v>
      </c>
      <c r="D343" s="20">
        <v>6542.8</v>
      </c>
      <c r="E343" s="13">
        <f t="shared" si="67"/>
        <v>783552.59761446412</v>
      </c>
      <c r="F343" s="12">
        <f t="shared" si="68"/>
        <v>-1.9494390487375446E-2</v>
      </c>
      <c r="G343" s="19">
        <f>E343*G270/E270</f>
        <v>87.403394171115565</v>
      </c>
    </row>
    <row r="344" spans="1:8" ht="12.5">
      <c r="A344" s="5" t="s">
        <v>41</v>
      </c>
      <c r="B344" s="13">
        <v>60767.23</v>
      </c>
      <c r="C344" s="12">
        <v>5.0000000000000001E-3</v>
      </c>
      <c r="D344" s="20">
        <v>6719.46</v>
      </c>
      <c r="E344" s="13">
        <f t="shared" si="67"/>
        <v>767076.36711582344</v>
      </c>
      <c r="F344" s="12">
        <f t="shared" si="68"/>
        <v>-2.0303357660487853E-2</v>
      </c>
      <c r="G344" s="19">
        <f>E344*G270/E270</f>
        <v>85.56551057132765</v>
      </c>
    </row>
    <row r="345" spans="1:8" ht="12.5">
      <c r="A345" s="5" t="s">
        <v>42</v>
      </c>
      <c r="B345" s="13">
        <v>61909.95</v>
      </c>
      <c r="C345" s="12">
        <v>1.9E-2</v>
      </c>
      <c r="D345" s="20">
        <v>6909.99</v>
      </c>
      <c r="E345" s="13">
        <f t="shared" si="67"/>
        <v>759952.71365192696</v>
      </c>
      <c r="F345" s="12">
        <f t="shared" si="68"/>
        <v>-3.7363348869594581E-3</v>
      </c>
      <c r="G345" s="19">
        <f>E345*G270/E270</f>
        <v>84.770884283904209</v>
      </c>
    </row>
    <row r="346" spans="1:8" ht="12.5">
      <c r="A346" s="5" t="s">
        <v>43</v>
      </c>
      <c r="B346" s="13">
        <v>64756.23</v>
      </c>
      <c r="C346" s="12">
        <v>4.5999999999999999E-2</v>
      </c>
      <c r="D346" s="20">
        <v>7169.87</v>
      </c>
      <c r="E346" s="13">
        <f t="shared" si="67"/>
        <v>766079.44769622013</v>
      </c>
      <c r="F346" s="12">
        <f t="shared" si="68"/>
        <v>-1.3571913852077455E-2</v>
      </c>
      <c r="G346" s="19">
        <f>E346*G270/E270</f>
        <v>85.454306625027542</v>
      </c>
    </row>
    <row r="347" spans="1:8" ht="12.5">
      <c r="A347" s="5" t="s">
        <v>44</v>
      </c>
      <c r="B347" s="13">
        <v>65571.77</v>
      </c>
      <c r="C347" s="12">
        <v>1.2999999999999999E-2</v>
      </c>
      <c r="D347" s="20">
        <v>7396.42</v>
      </c>
      <c r="E347" s="13">
        <f t="shared" si="67"/>
        <v>751967.16674814152</v>
      </c>
      <c r="F347" s="12">
        <f t="shared" si="68"/>
        <v>-6.2809588713562681E-3</v>
      </c>
      <c r="G347" s="19">
        <f>E347*G270/E270</f>
        <v>83.880115871128268</v>
      </c>
    </row>
    <row r="348" spans="1:8" ht="12.5">
      <c r="A348" s="5" t="s">
        <v>45</v>
      </c>
      <c r="B348" s="13">
        <v>66869.88</v>
      </c>
      <c r="C348" s="12">
        <v>0.02</v>
      </c>
      <c r="D348" s="20">
        <v>7692.69</v>
      </c>
      <c r="E348" s="13">
        <f t="shared" si="67"/>
        <v>737319.71744236886</v>
      </c>
      <c r="F348" s="12">
        <f t="shared" si="68"/>
        <v>-9.1978286931985176E-3</v>
      </c>
      <c r="G348" s="19">
        <f>E348*G270/E270</f>
        <v>82.246228383330291</v>
      </c>
    </row>
    <row r="349" spans="1:8" ht="12.5">
      <c r="A349" s="16">
        <v>2021</v>
      </c>
      <c r="B349" s="16"/>
      <c r="C349" s="16"/>
      <c r="D349" s="17"/>
      <c r="E349" s="21"/>
      <c r="F349" s="18"/>
      <c r="G349" s="18"/>
    </row>
    <row r="350" spans="1:8" ht="12.5">
      <c r="A350" s="5" t="s">
        <v>47</v>
      </c>
      <c r="B350" s="13">
        <v>68100.73</v>
      </c>
      <c r="C350" s="12">
        <v>1.7999999999999999E-2</v>
      </c>
      <c r="D350" s="20">
        <v>8004.17</v>
      </c>
      <c r="E350" s="13">
        <f t="shared" ref="E350:E361" si="69">B350*D$389/D350</f>
        <v>721670.57677026535</v>
      </c>
      <c r="F350" s="12">
        <f t="shared" ref="F350:F361" si="70">E350/E337-1</f>
        <v>-7.3699983773669486E-2</v>
      </c>
      <c r="G350" s="19">
        <f>E350*G270/E270</f>
        <v>80.500604650134406</v>
      </c>
      <c r="H350" s="13">
        <f>AVERAGE(B350:B361)</f>
        <v>86347.825833333321</v>
      </c>
    </row>
    <row r="351" spans="1:8" ht="12.5">
      <c r="A351" s="5" t="s">
        <v>49</v>
      </c>
      <c r="B351" s="13">
        <v>72293.399999999994</v>
      </c>
      <c r="C351" s="12">
        <v>6.2E-2</v>
      </c>
      <c r="D351" s="20">
        <v>8292.32</v>
      </c>
      <c r="E351" s="13">
        <f t="shared" si="69"/>
        <v>739479.4898503758</v>
      </c>
      <c r="F351" s="12">
        <f t="shared" si="70"/>
        <v>-8.8676523357961945E-2</v>
      </c>
      <c r="G351" s="19">
        <f>E351*G270/E270</f>
        <v>82.487145763569529</v>
      </c>
    </row>
    <row r="352" spans="1:8" ht="12.5">
      <c r="A352" s="5" t="s">
        <v>50</v>
      </c>
      <c r="B352" s="13">
        <v>75809.13</v>
      </c>
      <c r="C352" s="12">
        <v>4.9000000000000002E-2</v>
      </c>
      <c r="D352" s="20">
        <v>8690.35</v>
      </c>
      <c r="E352" s="13">
        <f t="shared" si="69"/>
        <v>739925.13521902321</v>
      </c>
      <c r="F352" s="12">
        <f t="shared" si="70"/>
        <v>-6.5698541687199907E-2</v>
      </c>
      <c r="G352" s="19">
        <f>E352*G270/E270</f>
        <v>82.536856424902297</v>
      </c>
    </row>
    <row r="353" spans="1:8" ht="12.5">
      <c r="A353" s="5" t="s">
        <v>51</v>
      </c>
      <c r="B353" s="13">
        <v>80501.97</v>
      </c>
      <c r="C353" s="12">
        <v>6.2E-2</v>
      </c>
      <c r="D353" s="20">
        <v>9046.65</v>
      </c>
      <c r="E353" s="13">
        <f t="shared" si="69"/>
        <v>754783.25298681215</v>
      </c>
      <c r="F353" s="12">
        <f t="shared" si="70"/>
        <v>-3.4079757472103234E-2</v>
      </c>
      <c r="G353" s="19">
        <f>E353*G270/E270</f>
        <v>84.194243469310891</v>
      </c>
    </row>
    <row r="354" spans="1:8" ht="12.5">
      <c r="A354" s="5" t="s">
        <v>52</v>
      </c>
      <c r="B354" s="13">
        <v>81464.509999999995</v>
      </c>
      <c r="C354" s="12">
        <v>1.2E-2</v>
      </c>
      <c r="D354" s="20">
        <v>9345.19</v>
      </c>
      <c r="E354" s="13">
        <f t="shared" si="69"/>
        <v>739407.49719288538</v>
      </c>
      <c r="F354" s="12">
        <f t="shared" si="70"/>
        <v>-4.0880550303882157E-2</v>
      </c>
      <c r="G354" s="19">
        <f>E354*G270/E270</f>
        <v>82.479115157022875</v>
      </c>
    </row>
    <row r="355" spans="1:8" ht="12.5">
      <c r="A355" s="5" t="s">
        <v>53</v>
      </c>
      <c r="B355" s="13">
        <v>84513.57</v>
      </c>
      <c r="C355" s="12">
        <v>3.6999999999999998E-2</v>
      </c>
      <c r="D355" s="20">
        <v>9644.24</v>
      </c>
      <c r="E355" s="13">
        <f t="shared" si="69"/>
        <v>743296.30481588782</v>
      </c>
      <c r="F355" s="12">
        <f t="shared" si="70"/>
        <v>-3.6232032782487877E-2</v>
      </c>
      <c r="G355" s="19">
        <f>E355*G270/E270</f>
        <v>82.912902227046928</v>
      </c>
    </row>
    <row r="356" spans="1:8" ht="12.5">
      <c r="A356" s="5" t="s">
        <v>39</v>
      </c>
      <c r="B356" s="13">
        <v>88274.02</v>
      </c>
      <c r="C356" s="12">
        <v>4.3999999999999997E-2</v>
      </c>
      <c r="D356" s="20">
        <v>9933.57</v>
      </c>
      <c r="E356" s="13">
        <f t="shared" si="69"/>
        <v>753756.52383780398</v>
      </c>
      <c r="F356" s="12">
        <f t="shared" si="70"/>
        <v>-3.8026896812510924E-2</v>
      </c>
      <c r="G356" s="19">
        <f>E356*G270/E270</f>
        <v>84.079714319907339</v>
      </c>
    </row>
    <row r="357" spans="1:8" ht="12.5">
      <c r="A357" s="5" t="s">
        <v>41</v>
      </c>
      <c r="B357" s="13">
        <v>90340.08</v>
      </c>
      <c r="C357" s="12">
        <v>2.3E-2</v>
      </c>
      <c r="D357" s="20">
        <v>10181.91</v>
      </c>
      <c r="E357" s="13">
        <f t="shared" si="69"/>
        <v>752583.60437845683</v>
      </c>
      <c r="F357" s="12">
        <f t="shared" si="70"/>
        <v>-1.8893507033541979E-2</v>
      </c>
      <c r="G357" s="19">
        <f>E357*G270/E270</f>
        <v>83.948877995519652</v>
      </c>
    </row>
    <row r="358" spans="1:8" ht="12.5">
      <c r="A358" s="5" t="s">
        <v>42</v>
      </c>
      <c r="B358" s="13">
        <v>94157.71</v>
      </c>
      <c r="C358" s="12">
        <v>4.2000000000000003E-2</v>
      </c>
      <c r="D358" s="20">
        <v>10538.27</v>
      </c>
      <c r="E358" s="13">
        <f t="shared" si="69"/>
        <v>757861.94806411455</v>
      </c>
      <c r="F358" s="12">
        <f t="shared" si="70"/>
        <v>-2.7511785276287393E-3</v>
      </c>
      <c r="G358" s="19">
        <f>E358*G270/E270</f>
        <v>84.537664447294233</v>
      </c>
      <c r="H358" s="12"/>
    </row>
    <row r="359" spans="1:8" ht="12.5">
      <c r="A359" s="5" t="s">
        <v>43</v>
      </c>
      <c r="B359" s="13">
        <v>97538.78</v>
      </c>
      <c r="C359" s="12">
        <v>3.5999999999999997E-2</v>
      </c>
      <c r="D359" s="20">
        <v>10907.11</v>
      </c>
      <c r="E359" s="13">
        <f t="shared" si="69"/>
        <v>758527.2053974244</v>
      </c>
      <c r="F359" s="12">
        <f t="shared" si="70"/>
        <v>-9.8583016702863402E-3</v>
      </c>
      <c r="G359" s="19">
        <f>E359*G270/E270</f>
        <v>84.611872291292869</v>
      </c>
    </row>
    <row r="360" spans="1:8" ht="12.5">
      <c r="A360" s="5" t="s">
        <v>44</v>
      </c>
      <c r="B360" s="13">
        <v>100590.14</v>
      </c>
      <c r="C360" s="12">
        <v>3.1E-2</v>
      </c>
      <c r="D360" s="20">
        <v>11179.79</v>
      </c>
      <c r="E360" s="13">
        <f t="shared" si="69"/>
        <v>763177.0508832573</v>
      </c>
      <c r="F360" s="12">
        <f t="shared" si="70"/>
        <v>1.490741169404064E-2</v>
      </c>
      <c r="G360" s="19">
        <f>E360*G270/E270</f>
        <v>85.130551291363005</v>
      </c>
    </row>
    <row r="361" spans="1:8" ht="12.5">
      <c r="A361" s="5" t="s">
        <v>45</v>
      </c>
      <c r="B361" s="13">
        <v>102589.87</v>
      </c>
      <c r="C361" s="12">
        <v>0.02</v>
      </c>
      <c r="D361" s="20">
        <v>11604.62</v>
      </c>
      <c r="E361" s="13">
        <f t="shared" si="69"/>
        <v>749854.65423353342</v>
      </c>
      <c r="F361" s="12">
        <f t="shared" si="70"/>
        <v>1.7000680294629866E-2</v>
      </c>
      <c r="G361" s="19">
        <f>E361*G270/E270</f>
        <v>83.64447021751441</v>
      </c>
    </row>
    <row r="362" spans="1:8" ht="12.5">
      <c r="A362" s="16">
        <v>2022</v>
      </c>
      <c r="B362" s="16"/>
      <c r="C362" s="16"/>
      <c r="D362" s="17"/>
      <c r="E362" s="21"/>
      <c r="F362" s="18"/>
      <c r="G362" s="18"/>
    </row>
    <row r="363" spans="1:8" ht="12.5">
      <c r="A363" s="5" t="s">
        <v>47</v>
      </c>
      <c r="B363" s="13">
        <v>107358.35</v>
      </c>
      <c r="C363" s="12">
        <v>4.5999999999999999E-2</v>
      </c>
      <c r="D363" s="20">
        <v>12057.2</v>
      </c>
      <c r="E363" s="13">
        <f t="shared" ref="E363:E374" si="71">B363*D$389/D363</f>
        <v>755253.76513720467</v>
      </c>
      <c r="F363" s="12">
        <f t="shared" ref="F363:F374" si="72">E363/E350-1</f>
        <v>4.6535343753705716E-2</v>
      </c>
      <c r="G363" s="19">
        <f>E363*G270/E270</f>
        <v>84.246727959909563</v>
      </c>
      <c r="H363" s="13">
        <f>AVERAGE(B363:B374)</f>
        <v>147245.89249999999</v>
      </c>
    </row>
    <row r="364" spans="1:8" ht="12.5">
      <c r="A364" s="5" t="s">
        <v>49</v>
      </c>
      <c r="B364" s="13">
        <v>112413.82</v>
      </c>
      <c r="C364" s="12">
        <v>4.7E-2</v>
      </c>
      <c r="D364" s="20">
        <v>12623.89</v>
      </c>
      <c r="E364" s="13">
        <f t="shared" si="71"/>
        <v>755318.3577698858</v>
      </c>
      <c r="F364" s="12">
        <f t="shared" si="72"/>
        <v>2.141894148100687E-2</v>
      </c>
      <c r="G364" s="19">
        <f>E364*G270/E270</f>
        <v>84.253933111614714</v>
      </c>
    </row>
    <row r="365" spans="1:8" ht="12.5">
      <c r="A365" s="5" t="s">
        <v>50</v>
      </c>
      <c r="B365" s="13">
        <v>121220.45</v>
      </c>
      <c r="C365" s="12">
        <v>7.8E-2</v>
      </c>
      <c r="D365" s="20">
        <v>13469.69</v>
      </c>
      <c r="E365" s="13">
        <f t="shared" si="71"/>
        <v>763346.69025845779</v>
      </c>
      <c r="F365" s="12">
        <f t="shared" si="72"/>
        <v>3.1653952440068966E-2</v>
      </c>
      <c r="G365" s="19">
        <f>E365*G270/E270</f>
        <v>85.14947415272897</v>
      </c>
    </row>
    <row r="366" spans="1:8" ht="12.5">
      <c r="A366" s="5" t="s">
        <v>51</v>
      </c>
      <c r="B366" s="13">
        <v>128406.32</v>
      </c>
      <c r="C366" s="12">
        <v>5.8999999999999997E-2</v>
      </c>
      <c r="D366" s="20">
        <v>14277.87</v>
      </c>
      <c r="E366" s="13">
        <f t="shared" si="71"/>
        <v>762827.80040112592</v>
      </c>
      <c r="F366" s="12">
        <f t="shared" si="72"/>
        <v>1.0658089434920637E-2</v>
      </c>
      <c r="G366" s="19">
        <f>E366*G270/E270</f>
        <v>85.091593246112282</v>
      </c>
    </row>
    <row r="367" spans="1:8" ht="12.5">
      <c r="A367" s="5" t="s">
        <v>52</v>
      </c>
      <c r="B367" s="13">
        <v>133595.97</v>
      </c>
      <c r="C367" s="12">
        <v>0.04</v>
      </c>
      <c r="D367" s="20">
        <v>15006.05</v>
      </c>
      <c r="E367" s="13">
        <f t="shared" si="71"/>
        <v>755145.2659835642</v>
      </c>
      <c r="F367" s="12">
        <f t="shared" si="72"/>
        <v>2.1284297022178267E-2</v>
      </c>
      <c r="G367" s="19">
        <f>E367*G270/E270</f>
        <v>84.234625142151401</v>
      </c>
    </row>
    <row r="368" spans="1:8" ht="12.5">
      <c r="A368" s="5" t="s">
        <v>53</v>
      </c>
      <c r="B368" s="13">
        <v>141289.4</v>
      </c>
      <c r="C368" s="12">
        <v>5.8000000000000003E-2</v>
      </c>
      <c r="D368" s="20">
        <v>15801.37</v>
      </c>
      <c r="E368" s="13">
        <f t="shared" si="71"/>
        <v>758435.01330548839</v>
      </c>
      <c r="F368" s="12">
        <f t="shared" si="72"/>
        <v>2.0366990110828542E-2</v>
      </c>
      <c r="G368" s="19">
        <f>E368*G270/E270</f>
        <v>84.60158848676528</v>
      </c>
    </row>
    <row r="369" spans="1:9" ht="12.5">
      <c r="A369" s="5" t="s">
        <v>39</v>
      </c>
      <c r="B369" s="13">
        <v>148811.85</v>
      </c>
      <c r="C369" s="12">
        <v>5.2999999999999999E-2</v>
      </c>
      <c r="D369" s="20">
        <v>16970.669999999998</v>
      </c>
      <c r="E369" s="13">
        <f t="shared" si="71"/>
        <v>743775.83290897869</v>
      </c>
      <c r="F369" s="12">
        <f t="shared" si="72"/>
        <v>-1.3241266394628193E-2</v>
      </c>
      <c r="G369" s="19">
        <f>E369*G270/E270</f>
        <v>82.966392424213211</v>
      </c>
    </row>
    <row r="370" spans="1:9" ht="12.5">
      <c r="A370" s="5" t="s">
        <v>41</v>
      </c>
      <c r="B370" s="5">
        <v>155611.28</v>
      </c>
      <c r="C370" s="12">
        <v>4.5999999999999999E-2</v>
      </c>
      <c r="D370" s="20">
        <v>18158.61</v>
      </c>
      <c r="E370" s="13">
        <f t="shared" si="71"/>
        <v>726878.81187550421</v>
      </c>
      <c r="F370" s="12">
        <f t="shared" si="72"/>
        <v>-3.4155397956326272E-2</v>
      </c>
      <c r="G370" s="19">
        <f>E370*G270/E270</f>
        <v>81.081570659595613</v>
      </c>
    </row>
    <row r="371" spans="1:9" ht="12.5">
      <c r="A371" s="5" t="s">
        <v>42</v>
      </c>
      <c r="B371" s="5">
        <v>165421.01</v>
      </c>
      <c r="C371" s="12">
        <v>6.3E-2</v>
      </c>
      <c r="D371" s="20">
        <v>19284.45</v>
      </c>
      <c r="E371" s="13">
        <f t="shared" si="71"/>
        <v>727590.37737333868</v>
      </c>
      <c r="F371" s="12">
        <f t="shared" si="72"/>
        <v>-3.9943383842006686E-2</v>
      </c>
      <c r="G371" s="19">
        <f>E371*G270/E270</f>
        <v>81.160944067169183</v>
      </c>
    </row>
    <row r="372" spans="1:9" ht="12.5">
      <c r="A372" s="5" t="s">
        <v>43</v>
      </c>
      <c r="B372" s="5">
        <v>174436.9</v>
      </c>
      <c r="C372" s="12">
        <v>5.5E-2</v>
      </c>
      <c r="D372" s="20">
        <v>20499.37</v>
      </c>
      <c r="E372" s="13">
        <f t="shared" si="71"/>
        <v>721774.24566039024</v>
      </c>
      <c r="F372" s="12">
        <f t="shared" si="72"/>
        <v>-4.8453054123190897E-2</v>
      </c>
      <c r="G372" s="19">
        <f>E372*G270/E270</f>
        <v>80.512168663698333</v>
      </c>
    </row>
    <row r="373" spans="1:9" ht="12.5">
      <c r="A373" s="5" t="s">
        <v>44</v>
      </c>
      <c r="B373" s="5">
        <v>184210.25</v>
      </c>
      <c r="C373" s="12">
        <v>5.6000000000000001E-2</v>
      </c>
      <c r="D373" s="20">
        <f>D372*1.049</f>
        <v>21503.839129999997</v>
      </c>
      <c r="E373" s="13">
        <f t="shared" si="71"/>
        <v>726609.92419088155</v>
      </c>
      <c r="F373" s="12">
        <f t="shared" si="72"/>
        <v>-4.7914342615589689E-2</v>
      </c>
      <c r="G373" s="19">
        <f>E373*G270/E270</f>
        <v>81.051576889734605</v>
      </c>
      <c r="H373" s="12"/>
    </row>
    <row r="374" spans="1:9" ht="12.5">
      <c r="A374" s="5" t="s">
        <v>45</v>
      </c>
      <c r="B374" s="5">
        <v>194175.11</v>
      </c>
      <c r="C374" s="12">
        <v>5.3999999999999999E-2</v>
      </c>
      <c r="D374" s="20">
        <v>22600.53</v>
      </c>
      <c r="E374" s="13">
        <f t="shared" si="71"/>
        <v>728749.83892352146</v>
      </c>
      <c r="F374" s="12">
        <f t="shared" si="72"/>
        <v>-2.8145208129146448E-2</v>
      </c>
      <c r="G374" s="19">
        <f>E374*G270/E270</f>
        <v>81.29027919439028</v>
      </c>
      <c r="H374" s="12"/>
    </row>
    <row r="375" spans="1:9" ht="12.5">
      <c r="A375" s="16">
        <v>2023</v>
      </c>
      <c r="B375" s="16"/>
      <c r="C375" s="16"/>
      <c r="D375" s="17"/>
      <c r="E375" s="21"/>
      <c r="F375" s="18"/>
      <c r="G375" s="18"/>
    </row>
    <row r="376" spans="1:9" ht="12.5">
      <c r="A376" s="5" t="s">
        <v>47</v>
      </c>
      <c r="B376" s="13">
        <v>201580.26</v>
      </c>
      <c r="C376" s="12">
        <v>3.7999999999999999E-2</v>
      </c>
      <c r="D376" s="20">
        <v>23956.57</v>
      </c>
      <c r="E376" s="13">
        <f t="shared" ref="E376:E387" si="73">B376*D$389/D376</f>
        <v>713718.40954221436</v>
      </c>
      <c r="F376" s="12">
        <f t="shared" ref="F376:F387" si="74">E376/E363-1</f>
        <v>-5.4995231420587154E-2</v>
      </c>
      <c r="G376" s="19">
        <f t="shared" ref="G376:G387" si="75">E376*G$270/E$270</f>
        <v>79.613559659327095</v>
      </c>
      <c r="H376" s="13">
        <f>AVERAGE(B376:B387)</f>
        <v>325300.39416666661</v>
      </c>
    </row>
    <row r="377" spans="1:9" ht="12.5">
      <c r="A377" s="5" t="s">
        <v>49</v>
      </c>
      <c r="B377" s="13">
        <v>218543.91</v>
      </c>
      <c r="C377" s="12">
        <v>8.4000000000000005E-2</v>
      </c>
      <c r="D377" s="20">
        <f>D376*1.066</f>
        <v>25537.70362</v>
      </c>
      <c r="E377" s="13">
        <f t="shared" si="73"/>
        <v>725872.59839336528</v>
      </c>
      <c r="F377" s="12">
        <f t="shared" si="74"/>
        <v>-3.8984567333250841E-2</v>
      </c>
      <c r="G377" s="19">
        <f t="shared" si="75"/>
        <v>80.969329983133761</v>
      </c>
    </row>
    <row r="378" spans="1:9" ht="12.5">
      <c r="A378" s="5" t="s">
        <v>50</v>
      </c>
      <c r="B378" s="13">
        <v>239882.73</v>
      </c>
      <c r="C378" s="12">
        <v>9.8000000000000004E-2</v>
      </c>
      <c r="D378" s="20">
        <f>D377*1.077</f>
        <v>27504.106798739998</v>
      </c>
      <c r="E378" s="13">
        <f t="shared" si="73"/>
        <v>739784.0656402586</v>
      </c>
      <c r="F378" s="12">
        <f t="shared" si="74"/>
        <v>-3.0867527060635114E-2</v>
      </c>
      <c r="G378" s="19">
        <f t="shared" si="75"/>
        <v>82.521120455120752</v>
      </c>
    </row>
    <row r="379" spans="1:9" ht="12.5">
      <c r="A379" s="5" t="s">
        <v>51</v>
      </c>
      <c r="B379" s="13">
        <v>263481.21999999997</v>
      </c>
      <c r="C379" s="12">
        <v>9.8000000000000004E-2</v>
      </c>
      <c r="D379" s="20">
        <f>D378*1.084</f>
        <v>29814.451769834159</v>
      </c>
      <c r="E379" s="13">
        <f t="shared" si="73"/>
        <v>749594.46921166137</v>
      </c>
      <c r="F379" s="12">
        <f t="shared" si="74"/>
        <v>-1.7347730618241686E-2</v>
      </c>
      <c r="G379" s="19">
        <f t="shared" si="75"/>
        <v>83.615447208601751</v>
      </c>
      <c r="I379" s="26"/>
    </row>
    <row r="380" spans="1:9" ht="12.5">
      <c r="A380" s="5" t="s">
        <v>52</v>
      </c>
      <c r="B380" s="13">
        <v>279820.37</v>
      </c>
      <c r="C380" s="12">
        <v>6.2E-2</v>
      </c>
      <c r="D380" s="20">
        <f>D379*1.078</f>
        <v>32139.979007881226</v>
      </c>
      <c r="E380" s="13">
        <f t="shared" si="73"/>
        <v>738477.50977384369</v>
      </c>
      <c r="F380" s="12">
        <f t="shared" si="74"/>
        <v>-2.2072251473378435E-2</v>
      </c>
      <c r="G380" s="19">
        <f t="shared" si="75"/>
        <v>82.375377313248052</v>
      </c>
      <c r="I380" s="26"/>
    </row>
    <row r="381" spans="1:9" ht="12.5">
      <c r="A381" s="5" t="s">
        <v>53</v>
      </c>
      <c r="B381" s="13">
        <v>302562.69</v>
      </c>
      <c r="C381" s="12">
        <v>8.1000000000000003E-2</v>
      </c>
      <c r="D381" s="20">
        <f>D380*1.06</f>
        <v>34068.377748354098</v>
      </c>
      <c r="E381" s="13">
        <f t="shared" si="73"/>
        <v>753299.1101346974</v>
      </c>
      <c r="F381" s="12">
        <f t="shared" si="74"/>
        <v>-6.7717115912241388E-3</v>
      </c>
      <c r="G381" s="19">
        <f t="shared" si="75"/>
        <v>84.028690929373482</v>
      </c>
      <c r="H381" s="12"/>
      <c r="I381" s="26"/>
    </row>
    <row r="382" spans="1:9" ht="12.5">
      <c r="A382" s="5" t="s">
        <v>39</v>
      </c>
      <c r="B382" s="13">
        <v>324997.28000000003</v>
      </c>
      <c r="C382" s="12">
        <v>7.3999999999999996E-2</v>
      </c>
      <c r="D382" s="20">
        <f>D381*1.063</f>
        <v>36214.685546500405</v>
      </c>
      <c r="E382" s="13">
        <f t="shared" si="73"/>
        <v>761199.58602495724</v>
      </c>
      <c r="F382" s="12">
        <f t="shared" si="74"/>
        <v>2.3426081280205846E-2</v>
      </c>
      <c r="G382" s="19">
        <f t="shared" si="75"/>
        <v>84.909969876668285</v>
      </c>
      <c r="I382" s="26"/>
    </row>
    <row r="383" spans="1:9" ht="12.5">
      <c r="A383" s="5" t="s">
        <v>41</v>
      </c>
      <c r="B383" s="13">
        <v>344057.43</v>
      </c>
      <c r="C383" s="12">
        <v>5.8999999999999997E-2</v>
      </c>
      <c r="D383" s="20">
        <f>D382*1.124</f>
        <v>40705.306554266455</v>
      </c>
      <c r="E383" s="13">
        <f t="shared" si="73"/>
        <v>716941.04893057968</v>
      </c>
      <c r="F383" s="12">
        <f t="shared" si="74"/>
        <v>-1.3671829172297589E-2</v>
      </c>
      <c r="G383" s="19">
        <f t="shared" si="75"/>
        <v>79.973037276516038</v>
      </c>
      <c r="I383" s="26"/>
    </row>
    <row r="384" spans="1:9" ht="12.5">
      <c r="A384" s="5" t="s">
        <v>42</v>
      </c>
      <c r="B384" s="13">
        <v>376594.32</v>
      </c>
      <c r="C384" s="12">
        <v>9.5000000000000001E-2</v>
      </c>
      <c r="D384" s="20">
        <f>D383*1.127</f>
        <v>45874.880486658294</v>
      </c>
      <c r="E384" s="13">
        <f t="shared" si="73"/>
        <v>696309.55596757878</v>
      </c>
      <c r="F384" s="12">
        <f t="shared" si="74"/>
        <v>-4.2992351711255816E-2</v>
      </c>
      <c r="G384" s="19">
        <f t="shared" si="75"/>
        <v>77.671644214615881</v>
      </c>
      <c r="I384" s="26"/>
    </row>
    <row r="385" spans="1:9" ht="12.5">
      <c r="A385" s="5" t="s">
        <v>43</v>
      </c>
      <c r="B385" s="13">
        <v>420706.55</v>
      </c>
      <c r="C385" s="12">
        <v>0.11700000000000001</v>
      </c>
      <c r="D385" s="20">
        <f>D384*1.083</f>
        <v>49682.49556705093</v>
      </c>
      <c r="E385" s="13">
        <f t="shared" si="73"/>
        <v>718256.2386530519</v>
      </c>
      <c r="F385" s="12">
        <f t="shared" si="74"/>
        <v>-4.8741099152401768E-3</v>
      </c>
      <c r="G385" s="19">
        <f t="shared" si="75"/>
        <v>80.119743504117096</v>
      </c>
      <c r="I385" s="26"/>
    </row>
    <row r="386" spans="1:9" ht="12.5">
      <c r="A386" s="5" t="s">
        <v>44</v>
      </c>
      <c r="B386" s="13">
        <v>447079.57</v>
      </c>
      <c r="C386" s="12">
        <v>6.3E-2</v>
      </c>
      <c r="D386" s="20">
        <f>D385*1.128</f>
        <v>56041.85499963344</v>
      </c>
      <c r="E386" s="13">
        <f t="shared" si="73"/>
        <v>676668.34158209991</v>
      </c>
      <c r="F386" s="12">
        <f t="shared" si="74"/>
        <v>-6.8732315574129066E-2</v>
      </c>
      <c r="G386" s="19">
        <f t="shared" si="75"/>
        <v>75.480714329168592</v>
      </c>
      <c r="I386" s="26"/>
    </row>
    <row r="387" spans="1:9" ht="12.5">
      <c r="A387" s="5" t="s">
        <v>45</v>
      </c>
      <c r="B387" s="13">
        <v>484298.4</v>
      </c>
      <c r="C387" s="12">
        <v>8.3000000000000004E-2</v>
      </c>
      <c r="D387" s="20">
        <f>D386*1.255</f>
        <v>70332.528024539963</v>
      </c>
      <c r="E387" s="13">
        <f t="shared" si="73"/>
        <v>584063.87040000001</v>
      </c>
      <c r="F387" s="12">
        <f t="shared" si="74"/>
        <v>-0.19853996638578397</v>
      </c>
      <c r="G387" s="19">
        <f t="shared" si="75"/>
        <v>65.150909895645029</v>
      </c>
      <c r="I387" s="26"/>
    </row>
    <row r="388" spans="1:9" ht="12.5">
      <c r="A388" s="16">
        <v>2024</v>
      </c>
      <c r="B388" s="16"/>
      <c r="C388" s="16"/>
      <c r="D388" s="17"/>
      <c r="E388" s="21"/>
      <c r="F388" s="18"/>
      <c r="G388" s="18"/>
      <c r="I388" s="26"/>
    </row>
    <row r="389" spans="1:9" ht="12.5">
      <c r="A389" s="5" t="s">
        <v>47</v>
      </c>
      <c r="B389" s="13">
        <v>555269.16</v>
      </c>
      <c r="C389" s="12">
        <v>0.14699999999999999</v>
      </c>
      <c r="D389" s="20">
        <f>D387*1.206</f>
        <v>84821.028797595194</v>
      </c>
      <c r="E389" s="13">
        <f t="shared" ref="E389:E394" si="76">B389*D$389/D389</f>
        <v>555269.16</v>
      </c>
      <c r="F389" s="12">
        <f t="shared" ref="F389:F394" si="77">E389/E376-1</f>
        <v>-0.22200527186043184</v>
      </c>
      <c r="G389" s="19">
        <f t="shared" ref="G389:G394" si="78">E389*G$270/E$270</f>
        <v>61.938929703381469</v>
      </c>
      <c r="I389" s="26"/>
    </row>
    <row r="390" spans="1:9" ht="12.5">
      <c r="A390" s="5" t="s">
        <v>49</v>
      </c>
      <c r="B390" s="13">
        <v>619007.05000000005</v>
      </c>
      <c r="C390" s="12">
        <v>0.14699999999999999</v>
      </c>
      <c r="D390" s="20">
        <f>D389*1.132</f>
        <v>96017.404598877751</v>
      </c>
      <c r="E390" s="13">
        <f t="shared" si="76"/>
        <v>546826.01590106019</v>
      </c>
      <c r="F390" s="12">
        <f t="shared" si="77"/>
        <v>-0.24666392268919357</v>
      </c>
      <c r="G390" s="19">
        <f t="shared" si="78"/>
        <v>60.997117431978253</v>
      </c>
      <c r="I390" s="26"/>
    </row>
    <row r="391" spans="1:9" ht="12.5">
      <c r="A391" s="5" t="s">
        <v>50</v>
      </c>
      <c r="B391" s="13">
        <v>705832.58</v>
      </c>
      <c r="C391" s="27">
        <v>0.14000000000000001</v>
      </c>
      <c r="D391" s="20">
        <f>D390*1.11</f>
        <v>106579.31910475431</v>
      </c>
      <c r="E391" s="13">
        <f t="shared" si="76"/>
        <v>561736.04876961769</v>
      </c>
      <c r="F391" s="12">
        <f t="shared" si="77"/>
        <v>-0.24067565812808667</v>
      </c>
      <c r="G391" s="19">
        <f t="shared" si="78"/>
        <v>62.660295480117448</v>
      </c>
      <c r="I391" s="26"/>
    </row>
    <row r="392" spans="1:9" ht="12.5">
      <c r="A392" s="5" t="s">
        <v>51</v>
      </c>
      <c r="B392" s="13">
        <v>819501.72</v>
      </c>
      <c r="C392" s="12">
        <v>0.161</v>
      </c>
      <c r="D392" s="20">
        <f>D391*1.088</f>
        <v>115958.29918597269</v>
      </c>
      <c r="E392" s="13">
        <f t="shared" si="76"/>
        <v>599448.0729690406</v>
      </c>
      <c r="F392" s="12">
        <f t="shared" si="77"/>
        <v>-0.20030350063885582</v>
      </c>
      <c r="G392" s="19">
        <f t="shared" si="78"/>
        <v>66.866980425235369</v>
      </c>
      <c r="I392" s="26"/>
    </row>
    <row r="393" spans="1:9" ht="12.5">
      <c r="A393" s="5" t="s">
        <v>52</v>
      </c>
      <c r="B393" s="13">
        <v>879483.08</v>
      </c>
      <c r="C393" s="12">
        <v>7.2999999999999995E-2</v>
      </c>
      <c r="D393" s="20">
        <f>D392*1.042</f>
        <v>120828.54775178355</v>
      </c>
      <c r="E393" s="13">
        <f t="shared" si="76"/>
        <v>617392.66956120939</v>
      </c>
      <c r="F393" s="12">
        <f t="shared" si="77"/>
        <v>-0.16396550823831602</v>
      </c>
      <c r="G393" s="19">
        <f t="shared" si="78"/>
        <v>68.868656705758283</v>
      </c>
      <c r="H393" s="12"/>
      <c r="I393" s="26"/>
    </row>
    <row r="394" spans="1:9" ht="12.5">
      <c r="A394" s="5" t="s">
        <v>55</v>
      </c>
      <c r="B394" s="13">
        <v>933179.85</v>
      </c>
      <c r="C394" s="12">
        <v>6.0999999999999999E-2</v>
      </c>
      <c r="D394" s="20">
        <f>D393*1.046</f>
        <v>126386.66094836561</v>
      </c>
      <c r="E394" s="13">
        <f t="shared" si="76"/>
        <v>626278.70960625412</v>
      </c>
      <c r="F394" s="12">
        <f t="shared" si="77"/>
        <v>-0.16861881133210255</v>
      </c>
      <c r="G394" s="19">
        <f t="shared" si="78"/>
        <v>69.859872947069903</v>
      </c>
      <c r="I394" s="26"/>
    </row>
    <row r="395" spans="1:9" ht="12.5">
      <c r="C395" s="12"/>
      <c r="E395" s="13"/>
      <c r="I395" s="26"/>
    </row>
    <row r="396" spans="1:9" ht="12.5">
      <c r="E396" s="13"/>
      <c r="I396" s="26"/>
    </row>
    <row r="397" spans="1:9" ht="12.5">
      <c r="E397" s="13"/>
      <c r="I397" s="26"/>
    </row>
    <row r="398" spans="1:9" ht="12.5">
      <c r="E398" s="13"/>
      <c r="I398" s="26"/>
    </row>
    <row r="399" spans="1:9" ht="12.5">
      <c r="E399" s="13"/>
      <c r="I399" s="26"/>
    </row>
    <row r="400" spans="1:9" ht="12.5">
      <c r="E400" s="13"/>
      <c r="I400" s="26"/>
    </row>
    <row r="401" spans="5:9" ht="12.5">
      <c r="E401" s="13"/>
      <c r="I401" s="26"/>
    </row>
    <row r="402" spans="5:9" ht="12.5">
      <c r="E402" s="13"/>
      <c r="I402" s="26"/>
    </row>
    <row r="403" spans="5:9" ht="12.5">
      <c r="E403" s="13"/>
      <c r="I403" s="26"/>
    </row>
    <row r="404" spans="5:9" ht="12.5">
      <c r="E404" s="13"/>
      <c r="I404" s="26"/>
    </row>
    <row r="405" spans="5:9" ht="12.5">
      <c r="E405" s="13"/>
      <c r="I405" s="26"/>
    </row>
    <row r="406" spans="5:9" ht="12.5">
      <c r="E406" s="13"/>
      <c r="I406" s="26"/>
    </row>
    <row r="407" spans="5:9" ht="12.5">
      <c r="E407" s="13"/>
      <c r="I407" s="26"/>
    </row>
    <row r="408" spans="5:9" ht="12.5">
      <c r="E408" s="13"/>
      <c r="I408" s="26"/>
    </row>
    <row r="409" spans="5:9" ht="12.5">
      <c r="E409" s="13"/>
      <c r="I409" s="26"/>
    </row>
    <row r="410" spans="5:9" ht="12.5">
      <c r="E410" s="13"/>
      <c r="I410" s="26"/>
    </row>
    <row r="411" spans="5:9" ht="12.5">
      <c r="E411" s="13"/>
      <c r="I411" s="26"/>
    </row>
    <row r="412" spans="5:9" ht="12.5">
      <c r="E412" s="13"/>
    </row>
    <row r="413" spans="5:9" ht="12.5">
      <c r="E413" s="13"/>
    </row>
    <row r="414" spans="5:9" ht="12.5">
      <c r="E414" s="13"/>
    </row>
    <row r="415" spans="5:9" ht="12.5">
      <c r="E415" s="13"/>
    </row>
    <row r="416" spans="5:9" ht="12.5">
      <c r="E416" s="13"/>
    </row>
    <row r="417" spans="5:5" ht="12.5">
      <c r="E417" s="13"/>
    </row>
    <row r="418" spans="5:5" ht="12.5">
      <c r="E418" s="13"/>
    </row>
    <row r="419" spans="5:5" ht="12.5">
      <c r="E419" s="13"/>
    </row>
    <row r="420" spans="5:5" ht="12.5">
      <c r="E420" s="13"/>
    </row>
    <row r="421" spans="5:5" ht="12.5">
      <c r="E421" s="13"/>
    </row>
    <row r="422" spans="5:5" ht="12.5">
      <c r="E422" s="13"/>
    </row>
    <row r="423" spans="5:5" ht="12.5">
      <c r="E423" s="13"/>
    </row>
    <row r="424" spans="5:5" ht="12.5">
      <c r="E424" s="13"/>
    </row>
    <row r="425" spans="5:5" ht="12.5">
      <c r="E425" s="13"/>
    </row>
    <row r="426" spans="5:5" ht="12.5">
      <c r="E426" s="13"/>
    </row>
    <row r="427" spans="5:5" ht="12.5">
      <c r="E427" s="13"/>
    </row>
    <row r="428" spans="5:5" ht="12.5">
      <c r="E428" s="13"/>
    </row>
    <row r="429" spans="5:5" ht="12.5">
      <c r="E429" s="13"/>
    </row>
    <row r="430" spans="5:5" ht="12.5">
      <c r="E430" s="13"/>
    </row>
    <row r="431" spans="5:5" ht="12.5">
      <c r="E431" s="13"/>
    </row>
    <row r="432" spans="5:5" ht="12.5">
      <c r="E432" s="13"/>
    </row>
    <row r="433" spans="5:5" ht="12.5">
      <c r="E433" s="13"/>
    </row>
    <row r="434" spans="5:5" ht="12.5">
      <c r="E434" s="13"/>
    </row>
    <row r="435" spans="5:5" ht="12.5">
      <c r="E435" s="13"/>
    </row>
    <row r="436" spans="5:5" ht="12.5">
      <c r="E436" s="13"/>
    </row>
  </sheetData>
  <conditionalFormatting sqref="F1:F1098 G3:G4 G11 G24 G37 G50 G63 G76 G89 G102 G115 G128 G141 G154 G167 G180 G193 G206 G219 G232 G245 G258 G271 G284 G297 G310 G323 G336 G349 G362 H373:H374 G375 H381 G388 H393">
    <cfRule type="cellIs" dxfId="1" priority="1" operator="greaterThan">
      <formula>0</formula>
    </cfRule>
    <cfRule type="cellIs" dxfId="0" priority="2" operator="lessThan">
      <formula>0</formula>
    </cfRule>
  </conditionalFormatting>
  <hyperlinks>
    <hyperlink ref="I10" r:id="rId1" xr:uid="{00000000-0004-0000-0200-000000000000}"/>
    <hyperlink ref="I11" r:id="rId2" location="gid=10837699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88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2.6328125" defaultRowHeight="15.75" customHeight="1"/>
  <cols>
    <col min="3" max="3" width="15.36328125" customWidth="1"/>
    <col min="5" max="5" width="16.08984375" customWidth="1"/>
    <col min="6" max="6" width="17.26953125" customWidth="1"/>
  </cols>
  <sheetData>
    <row r="1" spans="1:9">
      <c r="A1" s="1" t="s">
        <v>56</v>
      </c>
      <c r="E1" s="13"/>
      <c r="F1" s="12"/>
    </row>
    <row r="2" spans="1:9" ht="15.75" customHeight="1">
      <c r="E2" s="13"/>
      <c r="F2" s="12"/>
    </row>
    <row r="3" spans="1:9" ht="15.75" customHeight="1">
      <c r="A3" s="4" t="s">
        <v>33</v>
      </c>
      <c r="B3" s="4" t="s">
        <v>57</v>
      </c>
      <c r="C3" s="4" t="s">
        <v>58</v>
      </c>
      <c r="D3" s="4" t="s">
        <v>8</v>
      </c>
      <c r="E3" s="28" t="s">
        <v>59</v>
      </c>
      <c r="F3" s="29" t="s">
        <v>60</v>
      </c>
    </row>
    <row r="4" spans="1:9" ht="15.75" customHeight="1">
      <c r="A4" s="16">
        <v>1995</v>
      </c>
      <c r="B4" s="30"/>
      <c r="C4" s="16"/>
      <c r="D4" s="17"/>
      <c r="E4" s="17"/>
      <c r="F4" s="18"/>
    </row>
    <row r="5" spans="1:9" ht="15.75" customHeight="1">
      <c r="A5" s="5" t="s">
        <v>47</v>
      </c>
      <c r="B5" s="31">
        <v>885</v>
      </c>
      <c r="C5" s="5">
        <v>100</v>
      </c>
      <c r="D5" s="14">
        <v>100</v>
      </c>
      <c r="E5" s="32">
        <f t="shared" ref="E5:E16" si="0">B5*D$382/D5</f>
        <v>696997.23708010395</v>
      </c>
      <c r="F5" s="12"/>
      <c r="H5" s="5" t="s">
        <v>40</v>
      </c>
      <c r="I5" s="33"/>
    </row>
    <row r="6" spans="1:9" ht="15.75" customHeight="1">
      <c r="A6" s="5" t="s">
        <v>49</v>
      </c>
      <c r="B6" s="31">
        <v>826</v>
      </c>
      <c r="C6" s="19">
        <f t="shared" ref="C6:C16" si="1">E6*C$5/E$5</f>
        <v>93.333333333333314</v>
      </c>
      <c r="D6" s="14">
        <v>100</v>
      </c>
      <c r="E6" s="32">
        <f t="shared" si="0"/>
        <v>650530.7546080969</v>
      </c>
      <c r="F6" s="12"/>
      <c r="I6" s="33" t="s">
        <v>15</v>
      </c>
    </row>
    <row r="7" spans="1:9" ht="15.75" customHeight="1">
      <c r="A7" s="5" t="s">
        <v>50</v>
      </c>
      <c r="B7" s="31">
        <v>826</v>
      </c>
      <c r="C7" s="19">
        <f t="shared" si="1"/>
        <v>93.755231876778822</v>
      </c>
      <c r="D7" s="14">
        <v>99.55</v>
      </c>
      <c r="E7" s="32">
        <f t="shared" si="0"/>
        <v>653471.37579919328</v>
      </c>
      <c r="F7" s="12"/>
      <c r="H7" s="20"/>
      <c r="I7" s="33" t="s">
        <v>17</v>
      </c>
    </row>
    <row r="8" spans="1:9" ht="15.75" customHeight="1">
      <c r="A8" s="5" t="s">
        <v>51</v>
      </c>
      <c r="B8" s="31">
        <v>785</v>
      </c>
      <c r="C8" s="19">
        <f t="shared" si="1"/>
        <v>88.70056497175139</v>
      </c>
      <c r="D8" s="14">
        <v>100</v>
      </c>
      <c r="E8" s="32">
        <f t="shared" si="0"/>
        <v>618240.48712754971</v>
      </c>
      <c r="F8" s="12"/>
      <c r="I8" s="33"/>
    </row>
    <row r="9" spans="1:9" ht="15.75" customHeight="1">
      <c r="A9" s="5" t="s">
        <v>52</v>
      </c>
      <c r="B9" s="31">
        <v>800</v>
      </c>
      <c r="C9" s="19">
        <f t="shared" si="1"/>
        <v>90.377404745039684</v>
      </c>
      <c r="D9" s="14">
        <v>100.02</v>
      </c>
      <c r="E9" s="32">
        <f t="shared" si="0"/>
        <v>629928.01401762932</v>
      </c>
      <c r="F9" s="12"/>
      <c r="H9" s="5" t="s">
        <v>61</v>
      </c>
      <c r="I9" s="33"/>
    </row>
    <row r="10" spans="1:9" ht="15.75" customHeight="1">
      <c r="A10" s="5" t="s">
        <v>53</v>
      </c>
      <c r="B10" s="31">
        <v>1206</v>
      </c>
      <c r="C10" s="19">
        <f t="shared" si="1"/>
        <v>136.53059457036164</v>
      </c>
      <c r="D10" s="14">
        <v>99.81</v>
      </c>
      <c r="E10" s="32">
        <f t="shared" si="0"/>
        <v>951614.47192445898</v>
      </c>
      <c r="F10" s="12"/>
      <c r="I10" s="33"/>
    </row>
    <row r="11" spans="1:9">
      <c r="A11" s="5" t="s">
        <v>39</v>
      </c>
      <c r="B11" s="31">
        <v>810</v>
      </c>
      <c r="C11" s="19">
        <f t="shared" si="1"/>
        <v>91.333623120261009</v>
      </c>
      <c r="D11" s="14">
        <v>100.21</v>
      </c>
      <c r="E11" s="32">
        <f t="shared" si="0"/>
        <v>636592.82967337419</v>
      </c>
      <c r="F11" s="12"/>
      <c r="H11" s="9" t="s">
        <v>62</v>
      </c>
      <c r="I11" s="33"/>
    </row>
    <row r="12" spans="1:9">
      <c r="A12" s="5" t="s">
        <v>41</v>
      </c>
      <c r="B12" s="31">
        <v>806</v>
      </c>
      <c r="C12" s="19">
        <f t="shared" si="1"/>
        <v>91.100776560651795</v>
      </c>
      <c r="D12" s="14">
        <v>99.97</v>
      </c>
      <c r="E12" s="32">
        <f t="shared" si="0"/>
        <v>634969.89558626199</v>
      </c>
      <c r="F12" s="12"/>
      <c r="H12" s="10" t="s">
        <v>63</v>
      </c>
      <c r="I12" s="33"/>
    </row>
    <row r="13" spans="1:9" ht="15.75" customHeight="1">
      <c r="A13" s="5" t="s">
        <v>42</v>
      </c>
      <c r="B13" s="31">
        <v>807</v>
      </c>
      <c r="C13" s="19">
        <f t="shared" si="1"/>
        <v>91.068052210092958</v>
      </c>
      <c r="D13" s="14">
        <v>100.13</v>
      </c>
      <c r="E13" s="32">
        <f t="shared" si="0"/>
        <v>634741.80776701448</v>
      </c>
      <c r="F13" s="12"/>
      <c r="I13" s="33"/>
    </row>
    <row r="14" spans="1:9" ht="15.75" customHeight="1">
      <c r="A14" s="5" t="s">
        <v>43</v>
      </c>
      <c r="B14" s="31">
        <v>809</v>
      </c>
      <c r="C14" s="19">
        <f t="shared" si="1"/>
        <v>90.984800814701941</v>
      </c>
      <c r="D14" s="14">
        <v>100.47</v>
      </c>
      <c r="E14" s="32">
        <f t="shared" si="0"/>
        <v>634161.54784130852</v>
      </c>
      <c r="F14" s="12"/>
    </row>
    <row r="15" spans="1:9" ht="15.75" customHeight="1">
      <c r="A15" s="5" t="s">
        <v>44</v>
      </c>
      <c r="B15" s="31">
        <v>814</v>
      </c>
      <c r="C15" s="19">
        <f t="shared" si="1"/>
        <v>91.757183888610825</v>
      </c>
      <c r="D15" s="14">
        <v>100.24</v>
      </c>
      <c r="E15" s="32">
        <f t="shared" si="0"/>
        <v>639545.03652612772</v>
      </c>
      <c r="F15" s="12"/>
    </row>
    <row r="16" spans="1:9" ht="15.75" customHeight="1">
      <c r="A16" s="5" t="s">
        <v>45</v>
      </c>
      <c r="B16" s="31">
        <v>1255</v>
      </c>
      <c r="C16" s="19">
        <f t="shared" si="1"/>
        <v>141.32739645656741</v>
      </c>
      <c r="D16" s="14">
        <v>100.34</v>
      </c>
      <c r="E16" s="32">
        <f t="shared" si="0"/>
        <v>985048.04853951966</v>
      </c>
      <c r="F16" s="12"/>
    </row>
    <row r="17" spans="1:6" ht="15.75" customHeight="1">
      <c r="A17" s="16">
        <v>1996</v>
      </c>
      <c r="B17" s="30"/>
      <c r="C17" s="16"/>
      <c r="D17" s="17"/>
      <c r="E17" s="17"/>
      <c r="F17" s="18"/>
    </row>
    <row r="18" spans="1:6" ht="15.75" customHeight="1">
      <c r="A18" s="5" t="s">
        <v>47</v>
      </c>
      <c r="B18" s="33">
        <v>864</v>
      </c>
      <c r="C18" s="19">
        <f t="shared" ref="C18:C29" si="2">E18*C$5/E$5</f>
        <v>97.006278461911549</v>
      </c>
      <c r="D18" s="14">
        <v>100.64</v>
      </c>
      <c r="E18" s="32">
        <f t="shared" ref="E18:E29" si="3">B18*D$382/D18</f>
        <v>676131.08067375538</v>
      </c>
      <c r="F18" s="12">
        <f t="shared" ref="F18:F29" si="4">E18/E5-1</f>
        <v>-2.9937215380884674E-2</v>
      </c>
    </row>
    <row r="19" spans="1:6" ht="15.75" customHeight="1">
      <c r="A19" s="5" t="s">
        <v>49</v>
      </c>
      <c r="B19" s="33">
        <v>816</v>
      </c>
      <c r="C19" s="19">
        <f t="shared" si="2"/>
        <v>91.90928013407941</v>
      </c>
      <c r="D19" s="14">
        <v>100.32</v>
      </c>
      <c r="E19" s="32">
        <f t="shared" si="3"/>
        <v>640605.14315474639</v>
      </c>
      <c r="F19" s="12">
        <f t="shared" si="4"/>
        <v>-1.5257712849148897E-2</v>
      </c>
    </row>
    <row r="20" spans="1:6" ht="15.75" customHeight="1">
      <c r="A20" s="5" t="s">
        <v>50</v>
      </c>
      <c r="B20" s="33">
        <v>808</v>
      </c>
      <c r="C20" s="19">
        <f t="shared" si="2"/>
        <v>91.509907816225891</v>
      </c>
      <c r="D20" s="14">
        <v>99.77</v>
      </c>
      <c r="E20" s="32">
        <f t="shared" si="3"/>
        <v>637821.52913364454</v>
      </c>
      <c r="F20" s="12">
        <f t="shared" si="4"/>
        <v>-2.3948786810147671E-2</v>
      </c>
    </row>
    <row r="21" spans="1:6" ht="15.75" customHeight="1">
      <c r="A21" s="5" t="s">
        <v>51</v>
      </c>
      <c r="B21" s="33">
        <v>797</v>
      </c>
      <c r="C21" s="19">
        <f t="shared" si="2"/>
        <v>90.255058303408717</v>
      </c>
      <c r="D21" s="14">
        <v>99.78</v>
      </c>
      <c r="E21" s="32">
        <f t="shared" si="3"/>
        <v>629075.26269979577</v>
      </c>
      <c r="F21" s="12">
        <f t="shared" si="4"/>
        <v>1.7525179598939289E-2</v>
      </c>
    </row>
    <row r="22" spans="1:6" ht="15.75" customHeight="1">
      <c r="A22" s="5" t="s">
        <v>52</v>
      </c>
      <c r="B22" s="33">
        <v>805</v>
      </c>
      <c r="C22" s="19">
        <f t="shared" si="2"/>
        <v>91.243306226703908</v>
      </c>
      <c r="D22" s="14">
        <v>99.69</v>
      </c>
      <c r="E22" s="32">
        <f t="shared" si="3"/>
        <v>635963.32342066464</v>
      </c>
      <c r="F22" s="12">
        <f t="shared" si="4"/>
        <v>9.58095094793876E-3</v>
      </c>
    </row>
    <row r="23" spans="1:6" ht="15.75" customHeight="1">
      <c r="A23" s="5" t="s">
        <v>53</v>
      </c>
      <c r="B23" s="33">
        <v>1173</v>
      </c>
      <c r="C23" s="19">
        <f t="shared" si="2"/>
        <v>132.95453193033998</v>
      </c>
      <c r="D23" s="14">
        <v>99.69</v>
      </c>
      <c r="E23" s="32">
        <f t="shared" si="3"/>
        <v>926689.41412725416</v>
      </c>
      <c r="F23" s="12">
        <f t="shared" si="4"/>
        <v>-2.6192390440215374E-2</v>
      </c>
    </row>
    <row r="24" spans="1:6" ht="12.5">
      <c r="A24" s="5" t="s">
        <v>39</v>
      </c>
      <c r="B24" s="33">
        <v>801</v>
      </c>
      <c r="C24" s="19">
        <f t="shared" si="2"/>
        <v>90.300782775886617</v>
      </c>
      <c r="D24" s="14">
        <v>100.23</v>
      </c>
      <c r="E24" s="32">
        <f t="shared" si="3"/>
        <v>629393.96100963617</v>
      </c>
      <c r="F24" s="12">
        <f t="shared" si="4"/>
        <v>-1.1308435043843712E-2</v>
      </c>
    </row>
    <row r="25" spans="1:6" ht="12.5">
      <c r="A25" s="5" t="s">
        <v>41</v>
      </c>
      <c r="B25" s="33">
        <v>802</v>
      </c>
      <c r="C25" s="19">
        <f t="shared" si="2"/>
        <v>90.485740316079529</v>
      </c>
      <c r="D25" s="14">
        <v>100.15</v>
      </c>
      <c r="E25" s="32">
        <f t="shared" si="3"/>
        <v>630683.10995455203</v>
      </c>
      <c r="F25" s="12">
        <f t="shared" si="4"/>
        <v>-6.751163577214947E-3</v>
      </c>
    </row>
    <row r="26" spans="1:6" ht="12.5">
      <c r="A26" s="5" t="s">
        <v>42</v>
      </c>
      <c r="B26" s="33">
        <v>804</v>
      </c>
      <c r="C26" s="19">
        <f t="shared" si="2"/>
        <v>90.539622909227262</v>
      </c>
      <c r="D26" s="14">
        <v>100.34</v>
      </c>
      <c r="E26" s="32">
        <f t="shared" si="3"/>
        <v>631058.67014005885</v>
      </c>
      <c r="F26" s="12">
        <f t="shared" si="4"/>
        <v>-5.8025760740618715E-3</v>
      </c>
    </row>
    <row r="27" spans="1:6" ht="12.5">
      <c r="A27" s="5" t="s">
        <v>43</v>
      </c>
      <c r="B27" s="33">
        <v>807</v>
      </c>
      <c r="C27" s="19">
        <f t="shared" si="2"/>
        <v>90.390999879030616</v>
      </c>
      <c r="D27" s="14">
        <v>100.88</v>
      </c>
      <c r="E27" s="32">
        <f t="shared" si="3"/>
        <v>630022.77172592352</v>
      </c>
      <c r="F27" s="12">
        <f t="shared" si="4"/>
        <v>-6.5263750687398758E-3</v>
      </c>
    </row>
    <row r="28" spans="1:6" ht="12.5">
      <c r="A28" s="5" t="s">
        <v>44</v>
      </c>
      <c r="B28" s="33">
        <v>800</v>
      </c>
      <c r="C28" s="19">
        <f t="shared" si="2"/>
        <v>89.749285371315224</v>
      </c>
      <c r="D28" s="14">
        <v>100.72</v>
      </c>
      <c r="E28" s="32">
        <f t="shared" si="3"/>
        <v>625550.039337205</v>
      </c>
      <c r="F28" s="12">
        <f t="shared" si="4"/>
        <v>-2.1882739118640582E-2</v>
      </c>
    </row>
    <row r="29" spans="1:6" ht="12.5">
      <c r="A29" s="5" t="s">
        <v>45</v>
      </c>
      <c r="B29" s="33">
        <v>1207</v>
      </c>
      <c r="C29" s="19">
        <f t="shared" si="2"/>
        <v>135.80023975999248</v>
      </c>
      <c r="D29" s="14">
        <v>100.43</v>
      </c>
      <c r="E29" s="32">
        <f t="shared" si="3"/>
        <v>946523.91907530429</v>
      </c>
      <c r="F29" s="12">
        <f t="shared" si="4"/>
        <v>-3.9108883593377164E-2</v>
      </c>
    </row>
    <row r="30" spans="1:6" ht="12.5">
      <c r="A30" s="16">
        <v>1997</v>
      </c>
      <c r="B30" s="30"/>
      <c r="C30" s="16"/>
      <c r="D30" s="17"/>
      <c r="E30" s="17"/>
      <c r="F30" s="18"/>
    </row>
    <row r="31" spans="1:6" ht="12.5">
      <c r="A31" s="5" t="s">
        <v>47</v>
      </c>
      <c r="B31" s="33">
        <v>851</v>
      </c>
      <c r="C31" s="19">
        <f t="shared" ref="C31:C42" si="5">E31*C$5/E$5</f>
        <v>95.300487701085686</v>
      </c>
      <c r="D31" s="14">
        <v>100.9</v>
      </c>
      <c r="E31" s="32">
        <f t="shared" ref="E31:E42" si="6">B31*D$382/D31</f>
        <v>664241.76620043151</v>
      </c>
      <c r="F31" s="12">
        <f t="shared" ref="F31:F42" si="7">E31/E18-1</f>
        <v>-1.758433359028011E-2</v>
      </c>
    </row>
    <row r="32" spans="1:6" ht="12.5">
      <c r="A32" s="5" t="s">
        <v>49</v>
      </c>
      <c r="B32" s="33">
        <v>803</v>
      </c>
      <c r="C32" s="19">
        <f t="shared" si="5"/>
        <v>89.578895524569205</v>
      </c>
      <c r="D32" s="14">
        <v>101.29</v>
      </c>
      <c r="E32" s="32">
        <f t="shared" si="6"/>
        <v>624362.42681312026</v>
      </c>
      <c r="F32" s="12">
        <f t="shared" si="7"/>
        <v>-2.5355269958709181E-2</v>
      </c>
    </row>
    <row r="33" spans="1:6" ht="12.5">
      <c r="A33" s="5" t="s">
        <v>50</v>
      </c>
      <c r="B33" s="33">
        <v>801</v>
      </c>
      <c r="C33" s="19">
        <f t="shared" si="5"/>
        <v>89.799061986577215</v>
      </c>
      <c r="D33" s="14">
        <v>100.79</v>
      </c>
      <c r="E33" s="32">
        <f t="shared" si="6"/>
        <v>625896.98097029305</v>
      </c>
      <c r="F33" s="12">
        <f t="shared" si="7"/>
        <v>-1.8695744214762833E-2</v>
      </c>
    </row>
    <row r="34" spans="1:6" ht="12.5">
      <c r="A34" s="5" t="s">
        <v>51</v>
      </c>
      <c r="B34" s="33">
        <v>793</v>
      </c>
      <c r="C34" s="19">
        <f t="shared" si="5"/>
        <v>89.194226332880049</v>
      </c>
      <c r="D34" s="14">
        <v>100.46</v>
      </c>
      <c r="E34" s="32">
        <f t="shared" si="6"/>
        <v>621681.29317514843</v>
      </c>
      <c r="F34" s="12">
        <f t="shared" si="7"/>
        <v>-1.1753712096251756E-2</v>
      </c>
    </row>
    <row r="35" spans="1:6" ht="12.5">
      <c r="A35" s="5" t="s">
        <v>52</v>
      </c>
      <c r="B35" s="33">
        <v>799</v>
      </c>
      <c r="C35" s="19">
        <f t="shared" si="5"/>
        <v>89.645999280812433</v>
      </c>
      <c r="D35" s="14">
        <v>100.71</v>
      </c>
      <c r="E35" s="32">
        <f t="shared" si="6"/>
        <v>624830.13814011251</v>
      </c>
      <c r="F35" s="12">
        <f t="shared" si="7"/>
        <v>-1.7506017832396248E-2</v>
      </c>
    </row>
    <row r="36" spans="1:6" ht="12.5">
      <c r="A36" s="5" t="s">
        <v>53</v>
      </c>
      <c r="B36" s="33">
        <v>1169</v>
      </c>
      <c r="C36" s="19">
        <f t="shared" si="5"/>
        <v>130.86030857957792</v>
      </c>
      <c r="D36" s="14">
        <v>100.94</v>
      </c>
      <c r="E36" s="32">
        <f t="shared" si="6"/>
        <v>912092.73523415637</v>
      </c>
      <c r="F36" s="12">
        <f t="shared" si="7"/>
        <v>-1.5751425095154259E-2</v>
      </c>
    </row>
    <row r="37" spans="1:6" ht="12.5">
      <c r="A37" s="5" t="s">
        <v>39</v>
      </c>
      <c r="B37" s="33">
        <v>798</v>
      </c>
      <c r="C37" s="19">
        <f t="shared" si="5"/>
        <v>89.135519499232615</v>
      </c>
      <c r="D37" s="14">
        <v>101.16</v>
      </c>
      <c r="E37" s="32">
        <f t="shared" si="6"/>
        <v>621272.10816664866</v>
      </c>
      <c r="F37" s="12">
        <f t="shared" si="7"/>
        <v>-1.2904243361278711E-2</v>
      </c>
    </row>
    <row r="38" spans="1:6" ht="12.5">
      <c r="A38" s="5" t="s">
        <v>41</v>
      </c>
      <c r="B38" s="33">
        <v>791</v>
      </c>
      <c r="C38" s="19">
        <f t="shared" si="5"/>
        <v>88.214104888912672</v>
      </c>
      <c r="D38" s="14">
        <v>101.32</v>
      </c>
      <c r="E38" s="32">
        <f t="shared" si="6"/>
        <v>614849.87379066623</v>
      </c>
      <c r="F38" s="12">
        <f t="shared" si="7"/>
        <v>-2.5104899614367016E-2</v>
      </c>
    </row>
    <row r="39" spans="1:6" ht="12.5">
      <c r="A39" s="5" t="s">
        <v>42</v>
      </c>
      <c r="B39" s="33">
        <v>801</v>
      </c>
      <c r="C39" s="19">
        <f t="shared" si="5"/>
        <v>89.373431989998195</v>
      </c>
      <c r="D39" s="14">
        <v>101.27</v>
      </c>
      <c r="E39" s="32">
        <f t="shared" si="6"/>
        <v>622930.3516539532</v>
      </c>
      <c r="F39" s="12">
        <f t="shared" si="7"/>
        <v>-1.2880448159125368E-2</v>
      </c>
    </row>
    <row r="40" spans="1:6" ht="12.5">
      <c r="A40" s="5" t="s">
        <v>43</v>
      </c>
      <c r="B40" s="33">
        <v>816</v>
      </c>
      <c r="C40" s="19">
        <f t="shared" si="5"/>
        <v>91.182149753271815</v>
      </c>
      <c r="D40" s="14">
        <v>101.12</v>
      </c>
      <c r="E40" s="32">
        <f t="shared" si="6"/>
        <v>635537.0644905474</v>
      </c>
      <c r="F40" s="12">
        <f t="shared" si="7"/>
        <v>8.7525292927392861E-3</v>
      </c>
    </row>
    <row r="41" spans="1:6" ht="12.5">
      <c r="A41" s="5" t="s">
        <v>44</v>
      </c>
      <c r="B41" s="33">
        <v>793</v>
      </c>
      <c r="C41" s="19">
        <f t="shared" si="5"/>
        <v>88.787673180748385</v>
      </c>
      <c r="D41" s="14">
        <v>100.92</v>
      </c>
      <c r="E41" s="32">
        <f t="shared" si="6"/>
        <v>618847.6289375287</v>
      </c>
      <c r="F41" s="12">
        <f t="shared" si="7"/>
        <v>-1.0714427269124305E-2</v>
      </c>
    </row>
    <row r="42" spans="1:6" ht="12.5">
      <c r="A42" s="5" t="s">
        <v>45</v>
      </c>
      <c r="B42" s="33">
        <v>1206</v>
      </c>
      <c r="C42" s="19">
        <f t="shared" si="5"/>
        <v>134.80184631583535</v>
      </c>
      <c r="D42" s="14">
        <v>101.09</v>
      </c>
      <c r="E42" s="32">
        <f t="shared" si="6"/>
        <v>939565.14435434027</v>
      </c>
      <c r="F42" s="12">
        <f t="shared" si="7"/>
        <v>-7.3519269621440397E-3</v>
      </c>
    </row>
    <row r="43" spans="1:6" ht="12.5">
      <c r="A43" s="16">
        <v>1998</v>
      </c>
      <c r="B43" s="30"/>
      <c r="C43" s="16"/>
      <c r="D43" s="17"/>
      <c r="E43" s="17"/>
      <c r="F43" s="18"/>
    </row>
    <row r="44" spans="1:6" ht="12.5">
      <c r="A44" s="5" t="s">
        <v>47</v>
      </c>
      <c r="B44" s="33">
        <v>854</v>
      </c>
      <c r="C44" s="19">
        <f t="shared" ref="C44:C55" si="8">E44*C$5/E$5</f>
        <v>94.865488735000923</v>
      </c>
      <c r="D44" s="14">
        <v>101.72</v>
      </c>
      <c r="E44" s="32">
        <f t="shared" ref="E44:E55" si="9">B44*D$382/D44</f>
        <v>661209.83542549366</v>
      </c>
      <c r="F44" s="12">
        <f t="shared" ref="F44:F55" si="10">E44/E31-1</f>
        <v>-4.5644988454746072E-3</v>
      </c>
    </row>
    <row r="45" spans="1:6" ht="12.5">
      <c r="A45" s="5" t="s">
        <v>49</v>
      </c>
      <c r="B45" s="33">
        <v>810</v>
      </c>
      <c r="C45" s="19">
        <f t="shared" si="8"/>
        <v>89.669269843062168</v>
      </c>
      <c r="D45" s="14">
        <v>102.07</v>
      </c>
      <c r="E45" s="32">
        <f t="shared" si="9"/>
        <v>624992.33331604616</v>
      </c>
      <c r="F45" s="12">
        <f t="shared" si="10"/>
        <v>1.0088795799918504E-3</v>
      </c>
    </row>
    <row r="46" spans="1:6" ht="12.5">
      <c r="A46" s="5" t="s">
        <v>50</v>
      </c>
      <c r="B46" s="33">
        <v>817</v>
      </c>
      <c r="C46" s="19">
        <f t="shared" si="8"/>
        <v>90.550646572624771</v>
      </c>
      <c r="D46" s="14">
        <v>101.95</v>
      </c>
      <c r="E46" s="32">
        <f t="shared" si="9"/>
        <v>631135.50476936449</v>
      </c>
      <c r="F46" s="12">
        <f t="shared" si="10"/>
        <v>8.369626245760875E-3</v>
      </c>
    </row>
    <row r="47" spans="1:6" ht="12.5">
      <c r="A47" s="5" t="s">
        <v>51</v>
      </c>
      <c r="B47" s="33">
        <v>807</v>
      </c>
      <c r="C47" s="19">
        <f t="shared" si="8"/>
        <v>89.433543230645441</v>
      </c>
      <c r="D47" s="14">
        <v>101.96</v>
      </c>
      <c r="E47" s="32">
        <f t="shared" si="9"/>
        <v>623349.3253404391</v>
      </c>
      <c r="F47" s="12">
        <f t="shared" si="10"/>
        <v>2.6830985323225143E-3</v>
      </c>
    </row>
    <row r="48" spans="1:6" ht="12.5">
      <c r="A48" s="5" t="s">
        <v>52</v>
      </c>
      <c r="B48" s="33">
        <v>800</v>
      </c>
      <c r="C48" s="19">
        <f t="shared" si="8"/>
        <v>88.727405011767473</v>
      </c>
      <c r="D48" s="14">
        <v>101.88</v>
      </c>
      <c r="E48" s="32">
        <f t="shared" si="9"/>
        <v>618427.56146489293</v>
      </c>
      <c r="F48" s="12">
        <f t="shared" si="10"/>
        <v>-1.0246907574397168E-2</v>
      </c>
    </row>
    <row r="49" spans="1:6" ht="12.5">
      <c r="A49" s="5" t="s">
        <v>53</v>
      </c>
      <c r="B49" s="33">
        <v>1182</v>
      </c>
      <c r="C49" s="19">
        <f t="shared" si="8"/>
        <v>130.83789384198499</v>
      </c>
      <c r="D49" s="14">
        <v>102.08</v>
      </c>
      <c r="E49" s="32">
        <f t="shared" si="9"/>
        <v>911936.50513243501</v>
      </c>
      <c r="F49" s="12">
        <f t="shared" si="10"/>
        <v>-1.7128751900563621E-4</v>
      </c>
    </row>
    <row r="50" spans="1:6" ht="12.5">
      <c r="A50" s="5" t="s">
        <v>39</v>
      </c>
      <c r="B50" s="33">
        <v>805</v>
      </c>
      <c r="C50" s="19">
        <f t="shared" si="8"/>
        <v>88.828566384180789</v>
      </c>
      <c r="D50" s="14">
        <v>102.4</v>
      </c>
      <c r="E50" s="32">
        <f t="shared" si="9"/>
        <v>619132.65343560604</v>
      </c>
      <c r="F50" s="12">
        <f t="shared" si="10"/>
        <v>-3.4436677631578538E-3</v>
      </c>
    </row>
    <row r="51" spans="1:6" ht="12.5">
      <c r="A51" s="5" t="s">
        <v>41</v>
      </c>
      <c r="B51" s="33">
        <v>802</v>
      </c>
      <c r="C51" s="19">
        <f t="shared" si="8"/>
        <v>88.480246950355053</v>
      </c>
      <c r="D51" s="14">
        <v>102.42</v>
      </c>
      <c r="E51" s="32">
        <f t="shared" si="9"/>
        <v>616704.87660562771</v>
      </c>
      <c r="F51" s="12">
        <f t="shared" si="10"/>
        <v>3.0170012128734047E-3</v>
      </c>
    </row>
    <row r="52" spans="1:6" ht="12.5">
      <c r="A52" s="5" t="s">
        <v>42</v>
      </c>
      <c r="B52" s="33">
        <v>803</v>
      </c>
      <c r="C52" s="19">
        <f t="shared" si="8"/>
        <v>88.61652825162237</v>
      </c>
      <c r="D52" s="14">
        <v>102.39</v>
      </c>
      <c r="E52" s="32">
        <f t="shared" si="9"/>
        <v>617654.75351011765</v>
      </c>
      <c r="F52" s="12">
        <f t="shared" si="10"/>
        <v>-8.4690015983780453E-3</v>
      </c>
    </row>
    <row r="53" spans="1:6" ht="12.5">
      <c r="A53" s="5" t="s">
        <v>43</v>
      </c>
      <c r="B53" s="33">
        <v>818</v>
      </c>
      <c r="C53" s="19">
        <f t="shared" si="8"/>
        <v>90.608154623148138</v>
      </c>
      <c r="D53" s="14">
        <v>102.01</v>
      </c>
      <c r="E53" s="32">
        <f t="shared" si="9"/>
        <v>631536.33429261099</v>
      </c>
      <c r="F53" s="12">
        <f t="shared" si="10"/>
        <v>-6.2950383564858159E-3</v>
      </c>
    </row>
    <row r="54" spans="1:6" ht="12.5">
      <c r="A54" s="5" t="s">
        <v>44</v>
      </c>
      <c r="B54" s="33">
        <v>802</v>
      </c>
      <c r="C54" s="19">
        <f t="shared" si="8"/>
        <v>89.045365949251902</v>
      </c>
      <c r="D54" s="14">
        <v>101.77</v>
      </c>
      <c r="E54" s="32">
        <f t="shared" si="9"/>
        <v>620643.74041415344</v>
      </c>
      <c r="F54" s="12">
        <f t="shared" si="10"/>
        <v>2.9023484823047507E-3</v>
      </c>
    </row>
    <row r="55" spans="1:6" ht="12.5">
      <c r="A55" s="5" t="s">
        <v>45</v>
      </c>
      <c r="B55" s="33">
        <v>1225</v>
      </c>
      <c r="C55" s="19">
        <f t="shared" si="8"/>
        <v>136.02405571545322</v>
      </c>
      <c r="D55" s="14">
        <v>101.76</v>
      </c>
      <c r="E55" s="32">
        <f t="shared" si="9"/>
        <v>948083.91010101</v>
      </c>
      <c r="F55" s="12">
        <f t="shared" si="10"/>
        <v>9.0667111246700571E-3</v>
      </c>
    </row>
    <row r="56" spans="1:6" ht="12.5">
      <c r="A56" s="16">
        <v>1999</v>
      </c>
      <c r="B56" s="30"/>
      <c r="C56" s="16"/>
      <c r="D56" s="17"/>
      <c r="E56" s="17"/>
      <c r="F56" s="18"/>
    </row>
    <row r="57" spans="1:6" ht="12.5">
      <c r="A57" s="5" t="s">
        <v>47</v>
      </c>
      <c r="B57" s="33">
        <v>857</v>
      </c>
      <c r="C57" s="19">
        <f t="shared" ref="C57:C68" si="11">E57*C$5/E$5</f>
        <v>94.723817071398202</v>
      </c>
      <c r="D57" s="14">
        <v>102.23</v>
      </c>
      <c r="E57" s="32">
        <f t="shared" ref="E57:E68" si="12">B57*D$382/D57</f>
        <v>660222.38784445729</v>
      </c>
      <c r="F57" s="12">
        <f t="shared" ref="F57:F68" si="13">E57/E44-1</f>
        <v>-1.4933951797631018E-3</v>
      </c>
    </row>
    <row r="58" spans="1:6" ht="12.5">
      <c r="A58" s="5" t="s">
        <v>49</v>
      </c>
      <c r="B58" s="33">
        <v>821</v>
      </c>
      <c r="C58" s="19">
        <f t="shared" si="11"/>
        <v>90.887000668091403</v>
      </c>
      <c r="D58" s="14">
        <v>102.07</v>
      </c>
      <c r="E58" s="32">
        <f t="shared" si="12"/>
        <v>633479.88352157269</v>
      </c>
      <c r="F58" s="12">
        <f t="shared" si="13"/>
        <v>1.3580246913580174E-2</v>
      </c>
    </row>
    <row r="59" spans="1:6" ht="12.5">
      <c r="A59" s="5" t="s">
        <v>50</v>
      </c>
      <c r="B59" s="33">
        <v>826</v>
      </c>
      <c r="C59" s="19">
        <f t="shared" si="11"/>
        <v>92.135570911484024</v>
      </c>
      <c r="D59" s="14">
        <v>101.3</v>
      </c>
      <c r="E59" s="32">
        <f t="shared" si="12"/>
        <v>642182.38362102362</v>
      </c>
      <c r="F59" s="12">
        <f t="shared" si="13"/>
        <v>1.7503180803773555E-2</v>
      </c>
    </row>
    <row r="60" spans="1:6" ht="12.5">
      <c r="A60" s="5" t="s">
        <v>51</v>
      </c>
      <c r="B60" s="33">
        <v>814</v>
      </c>
      <c r="C60" s="19">
        <f t="shared" si="11"/>
        <v>90.886760009825579</v>
      </c>
      <c r="D60" s="14">
        <v>101.2</v>
      </c>
      <c r="E60" s="32">
        <f t="shared" si="12"/>
        <v>633478.20614010911</v>
      </c>
      <c r="F60" s="12">
        <f t="shared" si="13"/>
        <v>1.6249124508377566E-2</v>
      </c>
    </row>
    <row r="61" spans="1:6" ht="12.5">
      <c r="A61" s="5" t="s">
        <v>52</v>
      </c>
      <c r="B61" s="33">
        <v>804</v>
      </c>
      <c r="C61" s="19">
        <f t="shared" si="11"/>
        <v>90.20698801223179</v>
      </c>
      <c r="D61" s="14">
        <v>100.71</v>
      </c>
      <c r="E61" s="32">
        <f t="shared" si="12"/>
        <v>628740.21409843618</v>
      </c>
      <c r="F61" s="12">
        <f t="shared" si="13"/>
        <v>1.6675603217158219E-2</v>
      </c>
    </row>
    <row r="62" spans="1:6" ht="12.5">
      <c r="A62" s="5" t="s">
        <v>53</v>
      </c>
      <c r="B62" s="33">
        <v>1189</v>
      </c>
      <c r="C62" s="19">
        <f t="shared" si="11"/>
        <v>133.41636791050217</v>
      </c>
      <c r="D62" s="14">
        <v>100.7</v>
      </c>
      <c r="E62" s="32">
        <f t="shared" si="12"/>
        <v>929908.39814882644</v>
      </c>
      <c r="F62" s="12">
        <f t="shared" si="13"/>
        <v>1.9707395103984116E-2</v>
      </c>
    </row>
    <row r="63" spans="1:6" ht="12.5">
      <c r="A63" s="5" t="s">
        <v>39</v>
      </c>
      <c r="B63" s="33">
        <v>807</v>
      </c>
      <c r="C63" s="19">
        <f t="shared" si="11"/>
        <v>90.390999879030616</v>
      </c>
      <c r="D63" s="14">
        <v>100.88</v>
      </c>
      <c r="E63" s="32">
        <f t="shared" si="12"/>
        <v>630022.77172592352</v>
      </c>
      <c r="F63" s="12">
        <f t="shared" si="13"/>
        <v>1.7589313420779185E-2</v>
      </c>
    </row>
    <row r="64" spans="1:6" ht="12.5">
      <c r="A64" s="5" t="s">
        <v>41</v>
      </c>
      <c r="B64" s="33">
        <v>807</v>
      </c>
      <c r="C64" s="19">
        <f t="shared" si="11"/>
        <v>90.732776793996095</v>
      </c>
      <c r="D64" s="14">
        <v>100.5</v>
      </c>
      <c r="E64" s="32">
        <f t="shared" si="12"/>
        <v>632404.94738021051</v>
      </c>
      <c r="F64" s="12">
        <f t="shared" si="13"/>
        <v>2.5457996799047145E-2</v>
      </c>
    </row>
    <row r="65" spans="1:6" ht="12.5">
      <c r="A65" s="5" t="s">
        <v>42</v>
      </c>
      <c r="B65" s="33">
        <v>810</v>
      </c>
      <c r="C65" s="19">
        <f t="shared" si="11"/>
        <v>91.251668722645618</v>
      </c>
      <c r="D65" s="14">
        <v>100.3</v>
      </c>
      <c r="E65" s="32">
        <f t="shared" si="12"/>
        <v>636021.60978632933</v>
      </c>
      <c r="F65" s="12">
        <f t="shared" si="13"/>
        <v>2.9736444464862011E-2</v>
      </c>
    </row>
    <row r="66" spans="1:6" ht="12.5">
      <c r="A66" s="5" t="s">
        <v>43</v>
      </c>
      <c r="B66" s="33">
        <v>815</v>
      </c>
      <c r="C66" s="19">
        <f t="shared" si="11"/>
        <v>91.824105574061178</v>
      </c>
      <c r="D66" s="14">
        <v>100.29</v>
      </c>
      <c r="E66" s="32">
        <f t="shared" si="12"/>
        <v>640011.47882472421</v>
      </c>
      <c r="F66" s="12">
        <f t="shared" si="13"/>
        <v>1.3419884291544948E-2</v>
      </c>
    </row>
    <row r="67" spans="1:6" ht="12.5">
      <c r="A67" s="5" t="s">
        <v>44</v>
      </c>
      <c r="B67" s="33">
        <v>809</v>
      </c>
      <c r="C67" s="19">
        <f t="shared" si="11"/>
        <v>91.439861336932125</v>
      </c>
      <c r="D67" s="14">
        <v>99.97</v>
      </c>
      <c r="E67" s="32">
        <f t="shared" si="12"/>
        <v>637333.30710829515</v>
      </c>
      <c r="F67" s="12">
        <f t="shared" si="13"/>
        <v>2.6890735549841782E-2</v>
      </c>
    </row>
    <row r="68" spans="1:6" ht="12.5">
      <c r="A68" s="5" t="s">
        <v>45</v>
      </c>
      <c r="B68" s="33">
        <v>1225</v>
      </c>
      <c r="C68" s="19">
        <f t="shared" si="11"/>
        <v>138.54276758687337</v>
      </c>
      <c r="D68" s="14">
        <v>99.91</v>
      </c>
      <c r="E68" s="32">
        <f t="shared" si="12"/>
        <v>965639.26225481718</v>
      </c>
      <c r="F68" s="12">
        <f t="shared" si="13"/>
        <v>1.8516664998498689E-2</v>
      </c>
    </row>
    <row r="69" spans="1:6" ht="12.5">
      <c r="A69" s="16">
        <v>2000</v>
      </c>
      <c r="B69" s="30"/>
      <c r="C69" s="16"/>
      <c r="D69" s="17"/>
      <c r="E69" s="17"/>
      <c r="F69" s="18"/>
    </row>
    <row r="70" spans="1:6" ht="12.5">
      <c r="A70" s="5" t="s">
        <v>47</v>
      </c>
      <c r="B70" s="33">
        <v>871</v>
      </c>
      <c r="C70" s="19">
        <f t="shared" ref="C70:C81" si="14">E70*C$5/E$5</f>
        <v>97.685438308729701</v>
      </c>
      <c r="D70" s="14">
        <v>100.75</v>
      </c>
      <c r="E70" s="32">
        <f t="shared" ref="E70:E81" si="15">B70*D$382/D70</f>
        <v>680864.80604143545</v>
      </c>
      <c r="F70" s="12">
        <f t="shared" ref="F70:F81" si="16">E70/E57-1</f>
        <v>3.1265856137313142E-2</v>
      </c>
    </row>
    <row r="71" spans="1:6" ht="12.5">
      <c r="A71" s="5" t="s">
        <v>49</v>
      </c>
      <c r="B71" s="33">
        <v>834</v>
      </c>
      <c r="C71" s="19">
        <f t="shared" si="14"/>
        <v>93.526486835642302</v>
      </c>
      <c r="D71" s="14">
        <v>100.76</v>
      </c>
      <c r="E71" s="32">
        <f t="shared" si="15"/>
        <v>651877.02918251406</v>
      </c>
      <c r="F71" s="12">
        <f t="shared" si="16"/>
        <v>2.9041404690974382E-2</v>
      </c>
    </row>
    <row r="72" spans="1:6" ht="12.5">
      <c r="A72" s="5" t="s">
        <v>50</v>
      </c>
      <c r="B72" s="33">
        <v>840</v>
      </c>
      <c r="C72" s="19">
        <f t="shared" si="14"/>
        <v>94.706899059357539</v>
      </c>
      <c r="D72" s="14">
        <v>100.22</v>
      </c>
      <c r="E72" s="32">
        <f t="shared" si="15"/>
        <v>660104.46976796503</v>
      </c>
      <c r="F72" s="12">
        <f t="shared" si="16"/>
        <v>2.7908093719241522E-2</v>
      </c>
    </row>
    <row r="73" spans="1:6" ht="12.5">
      <c r="A73" s="5" t="s">
        <v>51</v>
      </c>
      <c r="B73" s="33">
        <v>828</v>
      </c>
      <c r="C73" s="19">
        <f t="shared" si="14"/>
        <v>93.456519862050044</v>
      </c>
      <c r="D73" s="14">
        <v>100.11</v>
      </c>
      <c r="E73" s="32">
        <f t="shared" si="15"/>
        <v>651389.3613097074</v>
      </c>
      <c r="F73" s="12">
        <f t="shared" si="16"/>
        <v>2.8274303671367074E-2</v>
      </c>
    </row>
    <row r="74" spans="1:6" ht="12.5">
      <c r="A74" s="5" t="s">
        <v>52</v>
      </c>
      <c r="B74" s="33">
        <v>813</v>
      </c>
      <c r="C74" s="19">
        <f t="shared" si="14"/>
        <v>92.122349357863015</v>
      </c>
      <c r="D74" s="14">
        <v>99.72</v>
      </c>
      <c r="E74" s="32">
        <f t="shared" si="15"/>
        <v>642090.22975758614</v>
      </c>
      <c r="F74" s="12">
        <f t="shared" si="16"/>
        <v>2.1232959749986513E-2</v>
      </c>
    </row>
    <row r="75" spans="1:6" ht="12.5">
      <c r="A75" s="5" t="s">
        <v>53</v>
      </c>
      <c r="B75" s="33">
        <v>1193</v>
      </c>
      <c r="C75" s="19">
        <f t="shared" si="14"/>
        <v>135.42521588005386</v>
      </c>
      <c r="D75" s="14">
        <v>99.54</v>
      </c>
      <c r="E75" s="32">
        <f t="shared" si="15"/>
        <v>943910.01299374155</v>
      </c>
      <c r="F75" s="12">
        <f t="shared" si="16"/>
        <v>1.5056982895076843E-2</v>
      </c>
    </row>
    <row r="76" spans="1:6" ht="12.5">
      <c r="A76" s="5" t="s">
        <v>39</v>
      </c>
      <c r="B76" s="33">
        <v>812</v>
      </c>
      <c r="C76" s="19">
        <f t="shared" si="14"/>
        <v>91.77894611321247</v>
      </c>
      <c r="D76" s="14">
        <v>99.97</v>
      </c>
      <c r="E76" s="32">
        <f t="shared" si="15"/>
        <v>639696.71863032843</v>
      </c>
      <c r="F76" s="12">
        <f t="shared" si="16"/>
        <v>1.5354916264222362E-2</v>
      </c>
    </row>
    <row r="77" spans="1:6" ht="12.5">
      <c r="A77" s="5" t="s">
        <v>41</v>
      </c>
      <c r="B77" s="33">
        <v>815</v>
      </c>
      <c r="C77" s="19">
        <f t="shared" si="14"/>
        <v>92.321198476417024</v>
      </c>
      <c r="D77" s="14">
        <v>99.75</v>
      </c>
      <c r="E77" s="32">
        <f t="shared" si="15"/>
        <v>643476.20261986565</v>
      </c>
      <c r="F77" s="12">
        <f t="shared" si="16"/>
        <v>1.7506591758206014E-2</v>
      </c>
    </row>
    <row r="78" spans="1:6" ht="12.5">
      <c r="A78" s="5" t="s">
        <v>42</v>
      </c>
      <c r="B78" s="33">
        <v>813</v>
      </c>
      <c r="C78" s="19">
        <f t="shared" si="14"/>
        <v>92.233340140221898</v>
      </c>
      <c r="D78" s="14">
        <v>99.6</v>
      </c>
      <c r="E78" s="32">
        <f t="shared" si="15"/>
        <v>642863.83244404104</v>
      </c>
      <c r="F78" s="12">
        <f t="shared" si="16"/>
        <v>1.0757846199613175E-2</v>
      </c>
    </row>
    <row r="79" spans="1:6" ht="12.5">
      <c r="A79" s="5" t="s">
        <v>43</v>
      </c>
      <c r="B79" s="33">
        <v>819</v>
      </c>
      <c r="C79" s="19">
        <f t="shared" si="14"/>
        <v>92.746414994343482</v>
      </c>
      <c r="D79" s="14">
        <v>99.78</v>
      </c>
      <c r="E79" s="32">
        <f t="shared" si="15"/>
        <v>646439.95000142127</v>
      </c>
      <c r="F79" s="12">
        <f t="shared" si="16"/>
        <v>1.0044306062294117E-2</v>
      </c>
    </row>
    <row r="80" spans="1:6" ht="12.5">
      <c r="A80" s="5" t="s">
        <v>44</v>
      </c>
      <c r="B80" s="33">
        <v>803</v>
      </c>
      <c r="C80" s="19">
        <f t="shared" si="14"/>
        <v>91.383284597478237</v>
      </c>
      <c r="D80" s="14">
        <v>99.29</v>
      </c>
      <c r="E80" s="32">
        <f t="shared" si="15"/>
        <v>636938.96879747149</v>
      </c>
      <c r="F80" s="12">
        <f t="shared" si="16"/>
        <v>-6.1873168470172324E-4</v>
      </c>
    </row>
    <row r="81" spans="1:6" ht="12.5">
      <c r="A81" s="5" t="s">
        <v>45</v>
      </c>
      <c r="B81" s="33">
        <v>1211</v>
      </c>
      <c r="C81" s="19">
        <f t="shared" si="14"/>
        <v>137.96749162340228</v>
      </c>
      <c r="D81" s="14">
        <v>99.18</v>
      </c>
      <c r="E81" s="32">
        <f t="shared" si="15"/>
        <v>961629.60468383774</v>
      </c>
      <c r="F81" s="12">
        <f t="shared" si="16"/>
        <v>-4.1523348601388843E-3</v>
      </c>
    </row>
    <row r="82" spans="1:6" ht="12.5">
      <c r="A82" s="16">
        <v>2001</v>
      </c>
      <c r="B82" s="30"/>
      <c r="C82" s="16"/>
      <c r="D82" s="17"/>
      <c r="E82" s="17"/>
      <c r="F82" s="18"/>
    </row>
    <row r="83" spans="1:6" ht="12.5">
      <c r="A83" s="5" t="s">
        <v>47</v>
      </c>
      <c r="B83" s="33">
        <v>872</v>
      </c>
      <c r="C83" s="19">
        <f t="shared" ref="C83:C94" si="17">E83*C$5/E$5</f>
        <v>99.265639176231787</v>
      </c>
      <c r="D83" s="14">
        <v>99.26</v>
      </c>
      <c r="E83" s="32">
        <f t="shared" ref="E83:E94" si="18">B83*D$382/D83</f>
        <v>691878.76242824073</v>
      </c>
      <c r="F83" s="12">
        <f t="shared" ref="F83:F94" si="19">E83/E70-1</f>
        <v>1.6176421940268471E-2</v>
      </c>
    </row>
    <row r="84" spans="1:6" ht="12.5">
      <c r="A84" s="5" t="s">
        <v>49</v>
      </c>
      <c r="B84" s="33">
        <v>835</v>
      </c>
      <c r="C84" s="19">
        <f t="shared" si="17"/>
        <v>95.274444598480954</v>
      </c>
      <c r="D84" s="14">
        <v>99.03</v>
      </c>
      <c r="E84" s="32">
        <f t="shared" si="18"/>
        <v>664060.24649482663</v>
      </c>
      <c r="F84" s="12">
        <f t="shared" si="19"/>
        <v>1.8689441055456335E-2</v>
      </c>
    </row>
    <row r="85" spans="1:6" ht="12.5">
      <c r="A85" s="5" t="s">
        <v>50</v>
      </c>
      <c r="B85" s="33">
        <v>844</v>
      </c>
      <c r="C85" s="19">
        <f t="shared" si="17"/>
        <v>96.116943800058522</v>
      </c>
      <c r="D85" s="14">
        <v>99.22</v>
      </c>
      <c r="E85" s="32">
        <f t="shared" si="18"/>
        <v>669932.44265224412</v>
      </c>
      <c r="F85" s="12">
        <f t="shared" si="19"/>
        <v>1.4888511340839461E-2</v>
      </c>
    </row>
    <row r="86" spans="1:6" ht="12.5">
      <c r="A86" s="5" t="s">
        <v>51</v>
      </c>
      <c r="B86" s="33">
        <v>822</v>
      </c>
      <c r="C86" s="19">
        <f t="shared" si="17"/>
        <v>92.992947469166381</v>
      </c>
      <c r="D86" s="14">
        <v>99.88</v>
      </c>
      <c r="E86" s="32">
        <f t="shared" si="18"/>
        <v>648158.27453944215</v>
      </c>
      <c r="F86" s="12">
        <f t="shared" si="19"/>
        <v>-4.9603001863105511E-3</v>
      </c>
    </row>
    <row r="87" spans="1:6" ht="12.5">
      <c r="A87" s="5" t="s">
        <v>52</v>
      </c>
      <c r="B87" s="33">
        <v>818</v>
      </c>
      <c r="C87" s="19">
        <f t="shared" si="17"/>
        <v>92.475616339243047</v>
      </c>
      <c r="D87" s="14">
        <v>99.95</v>
      </c>
      <c r="E87" s="32">
        <f t="shared" si="18"/>
        <v>644552.49085732119</v>
      </c>
      <c r="F87" s="12">
        <f t="shared" si="19"/>
        <v>3.8347587077669498E-3</v>
      </c>
    </row>
    <row r="88" spans="1:6" ht="12.5">
      <c r="A88" s="5" t="s">
        <v>53</v>
      </c>
      <c r="B88" s="33">
        <v>1182</v>
      </c>
      <c r="C88" s="19">
        <f t="shared" si="17"/>
        <v>134.59570899314551</v>
      </c>
      <c r="D88" s="14">
        <v>99.23</v>
      </c>
      <c r="E88" s="32">
        <f t="shared" si="18"/>
        <v>938128.3729106012</v>
      </c>
      <c r="F88" s="12">
        <f t="shared" si="19"/>
        <v>-6.1252026184180908E-3</v>
      </c>
    </row>
    <row r="89" spans="1:6" ht="12.5">
      <c r="A89" s="5" t="s">
        <v>39</v>
      </c>
      <c r="B89" s="33">
        <v>803</v>
      </c>
      <c r="C89" s="19">
        <f t="shared" si="17"/>
        <v>91.743643353727151</v>
      </c>
      <c r="D89" s="14">
        <v>98.9</v>
      </c>
      <c r="E89" s="32">
        <f t="shared" si="18"/>
        <v>639450.65937210259</v>
      </c>
      <c r="F89" s="12">
        <f t="shared" si="19"/>
        <v>-3.8464986775710308E-4</v>
      </c>
    </row>
    <row r="90" spans="1:6" ht="12.5">
      <c r="A90" s="5" t="s">
        <v>41</v>
      </c>
      <c r="B90" s="33">
        <v>809</v>
      </c>
      <c r="C90" s="19">
        <f t="shared" si="17"/>
        <v>92.757411850361294</v>
      </c>
      <c r="D90" s="14">
        <v>98.55</v>
      </c>
      <c r="E90" s="32">
        <f t="shared" si="18"/>
        <v>646516.59778403118</v>
      </c>
      <c r="F90" s="12">
        <f t="shared" si="19"/>
        <v>4.724953544182009E-3</v>
      </c>
    </row>
    <row r="91" spans="1:6" ht="12.5">
      <c r="A91" s="5" t="s">
        <v>42</v>
      </c>
      <c r="B91" s="33">
        <v>800</v>
      </c>
      <c r="C91" s="19">
        <f t="shared" si="17"/>
        <v>91.800020540254593</v>
      </c>
      <c r="D91" s="14">
        <v>98.47</v>
      </c>
      <c r="E91" s="32">
        <f t="shared" si="18"/>
        <v>639843.60680454236</v>
      </c>
      <c r="F91" s="12">
        <f t="shared" si="19"/>
        <v>-4.6980798842212179E-3</v>
      </c>
    </row>
    <row r="92" spans="1:6" ht="12.5">
      <c r="A92" s="5" t="s">
        <v>43</v>
      </c>
      <c r="B92" s="33">
        <v>809</v>
      </c>
      <c r="C92" s="19">
        <f t="shared" si="17"/>
        <v>93.239932046645293</v>
      </c>
      <c r="D92" s="14">
        <v>98.04</v>
      </c>
      <c r="E92" s="32">
        <f t="shared" si="18"/>
        <v>649879.7502204841</v>
      </c>
      <c r="F92" s="12">
        <f t="shared" si="19"/>
        <v>5.3211442440326273E-3</v>
      </c>
    </row>
    <row r="93" spans="1:6" ht="12.5">
      <c r="A93" s="5" t="s">
        <v>44</v>
      </c>
      <c r="B93" s="33">
        <v>805</v>
      </c>
      <c r="C93" s="19">
        <f t="shared" si="17"/>
        <v>93.082738413222586</v>
      </c>
      <c r="D93" s="14">
        <v>97.72</v>
      </c>
      <c r="E93" s="32">
        <f t="shared" si="18"/>
        <v>648784.11493866204</v>
      </c>
      <c r="F93" s="12">
        <f t="shared" si="19"/>
        <v>1.8596987657316655E-2</v>
      </c>
    </row>
    <row r="94" spans="1:6" ht="12.5">
      <c r="A94" s="5" t="s">
        <v>45</v>
      </c>
      <c r="B94" s="33">
        <v>1201</v>
      </c>
      <c r="C94" s="19">
        <f t="shared" si="17"/>
        <v>138.98629116065703</v>
      </c>
      <c r="D94" s="14">
        <v>97.64</v>
      </c>
      <c r="E94" s="32">
        <f t="shared" si="18"/>
        <v>968730.60930988821</v>
      </c>
      <c r="F94" s="12">
        <f t="shared" si="19"/>
        <v>7.3843448573789328E-3</v>
      </c>
    </row>
    <row r="95" spans="1:6" ht="12.5">
      <c r="A95" s="16">
        <v>2002</v>
      </c>
      <c r="B95" s="30"/>
      <c r="C95" s="16"/>
      <c r="D95" s="17"/>
      <c r="E95" s="17"/>
      <c r="F95" s="18"/>
    </row>
    <row r="96" spans="1:6" ht="12.5">
      <c r="A96" s="5" t="s">
        <v>47</v>
      </c>
      <c r="B96" s="33">
        <v>856</v>
      </c>
      <c r="C96" s="19">
        <f t="shared" ref="C96:C107" si="20">E96*C$5/E$5</f>
        <v>96.83937108711244</v>
      </c>
      <c r="D96" s="14">
        <v>99.88</v>
      </c>
      <c r="E96" s="32">
        <f t="shared" ref="E96:E107" si="21">B96*D$382/D96</f>
        <v>674967.74088292278</v>
      </c>
      <c r="F96" s="12">
        <f t="shared" ref="F96:F107" si="22">E96/E83-1</f>
        <v>-2.4442174646272519E-2</v>
      </c>
    </row>
    <row r="97" spans="1:6" ht="12.5">
      <c r="A97" s="5" t="s">
        <v>49</v>
      </c>
      <c r="B97" s="33">
        <v>852</v>
      </c>
      <c r="C97" s="19">
        <f t="shared" si="20"/>
        <v>93.458097699910638</v>
      </c>
      <c r="D97" s="14">
        <v>103.01</v>
      </c>
      <c r="E97" s="32">
        <f t="shared" si="21"/>
        <v>651400.3587960013</v>
      </c>
      <c r="F97" s="12">
        <f t="shared" si="22"/>
        <v>-1.9064366171065439E-2</v>
      </c>
    </row>
    <row r="98" spans="1:6" ht="12.5">
      <c r="A98" s="5" t="s">
        <v>50</v>
      </c>
      <c r="B98" s="33">
        <v>839</v>
      </c>
      <c r="C98" s="19">
        <f t="shared" si="20"/>
        <v>88.525781946965765</v>
      </c>
      <c r="D98" s="14">
        <v>107.09</v>
      </c>
      <c r="E98" s="32">
        <f t="shared" si="21"/>
        <v>617022.25427390879</v>
      </c>
      <c r="F98" s="12">
        <f t="shared" si="22"/>
        <v>-7.8978393953971437E-2</v>
      </c>
    </row>
    <row r="99" spans="1:6" ht="12.5">
      <c r="A99" s="5" t="s">
        <v>51</v>
      </c>
      <c r="B99" s="33">
        <v>837</v>
      </c>
      <c r="C99" s="19">
        <f t="shared" si="20"/>
        <v>80.000229391338749</v>
      </c>
      <c r="D99" s="14">
        <v>118.22</v>
      </c>
      <c r="E99" s="32">
        <f t="shared" si="21"/>
        <v>557599.38851537637</v>
      </c>
      <c r="F99" s="12">
        <f t="shared" si="22"/>
        <v>-0.13971724126859852</v>
      </c>
    </row>
    <row r="100" spans="1:6" ht="12.5">
      <c r="A100" s="5" t="s">
        <v>52</v>
      </c>
      <c r="B100" s="33">
        <v>840</v>
      </c>
      <c r="C100" s="19">
        <f t="shared" si="20"/>
        <v>77.191976445419755</v>
      </c>
      <c r="D100" s="14">
        <v>122.96</v>
      </c>
      <c r="E100" s="32">
        <f t="shared" si="21"/>
        <v>538025.94307210029</v>
      </c>
      <c r="F100" s="12">
        <f t="shared" si="22"/>
        <v>-0.16527210630049638</v>
      </c>
    </row>
    <row r="101" spans="1:6" ht="12.5">
      <c r="A101" s="5" t="s">
        <v>53</v>
      </c>
      <c r="B101" s="33">
        <v>1205</v>
      </c>
      <c r="C101" s="19">
        <f t="shared" si="20"/>
        <v>106.86617384066828</v>
      </c>
      <c r="D101" s="14">
        <v>127.41</v>
      </c>
      <c r="E101" s="32">
        <f t="shared" si="21"/>
        <v>744854.27904267877</v>
      </c>
      <c r="F101" s="12">
        <f t="shared" si="22"/>
        <v>-0.2060209449462419</v>
      </c>
    </row>
    <row r="102" spans="1:6" ht="12.5">
      <c r="A102" s="5" t="s">
        <v>39</v>
      </c>
      <c r="B102" s="33">
        <v>869</v>
      </c>
      <c r="C102" s="19">
        <f t="shared" si="20"/>
        <v>74.687830223990431</v>
      </c>
      <c r="D102" s="14">
        <v>131.47</v>
      </c>
      <c r="E102" s="32">
        <f t="shared" si="21"/>
        <v>520572.11309629207</v>
      </c>
      <c r="F102" s="12">
        <f t="shared" si="22"/>
        <v>-0.18590730110833142</v>
      </c>
    </row>
    <row r="103" spans="1:6" ht="12.5">
      <c r="A103" s="5" t="s">
        <v>41</v>
      </c>
      <c r="B103" s="33">
        <v>867</v>
      </c>
      <c r="C103" s="19">
        <f t="shared" si="20"/>
        <v>72.804772365424512</v>
      </c>
      <c r="D103" s="14">
        <v>134.56</v>
      </c>
      <c r="E103" s="32">
        <f t="shared" si="21"/>
        <v>507447.25184946792</v>
      </c>
      <c r="F103" s="12">
        <f t="shared" si="22"/>
        <v>-0.21510560813323365</v>
      </c>
    </row>
    <row r="104" spans="1:6" ht="12.5">
      <c r="A104" s="5" t="s">
        <v>42</v>
      </c>
      <c r="B104" s="33">
        <v>869</v>
      </c>
      <c r="C104" s="19">
        <f t="shared" si="20"/>
        <v>72.004172761956596</v>
      </c>
      <c r="D104" s="14">
        <v>136.37</v>
      </c>
      <c r="E104" s="32">
        <f t="shared" si="21"/>
        <v>501867.09473322221</v>
      </c>
      <c r="F104" s="12">
        <f t="shared" si="22"/>
        <v>-0.21564099508689605</v>
      </c>
    </row>
    <row r="105" spans="1:6" ht="12.5">
      <c r="A105" s="5" t="s">
        <v>43</v>
      </c>
      <c r="B105" s="33">
        <v>902</v>
      </c>
      <c r="C105" s="19">
        <f t="shared" si="20"/>
        <v>74.574452297360253</v>
      </c>
      <c r="D105" s="14">
        <v>136.66999999999999</v>
      </c>
      <c r="E105" s="32">
        <f t="shared" si="21"/>
        <v>519781.87208022107</v>
      </c>
      <c r="F105" s="12">
        <f t="shared" si="22"/>
        <v>-0.20018761639537908</v>
      </c>
    </row>
    <row r="106" spans="1:6" ht="12.5">
      <c r="A106" s="5" t="s">
        <v>44</v>
      </c>
      <c r="B106" s="33">
        <v>886</v>
      </c>
      <c r="C106" s="19">
        <f t="shared" si="20"/>
        <v>72.878353607252294</v>
      </c>
      <c r="D106" s="14">
        <v>137.37</v>
      </c>
      <c r="E106" s="32">
        <f t="shared" si="21"/>
        <v>507960.11107201676</v>
      </c>
      <c r="F106" s="12">
        <f t="shared" si="22"/>
        <v>-0.21705834132507884</v>
      </c>
    </row>
    <row r="107" spans="1:6" ht="12.5">
      <c r="A107" s="5" t="s">
        <v>45</v>
      </c>
      <c r="B107" s="33">
        <v>1317</v>
      </c>
      <c r="C107" s="19">
        <f t="shared" si="20"/>
        <v>108.12581509993015</v>
      </c>
      <c r="D107" s="14">
        <v>137.63</v>
      </c>
      <c r="E107" s="32">
        <f t="shared" si="21"/>
        <v>753633.94381685497</v>
      </c>
      <c r="F107" s="12">
        <f t="shared" si="22"/>
        <v>-0.22203971199616113</v>
      </c>
    </row>
    <row r="108" spans="1:6" ht="12.5">
      <c r="A108" s="16">
        <v>2003</v>
      </c>
      <c r="B108" s="30"/>
      <c r="C108" s="16"/>
      <c r="D108" s="17"/>
      <c r="E108" s="17"/>
      <c r="F108" s="18"/>
    </row>
    <row r="109" spans="1:6" ht="12.5">
      <c r="A109" s="5" t="s">
        <v>47</v>
      </c>
      <c r="B109" s="33">
        <v>980</v>
      </c>
      <c r="C109" s="19">
        <f t="shared" ref="C109:C120" si="23">E109*C$5/E$5</f>
        <v>79.413699997731015</v>
      </c>
      <c r="D109" s="14">
        <v>139.44</v>
      </c>
      <c r="E109" s="32">
        <f t="shared" ref="E109:E120" si="24">B109*D$382/D109</f>
        <v>553511.2948472678</v>
      </c>
      <c r="F109" s="12">
        <f t="shared" ref="F109:F120" si="25">E109/E96-1</f>
        <v>-0.17994407536688828</v>
      </c>
    </row>
    <row r="110" spans="1:6" ht="12.5">
      <c r="A110" s="5" t="s">
        <v>49</v>
      </c>
      <c r="B110" s="33">
        <v>947</v>
      </c>
      <c r="C110" s="19">
        <f t="shared" si="23"/>
        <v>76.307245038518232</v>
      </c>
      <c r="D110" s="14">
        <v>140.22999999999999</v>
      </c>
      <c r="E110" s="32">
        <f t="shared" si="24"/>
        <v>531859.38961041672</v>
      </c>
      <c r="F110" s="12">
        <f t="shared" si="25"/>
        <v>-0.18351382152526752</v>
      </c>
    </row>
    <row r="111" spans="1:6" ht="12.5">
      <c r="A111" s="5" t="s">
        <v>50</v>
      </c>
      <c r="B111" s="33">
        <v>961</v>
      </c>
      <c r="C111" s="19">
        <f t="shared" si="23"/>
        <v>76.985161730924432</v>
      </c>
      <c r="D111" s="14">
        <v>141.05000000000001</v>
      </c>
      <c r="E111" s="32">
        <f t="shared" si="24"/>
        <v>536584.45022619283</v>
      </c>
      <c r="F111" s="12">
        <f t="shared" si="25"/>
        <v>-0.13036451034067242</v>
      </c>
    </row>
    <row r="112" spans="1:6" ht="12.5">
      <c r="A112" s="5" t="s">
        <v>51</v>
      </c>
      <c r="B112" s="33">
        <v>948</v>
      </c>
      <c r="C112" s="19">
        <f t="shared" si="23"/>
        <v>75.900690191877402</v>
      </c>
      <c r="D112" s="14">
        <v>141.13</v>
      </c>
      <c r="E112" s="32">
        <f t="shared" si="24"/>
        <v>529025.71356211498</v>
      </c>
      <c r="F112" s="12">
        <f t="shared" si="25"/>
        <v>-5.1244093056378004E-2</v>
      </c>
    </row>
    <row r="113" spans="1:6" ht="12.5">
      <c r="A113" s="5" t="s">
        <v>52</v>
      </c>
      <c r="B113" s="33">
        <v>948</v>
      </c>
      <c r="C113" s="19">
        <f t="shared" si="23"/>
        <v>76.197641248966121</v>
      </c>
      <c r="D113" s="14">
        <v>140.58000000000001</v>
      </c>
      <c r="E113" s="32">
        <f t="shared" si="24"/>
        <v>531095.45422550349</v>
      </c>
      <c r="F113" s="12">
        <f t="shared" si="25"/>
        <v>-1.2881328374286349E-2</v>
      </c>
    </row>
    <row r="114" spans="1:6" ht="12.5">
      <c r="A114" s="5" t="s">
        <v>53</v>
      </c>
      <c r="B114" s="33">
        <v>1339</v>
      </c>
      <c r="C114" s="19">
        <f t="shared" si="23"/>
        <v>107.71709741438741</v>
      </c>
      <c r="D114" s="14">
        <v>140.46</v>
      </c>
      <c r="E114" s="32">
        <f t="shared" si="24"/>
        <v>750785.1928411643</v>
      </c>
      <c r="F114" s="12">
        <f t="shared" si="25"/>
        <v>7.9625155756750665E-3</v>
      </c>
    </row>
    <row r="115" spans="1:6" ht="12.5">
      <c r="A115" s="5" t="s">
        <v>39</v>
      </c>
      <c r="B115" s="33">
        <v>968</v>
      </c>
      <c r="C115" s="19">
        <f t="shared" si="23"/>
        <v>77.523942925399624</v>
      </c>
      <c r="D115" s="14">
        <v>141.09</v>
      </c>
      <c r="E115" s="32">
        <f t="shared" si="24"/>
        <v>540339.740265592</v>
      </c>
      <c r="F115" s="12">
        <f t="shared" si="25"/>
        <v>3.797288919632047E-2</v>
      </c>
    </row>
    <row r="116" spans="1:6" ht="12.5">
      <c r="A116" s="5" t="s">
        <v>41</v>
      </c>
      <c r="B116" s="33">
        <v>970</v>
      </c>
      <c r="C116" s="19">
        <f t="shared" si="23"/>
        <v>77.667601880676926</v>
      </c>
      <c r="D116" s="14">
        <v>141.12</v>
      </c>
      <c r="E116" s="32">
        <f t="shared" si="24"/>
        <v>541341.03921469301</v>
      </c>
      <c r="F116" s="12">
        <f t="shared" si="25"/>
        <v>6.6792730163961034E-2</v>
      </c>
    </row>
    <row r="117" spans="1:6" ht="12.5">
      <c r="A117" s="5" t="s">
        <v>42</v>
      </c>
      <c r="B117" s="33">
        <v>986</v>
      </c>
      <c r="C117" s="19">
        <f t="shared" si="23"/>
        <v>78.915164597344571</v>
      </c>
      <c r="D117" s="14">
        <v>141.18</v>
      </c>
      <c r="E117" s="32">
        <f t="shared" si="24"/>
        <v>550036.51688070793</v>
      </c>
      <c r="F117" s="12">
        <f t="shared" si="25"/>
        <v>9.5980435164993549E-2</v>
      </c>
    </row>
    <row r="118" spans="1:6" ht="12.5">
      <c r="A118" s="5" t="s">
        <v>43</v>
      </c>
      <c r="B118" s="33">
        <v>1019</v>
      </c>
      <c r="C118" s="19">
        <f t="shared" si="23"/>
        <v>81.079672514508189</v>
      </c>
      <c r="D118" s="14">
        <v>142.01</v>
      </c>
      <c r="E118" s="32">
        <f t="shared" si="24"/>
        <v>565123.07725971856</v>
      </c>
      <c r="F118" s="12">
        <f t="shared" si="25"/>
        <v>8.7231216814155577E-2</v>
      </c>
    </row>
    <row r="119" spans="1:6" ht="12.5">
      <c r="A119" s="5" t="s">
        <v>44</v>
      </c>
      <c r="B119" s="33">
        <v>1013</v>
      </c>
      <c r="C119" s="19">
        <f t="shared" si="23"/>
        <v>80.404100053496862</v>
      </c>
      <c r="D119" s="14">
        <v>142.36000000000001</v>
      </c>
      <c r="E119" s="32">
        <f t="shared" si="24"/>
        <v>560414.35587199556</v>
      </c>
      <c r="F119" s="12">
        <f t="shared" si="25"/>
        <v>0.10326449588586306</v>
      </c>
    </row>
    <row r="120" spans="1:6" ht="12.5">
      <c r="A120" s="5" t="s">
        <v>45</v>
      </c>
      <c r="B120" s="33">
        <v>1521</v>
      </c>
      <c r="C120" s="19">
        <f t="shared" si="23"/>
        <v>120.47133518832258</v>
      </c>
      <c r="D120" s="14">
        <v>142.66</v>
      </c>
      <c r="E120" s="32">
        <f t="shared" si="24"/>
        <v>839681.87773611944</v>
      </c>
      <c r="F120" s="12">
        <f t="shared" si="25"/>
        <v>0.11417735974505883</v>
      </c>
    </row>
    <row r="121" spans="1:6" ht="12.5">
      <c r="A121" s="16">
        <v>2004</v>
      </c>
      <c r="B121" s="30"/>
      <c r="C121" s="16"/>
      <c r="D121" s="17"/>
      <c r="E121" s="17"/>
      <c r="F121" s="18"/>
    </row>
    <row r="122" spans="1:6" ht="12.5">
      <c r="A122" s="5" t="s">
        <v>47</v>
      </c>
      <c r="B122" s="33">
        <v>1146</v>
      </c>
      <c r="C122" s="19">
        <f t="shared" ref="C122:C133" si="26">E122*C$5/E$5</f>
        <v>90.389170336261898</v>
      </c>
      <c r="D122" s="14">
        <v>143.26</v>
      </c>
      <c r="E122" s="32">
        <f t="shared" ref="E122:E133" si="27">B122*D$382/D122</f>
        <v>630010.0198633743</v>
      </c>
      <c r="F122" s="12">
        <f t="shared" ref="F122:F133" si="28">E122/E109-1</f>
        <v>0.13820625835144895</v>
      </c>
    </row>
    <row r="123" spans="1:6" ht="12.5">
      <c r="A123" s="5" t="s">
        <v>49</v>
      </c>
      <c r="B123" s="33">
        <v>1131</v>
      </c>
      <c r="C123" s="19">
        <f t="shared" si="26"/>
        <v>89.118975013592419</v>
      </c>
      <c r="D123" s="14">
        <v>143.4</v>
      </c>
      <c r="E123" s="32">
        <f t="shared" si="27"/>
        <v>621156.79355884728</v>
      </c>
      <c r="F123" s="12">
        <f t="shared" si="28"/>
        <v>0.16789663902303253</v>
      </c>
    </row>
    <row r="124" spans="1:6" ht="12.5">
      <c r="A124" s="5" t="s">
        <v>50</v>
      </c>
      <c r="B124" s="33">
        <v>1162</v>
      </c>
      <c r="C124" s="19">
        <f t="shared" si="26"/>
        <v>91.015829078225821</v>
      </c>
      <c r="D124" s="14">
        <v>144.26</v>
      </c>
      <c r="E124" s="32">
        <f t="shared" si="27"/>
        <v>634377.8139807838</v>
      </c>
      <c r="F124" s="12">
        <f t="shared" si="28"/>
        <v>0.18225157980885753</v>
      </c>
    </row>
    <row r="125" spans="1:6" ht="12.5">
      <c r="A125" s="5" t="s">
        <v>51</v>
      </c>
      <c r="B125" s="33">
        <v>1132</v>
      </c>
      <c r="C125" s="19">
        <f t="shared" si="26"/>
        <v>87.91642347912159</v>
      </c>
      <c r="D125" s="14">
        <v>145.49</v>
      </c>
      <c r="E125" s="32">
        <f t="shared" si="27"/>
        <v>612775.04258912127</v>
      </c>
      <c r="F125" s="12">
        <f t="shared" si="28"/>
        <v>0.15830861691597709</v>
      </c>
    </row>
    <row r="126" spans="1:6" ht="12.5">
      <c r="A126" s="5" t="s">
        <v>52</v>
      </c>
      <c r="B126" s="33">
        <v>1108</v>
      </c>
      <c r="C126" s="19">
        <f t="shared" si="26"/>
        <v>85.540953889720086</v>
      </c>
      <c r="D126" s="14">
        <v>146.36000000000001</v>
      </c>
      <c r="E126" s="32">
        <f t="shared" si="27"/>
        <v>596218.08518331475</v>
      </c>
      <c r="F126" s="12">
        <f t="shared" si="28"/>
        <v>0.12261944710632022</v>
      </c>
    </row>
    <row r="127" spans="1:6" ht="12.5">
      <c r="A127" s="5" t="s">
        <v>53</v>
      </c>
      <c r="B127" s="33">
        <v>1594</v>
      </c>
      <c r="C127" s="19">
        <f t="shared" si="26"/>
        <v>122.20992967178887</v>
      </c>
      <c r="D127" s="14">
        <v>147.38</v>
      </c>
      <c r="E127" s="32">
        <f t="shared" si="27"/>
        <v>851799.83324990666</v>
      </c>
      <c r="F127" s="12">
        <f t="shared" si="28"/>
        <v>0.13454532850664913</v>
      </c>
    </row>
    <row r="128" spans="1:6" ht="12.5">
      <c r="A128" s="5" t="s">
        <v>39</v>
      </c>
      <c r="B128" s="33">
        <v>1105</v>
      </c>
      <c r="C128" s="19">
        <f t="shared" si="26"/>
        <v>84.329837270124855</v>
      </c>
      <c r="D128" s="14">
        <v>148.06</v>
      </c>
      <c r="E128" s="32">
        <f t="shared" si="27"/>
        <v>587776.63580691803</v>
      </c>
      <c r="F128" s="12">
        <f t="shared" si="28"/>
        <v>8.7790869348253864E-2</v>
      </c>
    </row>
    <row r="129" spans="1:6" ht="12.5">
      <c r="A129" s="5" t="s">
        <v>41</v>
      </c>
      <c r="B129" s="33">
        <v>1107</v>
      </c>
      <c r="C129" s="19">
        <f t="shared" si="26"/>
        <v>84.192465344761288</v>
      </c>
      <c r="D129" s="14">
        <v>148.57</v>
      </c>
      <c r="E129" s="32">
        <f t="shared" si="27"/>
        <v>586819.15728261019</v>
      </c>
      <c r="F129" s="12">
        <f t="shared" si="28"/>
        <v>8.4010105965531379E-2</v>
      </c>
    </row>
    <row r="130" spans="1:6" ht="12.5">
      <c r="A130" s="5" t="s">
        <v>42</v>
      </c>
      <c r="B130" s="33">
        <v>1110</v>
      </c>
      <c r="C130" s="19">
        <f t="shared" si="26"/>
        <v>83.889859416466663</v>
      </c>
      <c r="D130" s="14">
        <v>149.51</v>
      </c>
      <c r="E130" s="32">
        <f t="shared" si="27"/>
        <v>584710.00232315611</v>
      </c>
      <c r="F130" s="12">
        <f t="shared" si="28"/>
        <v>6.3038515404547635E-2</v>
      </c>
    </row>
    <row r="131" spans="1:6" ht="12.5">
      <c r="A131" s="5" t="s">
        <v>43</v>
      </c>
      <c r="B131" s="33">
        <v>1125</v>
      </c>
      <c r="C131" s="19">
        <f t="shared" si="26"/>
        <v>84.689303176413461</v>
      </c>
      <c r="D131" s="14">
        <v>150.1</v>
      </c>
      <c r="E131" s="32">
        <f t="shared" si="27"/>
        <v>590282.10324199451</v>
      </c>
      <c r="F131" s="12">
        <f t="shared" si="28"/>
        <v>4.4519551571441829E-2</v>
      </c>
    </row>
    <row r="132" spans="1:6" ht="12.5">
      <c r="A132" s="5" t="s">
        <v>44</v>
      </c>
      <c r="B132" s="33">
        <v>1116</v>
      </c>
      <c r="C132" s="19">
        <f t="shared" si="26"/>
        <v>84.011788751002143</v>
      </c>
      <c r="D132" s="14">
        <v>150.1</v>
      </c>
      <c r="E132" s="32">
        <f t="shared" si="27"/>
        <v>585559.84641605848</v>
      </c>
      <c r="F132" s="12">
        <f t="shared" si="28"/>
        <v>4.486946181979401E-2</v>
      </c>
    </row>
    <row r="133" spans="1:6" ht="12.5">
      <c r="A133" s="5" t="s">
        <v>45</v>
      </c>
      <c r="B133" s="33">
        <v>1676</v>
      </c>
      <c r="C133" s="19">
        <f t="shared" si="26"/>
        <v>125.11795129059612</v>
      </c>
      <c r="D133" s="14">
        <v>151.36000000000001</v>
      </c>
      <c r="E133" s="32">
        <f t="shared" si="27"/>
        <v>872068.6635866852</v>
      </c>
      <c r="F133" s="12">
        <f t="shared" si="28"/>
        <v>3.8570304670483502E-2</v>
      </c>
    </row>
    <row r="134" spans="1:6" ht="12.5">
      <c r="A134" s="16">
        <v>2005</v>
      </c>
      <c r="B134" s="30"/>
      <c r="C134" s="16"/>
      <c r="D134" s="17"/>
      <c r="E134" s="17"/>
      <c r="F134" s="18"/>
    </row>
    <row r="135" spans="1:6" ht="12.5">
      <c r="A135" s="5" t="s">
        <v>47</v>
      </c>
      <c r="B135" s="33">
        <v>1278</v>
      </c>
      <c r="C135" s="19">
        <f t="shared" ref="C135:C146" si="29">E135*C$5/E$5</f>
        <v>94.014830508474574</v>
      </c>
      <c r="D135" s="14">
        <v>153.6</v>
      </c>
      <c r="E135" s="32">
        <f t="shared" ref="E135:E146" si="30">B135*D$382/D135</f>
        <v>655280.77108961041</v>
      </c>
      <c r="F135" s="12">
        <f t="shared" ref="F135:F146" si="31">E135/E122-1</f>
        <v>4.0111665575916389E-2</v>
      </c>
    </row>
    <row r="136" spans="1:6" ht="12.5">
      <c r="A136" s="5" t="s">
        <v>49</v>
      </c>
      <c r="B136" s="33">
        <v>1215</v>
      </c>
      <c r="C136" s="19">
        <f t="shared" si="29"/>
        <v>88.538717653308595</v>
      </c>
      <c r="D136" s="14">
        <v>155.06</v>
      </c>
      <c r="E136" s="32">
        <f t="shared" si="30"/>
        <v>617112.41578971513</v>
      </c>
      <c r="F136" s="12">
        <f t="shared" si="31"/>
        <v>-6.5110416742933941E-3</v>
      </c>
    </row>
    <row r="137" spans="1:6" ht="12.5">
      <c r="A137" s="5" t="s">
        <v>50</v>
      </c>
      <c r="B137" s="33">
        <v>1270</v>
      </c>
      <c r="C137" s="19">
        <f t="shared" si="29"/>
        <v>91.136050335804043</v>
      </c>
      <c r="D137" s="14">
        <v>157.46</v>
      </c>
      <c r="E137" s="32">
        <f t="shared" si="30"/>
        <v>635215.75282448693</v>
      </c>
      <c r="F137" s="12">
        <f t="shared" si="31"/>
        <v>1.3208829584454573E-3</v>
      </c>
    </row>
    <row r="138" spans="1:6" ht="12.5">
      <c r="A138" s="5" t="s">
        <v>51</v>
      </c>
      <c r="B138" s="33">
        <v>1263</v>
      </c>
      <c r="C138" s="19">
        <f t="shared" si="29"/>
        <v>90.192671684749826</v>
      </c>
      <c r="D138" s="14">
        <v>158.22999999999999</v>
      </c>
      <c r="E138" s="32">
        <f t="shared" si="30"/>
        <v>628640.42969143554</v>
      </c>
      <c r="F138" s="12">
        <f t="shared" si="31"/>
        <v>2.5891046468340395E-2</v>
      </c>
    </row>
    <row r="139" spans="1:6" ht="12.5">
      <c r="A139" s="5" t="s">
        <v>52</v>
      </c>
      <c r="B139" s="33">
        <v>1253</v>
      </c>
      <c r="C139" s="19">
        <f t="shared" si="29"/>
        <v>88.944541339335828</v>
      </c>
      <c r="D139" s="14">
        <v>159.18</v>
      </c>
      <c r="E139" s="32">
        <f t="shared" si="30"/>
        <v>619940.99566874164</v>
      </c>
      <c r="F139" s="12">
        <f t="shared" si="31"/>
        <v>3.9788981708149596E-2</v>
      </c>
    </row>
    <row r="140" spans="1:6" ht="12.5">
      <c r="A140" s="5" t="s">
        <v>53</v>
      </c>
      <c r="B140" s="33">
        <v>1794</v>
      </c>
      <c r="C140" s="19">
        <f t="shared" si="29"/>
        <v>126.1901546356945</v>
      </c>
      <c r="D140" s="14">
        <v>160.63999999999999</v>
      </c>
      <c r="E140" s="32">
        <f t="shared" si="30"/>
        <v>879541.89127790136</v>
      </c>
      <c r="F140" s="12">
        <f t="shared" si="31"/>
        <v>3.2568752593140626E-2</v>
      </c>
    </row>
    <row r="141" spans="1:6" ht="12.5">
      <c r="A141" s="5" t="s">
        <v>39</v>
      </c>
      <c r="B141" s="33">
        <v>1285</v>
      </c>
      <c r="C141" s="19">
        <f t="shared" si="29"/>
        <v>89.490132581198353</v>
      </c>
      <c r="D141" s="14">
        <v>162.25</v>
      </c>
      <c r="E141" s="32">
        <f t="shared" si="30"/>
        <v>623743.75155027444</v>
      </c>
      <c r="F141" s="12">
        <f t="shared" si="31"/>
        <v>6.1191809187821189E-2</v>
      </c>
    </row>
    <row r="142" spans="1:6" ht="12.5">
      <c r="A142" s="5" t="s">
        <v>41</v>
      </c>
      <c r="B142" s="33">
        <v>1316</v>
      </c>
      <c r="C142" s="19">
        <f t="shared" si="29"/>
        <v>91.249733045993722</v>
      </c>
      <c r="D142" s="14">
        <v>162.96</v>
      </c>
      <c r="E142" s="32">
        <f t="shared" si="30"/>
        <v>636008.11817354686</v>
      </c>
      <c r="F142" s="12">
        <f t="shared" si="31"/>
        <v>8.3823031815656091E-2</v>
      </c>
    </row>
    <row r="143" spans="1:6" ht="12.5">
      <c r="A143" s="5" t="s">
        <v>42</v>
      </c>
      <c r="B143" s="33">
        <v>1365</v>
      </c>
      <c r="C143" s="19">
        <f t="shared" si="29"/>
        <v>93.556525619066591</v>
      </c>
      <c r="D143" s="14">
        <v>164.86</v>
      </c>
      <c r="E143" s="32">
        <f t="shared" si="30"/>
        <v>652086.39867303369</v>
      </c>
      <c r="F143" s="12">
        <f t="shared" si="31"/>
        <v>0.11523044942309735</v>
      </c>
    </row>
    <row r="144" spans="1:6" ht="12.5">
      <c r="A144" s="5" t="s">
        <v>43</v>
      </c>
      <c r="B144" s="33">
        <v>1371</v>
      </c>
      <c r="C144" s="19">
        <f t="shared" si="29"/>
        <v>93.243802959725613</v>
      </c>
      <c r="D144" s="14">
        <v>166.14</v>
      </c>
      <c r="E144" s="32">
        <f t="shared" si="30"/>
        <v>649906.73037770367</v>
      </c>
      <c r="F144" s="12">
        <f t="shared" si="31"/>
        <v>0.1010103928413788</v>
      </c>
    </row>
    <row r="145" spans="1:6" ht="12.5">
      <c r="A145" s="5" t="s">
        <v>44</v>
      </c>
      <c r="B145" s="33">
        <v>1403</v>
      </c>
      <c r="C145" s="19">
        <f t="shared" si="29"/>
        <v>94.279556019225481</v>
      </c>
      <c r="D145" s="14">
        <v>168.15</v>
      </c>
      <c r="E145" s="32">
        <f t="shared" si="30"/>
        <v>657125.90058539051</v>
      </c>
      <c r="F145" s="12">
        <f t="shared" si="31"/>
        <v>0.12221817224550957</v>
      </c>
    </row>
    <row r="146" spans="1:6" ht="12.5">
      <c r="A146" s="5" t="s">
        <v>45</v>
      </c>
      <c r="B146" s="33">
        <v>2090</v>
      </c>
      <c r="C146" s="19">
        <f t="shared" si="29"/>
        <v>138.90024237759994</v>
      </c>
      <c r="D146" s="14">
        <v>170.02</v>
      </c>
      <c r="E146" s="32">
        <f t="shared" si="30"/>
        <v>968130.85166943923</v>
      </c>
      <c r="F146" s="12">
        <f t="shared" si="31"/>
        <v>0.11015438588019544</v>
      </c>
    </row>
    <row r="147" spans="1:6" ht="12.5">
      <c r="A147" s="16">
        <v>2006</v>
      </c>
      <c r="B147" s="30"/>
      <c r="C147" s="16"/>
      <c r="D147" s="17"/>
      <c r="E147" s="17"/>
      <c r="F147" s="18"/>
    </row>
    <row r="148" spans="1:6" ht="12.5">
      <c r="A148" s="5" t="s">
        <v>47</v>
      </c>
      <c r="B148" s="33">
        <v>1548</v>
      </c>
      <c r="C148" s="19">
        <f t="shared" ref="C148:C159" si="32">E148*C$5/E$5</f>
        <v>101.58270180456944</v>
      </c>
      <c r="D148" s="14">
        <v>172.19</v>
      </c>
      <c r="E148" s="32">
        <f t="shared" ref="E148:E159" si="33">B148*D$382/D148</f>
        <v>708028.62492916989</v>
      </c>
      <c r="F148" s="12">
        <f t="shared" ref="F148:F159" si="34">E148/E135-1</f>
        <v>8.0496569053673861E-2</v>
      </c>
    </row>
    <row r="149" spans="1:6" ht="12.5">
      <c r="A149" s="5" t="s">
        <v>49</v>
      </c>
      <c r="B149" s="33">
        <v>1483</v>
      </c>
      <c r="C149" s="19">
        <f t="shared" si="32"/>
        <v>96.934471839490101</v>
      </c>
      <c r="D149" s="14">
        <v>172.87</v>
      </c>
      <c r="E149" s="32">
        <f t="shared" si="33"/>
        <v>675630.59049943741</v>
      </c>
      <c r="F149" s="12">
        <f t="shared" si="34"/>
        <v>9.4825793830183969E-2</v>
      </c>
    </row>
    <row r="150" spans="1:6" ht="12.5">
      <c r="A150" s="5" t="s">
        <v>50</v>
      </c>
      <c r="B150" s="33">
        <v>1545</v>
      </c>
      <c r="C150" s="19">
        <f t="shared" si="32"/>
        <v>99.780676261111481</v>
      </c>
      <c r="D150" s="14">
        <v>174.96</v>
      </c>
      <c r="E150" s="32">
        <f t="shared" si="33"/>
        <v>695468.55667979014</v>
      </c>
      <c r="F150" s="12">
        <f t="shared" si="34"/>
        <v>9.4854076882364913E-2</v>
      </c>
    </row>
    <row r="151" spans="1:6" ht="12.5">
      <c r="A151" s="5" t="s">
        <v>51</v>
      </c>
      <c r="B151" s="33">
        <v>1527</v>
      </c>
      <c r="C151" s="19">
        <f t="shared" si="32"/>
        <v>97.669179713209502</v>
      </c>
      <c r="D151" s="14">
        <v>176.66</v>
      </c>
      <c r="E151" s="32">
        <f t="shared" si="33"/>
        <v>680751.48407987168</v>
      </c>
      <c r="F151" s="12">
        <f t="shared" si="34"/>
        <v>8.2894850421908917E-2</v>
      </c>
    </row>
    <row r="152" spans="1:6" ht="12.5">
      <c r="A152" s="5" t="s">
        <v>52</v>
      </c>
      <c r="B152" s="33">
        <v>1552</v>
      </c>
      <c r="C152" s="19">
        <f t="shared" si="32"/>
        <v>98.804006782589468</v>
      </c>
      <c r="D152" s="14">
        <v>177.49</v>
      </c>
      <c r="E152" s="32">
        <f t="shared" si="33"/>
        <v>688661.19739908713</v>
      </c>
      <c r="F152" s="12">
        <f t="shared" si="34"/>
        <v>0.11084958441281301</v>
      </c>
    </row>
    <row r="153" spans="1:6" ht="12.5">
      <c r="A153" s="5" t="s">
        <v>53</v>
      </c>
      <c r="B153" s="33">
        <v>2238</v>
      </c>
      <c r="C153" s="19">
        <f t="shared" si="32"/>
        <v>141.78937815094105</v>
      </c>
      <c r="D153" s="14">
        <v>178.35</v>
      </c>
      <c r="E153" s="32">
        <f t="shared" si="33"/>
        <v>988268.04818511964</v>
      </c>
      <c r="F153" s="12">
        <f t="shared" si="34"/>
        <v>0.12361680323065483</v>
      </c>
    </row>
    <row r="154" spans="1:6" ht="12.5">
      <c r="A154" s="5" t="s">
        <v>39</v>
      </c>
      <c r="B154" s="33">
        <v>1590</v>
      </c>
      <c r="C154" s="19">
        <f t="shared" si="32"/>
        <v>100.11759094408052</v>
      </c>
      <c r="D154" s="14">
        <v>179.45</v>
      </c>
      <c r="E154" s="32">
        <f t="shared" si="33"/>
        <v>697816.84271140164</v>
      </c>
      <c r="F154" s="12">
        <f t="shared" si="34"/>
        <v>0.11875564440849851</v>
      </c>
    </row>
    <row r="155" spans="1:6" ht="12.5">
      <c r="A155" s="5" t="s">
        <v>41</v>
      </c>
      <c r="B155" s="33">
        <v>1625</v>
      </c>
      <c r="C155" s="19">
        <f t="shared" si="32"/>
        <v>101.74876383078771</v>
      </c>
      <c r="D155" s="14">
        <v>180.46</v>
      </c>
      <c r="E155" s="32">
        <f t="shared" si="33"/>
        <v>709186.0726637505</v>
      </c>
      <c r="F155" s="12">
        <f t="shared" si="34"/>
        <v>0.11505820821965607</v>
      </c>
    </row>
    <row r="156" spans="1:6" ht="12.5">
      <c r="A156" s="5" t="s">
        <v>42</v>
      </c>
      <c r="B156" s="33">
        <v>1649</v>
      </c>
      <c r="C156" s="19">
        <f t="shared" si="32"/>
        <v>102.33286666070913</v>
      </c>
      <c r="D156" s="14">
        <v>182.08</v>
      </c>
      <c r="E156" s="32">
        <f t="shared" si="33"/>
        <v>713257.25325000938</v>
      </c>
      <c r="F156" s="12">
        <f t="shared" si="34"/>
        <v>9.3807898311413451E-2</v>
      </c>
    </row>
    <row r="157" spans="1:6" ht="12.5">
      <c r="A157" s="5" t="s">
        <v>43</v>
      </c>
      <c r="B157" s="33">
        <v>1655</v>
      </c>
      <c r="C157" s="19">
        <f t="shared" si="32"/>
        <v>101.83274325719566</v>
      </c>
      <c r="D157" s="14">
        <v>183.64</v>
      </c>
      <c r="E157" s="32">
        <f t="shared" si="33"/>
        <v>709771.40694552963</v>
      </c>
      <c r="F157" s="12">
        <f t="shared" si="34"/>
        <v>9.2112719825250267E-2</v>
      </c>
    </row>
    <row r="158" spans="1:6" ht="12.5">
      <c r="A158" s="5" t="s">
        <v>44</v>
      </c>
      <c r="B158" s="33">
        <v>1656</v>
      </c>
      <c r="C158" s="19">
        <f t="shared" si="32"/>
        <v>101.1780275050268</v>
      </c>
      <c r="D158" s="14">
        <v>184.94</v>
      </c>
      <c r="E158" s="32">
        <f t="shared" si="33"/>
        <v>705208.05624218448</v>
      </c>
      <c r="F158" s="12">
        <f t="shared" si="34"/>
        <v>7.31703857875039E-2</v>
      </c>
    </row>
    <row r="159" spans="1:6" ht="12.5">
      <c r="A159" s="5" t="s">
        <v>45</v>
      </c>
      <c r="B159" s="33">
        <v>2477</v>
      </c>
      <c r="C159" s="19">
        <f t="shared" si="32"/>
        <v>149.87255991952742</v>
      </c>
      <c r="D159" s="14">
        <v>186.75</v>
      </c>
      <c r="E159" s="32">
        <f t="shared" si="33"/>
        <v>1044607.6017803294</v>
      </c>
      <c r="F159" s="12">
        <f t="shared" si="34"/>
        <v>7.8994228909257558E-2</v>
      </c>
    </row>
    <row r="160" spans="1:6" ht="12.5">
      <c r="A160" s="16">
        <v>2007</v>
      </c>
      <c r="B160" s="30"/>
      <c r="C160" s="16"/>
      <c r="D160" s="17"/>
      <c r="E160" s="17"/>
      <c r="F160" s="18"/>
    </row>
    <row r="161" spans="1:6" ht="12.5">
      <c r="A161" s="5" t="s">
        <v>47</v>
      </c>
      <c r="B161" s="33">
        <v>1844</v>
      </c>
      <c r="C161" s="19">
        <f t="shared" ref="C161:C172" si="35">E161*C$5/E$5</f>
        <v>109.98816613223391</v>
      </c>
      <c r="D161" s="14">
        <v>189.44</v>
      </c>
      <c r="E161" s="32">
        <f t="shared" ref="E161:E172" si="36">B161*D$382/D161</f>
        <v>766614.47905674495</v>
      </c>
      <c r="F161" s="12">
        <f t="shared" ref="F161:F172" si="37">E161/E148-1</f>
        <v>8.2745036097143565E-2</v>
      </c>
    </row>
    <row r="162" spans="1:6" ht="12.5">
      <c r="A162" s="5" t="s">
        <v>49</v>
      </c>
      <c r="B162" s="33">
        <v>1762</v>
      </c>
      <c r="C162" s="19">
        <f t="shared" si="35"/>
        <v>103.90691780060546</v>
      </c>
      <c r="D162" s="14">
        <v>191.61</v>
      </c>
      <c r="E162" s="32">
        <f t="shared" si="36"/>
        <v>724228.34620531462</v>
      </c>
      <c r="F162" s="12">
        <f t="shared" si="37"/>
        <v>7.1929478015424042E-2</v>
      </c>
    </row>
    <row r="163" spans="1:6" ht="12.5">
      <c r="A163" s="5" t="s">
        <v>50</v>
      </c>
      <c r="B163" s="33">
        <v>1852</v>
      </c>
      <c r="C163" s="19">
        <f t="shared" si="35"/>
        <v>107.9690107951521</v>
      </c>
      <c r="D163" s="14">
        <v>193.82</v>
      </c>
      <c r="E163" s="32">
        <f t="shared" si="36"/>
        <v>752541.02214492939</v>
      </c>
      <c r="F163" s="12">
        <f t="shared" si="37"/>
        <v>8.206332970336816E-2</v>
      </c>
    </row>
    <row r="164" spans="1:6" ht="12.5">
      <c r="A164" s="5" t="s">
        <v>51</v>
      </c>
      <c r="B164" s="33">
        <v>1828</v>
      </c>
      <c r="C164" s="19">
        <f t="shared" si="35"/>
        <v>104.61062158338018</v>
      </c>
      <c r="D164" s="14">
        <v>197.45</v>
      </c>
      <c r="E164" s="32">
        <f t="shared" si="36"/>
        <v>729133.14212848269</v>
      </c>
      <c r="F164" s="12">
        <f t="shared" si="37"/>
        <v>7.1070954937403341E-2</v>
      </c>
    </row>
    <row r="165" spans="1:6" ht="12.5">
      <c r="A165" s="5" t="s">
        <v>52</v>
      </c>
      <c r="B165" s="33">
        <v>1853</v>
      </c>
      <c r="C165" s="19">
        <f t="shared" si="35"/>
        <v>103.78632451345607</v>
      </c>
      <c r="D165" s="14">
        <v>201.74</v>
      </c>
      <c r="E165" s="32">
        <f t="shared" si="36"/>
        <v>723387.81432577944</v>
      </c>
      <c r="F165" s="12">
        <f t="shared" si="37"/>
        <v>5.0426272102808589E-2</v>
      </c>
    </row>
    <row r="166" spans="1:6" ht="12.5">
      <c r="A166" s="5" t="s">
        <v>53</v>
      </c>
      <c r="B166" s="33">
        <v>2679</v>
      </c>
      <c r="C166" s="19">
        <f t="shared" si="35"/>
        <v>146.79785869103321</v>
      </c>
      <c r="D166" s="14">
        <v>206.21</v>
      </c>
      <c r="E166" s="32">
        <f t="shared" si="36"/>
        <v>1023177.0191692568</v>
      </c>
      <c r="F166" s="12">
        <f t="shared" si="37"/>
        <v>3.5323383213941684E-2</v>
      </c>
    </row>
    <row r="167" spans="1:6" ht="12.5">
      <c r="A167" s="5" t="s">
        <v>39</v>
      </c>
      <c r="B167" s="33">
        <v>1924</v>
      </c>
      <c r="C167" s="19">
        <f t="shared" si="35"/>
        <v>102.38350284614428</v>
      </c>
      <c r="D167" s="14">
        <v>212.34</v>
      </c>
      <c r="E167" s="32">
        <f t="shared" si="36"/>
        <v>713610.18606345518</v>
      </c>
      <c r="F167" s="12">
        <f t="shared" si="37"/>
        <v>2.2632505244051915E-2</v>
      </c>
    </row>
    <row r="168" spans="1:6" ht="12.5">
      <c r="A168" s="5" t="s">
        <v>41</v>
      </c>
      <c r="B168" s="33">
        <v>1974</v>
      </c>
      <c r="C168" s="19">
        <f t="shared" si="35"/>
        <v>101.59455589051562</v>
      </c>
      <c r="D168" s="14">
        <v>219.55</v>
      </c>
      <c r="E168" s="32">
        <f t="shared" si="36"/>
        <v>708111.2475806959</v>
      </c>
      <c r="F168" s="12">
        <f t="shared" si="37"/>
        <v>-1.5155755654048253E-3</v>
      </c>
    </row>
    <row r="169" spans="1:6" ht="12.5">
      <c r="A169" s="5" t="s">
        <v>42</v>
      </c>
      <c r="B169" s="33">
        <v>1992</v>
      </c>
      <c r="C169" s="19">
        <f t="shared" si="35"/>
        <v>99.95325980847808</v>
      </c>
      <c r="D169" s="14">
        <v>225.19</v>
      </c>
      <c r="E169" s="32">
        <f t="shared" si="36"/>
        <v>696671.45923659031</v>
      </c>
      <c r="F169" s="12">
        <f t="shared" si="37"/>
        <v>-2.3253593199150324E-2</v>
      </c>
    </row>
    <row r="170" spans="1:6" ht="12.5">
      <c r="A170" s="5" t="s">
        <v>43</v>
      </c>
      <c r="B170" s="33">
        <v>2045</v>
      </c>
      <c r="C170" s="19">
        <f t="shared" si="35"/>
        <v>100.21400222381975</v>
      </c>
      <c r="D170" s="14">
        <v>230.58</v>
      </c>
      <c r="E170" s="32">
        <f t="shared" si="36"/>
        <v>698488.82666741754</v>
      </c>
      <c r="F170" s="12">
        <f t="shared" si="37"/>
        <v>-1.5896076071401866E-2</v>
      </c>
    </row>
    <row r="171" spans="1:6" ht="12.5">
      <c r="A171" s="5" t="s">
        <v>44</v>
      </c>
      <c r="B171" s="33">
        <v>2046</v>
      </c>
      <c r="C171" s="19">
        <f t="shared" si="35"/>
        <v>99.735306591012105</v>
      </c>
      <c r="D171" s="14">
        <v>231.8</v>
      </c>
      <c r="E171" s="32">
        <f t="shared" si="36"/>
        <v>695152.33133272512</v>
      </c>
      <c r="F171" s="12">
        <f t="shared" si="37"/>
        <v>-1.4259231471408507E-2</v>
      </c>
    </row>
    <row r="172" spans="1:6" ht="12.5">
      <c r="A172" s="5" t="s">
        <v>45</v>
      </c>
      <c r="B172" s="33">
        <v>3074</v>
      </c>
      <c r="C172" s="19">
        <f t="shared" si="35"/>
        <v>148.49499070940169</v>
      </c>
      <c r="D172" s="14">
        <v>233.91</v>
      </c>
      <c r="E172" s="32">
        <f t="shared" si="36"/>
        <v>1035005.9824468868</v>
      </c>
      <c r="F172" s="12">
        <f t="shared" si="37"/>
        <v>-9.1916039257979865E-3</v>
      </c>
    </row>
    <row r="173" spans="1:6" ht="12.5">
      <c r="A173" s="16">
        <v>2008</v>
      </c>
      <c r="B173" s="30"/>
      <c r="C173" s="16"/>
      <c r="D173" s="17"/>
      <c r="E173" s="17"/>
      <c r="F173" s="18"/>
    </row>
    <row r="174" spans="1:6" ht="12.5">
      <c r="A174" s="5" t="s">
        <v>47</v>
      </c>
      <c r="B174" s="33">
        <v>2299</v>
      </c>
      <c r="C174" s="19">
        <f t="shared" ref="C174:C185" si="38">E174*C$5/E$5</f>
        <v>109.77603587704318</v>
      </c>
      <c r="D174" s="14">
        <v>236.64</v>
      </c>
      <c r="E174" s="32">
        <f t="shared" ref="E174:E185" si="39">B174*D$382/D174</f>
        <v>765135.9370390547</v>
      </c>
      <c r="F174" s="12">
        <f t="shared" ref="F174:F185" si="40">E174/E161-1</f>
        <v>-1.9286643522693492E-3</v>
      </c>
    </row>
    <row r="175" spans="1:6" ht="12.5">
      <c r="A175" s="5" t="s">
        <v>49</v>
      </c>
      <c r="B175" s="33">
        <v>2241</v>
      </c>
      <c r="C175" s="19">
        <f t="shared" si="38"/>
        <v>104.40784190947544</v>
      </c>
      <c r="D175" s="14">
        <v>242.53</v>
      </c>
      <c r="E175" s="32">
        <f t="shared" si="39"/>
        <v>727719.77340400673</v>
      </c>
      <c r="F175" s="12">
        <f t="shared" si="40"/>
        <v>4.8208927708861538E-3</v>
      </c>
    </row>
    <row r="176" spans="1:6" ht="12.5">
      <c r="A176" s="5" t="s">
        <v>50</v>
      </c>
      <c r="B176" s="33">
        <v>2309</v>
      </c>
      <c r="C176" s="19">
        <f t="shared" si="38"/>
        <v>103.5867530084011</v>
      </c>
      <c r="D176" s="14">
        <v>251.87</v>
      </c>
      <c r="E176" s="32">
        <f t="shared" si="39"/>
        <v>721996.80644954718</v>
      </c>
      <c r="F176" s="12">
        <f t="shared" si="40"/>
        <v>-4.0588107221482206E-2</v>
      </c>
    </row>
    <row r="177" spans="1:6" ht="12.5">
      <c r="A177" s="5" t="s">
        <v>51</v>
      </c>
      <c r="B177" s="33">
        <v>2379</v>
      </c>
      <c r="C177" s="19">
        <f t="shared" si="38"/>
        <v>103.2548049942513</v>
      </c>
      <c r="D177" s="14">
        <v>260.33999999999997</v>
      </c>
      <c r="E177" s="32">
        <f t="shared" si="39"/>
        <v>719683.13796238077</v>
      </c>
      <c r="F177" s="12">
        <f t="shared" si="40"/>
        <v>-1.2960601596733734E-2</v>
      </c>
    </row>
    <row r="178" spans="1:6" ht="12.5">
      <c r="A178" s="5" t="s">
        <v>52</v>
      </c>
      <c r="B178" s="33">
        <v>2412</v>
      </c>
      <c r="C178" s="19">
        <f t="shared" si="38"/>
        <v>102.85782272761288</v>
      </c>
      <c r="D178" s="14">
        <v>264.97000000000003</v>
      </c>
      <c r="E178" s="32">
        <f t="shared" si="39"/>
        <v>716916.18253221305</v>
      </c>
      <c r="F178" s="12">
        <f t="shared" si="40"/>
        <v>-8.946282568497721E-3</v>
      </c>
    </row>
    <row r="179" spans="1:6" ht="12.5">
      <c r="A179" s="5" t="s">
        <v>53</v>
      </c>
      <c r="B179" s="33">
        <v>3458</v>
      </c>
      <c r="C179" s="19">
        <f t="shared" si="38"/>
        <v>144.52911532340894</v>
      </c>
      <c r="D179" s="14">
        <v>270.35000000000002</v>
      </c>
      <c r="E179" s="32">
        <f t="shared" si="39"/>
        <v>1007363.9405804774</v>
      </c>
      <c r="F179" s="12">
        <f t="shared" si="40"/>
        <v>-1.5454880526556858E-2</v>
      </c>
    </row>
    <row r="180" spans="1:6" ht="12.5">
      <c r="A180" s="5" t="s">
        <v>39</v>
      </c>
      <c r="B180" s="33">
        <v>2531</v>
      </c>
      <c r="C180" s="19">
        <f t="shared" si="38"/>
        <v>104.20050301135747</v>
      </c>
      <c r="D180" s="14">
        <v>274.45999999999998</v>
      </c>
      <c r="E180" s="32">
        <f t="shared" si="39"/>
        <v>726274.62701273209</v>
      </c>
      <c r="F180" s="12">
        <f t="shared" si="40"/>
        <v>1.774700136938745E-2</v>
      </c>
    </row>
    <row r="181" spans="1:6" ht="12.5">
      <c r="A181" s="5" t="s">
        <v>41</v>
      </c>
      <c r="B181" s="33">
        <v>2558</v>
      </c>
      <c r="C181" s="19">
        <f t="shared" si="38"/>
        <v>104.14713653392386</v>
      </c>
      <c r="D181" s="14">
        <v>277.52999999999997</v>
      </c>
      <c r="E181" s="32">
        <f t="shared" si="39"/>
        <v>725902.66413949279</v>
      </c>
      <c r="F181" s="12">
        <f t="shared" si="40"/>
        <v>2.5125171531425794E-2</v>
      </c>
    </row>
    <row r="182" spans="1:6" ht="12.5">
      <c r="A182" s="5" t="s">
        <v>42</v>
      </c>
      <c r="B182" s="33">
        <v>2641</v>
      </c>
      <c r="C182" s="19">
        <f t="shared" si="38"/>
        <v>106.05518483760224</v>
      </c>
      <c r="D182" s="14">
        <v>281.38</v>
      </c>
      <c r="E182" s="32">
        <f t="shared" si="39"/>
        <v>739201.7080982849</v>
      </c>
      <c r="F182" s="12">
        <f t="shared" si="40"/>
        <v>6.1047784142469474E-2</v>
      </c>
    </row>
    <row r="183" spans="1:6" ht="12.5">
      <c r="A183" s="5" t="s">
        <v>43</v>
      </c>
      <c r="B183" s="33">
        <v>2684</v>
      </c>
      <c r="C183" s="19">
        <f t="shared" si="38"/>
        <v>106.8930058361032</v>
      </c>
      <c r="D183" s="14">
        <v>283.72000000000003</v>
      </c>
      <c r="E183" s="32">
        <f t="shared" si="39"/>
        <v>745041.29730951355</v>
      </c>
      <c r="F183" s="12">
        <f t="shared" si="40"/>
        <v>6.664740918506018E-2</v>
      </c>
    </row>
    <row r="184" spans="1:6" ht="12.5">
      <c r="A184" s="5" t="s">
        <v>44</v>
      </c>
      <c r="B184" s="33">
        <v>2642</v>
      </c>
      <c r="C184" s="19">
        <f t="shared" si="38"/>
        <v>104.38514404221391</v>
      </c>
      <c r="D184" s="14">
        <v>285.99</v>
      </c>
      <c r="E184" s="32">
        <f t="shared" si="39"/>
        <v>727561.56989631779</v>
      </c>
      <c r="F184" s="12">
        <f t="shared" si="40"/>
        <v>4.662177928894895E-2</v>
      </c>
    </row>
    <row r="185" spans="1:6" ht="12.5">
      <c r="A185" s="5" t="s">
        <v>45</v>
      </c>
      <c r="B185" s="33">
        <v>3995</v>
      </c>
      <c r="C185" s="19">
        <f t="shared" si="38"/>
        <v>156.9693404890921</v>
      </c>
      <c r="D185" s="14">
        <v>287.58</v>
      </c>
      <c r="E185" s="32">
        <f t="shared" si="39"/>
        <v>1094071.9662718328</v>
      </c>
      <c r="F185" s="12">
        <f t="shared" si="40"/>
        <v>5.7068253543140379E-2</v>
      </c>
    </row>
    <row r="186" spans="1:6" ht="12.5">
      <c r="A186" s="16">
        <v>2009</v>
      </c>
      <c r="B186" s="16"/>
      <c r="C186" s="16"/>
      <c r="D186" s="17"/>
      <c r="E186" s="17"/>
      <c r="F186" s="18"/>
    </row>
    <row r="187" spans="1:6" ht="12.5">
      <c r="A187" s="5" t="s">
        <v>47</v>
      </c>
      <c r="B187" s="33">
        <v>2907</v>
      </c>
      <c r="C187" s="19">
        <f t="shared" ref="C187:C198" si="41">E187*C$5/E$5</f>
        <v>113.24366554202111</v>
      </c>
      <c r="D187" s="14">
        <v>290.06</v>
      </c>
      <c r="E187" s="32">
        <f t="shared" ref="E187:E198" si="42">B187*D$382/D187</f>
        <v>789305.21999612078</v>
      </c>
      <c r="F187" s="12">
        <f t="shared" ref="F187:F198" si="43">E187/E174-1</f>
        <v>3.1588220846869408E-2</v>
      </c>
    </row>
    <row r="188" spans="1:6" ht="12.5">
      <c r="A188" s="5" t="s">
        <v>49</v>
      </c>
      <c r="B188" s="33">
        <v>2791</v>
      </c>
      <c r="C188" s="19">
        <f t="shared" si="41"/>
        <v>108.14691939179659</v>
      </c>
      <c r="D188" s="14">
        <v>291.61</v>
      </c>
      <c r="E188" s="32">
        <f t="shared" si="42"/>
        <v>753781.04014806938</v>
      </c>
      <c r="F188" s="12">
        <f t="shared" si="43"/>
        <v>3.5812228410611491E-2</v>
      </c>
    </row>
    <row r="189" spans="1:6" ht="12.5">
      <c r="A189" s="5" t="s">
        <v>50</v>
      </c>
      <c r="B189" s="33">
        <v>2870</v>
      </c>
      <c r="C189" s="19">
        <f t="shared" si="41"/>
        <v>109.51431355894044</v>
      </c>
      <c r="D189" s="14">
        <v>296.12</v>
      </c>
      <c r="E189" s="32">
        <f t="shared" si="42"/>
        <v>763311.73971305648</v>
      </c>
      <c r="F189" s="12">
        <f t="shared" si="43"/>
        <v>5.7223152366389751E-2</v>
      </c>
    </row>
    <row r="190" spans="1:6" ht="12.5">
      <c r="A190" s="5" t="s">
        <v>51</v>
      </c>
      <c r="B190" s="33">
        <v>2886</v>
      </c>
      <c r="C190" s="19">
        <f t="shared" si="41"/>
        <v>108.65348179630632</v>
      </c>
      <c r="D190" s="14">
        <v>300.13</v>
      </c>
      <c r="E190" s="32">
        <f t="shared" si="42"/>
        <v>757311.7661115888</v>
      </c>
      <c r="F190" s="12">
        <f t="shared" si="43"/>
        <v>5.2284993442732297E-2</v>
      </c>
    </row>
    <row r="191" spans="1:6" ht="12.5">
      <c r="A191" s="5" t="s">
        <v>52</v>
      </c>
      <c r="B191" s="33">
        <v>2887</v>
      </c>
      <c r="C191" s="19">
        <f t="shared" si="41"/>
        <v>108.05030945166993</v>
      </c>
      <c r="D191" s="14">
        <v>301.91000000000003</v>
      </c>
      <c r="E191" s="32">
        <f t="shared" si="42"/>
        <v>753107.67153464176</v>
      </c>
      <c r="F191" s="12">
        <f t="shared" si="43"/>
        <v>5.0482176137518708E-2</v>
      </c>
    </row>
    <row r="192" spans="1:6" ht="12.5">
      <c r="A192" s="5" t="s">
        <v>53</v>
      </c>
      <c r="B192" s="33">
        <v>4246</v>
      </c>
      <c r="C192" s="19">
        <f t="shared" si="41"/>
        <v>158.13250207628045</v>
      </c>
      <c r="D192" s="14">
        <v>303.39999999999998</v>
      </c>
      <c r="E192" s="32">
        <f t="shared" si="42"/>
        <v>1102179.1703973128</v>
      </c>
      <c r="F192" s="12">
        <f t="shared" si="43"/>
        <v>9.4122120116985508E-2</v>
      </c>
    </row>
    <row r="193" spans="1:6" ht="12.5">
      <c r="A193" s="5" t="s">
        <v>39</v>
      </c>
      <c r="B193" s="33">
        <v>2991</v>
      </c>
      <c r="C193" s="19">
        <f t="shared" si="41"/>
        <v>110.37069386855923</v>
      </c>
      <c r="D193" s="14">
        <v>306.20999999999998</v>
      </c>
      <c r="E193" s="32">
        <f t="shared" si="42"/>
        <v>769280.68680999754</v>
      </c>
      <c r="F193" s="12">
        <f t="shared" si="43"/>
        <v>5.9214597615994569E-2</v>
      </c>
    </row>
    <row r="194" spans="1:6" ht="12.5">
      <c r="A194" s="5" t="s">
        <v>41</v>
      </c>
      <c r="B194" s="33">
        <v>3027</v>
      </c>
      <c r="C194" s="19">
        <f t="shared" si="41"/>
        <v>110.08493669297866</v>
      </c>
      <c r="D194" s="14">
        <v>310.7</v>
      </c>
      <c r="E194" s="32">
        <f t="shared" si="42"/>
        <v>767288.96719144285</v>
      </c>
      <c r="F194" s="12">
        <f t="shared" si="43"/>
        <v>5.7013570959972615E-2</v>
      </c>
    </row>
    <row r="195" spans="1:6" ht="12.5">
      <c r="A195" s="5" t="s">
        <v>42</v>
      </c>
      <c r="B195" s="33">
        <v>3112</v>
      </c>
      <c r="C195" s="19">
        <f t="shared" si="41"/>
        <v>112.05813195637219</v>
      </c>
      <c r="D195" s="14">
        <v>313.8</v>
      </c>
      <c r="E195" s="32">
        <f t="shared" si="42"/>
        <v>781042.08365949127</v>
      </c>
      <c r="F195" s="12">
        <f t="shared" si="43"/>
        <v>5.6602108873432533E-2</v>
      </c>
    </row>
    <row r="196" spans="1:6" ht="12.5">
      <c r="A196" s="5" t="s">
        <v>43</v>
      </c>
      <c r="B196" s="33">
        <v>3136</v>
      </c>
      <c r="C196" s="19">
        <f t="shared" si="41"/>
        <v>111.1931349585401</v>
      </c>
      <c r="D196" s="14">
        <v>318.68</v>
      </c>
      <c r="E196" s="32">
        <f t="shared" si="42"/>
        <v>775013.07848377572</v>
      </c>
      <c r="F196" s="12">
        <f t="shared" si="43"/>
        <v>4.0228348794215885E-2</v>
      </c>
    </row>
    <row r="197" spans="1:6" ht="12.5">
      <c r="A197" s="5" t="s">
        <v>44</v>
      </c>
      <c r="B197" s="33">
        <v>3110</v>
      </c>
      <c r="C197" s="19">
        <f t="shared" si="41"/>
        <v>108.88743822344715</v>
      </c>
      <c r="D197" s="14">
        <v>322.73</v>
      </c>
      <c r="E197" s="32">
        <f t="shared" si="42"/>
        <v>758942.4359447317</v>
      </c>
      <c r="F197" s="12">
        <f t="shared" si="43"/>
        <v>4.313156074596658E-2</v>
      </c>
    </row>
    <row r="198" spans="1:6" ht="12.5">
      <c r="A198" s="5" t="s">
        <v>45</v>
      </c>
      <c r="B198" s="33">
        <v>4724</v>
      </c>
      <c r="C198" s="19">
        <f t="shared" si="41"/>
        <v>161.53774081057475</v>
      </c>
      <c r="D198" s="14">
        <v>330.44</v>
      </c>
      <c r="E198" s="32">
        <f t="shared" si="42"/>
        <v>1125913.5902913255</v>
      </c>
      <c r="F198" s="12">
        <f t="shared" si="43"/>
        <v>2.9103774706883634E-2</v>
      </c>
    </row>
    <row r="199" spans="1:6" ht="12.5">
      <c r="A199" s="16">
        <v>2010</v>
      </c>
      <c r="B199" s="16"/>
      <c r="C199" s="16"/>
      <c r="D199" s="17"/>
      <c r="E199" s="17"/>
      <c r="F199" s="18"/>
    </row>
    <row r="200" spans="1:6" ht="12.5">
      <c r="A200" s="5" t="s">
        <v>47</v>
      </c>
      <c r="B200" s="33">
        <v>3469</v>
      </c>
      <c r="C200" s="19">
        <f t="shared" ref="C200:C211" si="44">E200*C$5/E$5</f>
        <v>116.15177678903113</v>
      </c>
      <c r="D200" s="14">
        <v>337.47</v>
      </c>
      <c r="E200" s="32">
        <f t="shared" ref="E200:E211" si="45">B200*D$382/D200</f>
        <v>809574.6750389965</v>
      </c>
      <c r="F200" s="12">
        <f t="shared" ref="F200:F211" si="46">E200/E187-1</f>
        <v>2.5680122884497614E-2</v>
      </c>
    </row>
    <row r="201" spans="1:6" ht="12.5">
      <c r="A201" s="5" t="s">
        <v>49</v>
      </c>
      <c r="B201" s="33">
        <v>3377</v>
      </c>
      <c r="C201" s="19">
        <f t="shared" si="44"/>
        <v>109.33892687582873</v>
      </c>
      <c r="D201" s="14">
        <v>348.99</v>
      </c>
      <c r="E201" s="32">
        <f t="shared" si="45"/>
        <v>762089.29937756155</v>
      </c>
      <c r="F201" s="12">
        <f t="shared" si="46"/>
        <v>1.1022112240790971E-2</v>
      </c>
    </row>
    <row r="202" spans="1:6" ht="12.5">
      <c r="A202" s="5" t="s">
        <v>50</v>
      </c>
      <c r="B202" s="33">
        <v>3579</v>
      </c>
      <c r="C202" s="19">
        <f t="shared" si="44"/>
        <v>112.94070423688578</v>
      </c>
      <c r="D202" s="14">
        <v>358.07</v>
      </c>
      <c r="E202" s="32">
        <f t="shared" si="45"/>
        <v>787193.58806990576</v>
      </c>
      <c r="F202" s="12">
        <f t="shared" si="46"/>
        <v>3.1287149292144933E-2</v>
      </c>
    </row>
    <row r="203" spans="1:6" ht="12.5">
      <c r="A203" s="5" t="s">
        <v>51</v>
      </c>
      <c r="B203" s="33">
        <v>3547</v>
      </c>
      <c r="C203" s="19">
        <f t="shared" si="44"/>
        <v>109.78168085131405</v>
      </c>
      <c r="D203" s="14">
        <v>365.08</v>
      </c>
      <c r="E203" s="32">
        <f t="shared" si="45"/>
        <v>765175.28235375648</v>
      </c>
      <c r="F203" s="12">
        <f t="shared" si="46"/>
        <v>1.0383459750721746E-2</v>
      </c>
    </row>
    <row r="204" spans="1:6" ht="12.5">
      <c r="A204" s="5" t="s">
        <v>52</v>
      </c>
      <c r="B204" s="33">
        <v>3575</v>
      </c>
      <c r="C204" s="19">
        <f t="shared" si="44"/>
        <v>108.98551254819559</v>
      </c>
      <c r="D204" s="14">
        <v>370.65</v>
      </c>
      <c r="E204" s="32">
        <f t="shared" si="45"/>
        <v>759626.01127851324</v>
      </c>
      <c r="F204" s="12">
        <f t="shared" si="46"/>
        <v>8.655256067952033E-3</v>
      </c>
    </row>
    <row r="205" spans="1:6" ht="12.5">
      <c r="A205" s="5" t="s">
        <v>53</v>
      </c>
      <c r="B205" s="33">
        <v>5323</v>
      </c>
      <c r="C205" s="19">
        <f t="shared" si="44"/>
        <v>160.33613055571996</v>
      </c>
      <c r="D205" s="14">
        <v>375.13</v>
      </c>
      <c r="E205" s="32">
        <f t="shared" si="45"/>
        <v>1117538.4000145164</v>
      </c>
      <c r="F205" s="12">
        <f t="shared" si="46"/>
        <v>1.3935329236594907E-2</v>
      </c>
    </row>
    <row r="206" spans="1:6" ht="12.5">
      <c r="A206" s="5" t="s">
        <v>39</v>
      </c>
      <c r="B206" s="33">
        <v>3797</v>
      </c>
      <c r="C206" s="19">
        <f t="shared" si="44"/>
        <v>112.84278373072743</v>
      </c>
      <c r="D206" s="14">
        <v>380.21</v>
      </c>
      <c r="E206" s="32">
        <f t="shared" si="45"/>
        <v>786511.08484744735</v>
      </c>
      <c r="F206" s="12">
        <f t="shared" si="46"/>
        <v>2.2398063974411908E-2</v>
      </c>
    </row>
    <row r="207" spans="1:6" ht="12.5">
      <c r="A207" s="5" t="s">
        <v>41</v>
      </c>
      <c r="B207" s="33">
        <v>3875</v>
      </c>
      <c r="C207" s="19">
        <f t="shared" si="44"/>
        <v>113.68378744505587</v>
      </c>
      <c r="D207" s="14">
        <v>385.15</v>
      </c>
      <c r="E207" s="32">
        <f t="shared" si="45"/>
        <v>792372.85750005755</v>
      </c>
      <c r="F207" s="12">
        <f t="shared" si="46"/>
        <v>3.2691582156369137E-2</v>
      </c>
    </row>
    <row r="208" spans="1:6" ht="12.5">
      <c r="A208" s="5" t="s">
        <v>42</v>
      </c>
      <c r="B208" s="33">
        <v>4014</v>
      </c>
      <c r="C208" s="19">
        <f t="shared" si="44"/>
        <v>116.44057353509403</v>
      </c>
      <c r="D208" s="14">
        <v>389.52</v>
      </c>
      <c r="E208" s="32">
        <f t="shared" si="45"/>
        <v>811587.58037983207</v>
      </c>
      <c r="F208" s="12">
        <f t="shared" si="46"/>
        <v>3.9108643899472106E-2</v>
      </c>
    </row>
    <row r="209" spans="1:6" ht="12.5">
      <c r="A209" s="5" t="s">
        <v>43</v>
      </c>
      <c r="B209" s="33">
        <v>4056</v>
      </c>
      <c r="C209" s="19">
        <f t="shared" si="44"/>
        <v>114.72541422493306</v>
      </c>
      <c r="D209" s="14">
        <v>399.48</v>
      </c>
      <c r="E209" s="32">
        <f t="shared" si="45"/>
        <v>799632.96737648803</v>
      </c>
      <c r="F209" s="12">
        <f t="shared" si="46"/>
        <v>3.1767062487356057E-2</v>
      </c>
    </row>
    <row r="210" spans="1:6" ht="12.5">
      <c r="A210" s="5" t="s">
        <v>44</v>
      </c>
      <c r="B210" s="33">
        <v>4100</v>
      </c>
      <c r="C210" s="19">
        <f t="shared" si="44"/>
        <v>113.40926221742767</v>
      </c>
      <c r="D210" s="14">
        <v>408.5</v>
      </c>
      <c r="E210" s="32">
        <f t="shared" si="45"/>
        <v>790459.42424840108</v>
      </c>
      <c r="F210" s="12">
        <f t="shared" si="46"/>
        <v>4.1527508294403104E-2</v>
      </c>
    </row>
    <row r="211" spans="1:6" ht="12.5">
      <c r="A211" s="5" t="s">
        <v>45</v>
      </c>
      <c r="B211" s="33">
        <v>6166</v>
      </c>
      <c r="C211" s="19">
        <f t="shared" si="44"/>
        <v>167.34877713395809</v>
      </c>
      <c r="D211" s="14">
        <v>416.33</v>
      </c>
      <c r="E211" s="32">
        <f t="shared" si="45"/>
        <v>1166416.3529110288</v>
      </c>
      <c r="F211" s="12">
        <f t="shared" si="46"/>
        <v>3.5973242501872171E-2</v>
      </c>
    </row>
    <row r="212" spans="1:6" ht="12.5">
      <c r="A212" s="16">
        <v>2011</v>
      </c>
      <c r="B212" s="16"/>
      <c r="C212" s="16"/>
      <c r="D212" s="17"/>
      <c r="E212" s="17"/>
      <c r="F212" s="18"/>
    </row>
    <row r="213" spans="1:6" ht="12.5">
      <c r="A213" s="5" t="s">
        <v>47</v>
      </c>
      <c r="B213" s="33">
        <v>4609</v>
      </c>
      <c r="C213" s="19">
        <f t="shared" ref="C213:C224" si="47">E213*C$5/E$5</f>
        <v>123.21747041403901</v>
      </c>
      <c r="D213" s="14">
        <v>422.66</v>
      </c>
      <c r="E213" s="32">
        <f t="shared" ref="E213:E224" si="48">B213*D$382/D213</f>
        <v>858822.36438584642</v>
      </c>
      <c r="F213" s="12">
        <f t="shared" ref="F213:F224" si="49">E213/E200-1</f>
        <v>6.0831558675520148E-2</v>
      </c>
    </row>
    <row r="214" spans="1:6" ht="12.5">
      <c r="A214" s="5" t="s">
        <v>49</v>
      </c>
      <c r="B214" s="33">
        <v>4365</v>
      </c>
      <c r="C214" s="19">
        <f t="shared" si="47"/>
        <v>115.02608246065692</v>
      </c>
      <c r="D214" s="14">
        <v>428.79</v>
      </c>
      <c r="E214" s="32">
        <f t="shared" si="48"/>
        <v>801728.61667226069</v>
      </c>
      <c r="F214" s="12">
        <f t="shared" si="49"/>
        <v>5.2014005874475133E-2</v>
      </c>
    </row>
    <row r="215" spans="1:6" ht="12.5">
      <c r="A215" s="5" t="s">
        <v>50</v>
      </c>
      <c r="B215" s="33">
        <v>4757</v>
      </c>
      <c r="C215" s="19">
        <f t="shared" si="47"/>
        <v>122.53547720188421</v>
      </c>
      <c r="D215" s="14">
        <v>438.66</v>
      </c>
      <c r="E215" s="32">
        <f t="shared" si="48"/>
        <v>854068.89054005349</v>
      </c>
      <c r="F215" s="12">
        <f t="shared" si="49"/>
        <v>8.4954074173948957E-2</v>
      </c>
    </row>
    <row r="216" spans="1:6" ht="12.5">
      <c r="A216" s="5" t="s">
        <v>51</v>
      </c>
      <c r="B216" s="33">
        <v>4633</v>
      </c>
      <c r="C216" s="19">
        <f t="shared" si="47"/>
        <v>116.84548464584002</v>
      </c>
      <c r="D216" s="14">
        <v>448.03</v>
      </c>
      <c r="E216" s="32">
        <f t="shared" si="48"/>
        <v>814409.79963436199</v>
      </c>
      <c r="F216" s="12">
        <f t="shared" si="49"/>
        <v>6.4344103130403285E-2</v>
      </c>
    </row>
    <row r="217" spans="1:6" ht="12.5">
      <c r="A217" s="5" t="s">
        <v>52</v>
      </c>
      <c r="B217" s="33">
        <v>4862</v>
      </c>
      <c r="C217" s="19">
        <f t="shared" si="47"/>
        <v>120.76642216558135</v>
      </c>
      <c r="D217" s="14">
        <v>454.91</v>
      </c>
      <c r="E217" s="32">
        <f t="shared" si="48"/>
        <v>841738.62581459631</v>
      </c>
      <c r="F217" s="12">
        <f t="shared" si="49"/>
        <v>0.10809610692224814</v>
      </c>
    </row>
    <row r="218" spans="1:6" ht="12.5">
      <c r="A218" s="5" t="s">
        <v>53</v>
      </c>
      <c r="B218" s="33">
        <v>7043</v>
      </c>
      <c r="C218" s="19">
        <f t="shared" si="47"/>
        <v>172.60268701922658</v>
      </c>
      <c r="D218" s="14">
        <v>461.07</v>
      </c>
      <c r="E218" s="32">
        <f t="shared" si="48"/>
        <v>1203035.9596500285</v>
      </c>
      <c r="F218" s="12">
        <f t="shared" si="49"/>
        <v>7.6505254436358916E-2</v>
      </c>
    </row>
    <row r="219" spans="1:6" ht="12.5">
      <c r="A219" s="5" t="s">
        <v>39</v>
      </c>
      <c r="B219" s="33">
        <v>5020</v>
      </c>
      <c r="C219" s="19">
        <f t="shared" si="47"/>
        <v>120.69015051768741</v>
      </c>
      <c r="D219" s="14">
        <v>469.99</v>
      </c>
      <c r="E219" s="32">
        <f t="shared" si="48"/>
        <v>841207.01453609997</v>
      </c>
      <c r="F219" s="12">
        <f t="shared" si="49"/>
        <v>6.954247783966272E-2</v>
      </c>
    </row>
    <row r="220" spans="1:6" ht="12.5">
      <c r="A220" s="5" t="s">
        <v>41</v>
      </c>
      <c r="B220" s="33">
        <v>5115</v>
      </c>
      <c r="C220" s="19">
        <f t="shared" si="47"/>
        <v>120.67609756857125</v>
      </c>
      <c r="D220" s="14">
        <v>478.94</v>
      </c>
      <c r="E220" s="32">
        <f t="shared" si="48"/>
        <v>841109.06586903217</v>
      </c>
      <c r="F220" s="12">
        <f t="shared" si="49"/>
        <v>6.1506660542030245E-2</v>
      </c>
    </row>
    <row r="221" spans="1:6" ht="12.5">
      <c r="A221" s="5" t="s">
        <v>42</v>
      </c>
      <c r="B221" s="33">
        <v>5277</v>
      </c>
      <c r="C221" s="19">
        <f t="shared" si="47"/>
        <v>122.26940070963516</v>
      </c>
      <c r="D221" s="14">
        <v>487.67</v>
      </c>
      <c r="E221" s="32">
        <f t="shared" si="48"/>
        <v>852214.34474055818</v>
      </c>
      <c r="F221" s="12">
        <f t="shared" si="49"/>
        <v>5.0058385986774701E-2</v>
      </c>
    </row>
    <row r="222" spans="1:6" ht="12.5">
      <c r="A222" s="5" t="s">
        <v>43</v>
      </c>
      <c r="B222" s="33">
        <v>5333</v>
      </c>
      <c r="C222" s="19">
        <f t="shared" si="47"/>
        <v>122.33026188723044</v>
      </c>
      <c r="D222" s="14">
        <v>492.6</v>
      </c>
      <c r="E222" s="32">
        <f t="shared" si="48"/>
        <v>852638.54546685156</v>
      </c>
      <c r="F222" s="12">
        <f t="shared" si="49"/>
        <v>6.6287384653823445E-2</v>
      </c>
    </row>
    <row r="223" spans="1:6" ht="12.5">
      <c r="A223" s="5" t="s">
        <v>44</v>
      </c>
      <c r="B223" s="33">
        <v>5403</v>
      </c>
      <c r="C223" s="19">
        <f t="shared" si="47"/>
        <v>121.81421337169702</v>
      </c>
      <c r="D223" s="14">
        <v>501.18</v>
      </c>
      <c r="E223" s="32">
        <f t="shared" si="48"/>
        <v>849041.70157159073</v>
      </c>
      <c r="F223" s="12">
        <f t="shared" si="49"/>
        <v>7.4111681796813267E-2</v>
      </c>
    </row>
    <row r="224" spans="1:6" ht="12.5">
      <c r="A224" s="5" t="s">
        <v>45</v>
      </c>
      <c r="B224" s="33">
        <v>8130</v>
      </c>
      <c r="C224" s="19">
        <f t="shared" si="47"/>
        <v>180.05567773355742</v>
      </c>
      <c r="D224" s="14">
        <v>510.2</v>
      </c>
      <c r="E224" s="32">
        <f t="shared" si="48"/>
        <v>1254983.0990087511</v>
      </c>
      <c r="F224" s="12">
        <f t="shared" si="49"/>
        <v>7.5930645070849678E-2</v>
      </c>
    </row>
    <row r="225" spans="1:6" ht="12.5">
      <c r="A225" s="16">
        <v>2012</v>
      </c>
      <c r="B225" s="16"/>
      <c r="C225" s="16"/>
      <c r="D225" s="17"/>
      <c r="E225" s="17"/>
      <c r="F225" s="18"/>
    </row>
    <row r="226" spans="1:6" ht="12.5">
      <c r="A226" s="5" t="s">
        <v>47</v>
      </c>
      <c r="B226" s="33">
        <v>6028</v>
      </c>
      <c r="C226" s="19">
        <f t="shared" ref="C226:C237" si="50">E226*C$5/E$5</f>
        <v>131.75424947343649</v>
      </c>
      <c r="D226" s="14">
        <v>516.97</v>
      </c>
      <c r="E226" s="32">
        <f t="shared" ref="E226:E237" si="51">B226*D$382/D226</f>
        <v>918323.47856547986</v>
      </c>
      <c r="F226" s="12">
        <f t="shared" ref="F226:F237" si="52">E226/E213-1</f>
        <v>6.928221323414574E-2</v>
      </c>
    </row>
    <row r="227" spans="1:6" ht="12.5">
      <c r="A227" s="5" t="s">
        <v>49</v>
      </c>
      <c r="B227" s="33">
        <v>5825</v>
      </c>
      <c r="C227" s="19">
        <f t="shared" si="50"/>
        <v>125.83731773166623</v>
      </c>
      <c r="D227" s="14">
        <v>523.04999999999995</v>
      </c>
      <c r="E227" s="32">
        <f t="shared" si="51"/>
        <v>877082.62780542532</v>
      </c>
      <c r="F227" s="12">
        <f t="shared" si="52"/>
        <v>9.3989424309109726E-2</v>
      </c>
    </row>
    <row r="228" spans="1:6" ht="12.5">
      <c r="A228" s="5" t="s">
        <v>50</v>
      </c>
      <c r="B228" s="33">
        <v>6145</v>
      </c>
      <c r="C228" s="19">
        <f t="shared" si="50"/>
        <v>129.15261383242355</v>
      </c>
      <c r="D228" s="14">
        <v>537.62</v>
      </c>
      <c r="E228" s="32">
        <f t="shared" si="51"/>
        <v>900190.15002872841</v>
      </c>
      <c r="F228" s="12">
        <f t="shared" si="52"/>
        <v>5.400180243014252E-2</v>
      </c>
    </row>
    <row r="229" spans="1:6" ht="12.5">
      <c r="A229" s="5" t="s">
        <v>51</v>
      </c>
      <c r="B229" s="33">
        <v>6087</v>
      </c>
      <c r="C229" s="19">
        <f t="shared" si="50"/>
        <v>124.59857795501738</v>
      </c>
      <c r="D229" s="14">
        <v>552.01</v>
      </c>
      <c r="E229" s="32">
        <f t="shared" si="51"/>
        <v>868448.64578757063</v>
      </c>
      <c r="F229" s="12">
        <f t="shared" si="52"/>
        <v>6.6353383981221592E-2</v>
      </c>
    </row>
    <row r="230" spans="1:6" ht="12.5">
      <c r="A230" s="5" t="s">
        <v>52</v>
      </c>
      <c r="B230" s="33">
        <v>6278</v>
      </c>
      <c r="C230" s="19">
        <f t="shared" si="50"/>
        <v>126.44893602022213</v>
      </c>
      <c r="D230" s="14">
        <v>561</v>
      </c>
      <c r="E230" s="32">
        <f t="shared" si="51"/>
        <v>881345.59037813661</v>
      </c>
      <c r="F230" s="12">
        <f t="shared" si="52"/>
        <v>4.7053756770649047E-2</v>
      </c>
    </row>
    <row r="231" spans="1:6" ht="12.5">
      <c r="A231" s="5" t="s">
        <v>53</v>
      </c>
      <c r="B231" s="33">
        <v>9107</v>
      </c>
      <c r="C231" s="19">
        <f t="shared" si="50"/>
        <v>180.38451592942639</v>
      </c>
      <c r="D231" s="14">
        <v>570.47</v>
      </c>
      <c r="E231" s="32">
        <f t="shared" si="51"/>
        <v>1257275.0921484218</v>
      </c>
      <c r="F231" s="12">
        <f t="shared" si="52"/>
        <v>4.5085213009070646E-2</v>
      </c>
    </row>
    <row r="232" spans="1:6" ht="12.5">
      <c r="A232" s="5" t="s">
        <v>39</v>
      </c>
      <c r="B232" s="33">
        <v>6612</v>
      </c>
      <c r="C232" s="19">
        <f t="shared" si="50"/>
        <v>126.98109082172724</v>
      </c>
      <c r="D232" s="14">
        <v>588.37</v>
      </c>
      <c r="E232" s="32">
        <f t="shared" si="51"/>
        <v>885054.69464161631</v>
      </c>
      <c r="F232" s="12">
        <f t="shared" si="52"/>
        <v>5.2124720012822312E-2</v>
      </c>
    </row>
    <row r="233" spans="1:6" ht="12.5">
      <c r="A233" s="5" t="s">
        <v>41</v>
      </c>
      <c r="B233" s="33">
        <v>6610</v>
      </c>
      <c r="C233" s="19">
        <f t="shared" si="50"/>
        <v>124.56099785984982</v>
      </c>
      <c r="D233" s="14">
        <v>599.62</v>
      </c>
      <c r="E233" s="32">
        <f t="shared" si="51"/>
        <v>868186.71356256073</v>
      </c>
      <c r="F233" s="12">
        <f t="shared" si="52"/>
        <v>3.2192790200818999E-2</v>
      </c>
    </row>
    <row r="234" spans="1:6" ht="12.5">
      <c r="A234" s="5" t="s">
        <v>42</v>
      </c>
      <c r="B234" s="33">
        <v>6696</v>
      </c>
      <c r="C234" s="19">
        <f t="shared" si="50"/>
        <v>123.98160939460645</v>
      </c>
      <c r="D234" s="14">
        <v>610.26</v>
      </c>
      <c r="E234" s="32">
        <f t="shared" si="51"/>
        <v>864148.39196785353</v>
      </c>
      <c r="F234" s="12">
        <f t="shared" si="52"/>
        <v>1.4003574688628895E-2</v>
      </c>
    </row>
    <row r="235" spans="1:6" ht="12.5">
      <c r="A235" s="5" t="s">
        <v>43</v>
      </c>
      <c r="B235" s="33">
        <v>6859</v>
      </c>
      <c r="C235" s="19">
        <f t="shared" si="50"/>
        <v>125.1074672048896</v>
      </c>
      <c r="D235" s="14">
        <v>619.49</v>
      </c>
      <c r="E235" s="32">
        <f t="shared" si="51"/>
        <v>871995.5897989776</v>
      </c>
      <c r="F235" s="12">
        <f t="shared" si="52"/>
        <v>2.2702520822029282E-2</v>
      </c>
    </row>
    <row r="236" spans="1:6" ht="12.5">
      <c r="A236" s="5" t="s">
        <v>44</v>
      </c>
      <c r="B236" s="33">
        <v>7006</v>
      </c>
      <c r="C236" s="19">
        <f t="shared" si="50"/>
        <v>125.55724315290972</v>
      </c>
      <c r="D236" s="14">
        <v>630.5</v>
      </c>
      <c r="E236" s="32">
        <f t="shared" si="51"/>
        <v>875130.51572972885</v>
      </c>
      <c r="F236" s="12">
        <f t="shared" si="52"/>
        <v>3.0727364874831631E-2</v>
      </c>
    </row>
    <row r="237" spans="1:6" ht="12.5">
      <c r="A237" s="5" t="s">
        <v>45</v>
      </c>
      <c r="B237" s="33">
        <v>10426</v>
      </c>
      <c r="C237" s="19">
        <f t="shared" si="50"/>
        <v>183.82497168617621</v>
      </c>
      <c r="D237" s="14">
        <v>640.87</v>
      </c>
      <c r="E237" s="32">
        <f t="shared" si="51"/>
        <v>1281254.9737159316</v>
      </c>
      <c r="F237" s="12">
        <f t="shared" si="52"/>
        <v>2.0934046624158764E-2</v>
      </c>
    </row>
    <row r="238" spans="1:6" ht="12.5">
      <c r="A238" s="16">
        <v>2013</v>
      </c>
      <c r="B238" s="16"/>
      <c r="C238" s="16"/>
      <c r="D238" s="17"/>
      <c r="E238" s="17"/>
      <c r="F238" s="18"/>
    </row>
    <row r="239" spans="1:6" ht="12.5">
      <c r="A239" s="5" t="s">
        <v>47</v>
      </c>
      <c r="B239" s="33">
        <v>7723</v>
      </c>
      <c r="C239" s="19">
        <f t="shared" ref="C239:C250" si="53">E239*C$5/E$5</f>
        <v>133.32956978986388</v>
      </c>
      <c r="D239" s="14">
        <v>654.51</v>
      </c>
      <c r="E239" s="32">
        <f t="shared" ref="E239:E250" si="54">B239*D$382/D239</f>
        <v>929303.41764614033</v>
      </c>
      <c r="F239" s="12">
        <f t="shared" ref="F239:F250" si="55">E239/E226-1</f>
        <v>1.195650480134991E-2</v>
      </c>
    </row>
    <row r="240" spans="1:6" ht="12.5">
      <c r="A240" s="5" t="s">
        <v>49</v>
      </c>
      <c r="B240" s="33">
        <v>7427</v>
      </c>
      <c r="C240" s="19">
        <f t="shared" si="53"/>
        <v>126.32412197974237</v>
      </c>
      <c r="D240" s="14">
        <v>664.33</v>
      </c>
      <c r="E240" s="32">
        <f t="shared" si="54"/>
        <v>880475.63996450463</v>
      </c>
      <c r="F240" s="12">
        <f t="shared" si="55"/>
        <v>3.8685205378756748E-3</v>
      </c>
    </row>
    <row r="241" spans="1:6" ht="12.5">
      <c r="A241" s="5" t="s">
        <v>50</v>
      </c>
      <c r="B241" s="33">
        <v>7840</v>
      </c>
      <c r="C241" s="19">
        <f t="shared" si="53"/>
        <v>130.99050794994591</v>
      </c>
      <c r="D241" s="14">
        <v>676.29</v>
      </c>
      <c r="E241" s="32">
        <f t="shared" si="54"/>
        <v>913000.22124831693</v>
      </c>
      <c r="F241" s="12">
        <f t="shared" si="55"/>
        <v>1.4230405897220466E-2</v>
      </c>
    </row>
    <row r="242" spans="1:6" ht="12.5">
      <c r="A242" s="5" t="s">
        <v>51</v>
      </c>
      <c r="B242" s="33">
        <v>7731</v>
      </c>
      <c r="C242" s="19">
        <f t="shared" si="53"/>
        <v>126.9837515494161</v>
      </c>
      <c r="D242" s="14">
        <v>687.93</v>
      </c>
      <c r="E242" s="32">
        <f t="shared" si="54"/>
        <v>885073.23984009388</v>
      </c>
      <c r="F242" s="12">
        <f t="shared" si="55"/>
        <v>1.9142863695120305E-2</v>
      </c>
    </row>
    <row r="243" spans="1:6" ht="12.5">
      <c r="A243" s="5" t="s">
        <v>52</v>
      </c>
      <c r="B243" s="33">
        <v>8038</v>
      </c>
      <c r="C243" s="19">
        <f t="shared" si="53"/>
        <v>129.95959013416248</v>
      </c>
      <c r="D243" s="14">
        <v>698.87</v>
      </c>
      <c r="E243" s="32">
        <f t="shared" si="54"/>
        <v>905814.75255573983</v>
      </c>
      <c r="F243" s="12">
        <f t="shared" si="55"/>
        <v>2.7763413631087586E-2</v>
      </c>
    </row>
    <row r="244" spans="1:6" ht="12.5">
      <c r="A244" s="5" t="s">
        <v>53</v>
      </c>
      <c r="B244" s="33">
        <v>11546</v>
      </c>
      <c r="C244" s="19">
        <f t="shared" si="53"/>
        <v>182.80872801636377</v>
      </c>
      <c r="D244" s="14">
        <v>713.66</v>
      </c>
      <c r="E244" s="32">
        <f t="shared" si="54"/>
        <v>1274171.7834153376</v>
      </c>
      <c r="F244" s="12">
        <f t="shared" si="55"/>
        <v>1.3439136249842276E-2</v>
      </c>
    </row>
    <row r="245" spans="1:6" ht="12.5">
      <c r="A245" s="5" t="s">
        <v>39</v>
      </c>
      <c r="B245" s="33">
        <v>8365</v>
      </c>
      <c r="C245" s="19">
        <f t="shared" si="53"/>
        <v>129.05661466063086</v>
      </c>
      <c r="D245" s="14">
        <v>732.39</v>
      </c>
      <c r="E245" s="32">
        <f t="shared" si="54"/>
        <v>899521.03845371329</v>
      </c>
      <c r="F245" s="12">
        <f t="shared" si="55"/>
        <v>1.6345141040074118E-2</v>
      </c>
    </row>
    <row r="246" spans="1:6" ht="12.5">
      <c r="A246" s="5" t="s">
        <v>41</v>
      </c>
      <c r="B246" s="33">
        <v>8291</v>
      </c>
      <c r="C246" s="19">
        <f t="shared" si="53"/>
        <v>125.24045268132166</v>
      </c>
      <c r="D246" s="14">
        <v>748.03</v>
      </c>
      <c r="E246" s="32">
        <f t="shared" si="54"/>
        <v>872922.49489542691</v>
      </c>
      <c r="F246" s="12">
        <f t="shared" si="55"/>
        <v>5.4547959083974806E-3</v>
      </c>
    </row>
    <row r="247" spans="1:6" ht="12.5">
      <c r="A247" s="5" t="s">
        <v>42</v>
      </c>
      <c r="B247" s="33">
        <v>8459</v>
      </c>
      <c r="C247" s="19">
        <f t="shared" si="53"/>
        <v>125.14981656578782</v>
      </c>
      <c r="D247" s="14">
        <v>763.74</v>
      </c>
      <c r="E247" s="32">
        <f t="shared" si="54"/>
        <v>872290.7636743593</v>
      </c>
      <c r="F247" s="12">
        <f t="shared" si="55"/>
        <v>9.4224230261701347E-3</v>
      </c>
    </row>
    <row r="248" spans="1:6" ht="12.5">
      <c r="A248" s="5" t="s">
        <v>43</v>
      </c>
      <c r="B248" s="33">
        <v>8638</v>
      </c>
      <c r="C248" s="19">
        <f t="shared" si="53"/>
        <v>124.86825445079867</v>
      </c>
      <c r="D248" s="14">
        <v>781.66</v>
      </c>
      <c r="E248" s="32">
        <f t="shared" si="54"/>
        <v>870328.28351222072</v>
      </c>
      <c r="F248" s="12">
        <f t="shared" si="55"/>
        <v>-1.9120581643552459E-3</v>
      </c>
    </row>
    <row r="249" spans="1:6" ht="12.5">
      <c r="A249" s="5" t="s">
        <v>44</v>
      </c>
      <c r="B249" s="33">
        <v>8787</v>
      </c>
      <c r="C249" s="19">
        <f t="shared" si="53"/>
        <v>123.99237673362846</v>
      </c>
      <c r="D249" s="14">
        <v>800.76</v>
      </c>
      <c r="E249" s="32">
        <f t="shared" si="54"/>
        <v>864223.44002334401</v>
      </c>
      <c r="F249" s="12">
        <f t="shared" si="55"/>
        <v>-1.2463370332012613E-2</v>
      </c>
    </row>
    <row r="250" spans="1:6" ht="12.5">
      <c r="A250" s="5" t="s">
        <v>45</v>
      </c>
      <c r="B250" s="33">
        <v>13175</v>
      </c>
      <c r="C250" s="19">
        <f t="shared" si="53"/>
        <v>181.48687825763778</v>
      </c>
      <c r="D250" s="14">
        <v>820.28</v>
      </c>
      <c r="E250" s="32">
        <f t="shared" si="54"/>
        <v>1264958.5271186673</v>
      </c>
      <c r="F250" s="12">
        <f t="shared" si="55"/>
        <v>-1.2719128457313156E-2</v>
      </c>
    </row>
    <row r="251" spans="1:6" ht="12.5">
      <c r="A251" s="16">
        <v>2014</v>
      </c>
      <c r="B251" s="16"/>
      <c r="C251" s="16"/>
      <c r="D251" s="17"/>
      <c r="E251" s="17"/>
      <c r="F251" s="18"/>
    </row>
    <row r="252" spans="1:6" ht="12.5">
      <c r="A252" s="5" t="s">
        <v>47</v>
      </c>
      <c r="B252" s="13">
        <v>9713</v>
      </c>
      <c r="C252" s="19">
        <f t="shared" ref="C252:C263" si="56">E252*C$5/E$5</f>
        <v>127.64018425234461</v>
      </c>
      <c r="D252" s="14">
        <v>859.85</v>
      </c>
      <c r="E252" s="32">
        <f t="shared" ref="E252:E263" si="57">B252*D$382/D252</f>
        <v>889648.55764279584</v>
      </c>
      <c r="F252" s="12">
        <f t="shared" ref="F252:F263" si="58">E252/E239-1</f>
        <v>-4.2671596004443257E-2</v>
      </c>
    </row>
    <row r="253" spans="1:6" ht="12.5">
      <c r="A253" s="5" t="s">
        <v>49</v>
      </c>
      <c r="B253" s="13">
        <v>9428</v>
      </c>
      <c r="C253" s="19">
        <f t="shared" si="56"/>
        <v>118.51534514765893</v>
      </c>
      <c r="D253" s="14">
        <v>898.88</v>
      </c>
      <c r="E253" s="32">
        <f t="shared" si="57"/>
        <v>826048.68119513185</v>
      </c>
      <c r="F253" s="12">
        <f t="shared" si="58"/>
        <v>-6.1815405559166758E-2</v>
      </c>
    </row>
    <row r="254" spans="1:6" ht="12.5">
      <c r="A254" s="5" t="s">
        <v>50</v>
      </c>
      <c r="B254" s="13">
        <v>10097</v>
      </c>
      <c r="C254" s="19">
        <f t="shared" si="56"/>
        <v>122.64883090046007</v>
      </c>
      <c r="D254" s="14">
        <v>930.22</v>
      </c>
      <c r="E254" s="32">
        <f t="shared" si="57"/>
        <v>854858.96268725547</v>
      </c>
      <c r="F254" s="12">
        <f t="shared" si="58"/>
        <v>-6.3681538304083518E-2</v>
      </c>
    </row>
    <row r="255" spans="1:6" ht="12.5">
      <c r="A255" s="5" t="s">
        <v>51</v>
      </c>
      <c r="B255" s="13">
        <v>10327</v>
      </c>
      <c r="C255" s="19">
        <f t="shared" si="56"/>
        <v>121.74789038209936</v>
      </c>
      <c r="D255" s="14">
        <v>958.45</v>
      </c>
      <c r="E255" s="32">
        <f t="shared" si="57"/>
        <v>848579.43216654612</v>
      </c>
      <c r="F255" s="12">
        <f t="shared" si="58"/>
        <v>-4.1232528598583618E-2</v>
      </c>
    </row>
    <row r="256" spans="1:6" ht="12.5">
      <c r="A256" s="5" t="s">
        <v>52</v>
      </c>
      <c r="B256" s="13">
        <v>10399</v>
      </c>
      <c r="C256" s="19">
        <f t="shared" si="56"/>
        <v>119.63593355402533</v>
      </c>
      <c r="D256" s="14">
        <v>982.17</v>
      </c>
      <c r="E256" s="32">
        <f t="shared" si="57"/>
        <v>833859.15142654546</v>
      </c>
      <c r="F256" s="12">
        <f t="shared" si="58"/>
        <v>-7.9437435663498479E-2</v>
      </c>
    </row>
    <row r="257" spans="1:6" ht="12.5">
      <c r="A257" s="5" t="s">
        <v>53</v>
      </c>
      <c r="B257" s="13">
        <v>15007</v>
      </c>
      <c r="C257" s="19">
        <f t="shared" si="56"/>
        <v>168.94047350276122</v>
      </c>
      <c r="D257" s="14">
        <v>1003.73</v>
      </c>
      <c r="E257" s="32">
        <f t="shared" si="57"/>
        <v>1177510.4326242907</v>
      </c>
      <c r="F257" s="12">
        <f t="shared" si="58"/>
        <v>-7.5862102778600393E-2</v>
      </c>
    </row>
    <row r="258" spans="1:6" ht="12.5">
      <c r="A258" s="5" t="s">
        <v>54</v>
      </c>
      <c r="B258" s="33">
        <v>11094</v>
      </c>
      <c r="C258" s="19">
        <f t="shared" si="56"/>
        <v>121.9830995021552</v>
      </c>
      <c r="D258" s="14">
        <v>1027.6500000000001</v>
      </c>
      <c r="E258" s="32">
        <f t="shared" si="57"/>
        <v>850218.83323469583</v>
      </c>
      <c r="F258" s="12">
        <f t="shared" si="58"/>
        <v>-5.4809396458106785E-2</v>
      </c>
    </row>
    <row r="259" spans="1:6" ht="12.5">
      <c r="A259" s="5" t="s">
        <v>41</v>
      </c>
      <c r="B259" s="13">
        <v>11002</v>
      </c>
      <c r="C259" s="19">
        <f t="shared" si="56"/>
        <v>118.27152646325405</v>
      </c>
      <c r="D259" s="14">
        <v>1051.1099999999999</v>
      </c>
      <c r="E259" s="32">
        <f t="shared" si="57"/>
        <v>824349.27170134464</v>
      </c>
      <c r="F259" s="12">
        <f t="shared" si="58"/>
        <v>-5.5644371038807039E-2</v>
      </c>
    </row>
    <row r="260" spans="1:6" ht="12.5">
      <c r="A260" s="5" t="s">
        <v>42</v>
      </c>
      <c r="B260" s="13">
        <v>11383</v>
      </c>
      <c r="C260" s="19">
        <f t="shared" si="56"/>
        <v>119.57224167647782</v>
      </c>
      <c r="D260" s="14">
        <v>1075.68</v>
      </c>
      <c r="E260" s="32">
        <f t="shared" si="57"/>
        <v>833415.22079979489</v>
      </c>
      <c r="F260" s="12">
        <f t="shared" si="58"/>
        <v>-4.456718389497627E-2</v>
      </c>
    </row>
    <row r="261" spans="1:6" ht="12.5">
      <c r="A261" s="5" t="s">
        <v>43</v>
      </c>
      <c r="B261" s="13">
        <v>11735</v>
      </c>
      <c r="C261" s="19">
        <f t="shared" si="56"/>
        <v>121.16678398729579</v>
      </c>
      <c r="D261" s="14">
        <v>1094.3499999999999</v>
      </c>
      <c r="E261" s="32">
        <f t="shared" si="57"/>
        <v>844529.1366502695</v>
      </c>
      <c r="F261" s="12">
        <f t="shared" si="58"/>
        <v>-2.9643006381268489E-2</v>
      </c>
    </row>
    <row r="262" spans="1:6" ht="12.5">
      <c r="A262" s="5" t="s">
        <v>44</v>
      </c>
      <c r="B262" s="13">
        <v>11850</v>
      </c>
      <c r="C262" s="19">
        <f t="shared" si="56"/>
        <v>120.11078775800441</v>
      </c>
      <c r="D262" s="14">
        <v>1114.79</v>
      </c>
      <c r="E262" s="32">
        <f t="shared" si="57"/>
        <v>837168.87210843852</v>
      </c>
      <c r="F262" s="12">
        <f t="shared" si="58"/>
        <v>-3.1305061471342044E-2</v>
      </c>
    </row>
    <row r="263" spans="1:6" ht="12.5">
      <c r="A263" s="5" t="s">
        <v>45</v>
      </c>
      <c r="B263" s="13">
        <v>17752</v>
      </c>
      <c r="C263" s="19">
        <f t="shared" si="56"/>
        <v>177.35574197956561</v>
      </c>
      <c r="D263" s="14">
        <v>1130.99</v>
      </c>
      <c r="E263" s="32">
        <f t="shared" si="57"/>
        <v>1236164.6214004904</v>
      </c>
      <c r="F263" s="12">
        <f t="shared" si="58"/>
        <v>-2.2762727078304956E-2</v>
      </c>
    </row>
    <row r="264" spans="1:6" ht="12.5">
      <c r="A264" s="16">
        <v>2015</v>
      </c>
      <c r="B264" s="16"/>
      <c r="C264" s="16"/>
      <c r="D264" s="17"/>
      <c r="E264" s="17"/>
      <c r="F264" s="18"/>
    </row>
    <row r="265" spans="1:6" ht="12.5">
      <c r="A265" s="5" t="s">
        <v>47</v>
      </c>
      <c r="B265" s="13">
        <v>13090</v>
      </c>
      <c r="C265" s="19">
        <f t="shared" ref="C265:C276" si="59">E265*C$5/E$5</f>
        <v>128.26126182135985</v>
      </c>
      <c r="D265" s="14">
        <v>1153.19</v>
      </c>
      <c r="E265" s="32">
        <f t="shared" ref="E265:E276" si="60">B265*D$382/D265</f>
        <v>893977.45113895636</v>
      </c>
      <c r="F265" s="12">
        <f t="shared" ref="F265:F276" si="61">E265/E252-1</f>
        <v>4.8658466975208814E-3</v>
      </c>
    </row>
    <row r="266" spans="1:6" ht="12.5">
      <c r="A266" s="5" t="s">
        <v>49</v>
      </c>
      <c r="B266" s="13">
        <v>12695</v>
      </c>
      <c r="C266" s="19">
        <f t="shared" si="59"/>
        <v>122.61837115861367</v>
      </c>
      <c r="D266" s="14">
        <v>1169.8599999999999</v>
      </c>
      <c r="E266" s="32">
        <f t="shared" si="60"/>
        <v>854646.65912816441</v>
      </c>
      <c r="F266" s="12">
        <f t="shared" si="61"/>
        <v>3.4620208934486474E-2</v>
      </c>
    </row>
    <row r="267" spans="1:6" ht="12.5">
      <c r="A267" s="5" t="s">
        <v>50</v>
      </c>
      <c r="B267" s="13">
        <v>13338</v>
      </c>
      <c r="C267" s="19">
        <f t="shared" si="59"/>
        <v>126.67843224185492</v>
      </c>
      <c r="D267" s="14">
        <v>1189.72</v>
      </c>
      <c r="E267" s="32">
        <f t="shared" si="60"/>
        <v>882945.17270212038</v>
      </c>
      <c r="F267" s="12">
        <f t="shared" si="61"/>
        <v>3.2854788030268312E-2</v>
      </c>
    </row>
    <row r="268" spans="1:6" ht="12.5">
      <c r="A268" s="5" t="s">
        <v>51</v>
      </c>
      <c r="B268" s="13">
        <v>13093</v>
      </c>
      <c r="C268" s="19">
        <f t="shared" si="59"/>
        <v>121.55910013956594</v>
      </c>
      <c r="D268" s="14">
        <v>1217.05</v>
      </c>
      <c r="E268" s="32">
        <f t="shared" si="60"/>
        <v>847263.56939221139</v>
      </c>
      <c r="F268" s="12">
        <f t="shared" si="61"/>
        <v>-1.5506654114573193E-3</v>
      </c>
    </row>
    <row r="269" spans="1:6" ht="12.5">
      <c r="A269" s="5" t="s">
        <v>52</v>
      </c>
      <c r="B269" s="13">
        <v>13455</v>
      </c>
      <c r="C269" s="19">
        <f t="shared" si="59"/>
        <v>122.23241355599707</v>
      </c>
      <c r="D269" s="14">
        <v>1243.81</v>
      </c>
      <c r="E269" s="32">
        <f t="shared" si="60"/>
        <v>851956.54530162609</v>
      </c>
      <c r="F269" s="12">
        <f t="shared" si="61"/>
        <v>2.1703178341474061E-2</v>
      </c>
    </row>
    <row r="270" spans="1:6" ht="12.5">
      <c r="A270" s="5" t="s">
        <v>53</v>
      </c>
      <c r="B270" s="13">
        <v>20157</v>
      </c>
      <c r="C270" s="19">
        <f t="shared" si="59"/>
        <v>180.6149780057784</v>
      </c>
      <c r="D270" s="14">
        <v>1261.04</v>
      </c>
      <c r="E270" s="32">
        <f t="shared" si="60"/>
        <v>1258881.4064531128</v>
      </c>
      <c r="F270" s="12">
        <f t="shared" si="61"/>
        <v>6.9104248738987906E-2</v>
      </c>
    </row>
    <row r="271" spans="1:6" ht="12.5">
      <c r="A271" s="5" t="s">
        <v>39</v>
      </c>
      <c r="B271" s="13">
        <v>14584</v>
      </c>
      <c r="C271" s="19">
        <f t="shared" si="59"/>
        <v>128.07454880154924</v>
      </c>
      <c r="D271" s="14">
        <v>1286.68</v>
      </c>
      <c r="E271" s="32">
        <f t="shared" si="60"/>
        <v>892676.06654960767</v>
      </c>
      <c r="F271" s="12">
        <f t="shared" si="61"/>
        <v>4.9936829972798247E-2</v>
      </c>
    </row>
    <row r="272" spans="1:6" ht="12.5">
      <c r="A272" s="5" t="s">
        <v>41</v>
      </c>
      <c r="B272" s="13">
        <v>14434</v>
      </c>
      <c r="C272" s="19">
        <f t="shared" si="59"/>
        <v>124.46089436801948</v>
      </c>
      <c r="D272" s="14">
        <v>1310.42</v>
      </c>
      <c r="E272" s="32">
        <f t="shared" si="60"/>
        <v>867488.99499028246</v>
      </c>
      <c r="F272" s="12">
        <f t="shared" si="61"/>
        <v>5.2331851036761856E-2</v>
      </c>
    </row>
    <row r="273" spans="1:6" ht="12.5">
      <c r="A273" s="5" t="s">
        <v>42</v>
      </c>
      <c r="B273" s="13">
        <v>14958</v>
      </c>
      <c r="C273" s="19">
        <f t="shared" si="59"/>
        <v>126.81438872781335</v>
      </c>
      <c r="D273" s="14">
        <v>1332.79</v>
      </c>
      <c r="E273" s="32">
        <f t="shared" si="60"/>
        <v>883892.78565288184</v>
      </c>
      <c r="F273" s="12">
        <f t="shared" si="61"/>
        <v>6.0567126197486054E-2</v>
      </c>
    </row>
    <row r="274" spans="1:6" ht="12.5">
      <c r="A274" s="5" t="s">
        <v>43</v>
      </c>
      <c r="B274" s="13">
        <v>15014</v>
      </c>
      <c r="C274" s="19">
        <f t="shared" si="59"/>
        <v>125.1944280557928</v>
      </c>
      <c r="D274" s="14">
        <v>1355.09</v>
      </c>
      <c r="E274" s="32">
        <f t="shared" si="60"/>
        <v>872601.70452711429</v>
      </c>
      <c r="F274" s="12">
        <f t="shared" si="61"/>
        <v>3.3240496578000212E-2</v>
      </c>
    </row>
    <row r="275" spans="1:6" ht="12.5">
      <c r="A275" s="5" t="s">
        <v>44</v>
      </c>
      <c r="B275" s="13">
        <v>15304</v>
      </c>
      <c r="C275" s="19">
        <f t="shared" si="59"/>
        <v>125.1476745012349</v>
      </c>
      <c r="D275" s="14">
        <v>1381.78</v>
      </c>
      <c r="E275" s="32">
        <f t="shared" si="60"/>
        <v>872275.83354360901</v>
      </c>
      <c r="F275" s="12">
        <f t="shared" si="61"/>
        <v>4.1935340174261926E-2</v>
      </c>
    </row>
    <row r="276" spans="1:6" ht="12.5">
      <c r="A276" s="5" t="s">
        <v>45</v>
      </c>
      <c r="B276" s="13">
        <v>23204</v>
      </c>
      <c r="C276" s="19">
        <f t="shared" si="59"/>
        <v>182.58629265905765</v>
      </c>
      <c r="D276" s="14">
        <v>1435.99</v>
      </c>
      <c r="E276" s="32">
        <f t="shared" si="60"/>
        <v>1272621.4151206245</v>
      </c>
      <c r="F276" s="12">
        <f t="shared" si="61"/>
        <v>2.9491859813000509E-2</v>
      </c>
    </row>
    <row r="277" spans="1:6" ht="12.5">
      <c r="A277" s="16">
        <v>2016</v>
      </c>
      <c r="B277" s="16"/>
      <c r="C277" s="16"/>
      <c r="D277" s="17"/>
      <c r="E277" s="17"/>
      <c r="F277" s="18"/>
    </row>
    <row r="278" spans="1:6" ht="12.5">
      <c r="A278" s="5" t="s">
        <v>47</v>
      </c>
      <c r="B278" s="13">
        <v>16866</v>
      </c>
      <c r="C278" s="19">
        <f t="shared" ref="C278:C289" si="62">E278*C$5/E$5</f>
        <v>127.3641632993435</v>
      </c>
      <c r="D278" s="14">
        <v>1496.31</v>
      </c>
      <c r="E278" s="32">
        <f t="shared" ref="E278:E289" si="63">B278*D$382/D278</f>
        <v>887724.69922661595</v>
      </c>
      <c r="F278" s="12">
        <f t="shared" ref="F278:F289" si="64">E278/E265-1</f>
        <v>-6.9943060693244963E-3</v>
      </c>
    </row>
    <row r="279" spans="1:6" ht="12.5">
      <c r="A279" s="5" t="s">
        <v>49</v>
      </c>
      <c r="B279" s="13">
        <v>16779</v>
      </c>
      <c r="C279" s="19">
        <f t="shared" si="62"/>
        <v>121.96019448649642</v>
      </c>
      <c r="D279" s="14">
        <v>1554.55</v>
      </c>
      <c r="E279" s="32">
        <f t="shared" si="63"/>
        <v>850059.18590840138</v>
      </c>
      <c r="F279" s="12">
        <f t="shared" si="64"/>
        <v>-5.3676840256331459E-3</v>
      </c>
    </row>
    <row r="280" spans="1:6" ht="12.5">
      <c r="A280" s="5" t="s">
        <v>50</v>
      </c>
      <c r="B280" s="13">
        <v>17576</v>
      </c>
      <c r="C280" s="19">
        <f t="shared" si="62"/>
        <v>123.64516875637975</v>
      </c>
      <c r="D280" s="14">
        <v>1606.2</v>
      </c>
      <c r="E280" s="32">
        <f t="shared" si="63"/>
        <v>861803.41001499875</v>
      </c>
      <c r="F280" s="12">
        <f t="shared" si="64"/>
        <v>-2.3944592870269066E-2</v>
      </c>
    </row>
    <row r="281" spans="1:6" ht="12.5">
      <c r="A281" s="5" t="s">
        <v>51</v>
      </c>
      <c r="B281" s="13">
        <v>17799</v>
      </c>
      <c r="C281" s="19">
        <f t="shared" si="62"/>
        <v>117.89591656474384</v>
      </c>
      <c r="D281" s="14">
        <v>1705.9</v>
      </c>
      <c r="E281" s="32">
        <f t="shared" si="63"/>
        <v>821731.28108652926</v>
      </c>
      <c r="F281" s="12">
        <f t="shared" si="64"/>
        <v>-3.0135000757789965E-2</v>
      </c>
    </row>
    <row r="282" spans="1:6" ht="12.5">
      <c r="A282" s="5" t="s">
        <v>52</v>
      </c>
      <c r="B282" s="13">
        <v>18129</v>
      </c>
      <c r="C282" s="19">
        <f t="shared" si="62"/>
        <v>115.25248265824901</v>
      </c>
      <c r="D282" s="20">
        <v>1777.38</v>
      </c>
      <c r="E282" s="32">
        <f t="shared" si="63"/>
        <v>803306.61979422148</v>
      </c>
      <c r="F282" s="12">
        <f t="shared" si="64"/>
        <v>-5.7103764007330526E-2</v>
      </c>
    </row>
    <row r="283" spans="1:6" ht="12.5">
      <c r="A283" s="5" t="s">
        <v>53</v>
      </c>
      <c r="B283" s="13">
        <v>26326</v>
      </c>
      <c r="C283" s="19">
        <f t="shared" si="62"/>
        <v>162.3632330598827</v>
      </c>
      <c r="D283" s="20">
        <v>1832.12</v>
      </c>
      <c r="E283" s="32">
        <f t="shared" si="63"/>
        <v>1131667.2484613124</v>
      </c>
      <c r="F283" s="12">
        <f t="shared" si="64"/>
        <v>-0.10105332983686299</v>
      </c>
    </row>
    <row r="284" spans="1:6" ht="12.5">
      <c r="A284" s="5" t="s">
        <v>39</v>
      </c>
      <c r="B284" s="13">
        <v>19147</v>
      </c>
      <c r="C284" s="19">
        <f t="shared" si="62"/>
        <v>115.77210689755542</v>
      </c>
      <c r="D284" s="20">
        <v>1868.76</v>
      </c>
      <c r="E284" s="32">
        <f t="shared" si="63"/>
        <v>806928.38638538576</v>
      </c>
      <c r="F284" s="12">
        <f t="shared" si="64"/>
        <v>-9.6056882644625863E-2</v>
      </c>
    </row>
    <row r="285" spans="1:6" ht="12.5">
      <c r="A285" s="5" t="s">
        <v>41</v>
      </c>
      <c r="B285" s="13">
        <v>19305</v>
      </c>
      <c r="C285" s="19">
        <f t="shared" si="62"/>
        <v>116.49430879590865</v>
      </c>
      <c r="D285" s="20">
        <v>1872.5</v>
      </c>
      <c r="E285" s="32">
        <f t="shared" si="63"/>
        <v>811962.1136630479</v>
      </c>
      <c r="F285" s="12">
        <f t="shared" si="64"/>
        <v>-6.4008744373588944E-2</v>
      </c>
    </row>
    <row r="286" spans="1:6" ht="12.5">
      <c r="A286" s="5" t="s">
        <v>42</v>
      </c>
      <c r="B286" s="13">
        <v>19539</v>
      </c>
      <c r="C286" s="19">
        <f t="shared" si="62"/>
        <v>116.62334848499769</v>
      </c>
      <c r="D286" s="20">
        <v>1893.1</v>
      </c>
      <c r="E286" s="32">
        <f t="shared" si="63"/>
        <v>812861.51673073519</v>
      </c>
      <c r="F286" s="12">
        <f t="shared" si="64"/>
        <v>-8.0361860708796029E-2</v>
      </c>
    </row>
    <row r="287" spans="1:6" ht="12.5">
      <c r="A287" s="5" t="s">
        <v>43</v>
      </c>
      <c r="B287" s="13">
        <v>20209</v>
      </c>
      <c r="C287" s="19">
        <f t="shared" si="62"/>
        <v>117.7955886604157</v>
      </c>
      <c r="D287" s="20">
        <v>1938.53</v>
      </c>
      <c r="E287" s="32">
        <f t="shared" si="63"/>
        <v>821031.99836534169</v>
      </c>
      <c r="F287" s="12">
        <f t="shared" si="64"/>
        <v>-5.909879145803365E-2</v>
      </c>
    </row>
    <row r="288" spans="1:6" ht="12.5">
      <c r="A288" s="5" t="s">
        <v>44</v>
      </c>
      <c r="B288" s="13">
        <v>20680</v>
      </c>
      <c r="C288" s="19">
        <f t="shared" si="62"/>
        <v>118.6424901039226</v>
      </c>
      <c r="D288" s="20">
        <v>1969.55</v>
      </c>
      <c r="E288" s="32">
        <f t="shared" si="63"/>
        <v>826934.87802737625</v>
      </c>
      <c r="F288" s="12">
        <f t="shared" si="64"/>
        <v>-5.1980066135772329E-2</v>
      </c>
    </row>
    <row r="289" spans="1:6" ht="12.5">
      <c r="A289" s="5" t="s">
        <v>45</v>
      </c>
      <c r="B289" s="13">
        <v>31182</v>
      </c>
      <c r="C289" s="19">
        <f t="shared" si="62"/>
        <v>176.77228501733279</v>
      </c>
      <c r="D289" s="20">
        <v>1993.18</v>
      </c>
      <c r="E289" s="32">
        <f t="shared" si="63"/>
        <v>1232097.9424941761</v>
      </c>
      <c r="F289" s="12">
        <f t="shared" si="64"/>
        <v>-3.1842519813802928E-2</v>
      </c>
    </row>
    <row r="290" spans="1:6" ht="12.5">
      <c r="A290" s="16">
        <v>2017</v>
      </c>
      <c r="B290" s="16"/>
      <c r="C290" s="16"/>
      <c r="D290" s="17"/>
      <c r="E290" s="17"/>
      <c r="F290" s="18"/>
    </row>
    <row r="291" spans="1:6" ht="12.5">
      <c r="A291" s="5" t="s">
        <v>47</v>
      </c>
      <c r="B291" s="13">
        <v>23150</v>
      </c>
      <c r="C291" s="19">
        <f t="shared" ref="C291:C302" si="65">E291*C$5/E$5</f>
        <v>129.17179203877137</v>
      </c>
      <c r="D291" s="20">
        <v>2025.07</v>
      </c>
      <c r="E291" s="32">
        <f t="shared" ref="E291:E302" si="66">B291*D$382/D291</f>
        <v>900323.82159709418</v>
      </c>
      <c r="F291" s="12">
        <f t="shared" ref="F291:F302" si="67">E291/E278-1</f>
        <v>1.4192600905950314E-2</v>
      </c>
    </row>
    <row r="292" spans="1:6" ht="12.5">
      <c r="A292" s="5" t="s">
        <v>49</v>
      </c>
      <c r="B292" s="13">
        <v>22287</v>
      </c>
      <c r="C292" s="19">
        <f t="shared" si="65"/>
        <v>121.79846608366041</v>
      </c>
      <c r="D292" s="20">
        <v>2067.6</v>
      </c>
      <c r="E292" s="32">
        <f t="shared" si="66"/>
        <v>848931.94340906048</v>
      </c>
      <c r="F292" s="12">
        <f t="shared" si="67"/>
        <v>-1.3260753110223567E-3</v>
      </c>
    </row>
    <row r="293" spans="1:6" ht="12.5">
      <c r="A293" s="5" t="s">
        <v>50</v>
      </c>
      <c r="B293" s="13">
        <v>23420</v>
      </c>
      <c r="C293" s="19">
        <f t="shared" si="65"/>
        <v>125.11300303126579</v>
      </c>
      <c r="D293" s="20">
        <v>2115.15</v>
      </c>
      <c r="E293" s="32">
        <f t="shared" si="66"/>
        <v>872034.1743558693</v>
      </c>
      <c r="F293" s="12">
        <f t="shared" si="67"/>
        <v>1.1871343536099976E-2</v>
      </c>
    </row>
    <row r="294" spans="1:6" ht="12.5">
      <c r="A294" s="5" t="s">
        <v>51</v>
      </c>
      <c r="B294" s="13">
        <v>23056</v>
      </c>
      <c r="C294" s="19">
        <f t="shared" si="65"/>
        <v>119.93029103850337</v>
      </c>
      <c r="D294" s="20">
        <v>2172.2600000000002</v>
      </c>
      <c r="E294" s="32">
        <f t="shared" si="66"/>
        <v>835910.81496049603</v>
      </c>
      <c r="F294" s="12">
        <f t="shared" si="67"/>
        <v>1.7255682241058112E-2</v>
      </c>
    </row>
    <row r="295" spans="1:6" ht="12.5">
      <c r="A295" s="5" t="s">
        <v>52</v>
      </c>
      <c r="B295" s="13">
        <v>23275</v>
      </c>
      <c r="C295" s="19">
        <f t="shared" si="65"/>
        <v>119.39743870307346</v>
      </c>
      <c r="D295" s="20">
        <v>2202.6799999999998</v>
      </c>
      <c r="E295" s="32">
        <f t="shared" si="66"/>
        <v>832196.84890483273</v>
      </c>
      <c r="F295" s="12">
        <f t="shared" si="67"/>
        <v>3.596413673027099E-2</v>
      </c>
    </row>
    <row r="296" spans="1:6" ht="12.5">
      <c r="A296" s="5" t="s">
        <v>53</v>
      </c>
      <c r="B296" s="13">
        <v>34216</v>
      </c>
      <c r="C296" s="19">
        <f t="shared" si="65"/>
        <v>173.44207729836285</v>
      </c>
      <c r="D296" s="20">
        <v>2229.11</v>
      </c>
      <c r="E296" s="32">
        <f t="shared" si="66"/>
        <v>1208886.4867039272</v>
      </c>
      <c r="F296" s="12">
        <f t="shared" si="67"/>
        <v>6.8234932439378282E-2</v>
      </c>
    </row>
    <row r="297" spans="1:6" ht="12.5">
      <c r="A297" s="5" t="s">
        <v>39</v>
      </c>
      <c r="B297" s="13">
        <v>24881</v>
      </c>
      <c r="C297" s="19">
        <f t="shared" si="65"/>
        <v>123.89279312271258</v>
      </c>
      <c r="D297" s="20">
        <v>2269.23</v>
      </c>
      <c r="E297" s="32">
        <f t="shared" si="66"/>
        <v>863529.34500667569</v>
      </c>
      <c r="F297" s="12">
        <f t="shared" si="67"/>
        <v>7.0143719785137781E-2</v>
      </c>
    </row>
    <row r="298" spans="1:6" ht="12.5">
      <c r="A298" s="5" t="s">
        <v>41</v>
      </c>
      <c r="B298" s="13">
        <v>24912</v>
      </c>
      <c r="C298" s="19">
        <f t="shared" si="65"/>
        <v>122.33443086646187</v>
      </c>
      <c r="D298" s="20">
        <v>2301</v>
      </c>
      <c r="E298" s="32">
        <f t="shared" si="66"/>
        <v>852667.60313690919</v>
      </c>
      <c r="F298" s="12">
        <f t="shared" si="67"/>
        <v>5.0132252218301643E-2</v>
      </c>
    </row>
    <row r="299" spans="1:6" ht="12.5">
      <c r="A299" s="5" t="s">
        <v>42</v>
      </c>
      <c r="B299" s="13">
        <v>25118</v>
      </c>
      <c r="C299" s="19">
        <f t="shared" si="65"/>
        <v>121.04609891140436</v>
      </c>
      <c r="D299" s="20">
        <v>2344.7199999999998</v>
      </c>
      <c r="E299" s="32">
        <f t="shared" si="66"/>
        <v>843687.96500573808</v>
      </c>
      <c r="F299" s="12">
        <f t="shared" si="67"/>
        <v>3.7923370267280543E-2</v>
      </c>
    </row>
    <row r="300" spans="1:6" ht="12.5">
      <c r="A300" s="5" t="s">
        <v>43</v>
      </c>
      <c r="B300" s="13">
        <v>25837</v>
      </c>
      <c r="C300" s="19">
        <f t="shared" si="65"/>
        <v>122.67100698975949</v>
      </c>
      <c r="D300" s="20">
        <v>2379.89</v>
      </c>
      <c r="E300" s="32">
        <f t="shared" si="66"/>
        <v>855013.52941696486</v>
      </c>
      <c r="F300" s="12">
        <f t="shared" si="67"/>
        <v>4.1388802286975057E-2</v>
      </c>
    </row>
    <row r="301" spans="1:6" ht="12.5">
      <c r="A301" s="5" t="s">
        <v>44</v>
      </c>
      <c r="B301" s="13">
        <v>26076</v>
      </c>
      <c r="C301" s="19">
        <f t="shared" si="65"/>
        <v>122.09632307035447</v>
      </c>
      <c r="D301" s="20">
        <v>2413.21</v>
      </c>
      <c r="E301" s="32">
        <f t="shared" si="66"/>
        <v>851007.9983767682</v>
      </c>
      <c r="F301" s="12">
        <f t="shared" si="67"/>
        <v>2.9111264972663253E-2</v>
      </c>
    </row>
    <row r="302" spans="1:6" ht="12.5">
      <c r="A302" s="5" t="s">
        <v>45</v>
      </c>
      <c r="B302" s="13">
        <v>38564</v>
      </c>
      <c r="C302" s="19">
        <f t="shared" si="65"/>
        <v>175.13983506136546</v>
      </c>
      <c r="D302" s="20">
        <v>2488.02</v>
      </c>
      <c r="E302" s="32">
        <f t="shared" si="66"/>
        <v>1220719.8114043684</v>
      </c>
      <c r="F302" s="12">
        <f t="shared" si="67"/>
        <v>-9.234761862173535E-3</v>
      </c>
    </row>
    <row r="303" spans="1:6" ht="12.5">
      <c r="A303" s="16">
        <v>2018</v>
      </c>
      <c r="B303" s="16"/>
      <c r="C303" s="16"/>
      <c r="D303" s="17"/>
      <c r="E303" s="17"/>
      <c r="F303" s="18"/>
    </row>
    <row r="304" spans="1:6" ht="12.5">
      <c r="A304" s="5" t="s">
        <v>47</v>
      </c>
      <c r="B304" s="13">
        <v>28795</v>
      </c>
      <c r="C304" s="19">
        <f t="shared" ref="C304:C315" si="68">E304*C$5/E$5</f>
        <v>128.4614780631783</v>
      </c>
      <c r="D304" s="20">
        <v>2532.8000000000002</v>
      </c>
      <c r="E304" s="32">
        <f t="shared" ref="E304:E315" si="69">B304*D$382/D304</f>
        <v>895372.95281261648</v>
      </c>
      <c r="F304" s="12">
        <f t="shared" ref="F304:F315" si="70">E304/E291-1</f>
        <v>-5.4989867708878926E-3</v>
      </c>
    </row>
    <row r="305" spans="1:6" ht="12.5">
      <c r="A305" s="5" t="s">
        <v>49</v>
      </c>
      <c r="B305" s="13">
        <v>27725</v>
      </c>
      <c r="C305" s="19">
        <f t="shared" si="68"/>
        <v>120.78888188117322</v>
      </c>
      <c r="D305" s="20">
        <v>2593.59</v>
      </c>
      <c r="E305" s="32">
        <f t="shared" si="69"/>
        <v>841895.16941172758</v>
      </c>
      <c r="F305" s="12">
        <f t="shared" si="70"/>
        <v>-8.2889730466205735E-3</v>
      </c>
    </row>
    <row r="306" spans="1:6" ht="12.5">
      <c r="A306" s="5" t="s">
        <v>50</v>
      </c>
      <c r="B306" s="13">
        <v>29175</v>
      </c>
      <c r="C306" s="19">
        <f t="shared" si="68"/>
        <v>124.24847241453941</v>
      </c>
      <c r="D306" s="20">
        <v>2653.24</v>
      </c>
      <c r="E306" s="32">
        <f t="shared" si="69"/>
        <v>866008.41984357475</v>
      </c>
      <c r="F306" s="12">
        <f t="shared" si="70"/>
        <v>-6.9099981279351352E-3</v>
      </c>
    </row>
    <row r="307" spans="1:6" ht="12.5">
      <c r="A307" s="5" t="s">
        <v>51</v>
      </c>
      <c r="B307" s="13">
        <v>29146</v>
      </c>
      <c r="C307" s="19">
        <f t="shared" si="68"/>
        <v>120.86159145846177</v>
      </c>
      <c r="D307" s="20">
        <v>2724.88</v>
      </c>
      <c r="E307" s="32">
        <f t="shared" si="69"/>
        <v>842401.95315652143</v>
      </c>
      <c r="F307" s="12">
        <f t="shared" si="70"/>
        <v>7.7653477857348996E-3</v>
      </c>
    </row>
    <row r="308" spans="1:6" ht="12.5">
      <c r="A308" s="5" t="s">
        <v>52</v>
      </c>
      <c r="B308" s="13">
        <v>29453</v>
      </c>
      <c r="C308" s="19">
        <f t="shared" si="68"/>
        <v>119.62268066820229</v>
      </c>
      <c r="D308" s="20">
        <v>2782.1</v>
      </c>
      <c r="E308" s="32">
        <f t="shared" si="69"/>
        <v>833766.77917852567</v>
      </c>
      <c r="F308" s="12">
        <f t="shared" si="70"/>
        <v>1.8864890869978446E-3</v>
      </c>
    </row>
    <row r="309" spans="1:6" ht="12.5">
      <c r="A309" s="5" t="s">
        <v>53</v>
      </c>
      <c r="B309" s="13">
        <v>42512</v>
      </c>
      <c r="C309" s="19">
        <f t="shared" si="68"/>
        <v>166.50083947567586</v>
      </c>
      <c r="D309" s="20">
        <v>2885.04</v>
      </c>
      <c r="E309" s="32">
        <f t="shared" si="69"/>
        <v>1160506.2508606398</v>
      </c>
      <c r="F309" s="12">
        <f t="shared" si="70"/>
        <v>-4.0020495203977213E-2</v>
      </c>
    </row>
    <row r="310" spans="1:6" ht="12.5">
      <c r="A310" s="5" t="s">
        <v>39</v>
      </c>
      <c r="B310" s="13">
        <v>30592</v>
      </c>
      <c r="C310" s="19">
        <f t="shared" si="68"/>
        <v>116.21268806116724</v>
      </c>
      <c r="D310" s="20">
        <v>2974.48</v>
      </c>
      <c r="E310" s="32">
        <f t="shared" si="69"/>
        <v>809999.2249228555</v>
      </c>
      <c r="F310" s="12">
        <f t="shared" si="70"/>
        <v>-6.198992587033203E-2</v>
      </c>
    </row>
    <row r="311" spans="1:6" ht="12.5">
      <c r="A311" s="5" t="s">
        <v>41</v>
      </c>
      <c r="B311" s="13">
        <v>31293</v>
      </c>
      <c r="C311" s="19">
        <f t="shared" si="68"/>
        <v>114.4136898925031</v>
      </c>
      <c r="D311" s="20">
        <v>3090.48</v>
      </c>
      <c r="E311" s="32">
        <f t="shared" si="69"/>
        <v>797460.25739214476</v>
      </c>
      <c r="F311" s="12">
        <f t="shared" si="70"/>
        <v>-6.4746620537311617E-2</v>
      </c>
    </row>
    <row r="312" spans="1:6" ht="12.5">
      <c r="A312" s="5" t="s">
        <v>42</v>
      </c>
      <c r="B312" s="13">
        <v>32035</v>
      </c>
      <c r="C312" s="19">
        <f t="shared" si="68"/>
        <v>109.97806412241245</v>
      </c>
      <c r="D312" s="20">
        <v>3291.36</v>
      </c>
      <c r="E312" s="32">
        <f t="shared" si="69"/>
        <v>766544.06832739979</v>
      </c>
      <c r="F312" s="12">
        <f t="shared" si="70"/>
        <v>-9.1436526154327291E-2</v>
      </c>
    </row>
    <row r="313" spans="1:6" ht="12.5">
      <c r="A313" s="5" t="s">
        <v>43</v>
      </c>
      <c r="B313" s="13">
        <v>33587</v>
      </c>
      <c r="C313" s="19">
        <f t="shared" si="68"/>
        <v>109.39843887284461</v>
      </c>
      <c r="D313" s="20">
        <v>3469.1</v>
      </c>
      <c r="E313" s="32">
        <f t="shared" si="69"/>
        <v>762504.09635249327</v>
      </c>
      <c r="F313" s="12">
        <f t="shared" si="70"/>
        <v>-0.1081964552391983</v>
      </c>
    </row>
    <row r="314" spans="1:6" ht="12.5">
      <c r="A314" s="5" t="s">
        <v>44</v>
      </c>
      <c r="B314" s="13">
        <v>35226</v>
      </c>
      <c r="C314" s="19">
        <f t="shared" si="68"/>
        <v>111.17923703603651</v>
      </c>
      <c r="D314" s="20">
        <v>3580.11</v>
      </c>
      <c r="E314" s="32">
        <f t="shared" si="69"/>
        <v>774916.21034791414</v>
      </c>
      <c r="F314" s="12">
        <f t="shared" si="70"/>
        <v>-8.9413716644253904E-2</v>
      </c>
    </row>
    <row r="315" spans="1:6" ht="12.5">
      <c r="A315" s="5" t="s">
        <v>45</v>
      </c>
      <c r="B315" s="13">
        <v>51732</v>
      </c>
      <c r="C315" s="19">
        <f t="shared" si="68"/>
        <v>159.1375270218409</v>
      </c>
      <c r="D315" s="20">
        <v>3673.19</v>
      </c>
      <c r="E315" s="32">
        <f t="shared" si="69"/>
        <v>1109184.166499835</v>
      </c>
      <c r="F315" s="12">
        <f t="shared" si="70"/>
        <v>-9.136875134042266E-2</v>
      </c>
    </row>
    <row r="316" spans="1:6" ht="12.5">
      <c r="A316" s="16">
        <v>2019</v>
      </c>
      <c r="B316" s="16"/>
      <c r="C316" s="16"/>
      <c r="D316" s="17"/>
      <c r="E316" s="17"/>
      <c r="F316" s="18"/>
    </row>
    <row r="317" spans="1:6" ht="12.5">
      <c r="A317" s="5" t="s">
        <v>47</v>
      </c>
      <c r="B317" s="13">
        <v>39455</v>
      </c>
      <c r="C317" s="19">
        <f t="shared" ref="C317:C328" si="71">E317*C$5/E$5</f>
        <v>117.94346181144356</v>
      </c>
      <c r="D317" s="20">
        <v>3779.94</v>
      </c>
      <c r="E317" s="32">
        <f t="shared" ref="E317:E328" si="72">B317*D$382/D317</f>
        <v>822062.67014238902</v>
      </c>
      <c r="F317" s="12">
        <f t="shared" ref="F317:F328" si="73">E317/E304-1</f>
        <v>-8.1876811712861541E-2</v>
      </c>
    </row>
    <row r="318" spans="1:6" ht="12.5">
      <c r="A318" s="5" t="s">
        <v>49</v>
      </c>
      <c r="B318" s="13">
        <v>38366</v>
      </c>
      <c r="C318" s="19">
        <f t="shared" si="71"/>
        <v>110.52605226903363</v>
      </c>
      <c r="D318" s="20">
        <v>3922.28</v>
      </c>
      <c r="E318" s="32">
        <f t="shared" si="72"/>
        <v>770363.53056887595</v>
      </c>
      <c r="F318" s="12">
        <f t="shared" si="73"/>
        <v>-8.4965018736043119E-2</v>
      </c>
    </row>
    <row r="319" spans="1:6" ht="12.5">
      <c r="A319" s="5" t="s">
        <v>50</v>
      </c>
      <c r="B319" s="13">
        <v>41439</v>
      </c>
      <c r="C319" s="19">
        <f t="shared" si="71"/>
        <v>114.04233213720845</v>
      </c>
      <c r="D319" s="20">
        <v>4105.82</v>
      </c>
      <c r="E319" s="32">
        <f t="shared" si="72"/>
        <v>794871.90409805835</v>
      </c>
      <c r="F319" s="12">
        <f t="shared" si="73"/>
        <v>-8.2142983965866834E-2</v>
      </c>
    </row>
    <row r="320" spans="1:6" ht="12.5">
      <c r="A320" s="5" t="s">
        <v>51</v>
      </c>
      <c r="B320" s="13">
        <v>41134</v>
      </c>
      <c r="C320" s="19">
        <f t="shared" si="71"/>
        <v>109.43338876966916</v>
      </c>
      <c r="D320" s="20">
        <v>4247.25</v>
      </c>
      <c r="E320" s="32">
        <f t="shared" si="72"/>
        <v>762747.69616772281</v>
      </c>
      <c r="F320" s="12">
        <f t="shared" si="73"/>
        <v>-9.4556116222582642E-2</v>
      </c>
    </row>
    <row r="321" spans="1:6" ht="12.5">
      <c r="A321" s="5" t="s">
        <v>52</v>
      </c>
      <c r="B321" s="13">
        <v>42462</v>
      </c>
      <c r="C321" s="19">
        <f t="shared" si="71"/>
        <v>109.61317792950973</v>
      </c>
      <c r="D321" s="20">
        <v>4377.18</v>
      </c>
      <c r="E321" s="32">
        <f t="shared" si="72"/>
        <v>764000.82164438115</v>
      </c>
      <c r="F321" s="12">
        <f t="shared" si="73"/>
        <v>-8.3675626417835769E-2</v>
      </c>
    </row>
    <row r="322" spans="1:6" ht="12.5">
      <c r="A322" s="5" t="s">
        <v>53</v>
      </c>
      <c r="B322" s="13">
        <v>61343</v>
      </c>
      <c r="C322" s="19">
        <f t="shared" si="71"/>
        <v>154.16328257239039</v>
      </c>
      <c r="D322" s="20">
        <v>4496.1499999999996</v>
      </c>
      <c r="E322" s="32">
        <f t="shared" si="72"/>
        <v>1074513.8201215544</v>
      </c>
      <c r="F322" s="12">
        <f t="shared" si="73"/>
        <v>-7.4099067260786189E-2</v>
      </c>
    </row>
    <row r="323" spans="1:6" ht="12.5">
      <c r="A323" s="5" t="s">
        <v>39</v>
      </c>
      <c r="B323" s="13">
        <v>45091</v>
      </c>
      <c r="C323" s="19">
        <f t="shared" si="71"/>
        <v>110.88273152137161</v>
      </c>
      <c r="D323" s="20">
        <v>4594.97</v>
      </c>
      <c r="E323" s="32">
        <f t="shared" si="72"/>
        <v>772849.5751029097</v>
      </c>
      <c r="F323" s="12">
        <f t="shared" si="73"/>
        <v>-4.5863809096217234E-2</v>
      </c>
    </row>
    <row r="324" spans="1:6" ht="12.5">
      <c r="A324" s="5" t="s">
        <v>41</v>
      </c>
      <c r="B324" s="13">
        <v>46150</v>
      </c>
      <c r="C324" s="19">
        <f t="shared" si="71"/>
        <v>109.17019979518581</v>
      </c>
      <c r="D324" s="20">
        <v>4776.66</v>
      </c>
      <c r="E324" s="32">
        <f t="shared" si="72"/>
        <v>760913.27628727432</v>
      </c>
      <c r="F324" s="12">
        <f t="shared" si="73"/>
        <v>-4.582921940760587E-2</v>
      </c>
    </row>
    <row r="325" spans="1:6" ht="12.5">
      <c r="A325" s="5" t="s">
        <v>42</v>
      </c>
      <c r="B325" s="13">
        <v>47495</v>
      </c>
      <c r="C325" s="19">
        <f t="shared" si="71"/>
        <v>106.10673942557368</v>
      </c>
      <c r="D325" s="20">
        <v>5057.8</v>
      </c>
      <c r="E325" s="32">
        <f t="shared" si="72"/>
        <v>739561.04215203389</v>
      </c>
      <c r="F325" s="12">
        <f t="shared" si="73"/>
        <v>-3.5200880536774504E-2</v>
      </c>
    </row>
    <row r="326" spans="1:6" ht="12.5">
      <c r="A326" s="5" t="s">
        <v>43</v>
      </c>
      <c r="B326" s="13">
        <v>51085</v>
      </c>
      <c r="C326" s="19">
        <f t="shared" si="71"/>
        <v>110.48806526670705</v>
      </c>
      <c r="D326" s="20">
        <v>5224.38</v>
      </c>
      <c r="E326" s="32">
        <f t="shared" si="72"/>
        <v>770098.76221221022</v>
      </c>
      <c r="F326" s="12">
        <f t="shared" si="73"/>
        <v>9.9601640122941593E-3</v>
      </c>
    </row>
    <row r="327" spans="1:6" ht="12.5">
      <c r="A327" s="5" t="s">
        <v>44</v>
      </c>
      <c r="B327" s="13">
        <v>51308</v>
      </c>
      <c r="C327" s="19">
        <f t="shared" si="71"/>
        <v>106.4418334993764</v>
      </c>
      <c r="D327" s="20">
        <v>5446.65</v>
      </c>
      <c r="E327" s="32">
        <f t="shared" si="72"/>
        <v>741896.63858805806</v>
      </c>
      <c r="F327" s="12">
        <f t="shared" si="73"/>
        <v>-4.2610505908801777E-2</v>
      </c>
    </row>
    <row r="328" spans="1:6" ht="12.5">
      <c r="A328" s="5" t="s">
        <v>45</v>
      </c>
      <c r="B328" s="13">
        <v>76103</v>
      </c>
      <c r="C328" s="19">
        <f t="shared" si="71"/>
        <v>152.18330642534582</v>
      </c>
      <c r="D328" s="20">
        <v>5650.56</v>
      </c>
      <c r="E328" s="32">
        <f t="shared" si="72"/>
        <v>1060713.4410818086</v>
      </c>
      <c r="F328" s="12">
        <f t="shared" si="73"/>
        <v>-4.3699438634236532E-2</v>
      </c>
    </row>
    <row r="329" spans="1:6" ht="12.5">
      <c r="A329" s="16">
        <v>2020</v>
      </c>
      <c r="B329" s="16"/>
      <c r="C329" s="16"/>
      <c r="D329" s="17"/>
      <c r="E329" s="17"/>
      <c r="F329" s="18"/>
    </row>
    <row r="330" spans="1:6" ht="12.5">
      <c r="A330" s="5" t="s">
        <v>47</v>
      </c>
      <c r="B330" s="13">
        <v>59175</v>
      </c>
      <c r="C330" s="19">
        <f t="shared" ref="C330:C341" si="74">E330*C$5/E$5</f>
        <v>115.7252110291025</v>
      </c>
      <c r="D330" s="20">
        <v>5777.86</v>
      </c>
      <c r="E330" s="32">
        <f t="shared" ref="E330:E341" si="75">B330*D$382/D330</f>
        <v>806601.5234779641</v>
      </c>
      <c r="F330" s="12">
        <f t="shared" ref="F330:F341" si="76">E330/E317-1</f>
        <v>-1.8807746934606406E-2</v>
      </c>
    </row>
    <row r="331" spans="1:6" ht="12.5">
      <c r="A331" s="5" t="s">
        <v>49</v>
      </c>
      <c r="B331" s="13">
        <v>59860</v>
      </c>
      <c r="C331" s="19">
        <f t="shared" si="74"/>
        <v>114.75419578415398</v>
      </c>
      <c r="D331" s="20">
        <v>5894.2</v>
      </c>
      <c r="E331" s="32">
        <f t="shared" si="75"/>
        <v>799833.57404904638</v>
      </c>
      <c r="F331" s="12">
        <f t="shared" si="76"/>
        <v>3.8254723011625691E-2</v>
      </c>
    </row>
    <row r="332" spans="1:6" ht="12.5">
      <c r="A332" s="5" t="s">
        <v>50</v>
      </c>
      <c r="B332" s="13">
        <v>61897</v>
      </c>
      <c r="C332" s="19">
        <f t="shared" si="74"/>
        <v>114.82024765664676</v>
      </c>
      <c r="D332" s="20">
        <v>6091.27</v>
      </c>
      <c r="E332" s="32">
        <f t="shared" si="75"/>
        <v>800293.95377536071</v>
      </c>
      <c r="F332" s="12">
        <f t="shared" si="76"/>
        <v>6.82128736636467E-3</v>
      </c>
    </row>
    <row r="333" spans="1:6" ht="12.5">
      <c r="A333" s="5" t="s">
        <v>51</v>
      </c>
      <c r="B333" s="13">
        <v>57845</v>
      </c>
      <c r="C333" s="19">
        <f t="shared" si="74"/>
        <v>105.72150743462352</v>
      </c>
      <c r="D333" s="20">
        <v>6182.43</v>
      </c>
      <c r="E333" s="32">
        <f t="shared" si="75"/>
        <v>736875.98581876257</v>
      </c>
      <c r="F333" s="12">
        <f t="shared" si="76"/>
        <v>-3.3919093402638434E-2</v>
      </c>
    </row>
    <row r="334" spans="1:6" ht="12.5">
      <c r="A334" s="5" t="s">
        <v>52</v>
      </c>
      <c r="B334" s="13">
        <v>57343</v>
      </c>
      <c r="C334" s="19">
        <f t="shared" si="74"/>
        <v>103.21170962881303</v>
      </c>
      <c r="D334" s="20">
        <v>6277.81</v>
      </c>
      <c r="E334" s="32">
        <f t="shared" si="75"/>
        <v>719382.7644559663</v>
      </c>
      <c r="F334" s="12">
        <f t="shared" si="76"/>
        <v>-5.8400535607255111E-2</v>
      </c>
    </row>
    <row r="335" spans="1:6" ht="12.5">
      <c r="A335" s="5" t="s">
        <v>53</v>
      </c>
      <c r="B335" s="13">
        <v>85458</v>
      </c>
      <c r="C335" s="19">
        <f t="shared" si="74"/>
        <v>150.44084326829906</v>
      </c>
      <c r="D335" s="20">
        <v>6418.65</v>
      </c>
      <c r="E335" s="32">
        <f t="shared" si="75"/>
        <v>1048568.5210200539</v>
      </c>
      <c r="F335" s="12">
        <f t="shared" si="76"/>
        <v>-2.4146082270552371E-2</v>
      </c>
    </row>
    <row r="336" spans="1:6" ht="12.5">
      <c r="A336" s="5" t="s">
        <v>39</v>
      </c>
      <c r="B336" s="13">
        <v>60868</v>
      </c>
      <c r="C336" s="19">
        <f t="shared" si="74"/>
        <v>105.11921674198125</v>
      </c>
      <c r="D336" s="20">
        <v>6542.8</v>
      </c>
      <c r="E336" s="32">
        <f t="shared" si="75"/>
        <v>732678.03633185534</v>
      </c>
      <c r="F336" s="12">
        <f t="shared" si="76"/>
        <v>-5.1978470410241617E-2</v>
      </c>
    </row>
    <row r="337" spans="1:6" ht="12.5">
      <c r="A337" s="5" t="s">
        <v>41</v>
      </c>
      <c r="B337" s="13">
        <v>61913</v>
      </c>
      <c r="C337" s="19">
        <f t="shared" si="74"/>
        <v>104.11281872411693</v>
      </c>
      <c r="D337" s="20">
        <v>6719.46</v>
      </c>
      <c r="E337" s="32">
        <f t="shared" si="75"/>
        <v>725663.46995331219</v>
      </c>
      <c r="F337" s="12">
        <f t="shared" si="76"/>
        <v>-4.6325655541136768E-2</v>
      </c>
    </row>
    <row r="338" spans="1:6" ht="12.5">
      <c r="A338" s="5" t="s">
        <v>42</v>
      </c>
      <c r="B338" s="13">
        <v>64162</v>
      </c>
      <c r="C338" s="19">
        <f t="shared" si="74"/>
        <v>104.91973943268887</v>
      </c>
      <c r="D338" s="20">
        <v>6909.99</v>
      </c>
      <c r="E338" s="32">
        <f t="shared" si="75"/>
        <v>731287.68499748572</v>
      </c>
      <c r="F338" s="12">
        <f t="shared" si="76"/>
        <v>-1.1186848255924531E-2</v>
      </c>
    </row>
    <row r="339" spans="1:6" ht="12.5">
      <c r="A339" s="5" t="s">
        <v>43</v>
      </c>
      <c r="B339" s="13">
        <v>68109</v>
      </c>
      <c r="C339" s="19">
        <f t="shared" si="74"/>
        <v>107.33712331450681</v>
      </c>
      <c r="D339" s="20">
        <v>7169.87</v>
      </c>
      <c r="E339" s="32">
        <f t="shared" si="75"/>
        <v>748136.78386337659</v>
      </c>
      <c r="F339" s="12">
        <f t="shared" si="76"/>
        <v>-2.8518391960201228E-2</v>
      </c>
    </row>
    <row r="340" spans="1:6" ht="12.5">
      <c r="A340" s="5" t="s">
        <v>44</v>
      </c>
      <c r="B340" s="13">
        <v>69308</v>
      </c>
      <c r="C340" s="19">
        <f t="shared" si="74"/>
        <v>105.88112126378073</v>
      </c>
      <c r="D340" s="20">
        <v>7396.42</v>
      </c>
      <c r="E340" s="32">
        <f t="shared" si="75"/>
        <v>737988.48979798611</v>
      </c>
      <c r="F340" s="12">
        <f t="shared" si="76"/>
        <v>-5.2677806945045091E-3</v>
      </c>
    </row>
    <row r="341" spans="1:6" ht="12.5">
      <c r="A341" s="5" t="s">
        <v>45</v>
      </c>
      <c r="B341" s="13">
        <v>103375</v>
      </c>
      <c r="C341" s="19">
        <f t="shared" si="74"/>
        <v>151.84273590190136</v>
      </c>
      <c r="D341" s="20">
        <v>7692.69</v>
      </c>
      <c r="E341" s="32">
        <f t="shared" si="75"/>
        <v>1058339.6739430916</v>
      </c>
      <c r="F341" s="12">
        <f t="shared" si="76"/>
        <v>-2.237896727598776E-3</v>
      </c>
    </row>
    <row r="342" spans="1:6" ht="12.5">
      <c r="A342" s="16">
        <v>2021</v>
      </c>
      <c r="B342" s="16"/>
      <c r="C342" s="16"/>
      <c r="D342" s="17"/>
      <c r="E342" s="17"/>
      <c r="F342" s="18"/>
    </row>
    <row r="343" spans="1:6" ht="12.5">
      <c r="A343" s="5" t="s">
        <v>47</v>
      </c>
      <c r="B343" s="13">
        <v>78853</v>
      </c>
      <c r="C343" s="19">
        <f t="shared" ref="C343:C354" si="77">E343*C$5/E$5</f>
        <v>111.31627017947967</v>
      </c>
      <c r="D343" s="20">
        <v>8004.17</v>
      </c>
      <c r="E343" s="32">
        <f t="shared" ref="E343:E354" si="78">B343*D$382/D343</f>
        <v>775871.32757159695</v>
      </c>
      <c r="F343" s="12">
        <f t="shared" ref="F343:F354" si="79">E343/E330-1</f>
        <v>-3.8098360853401791E-2</v>
      </c>
    </row>
    <row r="344" spans="1:6" ht="12.5">
      <c r="A344" s="5" t="s">
        <v>49</v>
      </c>
      <c r="B344" s="13">
        <v>79789</v>
      </c>
      <c r="C344" s="19">
        <f t="shared" si="77"/>
        <v>108.72356849095625</v>
      </c>
      <c r="D344" s="20">
        <v>8292.32</v>
      </c>
      <c r="E344" s="32">
        <f t="shared" si="78"/>
        <v>757800.26843685959</v>
      </c>
      <c r="F344" s="12">
        <f t="shared" si="79"/>
        <v>-5.2552564653417844E-2</v>
      </c>
    </row>
    <row r="345" spans="1:6" ht="12.5">
      <c r="A345" s="5" t="s">
        <v>50</v>
      </c>
      <c r="B345" s="13">
        <v>85612</v>
      </c>
      <c r="C345" s="19">
        <f t="shared" si="77"/>
        <v>111.31510602431636</v>
      </c>
      <c r="D345" s="20">
        <v>8690.35</v>
      </c>
      <c r="E345" s="32">
        <f t="shared" si="78"/>
        <v>775863.21344227344</v>
      </c>
      <c r="F345" s="12">
        <f t="shared" si="79"/>
        <v>-3.0527208431147201E-2</v>
      </c>
    </row>
    <row r="346" spans="1:6" ht="12.5">
      <c r="A346" s="5" t="s">
        <v>51</v>
      </c>
      <c r="B346" s="13">
        <v>86145</v>
      </c>
      <c r="C346" s="19">
        <f t="shared" si="77"/>
        <v>107.59671596762054</v>
      </c>
      <c r="D346" s="20">
        <v>9046.65</v>
      </c>
      <c r="E346" s="32">
        <f t="shared" si="78"/>
        <v>749946.1374832422</v>
      </c>
      <c r="F346" s="12">
        <f t="shared" si="79"/>
        <v>1.7737247401212297E-2</v>
      </c>
    </row>
    <row r="347" spans="1:6" ht="12.5">
      <c r="A347" s="5" t="s">
        <v>52</v>
      </c>
      <c r="B347" s="13">
        <v>86697</v>
      </c>
      <c r="C347" s="19">
        <f t="shared" si="77"/>
        <v>104.82688084929974</v>
      </c>
      <c r="D347" s="20">
        <v>9345.19</v>
      </c>
      <c r="E347" s="32">
        <f t="shared" si="78"/>
        <v>730640.46323687187</v>
      </c>
      <c r="F347" s="12">
        <f t="shared" si="79"/>
        <v>1.5649108287184577E-2</v>
      </c>
    </row>
    <row r="348" spans="1:6" ht="12.5">
      <c r="A348" s="5" t="s">
        <v>53</v>
      </c>
      <c r="B348" s="13">
        <v>127133</v>
      </c>
      <c r="C348" s="19">
        <f t="shared" si="77"/>
        <v>148.9522319484301</v>
      </c>
      <c r="D348" s="20">
        <v>9644.24</v>
      </c>
      <c r="E348" s="32">
        <f t="shared" si="78"/>
        <v>1038192.9412497057</v>
      </c>
      <c r="F348" s="12">
        <f t="shared" si="79"/>
        <v>-9.8949945209634294E-3</v>
      </c>
    </row>
    <row r="349" spans="1:6" ht="12.5">
      <c r="A349" s="5" t="s">
        <v>39</v>
      </c>
      <c r="B349" s="13">
        <v>94461</v>
      </c>
      <c r="C349" s="19">
        <f t="shared" si="77"/>
        <v>107.44937944801211</v>
      </c>
      <c r="D349" s="20">
        <v>9933.57</v>
      </c>
      <c r="E349" s="32">
        <f t="shared" si="78"/>
        <v>748919.20601236145</v>
      </c>
      <c r="F349" s="12">
        <f t="shared" si="79"/>
        <v>2.2166857576101595E-2</v>
      </c>
    </row>
    <row r="350" spans="1:6" ht="12.5">
      <c r="A350" s="5" t="s">
        <v>41</v>
      </c>
      <c r="B350" s="13">
        <v>96664</v>
      </c>
      <c r="C350" s="19">
        <f t="shared" si="77"/>
        <v>107.27344747406148</v>
      </c>
      <c r="D350" s="20">
        <v>10181.91</v>
      </c>
      <c r="E350" s="32">
        <f t="shared" si="78"/>
        <v>747692.96501478506</v>
      </c>
      <c r="F350" s="12">
        <f t="shared" si="79"/>
        <v>3.0357729131508027E-2</v>
      </c>
    </row>
    <row r="351" spans="1:6" ht="12.5">
      <c r="A351" s="5" t="s">
        <v>42</v>
      </c>
      <c r="B351" s="13">
        <v>99916</v>
      </c>
      <c r="C351" s="19">
        <f t="shared" si="77"/>
        <v>107.13279791488409</v>
      </c>
      <c r="D351" s="20">
        <v>10538.27</v>
      </c>
      <c r="E351" s="32">
        <f t="shared" si="78"/>
        <v>746712.64147335337</v>
      </c>
      <c r="F351" s="12">
        <f t="shared" si="79"/>
        <v>2.1092870551923326E-2</v>
      </c>
    </row>
    <row r="352" spans="1:6" ht="12.5">
      <c r="A352" s="5" t="s">
        <v>43</v>
      </c>
      <c r="B352" s="33">
        <v>104456</v>
      </c>
      <c r="C352" s="19">
        <f t="shared" si="77"/>
        <v>108.21324670886554</v>
      </c>
      <c r="D352" s="20">
        <v>10907.11</v>
      </c>
      <c r="E352" s="32">
        <f t="shared" si="78"/>
        <v>754243.33971546928</v>
      </c>
      <c r="F352" s="12">
        <f t="shared" si="79"/>
        <v>8.1623521043283631E-3</v>
      </c>
    </row>
    <row r="353" spans="1:6" ht="12.5">
      <c r="A353" s="5" t="s">
        <v>44</v>
      </c>
      <c r="B353" s="33">
        <v>108279</v>
      </c>
      <c r="C353" s="19">
        <f t="shared" si="77"/>
        <v>109.43779135598508</v>
      </c>
      <c r="D353" s="20">
        <v>11179.79</v>
      </c>
      <c r="E353" s="32">
        <f t="shared" si="78"/>
        <v>762778.38207270484</v>
      </c>
      <c r="F353" s="12">
        <f t="shared" si="79"/>
        <v>3.3591163842548122E-2</v>
      </c>
    </row>
    <row r="354" spans="1:6" ht="12.5">
      <c r="A354" s="5" t="s">
        <v>45</v>
      </c>
      <c r="B354" s="33">
        <v>160794</v>
      </c>
      <c r="C354" s="19">
        <f t="shared" si="77"/>
        <v>156.56534689909734</v>
      </c>
      <c r="D354" s="20">
        <v>11604.62</v>
      </c>
      <c r="E354" s="32">
        <f t="shared" si="78"/>
        <v>1091256.1421115887</v>
      </c>
      <c r="F354" s="12">
        <f t="shared" si="79"/>
        <v>3.1101988311426521E-2</v>
      </c>
    </row>
    <row r="355" spans="1:6" ht="12.5">
      <c r="A355" s="16">
        <v>2022</v>
      </c>
      <c r="B355" s="16"/>
      <c r="C355" s="16"/>
      <c r="D355" s="17"/>
      <c r="E355" s="17"/>
      <c r="F355" s="18"/>
    </row>
    <row r="356" spans="1:6" ht="12.5">
      <c r="A356" s="5" t="s">
        <v>47</v>
      </c>
      <c r="B356" s="33">
        <v>122701</v>
      </c>
      <c r="C356" s="19">
        <f t="shared" ref="C356:C367" si="80">E356*C$5/E$5</f>
        <v>114.9895479382551</v>
      </c>
      <c r="D356" s="20">
        <v>12057.2</v>
      </c>
      <c r="E356" s="32">
        <f t="shared" ref="E356:E367" si="81">B356*D$382/D356</f>
        <v>801473.97206053976</v>
      </c>
      <c r="F356" s="12">
        <f t="shared" ref="F356:F367" si="82">E356/E343-1</f>
        <v>3.2998570225654111E-2</v>
      </c>
    </row>
    <row r="357" spans="1:6" ht="12.5">
      <c r="A357" s="5" t="s">
        <v>49</v>
      </c>
      <c r="B357" s="33">
        <v>123341</v>
      </c>
      <c r="C357" s="19">
        <f t="shared" si="80"/>
        <v>110.40048794937289</v>
      </c>
      <c r="D357" s="20">
        <v>12623.89</v>
      </c>
      <c r="E357" s="32">
        <f t="shared" si="81"/>
        <v>769488.35073008214</v>
      </c>
      <c r="F357" s="12">
        <f t="shared" si="82"/>
        <v>1.5423697747338982E-2</v>
      </c>
    </row>
    <row r="358" spans="1:6" ht="12.5">
      <c r="A358" s="5" t="s">
        <v>50</v>
      </c>
      <c r="B358" s="33">
        <v>136935</v>
      </c>
      <c r="C358" s="19">
        <f t="shared" si="80"/>
        <v>114.87184453340944</v>
      </c>
      <c r="D358" s="20">
        <v>13469.69</v>
      </c>
      <c r="E358" s="32">
        <f t="shared" si="81"/>
        <v>800653.58258081635</v>
      </c>
      <c r="F358" s="12">
        <f t="shared" si="82"/>
        <v>3.1951984201642247E-2</v>
      </c>
    </row>
    <row r="359" spans="1:6" ht="12.5">
      <c r="A359" s="5" t="s">
        <v>51</v>
      </c>
      <c r="B359" s="33">
        <v>138254</v>
      </c>
      <c r="C359" s="19">
        <f t="shared" si="80"/>
        <v>109.41352529442277</v>
      </c>
      <c r="D359" s="20">
        <v>14277.87</v>
      </c>
      <c r="E359" s="32">
        <f t="shared" si="81"/>
        <v>762609.24829406734</v>
      </c>
      <c r="F359" s="12">
        <f t="shared" si="82"/>
        <v>1.688536039844335E-2</v>
      </c>
    </row>
    <row r="360" spans="1:6" ht="12.5">
      <c r="A360" s="5" t="s">
        <v>52</v>
      </c>
      <c r="B360" s="33">
        <v>144485</v>
      </c>
      <c r="C360" s="19">
        <f t="shared" si="80"/>
        <v>108.79604359951466</v>
      </c>
      <c r="D360" s="20">
        <v>15006.05</v>
      </c>
      <c r="E360" s="32">
        <f t="shared" si="81"/>
        <v>758305.41794108239</v>
      </c>
      <c r="F360" s="12">
        <f t="shared" si="82"/>
        <v>3.78639783808985E-2</v>
      </c>
    </row>
    <row r="361" spans="1:6" ht="12.5">
      <c r="A361" s="5" t="s">
        <v>53</v>
      </c>
      <c r="B361" s="33">
        <v>211727</v>
      </c>
      <c r="C361" s="19">
        <f t="shared" si="80"/>
        <v>151.40430736233554</v>
      </c>
      <c r="D361" s="20">
        <v>15801.37</v>
      </c>
      <c r="E361" s="32">
        <f t="shared" si="81"/>
        <v>1055283.8391357472</v>
      </c>
      <c r="F361" s="12">
        <f t="shared" si="82"/>
        <v>1.6462159591904557E-2</v>
      </c>
    </row>
    <row r="362" spans="1:6" ht="12.5">
      <c r="A362" s="5" t="s">
        <v>39</v>
      </c>
      <c r="B362" s="33">
        <v>157053</v>
      </c>
      <c r="C362" s="19">
        <f t="shared" si="80"/>
        <v>104.56924620486552</v>
      </c>
      <c r="D362" s="20">
        <v>16970.669999999998</v>
      </c>
      <c r="E362" s="32">
        <f t="shared" si="81"/>
        <v>728844.7568834041</v>
      </c>
      <c r="F362" s="12">
        <f t="shared" si="82"/>
        <v>-2.6804559113718374E-2</v>
      </c>
    </row>
    <row r="363" spans="1:6" ht="12.5">
      <c r="A363" s="5" t="s">
        <v>41</v>
      </c>
      <c r="B363" s="33">
        <v>167586</v>
      </c>
      <c r="C363" s="19">
        <f t="shared" si="80"/>
        <v>104.28260305409211</v>
      </c>
      <c r="D363" s="20">
        <v>18158.61</v>
      </c>
      <c r="E363" s="32">
        <f t="shared" si="81"/>
        <v>726846.86204223405</v>
      </c>
      <c r="F363" s="12">
        <f t="shared" si="82"/>
        <v>-2.7880565884605857E-2</v>
      </c>
    </row>
    <row r="364" spans="1:6" ht="12.5">
      <c r="A364" s="5" t="s">
        <v>42</v>
      </c>
      <c r="B364" s="33">
        <v>179439</v>
      </c>
      <c r="C364" s="19">
        <f t="shared" si="80"/>
        <v>105.13959807170534</v>
      </c>
      <c r="D364" s="20">
        <v>19284.45</v>
      </c>
      <c r="E364" s="32">
        <f t="shared" si="81"/>
        <v>732820.09363691241</v>
      </c>
      <c r="F364" s="12">
        <f t="shared" si="82"/>
        <v>-1.8604945282604701E-2</v>
      </c>
    </row>
    <row r="365" spans="1:6" ht="12.5">
      <c r="A365" s="5" t="s">
        <v>43</v>
      </c>
      <c r="B365" s="33">
        <v>189112</v>
      </c>
      <c r="C365" s="19">
        <f t="shared" si="80"/>
        <v>104.2402142396606</v>
      </c>
      <c r="D365" s="20">
        <f>D364*1.063</f>
        <v>20499.370350000001</v>
      </c>
      <c r="E365" s="32">
        <f t="shared" si="81"/>
        <v>726551.41317681549</v>
      </c>
      <c r="F365" s="12">
        <f t="shared" si="82"/>
        <v>-3.6714843977409539E-2</v>
      </c>
    </row>
    <row r="366" spans="1:6" ht="12.5">
      <c r="A366" s="5" t="s">
        <v>44</v>
      </c>
      <c r="B366" s="33">
        <v>203119</v>
      </c>
      <c r="C366" s="19">
        <f t="shared" si="80"/>
        <v>106.73116974329204</v>
      </c>
      <c r="D366" s="20">
        <f>D365*1.049</f>
        <v>21503.839497149998</v>
      </c>
      <c r="E366" s="32">
        <f t="shared" si="81"/>
        <v>743913.30421402142</v>
      </c>
      <c r="F366" s="12">
        <f t="shared" si="82"/>
        <v>-2.4732056259147206E-2</v>
      </c>
    </row>
    <row r="367" spans="1:6" ht="12.5">
      <c r="A367" s="5" t="s">
        <v>45</v>
      </c>
      <c r="B367" s="33">
        <v>317848</v>
      </c>
      <c r="C367" s="19">
        <f t="shared" si="80"/>
        <v>158.91229014520408</v>
      </c>
      <c r="D367" s="20">
        <f>D366*1.051</f>
        <v>22600.535311504646</v>
      </c>
      <c r="E367" s="32">
        <f t="shared" si="81"/>
        <v>1107614.2716927908</v>
      </c>
      <c r="F367" s="12">
        <f t="shared" si="82"/>
        <v>1.4990183285061631E-2</v>
      </c>
    </row>
    <row r="368" spans="1:6" ht="12.5">
      <c r="A368" s="16">
        <v>2023</v>
      </c>
      <c r="B368" s="16"/>
      <c r="C368" s="16"/>
      <c r="D368" s="17"/>
      <c r="E368" s="17"/>
      <c r="F368" s="18"/>
    </row>
    <row r="369" spans="1:6" ht="12.5">
      <c r="A369" s="5" t="s">
        <v>47</v>
      </c>
      <c r="B369" s="33">
        <v>241146</v>
      </c>
      <c r="C369" s="19">
        <f t="shared" ref="C369:C380" si="83">E369*C$5/E$5</f>
        <v>113.73973200716857</v>
      </c>
      <c r="D369" s="20">
        <f>D367*1.06</f>
        <v>23956.567430194926</v>
      </c>
      <c r="E369" s="32">
        <f t="shared" ref="E369:E380" si="84">B369*D$382/D369</f>
        <v>792762.78955227952</v>
      </c>
      <c r="F369" s="12">
        <f t="shared" ref="F369:F380" si="85">E369/E356-1</f>
        <v>-1.0868952469990201E-2</v>
      </c>
    </row>
    <row r="370" spans="1:6" ht="12.5">
      <c r="A370" s="5" t="s">
        <v>49</v>
      </c>
      <c r="B370" s="33">
        <v>248998</v>
      </c>
      <c r="C370" s="19">
        <f t="shared" si="83"/>
        <v>110.17188807714952</v>
      </c>
      <c r="D370" s="20">
        <f>D369*1.066</f>
        <v>25537.700880587792</v>
      </c>
      <c r="E370" s="32">
        <f t="shared" si="84"/>
        <v>767895.01593671669</v>
      </c>
      <c r="F370" s="12">
        <f t="shared" si="85"/>
        <v>-2.0706418646282421E-3</v>
      </c>
    </row>
    <row r="371" spans="1:6" ht="12.5">
      <c r="A371" s="5" t="s">
        <v>50</v>
      </c>
      <c r="B371" s="33">
        <v>275919</v>
      </c>
      <c r="C371" s="19">
        <f t="shared" si="83"/>
        <v>120.83647347951731</v>
      </c>
      <c r="D371" s="20">
        <f>D369*1.077</f>
        <v>25801.223122319934</v>
      </c>
      <c r="E371" s="32">
        <f t="shared" si="84"/>
        <v>842226.88153726817</v>
      </c>
      <c r="F371" s="12">
        <f t="shared" si="85"/>
        <v>5.1924202752512416E-2</v>
      </c>
    </row>
    <row r="372" spans="1:6" ht="12.5">
      <c r="A372" s="5" t="s">
        <v>51</v>
      </c>
      <c r="B372" s="33">
        <v>287549</v>
      </c>
      <c r="C372" s="19">
        <f t="shared" si="83"/>
        <v>117.37011034208972</v>
      </c>
      <c r="D372" s="20">
        <f>D370*1.084</f>
        <v>27682.86775455717</v>
      </c>
      <c r="E372" s="32">
        <f t="shared" si="84"/>
        <v>818066.42624223465</v>
      </c>
      <c r="F372" s="12">
        <f t="shared" si="85"/>
        <v>7.2720306070537699E-2</v>
      </c>
    </row>
    <row r="373" spans="1:6" ht="12.5">
      <c r="A373" s="5" t="s">
        <v>64</v>
      </c>
      <c r="B373" s="33">
        <v>303005</v>
      </c>
      <c r="C373" s="19">
        <f t="shared" si="83"/>
        <v>114.72991859464351</v>
      </c>
      <c r="D373" s="20">
        <f>D372*1.078</f>
        <v>29842.131439412631</v>
      </c>
      <c r="E373" s="32">
        <f t="shared" si="84"/>
        <v>799664.3627089177</v>
      </c>
      <c r="F373" s="12">
        <f t="shared" si="85"/>
        <v>5.4541275572224324E-2</v>
      </c>
    </row>
    <row r="374" spans="1:6" ht="12.5">
      <c r="A374" s="5" t="s">
        <v>26</v>
      </c>
      <c r="B374" s="33">
        <v>458779</v>
      </c>
      <c r="C374" s="19">
        <f t="shared" si="83"/>
        <v>163.8794718280443</v>
      </c>
      <c r="D374" s="20">
        <f>D373*1.06</f>
        <v>31632.659325777389</v>
      </c>
      <c r="E374" s="32">
        <f t="shared" si="84"/>
        <v>1142235.390782936</v>
      </c>
      <c r="F374" s="12">
        <f t="shared" si="85"/>
        <v>8.2396364297969482E-2</v>
      </c>
    </row>
    <row r="375" spans="1:6" ht="12.5">
      <c r="A375" s="5" t="s">
        <v>27</v>
      </c>
      <c r="B375" s="33">
        <v>351623</v>
      </c>
      <c r="C375" s="19">
        <f t="shared" si="83"/>
        <v>118.15851810070195</v>
      </c>
      <c r="D375" s="20">
        <f>D374*1.063</f>
        <v>33625.51686330136</v>
      </c>
      <c r="E375" s="32">
        <f t="shared" si="84"/>
        <v>823561.60653668712</v>
      </c>
      <c r="F375" s="12">
        <f t="shared" si="85"/>
        <v>0.12995476575601583</v>
      </c>
    </row>
    <row r="376" spans="1:6" ht="12.5">
      <c r="A376" s="5" t="s">
        <v>28</v>
      </c>
      <c r="B376" s="33">
        <v>389294</v>
      </c>
      <c r="C376" s="19">
        <f t="shared" si="83"/>
        <v>116.38557581606773</v>
      </c>
      <c r="D376" s="20">
        <f>D375*1.124</f>
        <v>37795.080954350735</v>
      </c>
      <c r="E376" s="32">
        <f t="shared" si="84"/>
        <v>811204.24779776169</v>
      </c>
      <c r="F376" s="12">
        <f t="shared" si="85"/>
        <v>0.11605936568056063</v>
      </c>
    </row>
    <row r="377" spans="1:6" ht="12.5">
      <c r="A377" s="5" t="s">
        <v>42</v>
      </c>
      <c r="B377" s="33">
        <v>429347</v>
      </c>
      <c r="C377" s="19">
        <f t="shared" si="83"/>
        <v>113.89534278919659</v>
      </c>
      <c r="D377" s="20">
        <f>D376*1.127</f>
        <v>42595.056235553275</v>
      </c>
      <c r="E377" s="32">
        <f t="shared" si="84"/>
        <v>793847.39240361366</v>
      </c>
      <c r="F377" s="12">
        <f t="shared" si="85"/>
        <v>8.327732726845527E-2</v>
      </c>
    </row>
    <row r="378" spans="1:6" ht="12.5">
      <c r="A378" s="5" t="s">
        <v>43</v>
      </c>
      <c r="B378" s="33">
        <v>473143</v>
      </c>
      <c r="C378" s="19">
        <f t="shared" si="83"/>
        <v>115.89414502518092</v>
      </c>
      <c r="D378" s="20">
        <f>D377*1.083</f>
        <v>46130.445903104192</v>
      </c>
      <c r="E378" s="32">
        <f t="shared" si="84"/>
        <v>807778.98876311979</v>
      </c>
      <c r="F378" s="12">
        <f t="shared" si="85"/>
        <v>0.11179879924965008</v>
      </c>
    </row>
    <row r="379" spans="1:6" ht="12.5">
      <c r="A379" s="5" t="s">
        <v>44</v>
      </c>
      <c r="B379" s="33">
        <v>521739</v>
      </c>
      <c r="C379" s="19">
        <f t="shared" si="83"/>
        <v>113.29566125371105</v>
      </c>
      <c r="D379" s="20">
        <f>D378*1.128</f>
        <v>52035.142978701522</v>
      </c>
      <c r="E379" s="32">
        <f t="shared" si="84"/>
        <v>789667.62866999989</v>
      </c>
      <c r="F379" s="12">
        <f t="shared" si="85"/>
        <v>6.15049148829514E-2</v>
      </c>
    </row>
    <row r="380" spans="1:6" ht="12.5">
      <c r="A380" s="5" t="s">
        <v>45</v>
      </c>
      <c r="B380" s="33">
        <v>841142</v>
      </c>
      <c r="C380" s="19">
        <f t="shared" si="83"/>
        <v>145.54107219271742</v>
      </c>
      <c r="D380" s="20">
        <f>D379*1.255</f>
        <v>65304.104438270406</v>
      </c>
      <c r="E380" s="32">
        <f t="shared" si="84"/>
        <v>1014417.2519999999</v>
      </c>
      <c r="F380" s="12">
        <f t="shared" si="85"/>
        <v>-8.4142126076396484E-2</v>
      </c>
    </row>
    <row r="381" spans="1:6" ht="12.5">
      <c r="A381" s="16">
        <v>2024</v>
      </c>
      <c r="B381" s="16"/>
      <c r="C381" s="16"/>
      <c r="D381" s="17"/>
      <c r="E381" s="17"/>
      <c r="F381" s="18"/>
    </row>
    <row r="382" spans="1:6" ht="12.5">
      <c r="A382" s="5" t="s">
        <v>47</v>
      </c>
      <c r="B382" s="33">
        <v>752352</v>
      </c>
      <c r="C382" s="19">
        <f t="shared" ref="C382:C386" si="86">E382*C$5/E$5</f>
        <v>107.94189129813356</v>
      </c>
      <c r="D382" s="20">
        <f>D380*1.206</f>
        <v>78756.749952554106</v>
      </c>
      <c r="E382" s="32">
        <f t="shared" ref="E382:E386" si="87">B382*D$382/D382</f>
        <v>752352</v>
      </c>
      <c r="F382" s="12">
        <f t="shared" ref="F382:F386" si="88">E382/E369-1</f>
        <v>-5.0974629592670295E-2</v>
      </c>
    </row>
    <row r="383" spans="1:6" ht="12.5">
      <c r="A383" s="5" t="s">
        <v>49</v>
      </c>
      <c r="B383" s="33">
        <v>855415</v>
      </c>
      <c r="C383" s="19">
        <f t="shared" si="86"/>
        <v>108.41749736289061</v>
      </c>
      <c r="D383" s="20">
        <f>D382*1.132</f>
        <v>89152.640946291242</v>
      </c>
      <c r="E383" s="32">
        <f t="shared" si="87"/>
        <v>755666.9611307421</v>
      </c>
      <c r="F383" s="12">
        <f t="shared" si="88"/>
        <v>-1.5924123157718628E-2</v>
      </c>
    </row>
    <row r="384" spans="1:6" ht="12.5">
      <c r="A384" s="5" t="s">
        <v>50</v>
      </c>
      <c r="B384" s="33">
        <v>947874</v>
      </c>
      <c r="C384" s="19">
        <f t="shared" si="86"/>
        <v>108.2306205784554</v>
      </c>
      <c r="D384" s="20">
        <f>D383*1.11</f>
        <v>98959.431450383287</v>
      </c>
      <c r="E384" s="32">
        <f t="shared" si="87"/>
        <v>754364.43510648457</v>
      </c>
      <c r="F384" s="12">
        <f t="shared" si="88"/>
        <v>-0.10432158882225817</v>
      </c>
    </row>
    <row r="385" spans="1:6" ht="12.5">
      <c r="A385" s="5" t="s">
        <v>51</v>
      </c>
      <c r="B385" s="33">
        <v>1052949</v>
      </c>
      <c r="C385" s="19">
        <f t="shared" si="86"/>
        <v>110.50399494206326</v>
      </c>
      <c r="D385" s="20">
        <f>D384*1.088</f>
        <v>107667.86141801703</v>
      </c>
      <c r="E385" s="32">
        <f t="shared" si="87"/>
        <v>770209.79160931869</v>
      </c>
      <c r="F385" s="12">
        <f t="shared" si="88"/>
        <v>-5.8499692809475201E-2</v>
      </c>
    </row>
    <row r="386" spans="1:6" ht="12.5">
      <c r="A386" s="5" t="s">
        <v>52</v>
      </c>
      <c r="B386" s="33">
        <v>1076248</v>
      </c>
      <c r="C386" s="19">
        <f t="shared" si="86"/>
        <v>108.39650532842991</v>
      </c>
      <c r="D386" s="20">
        <f>D385*1.042</f>
        <v>112189.91159757375</v>
      </c>
      <c r="E386" s="32">
        <f t="shared" si="87"/>
        <v>755520.64723054413</v>
      </c>
      <c r="F386" s="12">
        <f t="shared" si="88"/>
        <v>-5.5202804497669122E-2</v>
      </c>
    </row>
    <row r="387" spans="1:6" ht="12.5">
      <c r="A387" s="5" t="s">
        <v>53</v>
      </c>
      <c r="C387" s="19"/>
      <c r="E387" s="13"/>
      <c r="F387" s="12"/>
    </row>
    <row r="388" spans="1:6" ht="12.5">
      <c r="A388" s="5" t="s">
        <v>39</v>
      </c>
      <c r="C388" s="19"/>
      <c r="E388" s="13"/>
      <c r="F388" s="12"/>
    </row>
    <row r="389" spans="1:6" ht="12.5">
      <c r="A389" s="5" t="s">
        <v>41</v>
      </c>
      <c r="C389" s="19"/>
      <c r="E389" s="13"/>
      <c r="F389" s="12"/>
    </row>
    <row r="390" spans="1:6" ht="12.5">
      <c r="A390" s="5" t="s">
        <v>42</v>
      </c>
      <c r="C390" s="19"/>
      <c r="E390" s="13"/>
      <c r="F390" s="12"/>
    </row>
    <row r="391" spans="1:6" ht="12.5">
      <c r="A391" s="5" t="s">
        <v>43</v>
      </c>
      <c r="C391" s="19"/>
      <c r="E391" s="13"/>
      <c r="F391" s="12"/>
    </row>
    <row r="392" spans="1:6" ht="12.5">
      <c r="A392" s="5" t="s">
        <v>44</v>
      </c>
      <c r="C392" s="19"/>
      <c r="E392" s="13"/>
      <c r="F392" s="12"/>
    </row>
    <row r="393" spans="1:6" ht="12.5">
      <c r="A393" s="5" t="s">
        <v>45</v>
      </c>
      <c r="C393" s="19"/>
      <c r="E393" s="13"/>
      <c r="F393" s="12"/>
    </row>
    <row r="394" spans="1:6" ht="12.5">
      <c r="C394" s="16"/>
      <c r="E394" s="13"/>
      <c r="F394" s="12"/>
    </row>
    <row r="395" spans="1:6" ht="12.5">
      <c r="C395" s="19"/>
      <c r="E395" s="13"/>
      <c r="F395" s="12"/>
    </row>
    <row r="396" spans="1:6" ht="12.5">
      <c r="C396" s="19"/>
      <c r="E396" s="13"/>
      <c r="F396" s="12"/>
    </row>
    <row r="397" spans="1:6" ht="12.5">
      <c r="C397" s="19"/>
      <c r="E397" s="13"/>
      <c r="F397" s="12"/>
    </row>
    <row r="398" spans="1:6" ht="12.5">
      <c r="C398" s="19"/>
      <c r="E398" s="13"/>
      <c r="F398" s="12"/>
    </row>
    <row r="399" spans="1:6" ht="12.5">
      <c r="C399" s="19"/>
      <c r="E399" s="13"/>
      <c r="F399" s="12"/>
    </row>
    <row r="400" spans="1:6" ht="12.5">
      <c r="C400" s="19"/>
      <c r="E400" s="13"/>
      <c r="F400" s="12"/>
    </row>
    <row r="401" spans="3:6" ht="12.5">
      <c r="C401" s="19"/>
      <c r="E401" s="13"/>
      <c r="F401" s="12"/>
    </row>
    <row r="402" spans="3:6" ht="12.5">
      <c r="C402" s="19"/>
      <c r="E402" s="13"/>
      <c r="F402" s="12"/>
    </row>
    <row r="403" spans="3:6" ht="12.5">
      <c r="C403" s="19"/>
      <c r="E403" s="13"/>
      <c r="F403" s="12"/>
    </row>
    <row r="404" spans="3:6" ht="12.5">
      <c r="C404" s="19"/>
      <c r="E404" s="13"/>
      <c r="F404" s="12"/>
    </row>
    <row r="405" spans="3:6" ht="12.5">
      <c r="C405" s="19"/>
      <c r="E405" s="13"/>
      <c r="F405" s="12"/>
    </row>
    <row r="406" spans="3:6" ht="12.5">
      <c r="C406" s="19"/>
      <c r="E406" s="13"/>
      <c r="F406" s="12"/>
    </row>
    <row r="407" spans="3:6" ht="12.5">
      <c r="E407" s="13"/>
      <c r="F407" s="12"/>
    </row>
    <row r="408" spans="3:6" ht="12.5">
      <c r="E408" s="13"/>
      <c r="F408" s="12"/>
    </row>
    <row r="409" spans="3:6" ht="12.5">
      <c r="E409" s="13"/>
      <c r="F409" s="12"/>
    </row>
    <row r="410" spans="3:6" ht="12.5">
      <c r="E410" s="13"/>
      <c r="F410" s="12"/>
    </row>
    <row r="411" spans="3:6" ht="12.5">
      <c r="E411" s="13"/>
      <c r="F411" s="12"/>
    </row>
    <row r="412" spans="3:6" ht="12.5">
      <c r="E412" s="13"/>
      <c r="F412" s="12"/>
    </row>
    <row r="413" spans="3:6" ht="12.5">
      <c r="E413" s="13"/>
      <c r="F413" s="12"/>
    </row>
    <row r="414" spans="3:6" ht="12.5">
      <c r="E414" s="13"/>
      <c r="F414" s="12"/>
    </row>
    <row r="415" spans="3:6" ht="12.5">
      <c r="E415" s="13"/>
      <c r="F415" s="12"/>
    </row>
    <row r="416" spans="3:6" ht="12.5">
      <c r="E416" s="13"/>
      <c r="F416" s="12"/>
    </row>
    <row r="417" spans="5:6" ht="12.5">
      <c r="E417" s="13"/>
      <c r="F417" s="12"/>
    </row>
    <row r="418" spans="5:6" ht="12.5">
      <c r="E418" s="13"/>
      <c r="F418" s="12"/>
    </row>
    <row r="419" spans="5:6" ht="12.5">
      <c r="E419" s="13"/>
      <c r="F419" s="12"/>
    </row>
    <row r="420" spans="5:6" ht="12.5">
      <c r="E420" s="13"/>
      <c r="F420" s="12"/>
    </row>
    <row r="421" spans="5:6" ht="12.5">
      <c r="E421" s="13"/>
      <c r="F421" s="12"/>
    </row>
    <row r="422" spans="5:6" ht="12.5">
      <c r="E422" s="13"/>
      <c r="F422" s="12"/>
    </row>
    <row r="423" spans="5:6" ht="12.5">
      <c r="E423" s="13"/>
      <c r="F423" s="12"/>
    </row>
    <row r="424" spans="5:6" ht="12.5">
      <c r="E424" s="13"/>
      <c r="F424" s="12"/>
    </row>
    <row r="425" spans="5:6" ht="12.5">
      <c r="E425" s="13"/>
      <c r="F425" s="12"/>
    </row>
    <row r="426" spans="5:6" ht="12.5">
      <c r="E426" s="13"/>
      <c r="F426" s="12"/>
    </row>
    <row r="427" spans="5:6" ht="12.5">
      <c r="E427" s="13"/>
      <c r="F427" s="12"/>
    </row>
    <row r="428" spans="5:6" ht="12.5">
      <c r="E428" s="13"/>
      <c r="F428" s="12"/>
    </row>
    <row r="429" spans="5:6" ht="12.5">
      <c r="E429" s="13"/>
      <c r="F429" s="12"/>
    </row>
    <row r="430" spans="5:6" ht="12.5">
      <c r="E430" s="13"/>
      <c r="F430" s="12"/>
    </row>
    <row r="431" spans="5:6" ht="12.5">
      <c r="E431" s="13"/>
      <c r="F431" s="12"/>
    </row>
    <row r="432" spans="5:6" ht="12.5">
      <c r="E432" s="13"/>
      <c r="F432" s="12"/>
    </row>
    <row r="433" spans="5:6" ht="12.5">
      <c r="E433" s="13"/>
      <c r="F433" s="12"/>
    </row>
    <row r="434" spans="5:6" ht="12.5">
      <c r="E434" s="13"/>
      <c r="F434" s="12"/>
    </row>
    <row r="435" spans="5:6" ht="12.5">
      <c r="E435" s="13"/>
      <c r="F435" s="12"/>
    </row>
    <row r="436" spans="5:6" ht="12.5">
      <c r="E436" s="13"/>
      <c r="F436" s="12"/>
    </row>
    <row r="437" spans="5:6" ht="12.5">
      <c r="E437" s="13"/>
      <c r="F437" s="12"/>
    </row>
    <row r="438" spans="5:6" ht="12.5">
      <c r="E438" s="13"/>
      <c r="F438" s="12"/>
    </row>
    <row r="439" spans="5:6" ht="12.5">
      <c r="E439" s="13"/>
      <c r="F439" s="12"/>
    </row>
    <row r="440" spans="5:6" ht="12.5">
      <c r="E440" s="13"/>
      <c r="F440" s="12"/>
    </row>
    <row r="441" spans="5:6" ht="12.5">
      <c r="E441" s="13"/>
      <c r="F441" s="12"/>
    </row>
    <row r="442" spans="5:6" ht="12.5">
      <c r="E442" s="13"/>
      <c r="F442" s="12"/>
    </row>
    <row r="443" spans="5:6" ht="12.5">
      <c r="E443" s="13"/>
      <c r="F443" s="12"/>
    </row>
    <row r="444" spans="5:6" ht="12.5">
      <c r="E444" s="13"/>
      <c r="F444" s="12"/>
    </row>
    <row r="445" spans="5:6" ht="12.5">
      <c r="E445" s="13"/>
      <c r="F445" s="12"/>
    </row>
    <row r="446" spans="5:6" ht="12.5">
      <c r="E446" s="13"/>
      <c r="F446" s="12"/>
    </row>
    <row r="447" spans="5:6" ht="12.5">
      <c r="E447" s="13"/>
      <c r="F447" s="12"/>
    </row>
    <row r="448" spans="5:6" ht="12.5">
      <c r="E448" s="13"/>
      <c r="F448" s="12"/>
    </row>
    <row r="449" spans="5:6" ht="12.5">
      <c r="E449" s="13"/>
      <c r="F449" s="12"/>
    </row>
    <row r="450" spans="5:6" ht="12.5">
      <c r="E450" s="13"/>
      <c r="F450" s="12"/>
    </row>
    <row r="451" spans="5:6" ht="12.5">
      <c r="E451" s="13"/>
      <c r="F451" s="12"/>
    </row>
    <row r="452" spans="5:6" ht="12.5">
      <c r="E452" s="13"/>
      <c r="F452" s="12"/>
    </row>
    <row r="453" spans="5:6" ht="12.5">
      <c r="E453" s="13"/>
      <c r="F453" s="12"/>
    </row>
    <row r="454" spans="5:6" ht="12.5">
      <c r="E454" s="13"/>
      <c r="F454" s="12"/>
    </row>
    <row r="455" spans="5:6" ht="12.5">
      <c r="E455" s="13"/>
      <c r="F455" s="12"/>
    </row>
    <row r="456" spans="5:6" ht="12.5">
      <c r="E456" s="13"/>
      <c r="F456" s="12"/>
    </row>
    <row r="457" spans="5:6" ht="12.5">
      <c r="E457" s="13"/>
      <c r="F457" s="12"/>
    </row>
    <row r="458" spans="5:6" ht="12.5">
      <c r="E458" s="13"/>
      <c r="F458" s="12"/>
    </row>
    <row r="459" spans="5:6" ht="12.5">
      <c r="E459" s="13"/>
      <c r="F459" s="12"/>
    </row>
    <row r="460" spans="5:6" ht="12.5">
      <c r="E460" s="13"/>
      <c r="F460" s="12"/>
    </row>
    <row r="461" spans="5:6" ht="12.5">
      <c r="E461" s="13"/>
      <c r="F461" s="12"/>
    </row>
    <row r="462" spans="5:6" ht="12.5">
      <c r="E462" s="13"/>
      <c r="F462" s="12"/>
    </row>
    <row r="463" spans="5:6" ht="12.5">
      <c r="E463" s="13"/>
      <c r="F463" s="12"/>
    </row>
    <row r="464" spans="5:6" ht="12.5">
      <c r="E464" s="13"/>
      <c r="F464" s="12"/>
    </row>
    <row r="465" spans="5:6" ht="12.5">
      <c r="E465" s="13"/>
      <c r="F465" s="12"/>
    </row>
    <row r="466" spans="5:6" ht="12.5">
      <c r="E466" s="13"/>
      <c r="F466" s="12"/>
    </row>
    <row r="467" spans="5:6" ht="12.5">
      <c r="E467" s="13"/>
      <c r="F467" s="12"/>
    </row>
    <row r="468" spans="5:6" ht="12.5">
      <c r="E468" s="13"/>
      <c r="F468" s="12"/>
    </row>
    <row r="469" spans="5:6" ht="12.5">
      <c r="E469" s="13"/>
      <c r="F469" s="12"/>
    </row>
    <row r="470" spans="5:6" ht="12.5">
      <c r="E470" s="13"/>
      <c r="F470" s="12"/>
    </row>
    <row r="471" spans="5:6" ht="12.5">
      <c r="E471" s="13"/>
      <c r="F471" s="12"/>
    </row>
    <row r="472" spans="5:6" ht="12.5">
      <c r="E472" s="13"/>
      <c r="F472" s="12"/>
    </row>
    <row r="473" spans="5:6" ht="12.5">
      <c r="E473" s="13"/>
      <c r="F473" s="12"/>
    </row>
    <row r="474" spans="5:6" ht="12.5">
      <c r="E474" s="13"/>
      <c r="F474" s="12"/>
    </row>
    <row r="475" spans="5:6" ht="12.5">
      <c r="E475" s="13"/>
      <c r="F475" s="12"/>
    </row>
    <row r="476" spans="5:6" ht="12.5">
      <c r="E476" s="13"/>
      <c r="F476" s="12"/>
    </row>
    <row r="477" spans="5:6" ht="12.5">
      <c r="E477" s="13"/>
      <c r="F477" s="12"/>
    </row>
    <row r="478" spans="5:6" ht="12.5">
      <c r="E478" s="13"/>
      <c r="F478" s="12"/>
    </row>
    <row r="479" spans="5:6" ht="12.5">
      <c r="E479" s="13"/>
      <c r="F479" s="12"/>
    </row>
    <row r="480" spans="5:6" ht="12.5">
      <c r="E480" s="13"/>
      <c r="F480" s="12"/>
    </row>
    <row r="481" spans="5:6" ht="12.5">
      <c r="E481" s="13"/>
      <c r="F481" s="12"/>
    </row>
    <row r="482" spans="5:6" ht="12.5">
      <c r="E482" s="13"/>
      <c r="F482" s="12"/>
    </row>
    <row r="483" spans="5:6" ht="12.5">
      <c r="E483" s="13"/>
      <c r="F483" s="12"/>
    </row>
    <row r="484" spans="5:6" ht="12.5">
      <c r="E484" s="13"/>
      <c r="F484" s="12"/>
    </row>
    <row r="485" spans="5:6" ht="12.5">
      <c r="E485" s="13"/>
      <c r="F485" s="12"/>
    </row>
    <row r="486" spans="5:6" ht="12.5">
      <c r="E486" s="13"/>
      <c r="F486" s="12"/>
    </row>
    <row r="487" spans="5:6" ht="12.5">
      <c r="E487" s="13"/>
      <c r="F487" s="12"/>
    </row>
    <row r="488" spans="5:6" ht="12.5">
      <c r="E488" s="13"/>
      <c r="F488" s="12"/>
    </row>
    <row r="489" spans="5:6" ht="12.5">
      <c r="E489" s="13"/>
      <c r="F489" s="12"/>
    </row>
    <row r="490" spans="5:6" ht="12.5">
      <c r="E490" s="13"/>
      <c r="F490" s="12"/>
    </row>
    <row r="491" spans="5:6" ht="12.5">
      <c r="E491" s="13"/>
      <c r="F491" s="12"/>
    </row>
    <row r="492" spans="5:6" ht="12.5">
      <c r="E492" s="13"/>
      <c r="F492" s="12"/>
    </row>
    <row r="493" spans="5:6" ht="12.5">
      <c r="E493" s="13"/>
      <c r="F493" s="12"/>
    </row>
    <row r="494" spans="5:6" ht="12.5">
      <c r="E494" s="13"/>
      <c r="F494" s="12"/>
    </row>
    <row r="495" spans="5:6" ht="12.5">
      <c r="E495" s="13"/>
      <c r="F495" s="12"/>
    </row>
    <row r="496" spans="5:6" ht="12.5">
      <c r="E496" s="13"/>
      <c r="F496" s="12"/>
    </row>
    <row r="497" spans="5:6" ht="12.5">
      <c r="E497" s="13"/>
      <c r="F497" s="12"/>
    </row>
    <row r="498" spans="5:6" ht="12.5">
      <c r="E498" s="13"/>
      <c r="F498" s="12"/>
    </row>
    <row r="499" spans="5:6" ht="12.5">
      <c r="E499" s="13"/>
      <c r="F499" s="12"/>
    </row>
    <row r="500" spans="5:6" ht="12.5">
      <c r="E500" s="13"/>
      <c r="F500" s="12"/>
    </row>
    <row r="501" spans="5:6" ht="12.5">
      <c r="E501" s="13"/>
      <c r="F501" s="12"/>
    </row>
    <row r="502" spans="5:6" ht="12.5">
      <c r="E502" s="13"/>
      <c r="F502" s="12"/>
    </row>
    <row r="503" spans="5:6" ht="12.5">
      <c r="E503" s="13"/>
      <c r="F503" s="12"/>
    </row>
    <row r="504" spans="5:6" ht="12.5">
      <c r="E504" s="13"/>
      <c r="F504" s="12"/>
    </row>
    <row r="505" spans="5:6" ht="12.5">
      <c r="E505" s="13"/>
      <c r="F505" s="12"/>
    </row>
    <row r="506" spans="5:6" ht="12.5">
      <c r="E506" s="13"/>
      <c r="F506" s="12"/>
    </row>
    <row r="507" spans="5:6" ht="12.5">
      <c r="E507" s="13"/>
      <c r="F507" s="12"/>
    </row>
    <row r="508" spans="5:6" ht="12.5">
      <c r="E508" s="13"/>
      <c r="F508" s="12"/>
    </row>
    <row r="509" spans="5:6" ht="12.5">
      <c r="E509" s="13"/>
      <c r="F509" s="12"/>
    </row>
    <row r="510" spans="5:6" ht="12.5">
      <c r="E510" s="13"/>
      <c r="F510" s="12"/>
    </row>
    <row r="511" spans="5:6" ht="12.5">
      <c r="E511" s="13"/>
      <c r="F511" s="12"/>
    </row>
    <row r="512" spans="5:6" ht="12.5">
      <c r="E512" s="13"/>
      <c r="F512" s="12"/>
    </row>
    <row r="513" spans="5:6" ht="12.5">
      <c r="E513" s="13"/>
      <c r="F513" s="12"/>
    </row>
    <row r="514" spans="5:6" ht="12.5">
      <c r="E514" s="13"/>
      <c r="F514" s="12"/>
    </row>
    <row r="515" spans="5:6" ht="12.5">
      <c r="E515" s="13"/>
      <c r="F515" s="12"/>
    </row>
    <row r="516" spans="5:6" ht="12.5">
      <c r="E516" s="13"/>
      <c r="F516" s="12"/>
    </row>
    <row r="517" spans="5:6" ht="12.5">
      <c r="E517" s="13"/>
      <c r="F517" s="12"/>
    </row>
    <row r="518" spans="5:6" ht="12.5">
      <c r="E518" s="13"/>
      <c r="F518" s="12"/>
    </row>
    <row r="519" spans="5:6" ht="12.5">
      <c r="E519" s="13"/>
      <c r="F519" s="12"/>
    </row>
    <row r="520" spans="5:6" ht="12.5">
      <c r="E520" s="13"/>
      <c r="F520" s="12"/>
    </row>
    <row r="521" spans="5:6" ht="12.5">
      <c r="E521" s="13"/>
      <c r="F521" s="12"/>
    </row>
    <row r="522" spans="5:6" ht="12.5">
      <c r="E522" s="13"/>
      <c r="F522" s="12"/>
    </row>
    <row r="523" spans="5:6" ht="12.5">
      <c r="E523" s="13"/>
      <c r="F523" s="12"/>
    </row>
    <row r="524" spans="5:6" ht="12.5">
      <c r="E524" s="13"/>
      <c r="F524" s="12"/>
    </row>
    <row r="525" spans="5:6" ht="12.5">
      <c r="E525" s="13"/>
      <c r="F525" s="12"/>
    </row>
    <row r="526" spans="5:6" ht="12.5">
      <c r="E526" s="13"/>
      <c r="F526" s="12"/>
    </row>
    <row r="527" spans="5:6" ht="12.5">
      <c r="E527" s="13"/>
      <c r="F527" s="12"/>
    </row>
    <row r="528" spans="5:6" ht="12.5">
      <c r="E528" s="13"/>
      <c r="F528" s="12"/>
    </row>
    <row r="529" spans="5:6" ht="12.5">
      <c r="E529" s="13"/>
      <c r="F529" s="12"/>
    </row>
    <row r="530" spans="5:6" ht="12.5">
      <c r="E530" s="13"/>
      <c r="F530" s="12"/>
    </row>
    <row r="531" spans="5:6" ht="12.5">
      <c r="E531" s="13"/>
      <c r="F531" s="12"/>
    </row>
    <row r="532" spans="5:6" ht="12.5">
      <c r="E532" s="13"/>
      <c r="F532" s="12"/>
    </row>
    <row r="533" spans="5:6" ht="12.5">
      <c r="E533" s="13"/>
      <c r="F533" s="12"/>
    </row>
    <row r="534" spans="5:6" ht="12.5">
      <c r="E534" s="13"/>
      <c r="F534" s="12"/>
    </row>
    <row r="535" spans="5:6" ht="12.5">
      <c r="E535" s="13"/>
      <c r="F535" s="12"/>
    </row>
    <row r="536" spans="5:6" ht="12.5">
      <c r="E536" s="13"/>
      <c r="F536" s="12"/>
    </row>
    <row r="537" spans="5:6" ht="12.5">
      <c r="E537" s="13"/>
      <c r="F537" s="12"/>
    </row>
    <row r="538" spans="5:6" ht="12.5">
      <c r="E538" s="13"/>
      <c r="F538" s="12"/>
    </row>
    <row r="539" spans="5:6" ht="12.5">
      <c r="E539" s="13"/>
      <c r="F539" s="12"/>
    </row>
    <row r="540" spans="5:6" ht="12.5">
      <c r="E540" s="13"/>
      <c r="F540" s="12"/>
    </row>
    <row r="541" spans="5:6" ht="12.5">
      <c r="E541" s="13"/>
      <c r="F541" s="12"/>
    </row>
    <row r="542" spans="5:6" ht="12.5">
      <c r="E542" s="13"/>
      <c r="F542" s="12"/>
    </row>
    <row r="543" spans="5:6" ht="12.5">
      <c r="E543" s="13"/>
      <c r="F543" s="12"/>
    </row>
    <row r="544" spans="5:6" ht="12.5">
      <c r="E544" s="13"/>
      <c r="F544" s="12"/>
    </row>
    <row r="545" spans="5:6" ht="12.5">
      <c r="E545" s="13"/>
      <c r="F545" s="12"/>
    </row>
    <row r="546" spans="5:6" ht="12.5">
      <c r="E546" s="13"/>
      <c r="F546" s="12"/>
    </row>
    <row r="547" spans="5:6" ht="12.5">
      <c r="E547" s="13"/>
      <c r="F547" s="12"/>
    </row>
    <row r="548" spans="5:6" ht="12.5">
      <c r="E548" s="13"/>
      <c r="F548" s="12"/>
    </row>
    <row r="549" spans="5:6" ht="12.5">
      <c r="E549" s="13"/>
      <c r="F549" s="12"/>
    </row>
    <row r="550" spans="5:6" ht="12.5">
      <c r="E550" s="13"/>
      <c r="F550" s="12"/>
    </row>
    <row r="551" spans="5:6" ht="12.5">
      <c r="E551" s="13"/>
      <c r="F551" s="12"/>
    </row>
    <row r="552" spans="5:6" ht="12.5">
      <c r="E552" s="13"/>
      <c r="F552" s="12"/>
    </row>
    <row r="553" spans="5:6" ht="12.5">
      <c r="E553" s="13"/>
      <c r="F553" s="12"/>
    </row>
    <row r="554" spans="5:6" ht="12.5">
      <c r="E554" s="13"/>
      <c r="F554" s="12"/>
    </row>
    <row r="555" spans="5:6" ht="12.5">
      <c r="E555" s="13"/>
      <c r="F555" s="12"/>
    </row>
    <row r="556" spans="5:6" ht="12.5">
      <c r="E556" s="13"/>
      <c r="F556" s="12"/>
    </row>
    <row r="557" spans="5:6" ht="12.5">
      <c r="E557" s="13"/>
      <c r="F557" s="12"/>
    </row>
    <row r="558" spans="5:6" ht="12.5">
      <c r="E558" s="13"/>
      <c r="F558" s="12"/>
    </row>
    <row r="559" spans="5:6" ht="12.5">
      <c r="E559" s="13"/>
      <c r="F559" s="12"/>
    </row>
    <row r="560" spans="5:6" ht="12.5">
      <c r="E560" s="13"/>
      <c r="F560" s="12"/>
    </row>
    <row r="561" spans="5:6" ht="12.5">
      <c r="E561" s="13"/>
      <c r="F561" s="12"/>
    </row>
    <row r="562" spans="5:6" ht="12.5">
      <c r="E562" s="13"/>
      <c r="F562" s="12"/>
    </row>
    <row r="563" spans="5:6" ht="12.5">
      <c r="E563" s="13"/>
      <c r="F563" s="12"/>
    </row>
    <row r="564" spans="5:6" ht="12.5">
      <c r="E564" s="13"/>
      <c r="F564" s="12"/>
    </row>
    <row r="565" spans="5:6" ht="12.5">
      <c r="E565" s="13"/>
      <c r="F565" s="12"/>
    </row>
    <row r="566" spans="5:6" ht="12.5">
      <c r="E566" s="13"/>
      <c r="F566" s="12"/>
    </row>
    <row r="567" spans="5:6" ht="12.5">
      <c r="E567" s="13"/>
      <c r="F567" s="12"/>
    </row>
    <row r="568" spans="5:6" ht="12.5">
      <c r="E568" s="13"/>
      <c r="F568" s="12"/>
    </row>
    <row r="569" spans="5:6" ht="12.5">
      <c r="E569" s="13"/>
      <c r="F569" s="12"/>
    </row>
    <row r="570" spans="5:6" ht="12.5">
      <c r="E570" s="13"/>
      <c r="F570" s="12"/>
    </row>
    <row r="571" spans="5:6" ht="12.5">
      <c r="E571" s="13"/>
      <c r="F571" s="12"/>
    </row>
    <row r="572" spans="5:6" ht="12.5">
      <c r="E572" s="13"/>
      <c r="F572" s="12"/>
    </row>
    <row r="573" spans="5:6" ht="12.5">
      <c r="E573" s="13"/>
      <c r="F573" s="12"/>
    </row>
    <row r="574" spans="5:6" ht="12.5">
      <c r="E574" s="13"/>
      <c r="F574" s="12"/>
    </row>
    <row r="575" spans="5:6" ht="12.5">
      <c r="E575" s="13"/>
      <c r="F575" s="12"/>
    </row>
    <row r="576" spans="5:6" ht="12.5">
      <c r="E576" s="13"/>
      <c r="F576" s="12"/>
    </row>
    <row r="577" spans="5:6" ht="12.5">
      <c r="E577" s="13"/>
      <c r="F577" s="12"/>
    </row>
    <row r="578" spans="5:6" ht="12.5">
      <c r="E578" s="13"/>
      <c r="F578" s="12"/>
    </row>
    <row r="579" spans="5:6" ht="12.5">
      <c r="E579" s="13"/>
      <c r="F579" s="12"/>
    </row>
    <row r="580" spans="5:6" ht="12.5">
      <c r="E580" s="13"/>
      <c r="F580" s="12"/>
    </row>
    <row r="581" spans="5:6" ht="12.5">
      <c r="E581" s="13"/>
      <c r="F581" s="12"/>
    </row>
    <row r="582" spans="5:6" ht="12.5">
      <c r="E582" s="13"/>
      <c r="F582" s="12"/>
    </row>
    <row r="583" spans="5:6" ht="12.5">
      <c r="E583" s="13"/>
      <c r="F583" s="12"/>
    </row>
    <row r="584" spans="5:6" ht="12.5">
      <c r="E584" s="13"/>
      <c r="F584" s="12"/>
    </row>
    <row r="585" spans="5:6" ht="12.5">
      <c r="E585" s="13"/>
      <c r="F585" s="12"/>
    </row>
    <row r="586" spans="5:6" ht="12.5">
      <c r="E586" s="13"/>
      <c r="F586" s="12"/>
    </row>
    <row r="587" spans="5:6" ht="12.5">
      <c r="E587" s="13"/>
      <c r="F587" s="12"/>
    </row>
    <row r="588" spans="5:6" ht="12.5">
      <c r="E588" s="13"/>
      <c r="F588" s="12"/>
    </row>
    <row r="589" spans="5:6" ht="12.5">
      <c r="E589" s="13"/>
      <c r="F589" s="12"/>
    </row>
    <row r="590" spans="5:6" ht="12.5">
      <c r="E590" s="13"/>
      <c r="F590" s="12"/>
    </row>
    <row r="591" spans="5:6" ht="12.5">
      <c r="E591" s="13"/>
      <c r="F591" s="12"/>
    </row>
    <row r="592" spans="5:6" ht="12.5">
      <c r="E592" s="13"/>
      <c r="F592" s="12"/>
    </row>
    <row r="593" spans="5:6" ht="12.5">
      <c r="E593" s="13"/>
      <c r="F593" s="12"/>
    </row>
    <row r="594" spans="5:6" ht="12.5">
      <c r="E594" s="13"/>
      <c r="F594" s="12"/>
    </row>
    <row r="595" spans="5:6" ht="12.5">
      <c r="E595" s="13"/>
      <c r="F595" s="12"/>
    </row>
    <row r="596" spans="5:6" ht="12.5">
      <c r="E596" s="13"/>
      <c r="F596" s="12"/>
    </row>
    <row r="597" spans="5:6" ht="12.5">
      <c r="E597" s="13"/>
      <c r="F597" s="12"/>
    </row>
    <row r="598" spans="5:6" ht="12.5">
      <c r="E598" s="13"/>
      <c r="F598" s="12"/>
    </row>
    <row r="599" spans="5:6" ht="12.5">
      <c r="E599" s="13"/>
      <c r="F599" s="12"/>
    </row>
    <row r="600" spans="5:6" ht="12.5">
      <c r="E600" s="13"/>
      <c r="F600" s="12"/>
    </row>
    <row r="601" spans="5:6" ht="12.5">
      <c r="E601" s="13"/>
      <c r="F601" s="12"/>
    </row>
    <row r="602" spans="5:6" ht="12.5">
      <c r="E602" s="13"/>
      <c r="F602" s="12"/>
    </row>
    <row r="603" spans="5:6" ht="12.5">
      <c r="E603" s="13"/>
      <c r="F603" s="12"/>
    </row>
    <row r="604" spans="5:6" ht="12.5">
      <c r="E604" s="13"/>
      <c r="F604" s="12"/>
    </row>
    <row r="605" spans="5:6" ht="12.5">
      <c r="E605" s="13"/>
      <c r="F605" s="12"/>
    </row>
    <row r="606" spans="5:6" ht="12.5">
      <c r="E606" s="13"/>
      <c r="F606" s="12"/>
    </row>
    <row r="607" spans="5:6" ht="12.5">
      <c r="E607" s="13"/>
      <c r="F607" s="12"/>
    </row>
    <row r="608" spans="5:6" ht="12.5">
      <c r="E608" s="13"/>
      <c r="F608" s="12"/>
    </row>
    <row r="609" spans="5:6" ht="12.5">
      <c r="E609" s="13"/>
      <c r="F609" s="12"/>
    </row>
    <row r="610" spans="5:6" ht="12.5">
      <c r="E610" s="13"/>
      <c r="F610" s="12"/>
    </row>
    <row r="611" spans="5:6" ht="12.5">
      <c r="E611" s="13"/>
      <c r="F611" s="12"/>
    </row>
    <row r="612" spans="5:6" ht="12.5">
      <c r="E612" s="13"/>
      <c r="F612" s="12"/>
    </row>
    <row r="613" spans="5:6" ht="12.5">
      <c r="E613" s="13"/>
      <c r="F613" s="12"/>
    </row>
    <row r="614" spans="5:6" ht="12.5">
      <c r="E614" s="13"/>
      <c r="F614" s="12"/>
    </row>
    <row r="615" spans="5:6" ht="12.5">
      <c r="E615" s="13"/>
      <c r="F615" s="12"/>
    </row>
    <row r="616" spans="5:6" ht="12.5">
      <c r="E616" s="13"/>
      <c r="F616" s="12"/>
    </row>
    <row r="617" spans="5:6" ht="12.5">
      <c r="E617" s="13"/>
      <c r="F617" s="12"/>
    </row>
    <row r="618" spans="5:6" ht="12.5">
      <c r="E618" s="13"/>
      <c r="F618" s="12"/>
    </row>
    <row r="619" spans="5:6" ht="12.5">
      <c r="E619" s="13"/>
      <c r="F619" s="12"/>
    </row>
    <row r="620" spans="5:6" ht="12.5">
      <c r="E620" s="13"/>
      <c r="F620" s="12"/>
    </row>
    <row r="621" spans="5:6" ht="12.5">
      <c r="E621" s="13"/>
      <c r="F621" s="12"/>
    </row>
    <row r="622" spans="5:6" ht="12.5">
      <c r="E622" s="13"/>
      <c r="F622" s="12"/>
    </row>
    <row r="623" spans="5:6" ht="12.5">
      <c r="E623" s="13"/>
      <c r="F623" s="12"/>
    </row>
    <row r="624" spans="5:6" ht="12.5">
      <c r="E624" s="13"/>
      <c r="F624" s="12"/>
    </row>
    <row r="625" spans="5:6" ht="12.5">
      <c r="E625" s="13"/>
      <c r="F625" s="12"/>
    </row>
    <row r="626" spans="5:6" ht="12.5">
      <c r="E626" s="13"/>
      <c r="F626" s="12"/>
    </row>
    <row r="627" spans="5:6" ht="12.5">
      <c r="E627" s="13"/>
      <c r="F627" s="12"/>
    </row>
    <row r="628" spans="5:6" ht="12.5">
      <c r="E628" s="13"/>
      <c r="F628" s="12"/>
    </row>
    <row r="629" spans="5:6" ht="12.5">
      <c r="E629" s="13"/>
      <c r="F629" s="12"/>
    </row>
    <row r="630" spans="5:6" ht="12.5">
      <c r="E630" s="13"/>
      <c r="F630" s="12"/>
    </row>
    <row r="631" spans="5:6" ht="12.5">
      <c r="E631" s="13"/>
      <c r="F631" s="12"/>
    </row>
    <row r="632" spans="5:6" ht="12.5">
      <c r="E632" s="13"/>
      <c r="F632" s="12"/>
    </row>
    <row r="633" spans="5:6" ht="12.5">
      <c r="E633" s="13"/>
      <c r="F633" s="12"/>
    </row>
    <row r="634" spans="5:6" ht="12.5">
      <c r="E634" s="13"/>
      <c r="F634" s="12"/>
    </row>
    <row r="635" spans="5:6" ht="12.5">
      <c r="E635" s="13"/>
      <c r="F635" s="12"/>
    </row>
    <row r="636" spans="5:6" ht="12.5">
      <c r="E636" s="13"/>
      <c r="F636" s="12"/>
    </row>
    <row r="637" spans="5:6" ht="12.5">
      <c r="E637" s="13"/>
      <c r="F637" s="12"/>
    </row>
    <row r="638" spans="5:6" ht="12.5">
      <c r="E638" s="13"/>
      <c r="F638" s="12"/>
    </row>
    <row r="639" spans="5:6" ht="12.5">
      <c r="E639" s="13"/>
      <c r="F639" s="12"/>
    </row>
    <row r="640" spans="5:6" ht="12.5">
      <c r="E640" s="13"/>
      <c r="F640" s="12"/>
    </row>
    <row r="641" spans="5:6" ht="12.5">
      <c r="E641" s="13"/>
      <c r="F641" s="12"/>
    </row>
    <row r="642" spans="5:6" ht="12.5">
      <c r="E642" s="13"/>
      <c r="F642" s="12"/>
    </row>
    <row r="643" spans="5:6" ht="12.5">
      <c r="E643" s="13"/>
      <c r="F643" s="12"/>
    </row>
    <row r="644" spans="5:6" ht="12.5">
      <c r="E644" s="13"/>
      <c r="F644" s="12"/>
    </row>
    <row r="645" spans="5:6" ht="12.5">
      <c r="E645" s="13"/>
      <c r="F645" s="12"/>
    </row>
    <row r="646" spans="5:6" ht="12.5">
      <c r="E646" s="13"/>
      <c r="F646" s="12"/>
    </row>
    <row r="647" spans="5:6" ht="12.5">
      <c r="E647" s="13"/>
      <c r="F647" s="12"/>
    </row>
    <row r="648" spans="5:6" ht="12.5">
      <c r="E648" s="13"/>
      <c r="F648" s="12"/>
    </row>
    <row r="649" spans="5:6" ht="12.5">
      <c r="E649" s="13"/>
      <c r="F649" s="12"/>
    </row>
    <row r="650" spans="5:6" ht="12.5">
      <c r="E650" s="13"/>
      <c r="F650" s="12"/>
    </row>
    <row r="651" spans="5:6" ht="12.5">
      <c r="E651" s="13"/>
      <c r="F651" s="12"/>
    </row>
    <row r="652" spans="5:6" ht="12.5">
      <c r="E652" s="13"/>
      <c r="F652" s="12"/>
    </row>
    <row r="653" spans="5:6" ht="12.5">
      <c r="E653" s="13"/>
      <c r="F653" s="12"/>
    </row>
    <row r="654" spans="5:6" ht="12.5">
      <c r="E654" s="13"/>
      <c r="F654" s="12"/>
    </row>
    <row r="655" spans="5:6" ht="12.5">
      <c r="E655" s="13"/>
      <c r="F655" s="12"/>
    </row>
    <row r="656" spans="5:6" ht="12.5">
      <c r="E656" s="13"/>
      <c r="F656" s="12"/>
    </row>
    <row r="657" spans="5:6" ht="12.5">
      <c r="E657" s="13"/>
      <c r="F657" s="12"/>
    </row>
    <row r="658" spans="5:6" ht="12.5">
      <c r="E658" s="13"/>
      <c r="F658" s="12"/>
    </row>
    <row r="659" spans="5:6" ht="12.5">
      <c r="E659" s="13"/>
      <c r="F659" s="12"/>
    </row>
    <row r="660" spans="5:6" ht="12.5">
      <c r="E660" s="13"/>
      <c r="F660" s="12"/>
    </row>
    <row r="661" spans="5:6" ht="12.5">
      <c r="E661" s="13"/>
      <c r="F661" s="12"/>
    </row>
    <row r="662" spans="5:6" ht="12.5">
      <c r="E662" s="13"/>
      <c r="F662" s="12"/>
    </row>
    <row r="663" spans="5:6" ht="12.5">
      <c r="E663" s="13"/>
      <c r="F663" s="12"/>
    </row>
    <row r="664" spans="5:6" ht="12.5">
      <c r="E664" s="13"/>
      <c r="F664" s="12"/>
    </row>
    <row r="665" spans="5:6" ht="12.5">
      <c r="E665" s="13"/>
      <c r="F665" s="12"/>
    </row>
    <row r="666" spans="5:6" ht="12.5">
      <c r="E666" s="13"/>
      <c r="F666" s="12"/>
    </row>
    <row r="667" spans="5:6" ht="12.5">
      <c r="E667" s="13"/>
      <c r="F667" s="12"/>
    </row>
    <row r="668" spans="5:6" ht="12.5">
      <c r="E668" s="13"/>
      <c r="F668" s="12"/>
    </row>
    <row r="669" spans="5:6" ht="12.5">
      <c r="E669" s="13"/>
      <c r="F669" s="12"/>
    </row>
    <row r="670" spans="5:6" ht="12.5">
      <c r="E670" s="13"/>
      <c r="F670" s="12"/>
    </row>
    <row r="671" spans="5:6" ht="12.5">
      <c r="E671" s="13"/>
      <c r="F671" s="12"/>
    </row>
    <row r="672" spans="5:6" ht="12.5">
      <c r="E672" s="13"/>
      <c r="F672" s="12"/>
    </row>
    <row r="673" spans="5:6" ht="12.5">
      <c r="E673" s="13"/>
      <c r="F673" s="12"/>
    </row>
    <row r="674" spans="5:6" ht="12.5">
      <c r="E674" s="13"/>
      <c r="F674" s="12"/>
    </row>
    <row r="675" spans="5:6" ht="12.5">
      <c r="E675" s="13"/>
      <c r="F675" s="12"/>
    </row>
    <row r="676" spans="5:6" ht="12.5">
      <c r="E676" s="13"/>
      <c r="F676" s="12"/>
    </row>
    <row r="677" spans="5:6" ht="12.5">
      <c r="E677" s="13"/>
      <c r="F677" s="12"/>
    </row>
    <row r="678" spans="5:6" ht="12.5">
      <c r="E678" s="13"/>
      <c r="F678" s="12"/>
    </row>
    <row r="679" spans="5:6" ht="12.5">
      <c r="E679" s="13"/>
      <c r="F679" s="12"/>
    </row>
    <row r="680" spans="5:6" ht="12.5">
      <c r="E680" s="13"/>
      <c r="F680" s="12"/>
    </row>
    <row r="681" spans="5:6" ht="12.5">
      <c r="E681" s="13"/>
      <c r="F681" s="12"/>
    </row>
    <row r="682" spans="5:6" ht="12.5">
      <c r="E682" s="13"/>
      <c r="F682" s="12"/>
    </row>
    <row r="683" spans="5:6" ht="12.5">
      <c r="E683" s="13"/>
      <c r="F683" s="12"/>
    </row>
    <row r="684" spans="5:6" ht="12.5">
      <c r="E684" s="13"/>
      <c r="F684" s="12"/>
    </row>
    <row r="685" spans="5:6" ht="12.5">
      <c r="E685" s="13"/>
      <c r="F685" s="12"/>
    </row>
    <row r="686" spans="5:6" ht="12.5">
      <c r="E686" s="13"/>
      <c r="F686" s="12"/>
    </row>
    <row r="687" spans="5:6" ht="12.5">
      <c r="E687" s="13"/>
      <c r="F687" s="12"/>
    </row>
    <row r="688" spans="5:6" ht="12.5">
      <c r="E688" s="13"/>
      <c r="F688" s="12"/>
    </row>
    <row r="689" spans="5:6" ht="12.5">
      <c r="E689" s="13"/>
      <c r="F689" s="12"/>
    </row>
    <row r="690" spans="5:6" ht="12.5">
      <c r="E690" s="13"/>
      <c r="F690" s="12"/>
    </row>
    <row r="691" spans="5:6" ht="12.5">
      <c r="E691" s="13"/>
      <c r="F691" s="12"/>
    </row>
    <row r="692" spans="5:6" ht="12.5">
      <c r="E692" s="13"/>
      <c r="F692" s="12"/>
    </row>
    <row r="693" spans="5:6" ht="12.5">
      <c r="E693" s="13"/>
      <c r="F693" s="12"/>
    </row>
    <row r="694" spans="5:6" ht="12.5">
      <c r="E694" s="13"/>
      <c r="F694" s="12"/>
    </row>
    <row r="695" spans="5:6" ht="12.5">
      <c r="E695" s="13"/>
      <c r="F695" s="12"/>
    </row>
    <row r="696" spans="5:6" ht="12.5">
      <c r="E696" s="13"/>
      <c r="F696" s="12"/>
    </row>
    <row r="697" spans="5:6" ht="12.5">
      <c r="E697" s="13"/>
      <c r="F697" s="12"/>
    </row>
    <row r="698" spans="5:6" ht="12.5">
      <c r="E698" s="13"/>
      <c r="F698" s="12"/>
    </row>
    <row r="699" spans="5:6" ht="12.5">
      <c r="E699" s="13"/>
      <c r="F699" s="12"/>
    </row>
    <row r="700" spans="5:6" ht="12.5">
      <c r="E700" s="13"/>
      <c r="F700" s="12"/>
    </row>
    <row r="701" spans="5:6" ht="12.5">
      <c r="E701" s="13"/>
      <c r="F701" s="12"/>
    </row>
    <row r="702" spans="5:6" ht="12.5">
      <c r="E702" s="13"/>
      <c r="F702" s="12"/>
    </row>
    <row r="703" spans="5:6" ht="12.5">
      <c r="E703" s="13"/>
      <c r="F703" s="12"/>
    </row>
    <row r="704" spans="5:6" ht="12.5">
      <c r="E704" s="13"/>
      <c r="F704" s="12"/>
    </row>
    <row r="705" spans="5:6" ht="12.5">
      <c r="E705" s="13"/>
      <c r="F705" s="12"/>
    </row>
    <row r="706" spans="5:6" ht="12.5">
      <c r="E706" s="13"/>
      <c r="F706" s="12"/>
    </row>
    <row r="707" spans="5:6" ht="12.5">
      <c r="E707" s="13"/>
      <c r="F707" s="12"/>
    </row>
    <row r="708" spans="5:6" ht="12.5">
      <c r="E708" s="13"/>
      <c r="F708" s="12"/>
    </row>
    <row r="709" spans="5:6" ht="12.5">
      <c r="E709" s="13"/>
      <c r="F709" s="12"/>
    </row>
    <row r="710" spans="5:6" ht="12.5">
      <c r="E710" s="13"/>
      <c r="F710" s="12"/>
    </row>
    <row r="711" spans="5:6" ht="12.5">
      <c r="E711" s="13"/>
      <c r="F711" s="12"/>
    </row>
    <row r="712" spans="5:6" ht="12.5">
      <c r="E712" s="13"/>
      <c r="F712" s="12"/>
    </row>
    <row r="713" spans="5:6" ht="12.5">
      <c r="E713" s="13"/>
      <c r="F713" s="12"/>
    </row>
    <row r="714" spans="5:6" ht="12.5">
      <c r="E714" s="13"/>
      <c r="F714" s="12"/>
    </row>
    <row r="715" spans="5:6" ht="12.5">
      <c r="E715" s="13"/>
      <c r="F715" s="12"/>
    </row>
    <row r="716" spans="5:6" ht="12.5">
      <c r="E716" s="13"/>
      <c r="F716" s="12"/>
    </row>
    <row r="717" spans="5:6" ht="12.5">
      <c r="E717" s="13"/>
      <c r="F717" s="12"/>
    </row>
    <row r="718" spans="5:6" ht="12.5">
      <c r="E718" s="13"/>
      <c r="F718" s="12"/>
    </row>
    <row r="719" spans="5:6" ht="12.5">
      <c r="E719" s="13"/>
      <c r="F719" s="12"/>
    </row>
    <row r="720" spans="5:6" ht="12.5">
      <c r="E720" s="13"/>
      <c r="F720" s="12"/>
    </row>
    <row r="721" spans="5:6" ht="12.5">
      <c r="E721" s="13"/>
      <c r="F721" s="12"/>
    </row>
    <row r="722" spans="5:6" ht="12.5">
      <c r="E722" s="13"/>
      <c r="F722" s="12"/>
    </row>
    <row r="723" spans="5:6" ht="12.5">
      <c r="E723" s="13"/>
      <c r="F723" s="12"/>
    </row>
    <row r="724" spans="5:6" ht="12.5">
      <c r="E724" s="13"/>
      <c r="F724" s="12"/>
    </row>
    <row r="725" spans="5:6" ht="12.5">
      <c r="E725" s="13"/>
      <c r="F725" s="12"/>
    </row>
    <row r="726" spans="5:6" ht="12.5">
      <c r="E726" s="13"/>
      <c r="F726" s="12"/>
    </row>
    <row r="727" spans="5:6" ht="12.5">
      <c r="E727" s="13"/>
      <c r="F727" s="12"/>
    </row>
    <row r="728" spans="5:6" ht="12.5">
      <c r="E728" s="13"/>
      <c r="F728" s="12"/>
    </row>
    <row r="729" spans="5:6" ht="12.5">
      <c r="E729" s="13"/>
      <c r="F729" s="12"/>
    </row>
    <row r="730" spans="5:6" ht="12.5">
      <c r="E730" s="13"/>
      <c r="F730" s="12"/>
    </row>
    <row r="731" spans="5:6" ht="12.5">
      <c r="E731" s="13"/>
      <c r="F731" s="12"/>
    </row>
    <row r="732" spans="5:6" ht="12.5">
      <c r="E732" s="13"/>
      <c r="F732" s="12"/>
    </row>
    <row r="733" spans="5:6" ht="12.5">
      <c r="E733" s="13"/>
      <c r="F733" s="12"/>
    </row>
    <row r="734" spans="5:6" ht="12.5">
      <c r="E734" s="13"/>
      <c r="F734" s="12"/>
    </row>
    <row r="735" spans="5:6" ht="12.5">
      <c r="E735" s="13"/>
      <c r="F735" s="12"/>
    </row>
    <row r="736" spans="5:6" ht="12.5">
      <c r="E736" s="13"/>
      <c r="F736" s="12"/>
    </row>
    <row r="737" spans="5:6" ht="12.5">
      <c r="E737" s="13"/>
      <c r="F737" s="12"/>
    </row>
    <row r="738" spans="5:6" ht="12.5">
      <c r="E738" s="13"/>
      <c r="F738" s="12"/>
    </row>
    <row r="739" spans="5:6" ht="12.5">
      <c r="E739" s="13"/>
      <c r="F739" s="12"/>
    </row>
    <row r="740" spans="5:6" ht="12.5">
      <c r="E740" s="13"/>
      <c r="F740" s="12"/>
    </row>
    <row r="741" spans="5:6" ht="12.5">
      <c r="E741" s="13"/>
      <c r="F741" s="12"/>
    </row>
    <row r="742" spans="5:6" ht="12.5">
      <c r="E742" s="13"/>
      <c r="F742" s="12"/>
    </row>
    <row r="743" spans="5:6" ht="12.5">
      <c r="E743" s="13"/>
      <c r="F743" s="12"/>
    </row>
    <row r="744" spans="5:6" ht="12.5">
      <c r="E744" s="13"/>
      <c r="F744" s="12"/>
    </row>
    <row r="745" spans="5:6" ht="12.5">
      <c r="E745" s="13"/>
      <c r="F745" s="12"/>
    </row>
    <row r="746" spans="5:6" ht="12.5">
      <c r="E746" s="13"/>
      <c r="F746" s="12"/>
    </row>
    <row r="747" spans="5:6" ht="12.5">
      <c r="E747" s="13"/>
      <c r="F747" s="12"/>
    </row>
    <row r="748" spans="5:6" ht="12.5">
      <c r="E748" s="13"/>
      <c r="F748" s="12"/>
    </row>
    <row r="749" spans="5:6" ht="12.5">
      <c r="E749" s="13"/>
      <c r="F749" s="12"/>
    </row>
    <row r="750" spans="5:6" ht="12.5">
      <c r="E750" s="13"/>
      <c r="F750" s="12"/>
    </row>
    <row r="751" spans="5:6" ht="12.5">
      <c r="E751" s="13"/>
      <c r="F751" s="12"/>
    </row>
    <row r="752" spans="5:6" ht="12.5">
      <c r="E752" s="13"/>
      <c r="F752" s="12"/>
    </row>
    <row r="753" spans="5:6" ht="12.5">
      <c r="E753" s="13"/>
      <c r="F753" s="12"/>
    </row>
    <row r="754" spans="5:6" ht="12.5">
      <c r="E754" s="13"/>
      <c r="F754" s="12"/>
    </row>
    <row r="755" spans="5:6" ht="12.5">
      <c r="E755" s="13"/>
      <c r="F755" s="12"/>
    </row>
    <row r="756" spans="5:6" ht="12.5">
      <c r="E756" s="13"/>
      <c r="F756" s="12"/>
    </row>
    <row r="757" spans="5:6" ht="12.5">
      <c r="E757" s="13"/>
      <c r="F757" s="12"/>
    </row>
    <row r="758" spans="5:6" ht="12.5">
      <c r="E758" s="13"/>
      <c r="F758" s="12"/>
    </row>
    <row r="759" spans="5:6" ht="12.5">
      <c r="E759" s="13"/>
      <c r="F759" s="12"/>
    </row>
    <row r="760" spans="5:6" ht="12.5">
      <c r="E760" s="13"/>
      <c r="F760" s="12"/>
    </row>
    <row r="761" spans="5:6" ht="12.5">
      <c r="E761" s="13"/>
      <c r="F761" s="12"/>
    </row>
    <row r="762" spans="5:6" ht="12.5">
      <c r="E762" s="13"/>
      <c r="F762" s="12"/>
    </row>
    <row r="763" spans="5:6" ht="12.5">
      <c r="E763" s="13"/>
      <c r="F763" s="12"/>
    </row>
    <row r="764" spans="5:6" ht="12.5">
      <c r="E764" s="13"/>
      <c r="F764" s="12"/>
    </row>
    <row r="765" spans="5:6" ht="12.5">
      <c r="E765" s="13"/>
      <c r="F765" s="12"/>
    </row>
    <row r="766" spans="5:6" ht="12.5">
      <c r="E766" s="13"/>
      <c r="F766" s="12"/>
    </row>
    <row r="767" spans="5:6" ht="12.5">
      <c r="E767" s="13"/>
      <c r="F767" s="12"/>
    </row>
    <row r="768" spans="5:6" ht="12.5">
      <c r="E768" s="13"/>
      <c r="F768" s="12"/>
    </row>
    <row r="769" spans="5:6" ht="12.5">
      <c r="E769" s="13"/>
      <c r="F769" s="12"/>
    </row>
    <row r="770" spans="5:6" ht="12.5">
      <c r="E770" s="13"/>
      <c r="F770" s="12"/>
    </row>
    <row r="771" spans="5:6" ht="12.5">
      <c r="E771" s="13"/>
      <c r="F771" s="12"/>
    </row>
    <row r="772" spans="5:6" ht="12.5">
      <c r="E772" s="13"/>
      <c r="F772" s="12"/>
    </row>
    <row r="773" spans="5:6" ht="12.5">
      <c r="E773" s="13"/>
      <c r="F773" s="12"/>
    </row>
    <row r="774" spans="5:6" ht="12.5">
      <c r="E774" s="13"/>
      <c r="F774" s="12"/>
    </row>
    <row r="775" spans="5:6" ht="12.5">
      <c r="E775" s="13"/>
      <c r="F775" s="12"/>
    </row>
    <row r="776" spans="5:6" ht="12.5">
      <c r="E776" s="13"/>
      <c r="F776" s="12"/>
    </row>
    <row r="777" spans="5:6" ht="12.5">
      <c r="E777" s="13"/>
      <c r="F777" s="12"/>
    </row>
    <row r="778" spans="5:6" ht="12.5">
      <c r="E778" s="13"/>
      <c r="F778" s="12"/>
    </row>
    <row r="779" spans="5:6" ht="12.5">
      <c r="E779" s="13"/>
      <c r="F779" s="12"/>
    </row>
    <row r="780" spans="5:6" ht="12.5">
      <c r="E780" s="13"/>
      <c r="F780" s="12"/>
    </row>
    <row r="781" spans="5:6" ht="12.5">
      <c r="E781" s="13"/>
      <c r="F781" s="12"/>
    </row>
    <row r="782" spans="5:6" ht="12.5">
      <c r="E782" s="13"/>
      <c r="F782" s="12"/>
    </row>
    <row r="783" spans="5:6" ht="12.5">
      <c r="E783" s="13"/>
      <c r="F783" s="12"/>
    </row>
    <row r="784" spans="5:6" ht="12.5">
      <c r="E784" s="13"/>
      <c r="F784" s="12"/>
    </row>
    <row r="785" spans="5:6" ht="12.5">
      <c r="E785" s="13"/>
      <c r="F785" s="12"/>
    </row>
    <row r="786" spans="5:6" ht="12.5">
      <c r="E786" s="13"/>
      <c r="F786" s="12"/>
    </row>
    <row r="787" spans="5:6" ht="12.5">
      <c r="E787" s="13"/>
      <c r="F787" s="12"/>
    </row>
    <row r="788" spans="5:6" ht="12.5">
      <c r="E788" s="13"/>
      <c r="F788" s="12"/>
    </row>
    <row r="789" spans="5:6" ht="12.5">
      <c r="E789" s="13"/>
      <c r="F789" s="12"/>
    </row>
    <row r="790" spans="5:6" ht="12.5">
      <c r="E790" s="13"/>
      <c r="F790" s="12"/>
    </row>
    <row r="791" spans="5:6" ht="12.5">
      <c r="E791" s="13"/>
      <c r="F791" s="12"/>
    </row>
    <row r="792" spans="5:6" ht="12.5">
      <c r="E792" s="13"/>
      <c r="F792" s="12"/>
    </row>
    <row r="793" spans="5:6" ht="12.5">
      <c r="E793" s="13"/>
      <c r="F793" s="12"/>
    </row>
    <row r="794" spans="5:6" ht="12.5">
      <c r="E794" s="13"/>
      <c r="F794" s="12"/>
    </row>
    <row r="795" spans="5:6" ht="12.5">
      <c r="E795" s="13"/>
      <c r="F795" s="12"/>
    </row>
    <row r="796" spans="5:6" ht="12.5">
      <c r="E796" s="13"/>
      <c r="F796" s="12"/>
    </row>
    <row r="797" spans="5:6" ht="12.5">
      <c r="E797" s="13"/>
      <c r="F797" s="12"/>
    </row>
    <row r="798" spans="5:6" ht="12.5">
      <c r="E798" s="13"/>
      <c r="F798" s="12"/>
    </row>
    <row r="799" spans="5:6" ht="12.5">
      <c r="E799" s="13"/>
      <c r="F799" s="12"/>
    </row>
    <row r="800" spans="5:6" ht="12.5">
      <c r="E800" s="13"/>
      <c r="F800" s="12"/>
    </row>
    <row r="801" spans="5:6" ht="12.5">
      <c r="E801" s="13"/>
      <c r="F801" s="12"/>
    </row>
    <row r="802" spans="5:6" ht="12.5">
      <c r="E802" s="13"/>
      <c r="F802" s="12"/>
    </row>
    <row r="803" spans="5:6" ht="12.5">
      <c r="E803" s="13"/>
      <c r="F803" s="12"/>
    </row>
    <row r="804" spans="5:6" ht="12.5">
      <c r="E804" s="13"/>
      <c r="F804" s="12"/>
    </row>
    <row r="805" spans="5:6" ht="12.5">
      <c r="E805" s="13"/>
      <c r="F805" s="12"/>
    </row>
    <row r="806" spans="5:6" ht="12.5">
      <c r="E806" s="13"/>
      <c r="F806" s="12"/>
    </row>
    <row r="807" spans="5:6" ht="12.5">
      <c r="E807" s="13"/>
      <c r="F807" s="12"/>
    </row>
    <row r="808" spans="5:6" ht="12.5">
      <c r="E808" s="13"/>
      <c r="F808" s="12"/>
    </row>
    <row r="809" spans="5:6" ht="12.5">
      <c r="E809" s="13"/>
      <c r="F809" s="12"/>
    </row>
    <row r="810" spans="5:6" ht="12.5">
      <c r="E810" s="13"/>
      <c r="F810" s="12"/>
    </row>
    <row r="811" spans="5:6" ht="12.5">
      <c r="E811" s="13"/>
      <c r="F811" s="12"/>
    </row>
    <row r="812" spans="5:6" ht="12.5">
      <c r="E812" s="13"/>
      <c r="F812" s="12"/>
    </row>
    <row r="813" spans="5:6" ht="12.5">
      <c r="E813" s="13"/>
      <c r="F813" s="12"/>
    </row>
    <row r="814" spans="5:6" ht="12.5">
      <c r="E814" s="13"/>
      <c r="F814" s="12"/>
    </row>
    <row r="815" spans="5:6" ht="12.5">
      <c r="E815" s="13"/>
      <c r="F815" s="12"/>
    </row>
    <row r="816" spans="5:6" ht="12.5">
      <c r="E816" s="13"/>
      <c r="F816" s="12"/>
    </row>
    <row r="817" spans="5:6" ht="12.5">
      <c r="E817" s="13"/>
      <c r="F817" s="12"/>
    </row>
    <row r="818" spans="5:6" ht="12.5">
      <c r="E818" s="13"/>
      <c r="F818" s="12"/>
    </row>
    <row r="819" spans="5:6" ht="12.5">
      <c r="E819" s="13"/>
      <c r="F819" s="12"/>
    </row>
    <row r="820" spans="5:6" ht="12.5">
      <c r="E820" s="13"/>
      <c r="F820" s="12"/>
    </row>
    <row r="821" spans="5:6" ht="12.5">
      <c r="E821" s="13"/>
      <c r="F821" s="12"/>
    </row>
    <row r="822" spans="5:6" ht="12.5">
      <c r="E822" s="13"/>
      <c r="F822" s="12"/>
    </row>
    <row r="823" spans="5:6" ht="12.5">
      <c r="E823" s="13"/>
      <c r="F823" s="12"/>
    </row>
    <row r="824" spans="5:6" ht="12.5">
      <c r="E824" s="13"/>
      <c r="F824" s="12"/>
    </row>
    <row r="825" spans="5:6" ht="12.5">
      <c r="E825" s="13"/>
      <c r="F825" s="12"/>
    </row>
    <row r="826" spans="5:6" ht="12.5">
      <c r="E826" s="13"/>
      <c r="F826" s="12"/>
    </row>
    <row r="827" spans="5:6" ht="12.5">
      <c r="E827" s="13"/>
      <c r="F827" s="12"/>
    </row>
    <row r="828" spans="5:6" ht="12.5">
      <c r="E828" s="13"/>
      <c r="F828" s="12"/>
    </row>
    <row r="829" spans="5:6" ht="12.5">
      <c r="E829" s="13"/>
      <c r="F829" s="12"/>
    </row>
    <row r="830" spans="5:6" ht="12.5">
      <c r="E830" s="13"/>
      <c r="F830" s="12"/>
    </row>
    <row r="831" spans="5:6" ht="12.5">
      <c r="E831" s="13"/>
      <c r="F831" s="12"/>
    </row>
    <row r="832" spans="5:6" ht="12.5">
      <c r="E832" s="13"/>
      <c r="F832" s="12"/>
    </row>
    <row r="833" spans="5:6" ht="12.5">
      <c r="E833" s="13"/>
      <c r="F833" s="12"/>
    </row>
    <row r="834" spans="5:6" ht="12.5">
      <c r="E834" s="13"/>
      <c r="F834" s="12"/>
    </row>
    <row r="835" spans="5:6" ht="12.5">
      <c r="E835" s="13"/>
      <c r="F835" s="12"/>
    </row>
    <row r="836" spans="5:6" ht="12.5">
      <c r="E836" s="13"/>
      <c r="F836" s="12"/>
    </row>
    <row r="837" spans="5:6" ht="12.5">
      <c r="E837" s="13"/>
      <c r="F837" s="12"/>
    </row>
    <row r="838" spans="5:6" ht="12.5">
      <c r="E838" s="13"/>
      <c r="F838" s="12"/>
    </row>
    <row r="839" spans="5:6" ht="12.5">
      <c r="E839" s="13"/>
      <c r="F839" s="12"/>
    </row>
    <row r="840" spans="5:6" ht="12.5">
      <c r="E840" s="13"/>
      <c r="F840" s="12"/>
    </row>
    <row r="841" spans="5:6" ht="12.5">
      <c r="E841" s="13"/>
      <c r="F841" s="12"/>
    </row>
    <row r="842" spans="5:6" ht="12.5">
      <c r="E842" s="13"/>
      <c r="F842" s="12"/>
    </row>
    <row r="843" spans="5:6" ht="12.5">
      <c r="E843" s="13"/>
      <c r="F843" s="12"/>
    </row>
    <row r="844" spans="5:6" ht="12.5">
      <c r="E844" s="13"/>
      <c r="F844" s="12"/>
    </row>
    <row r="845" spans="5:6" ht="12.5">
      <c r="E845" s="13"/>
      <c r="F845" s="12"/>
    </row>
    <row r="846" spans="5:6" ht="12.5">
      <c r="E846" s="13"/>
      <c r="F846" s="12"/>
    </row>
    <row r="847" spans="5:6" ht="12.5">
      <c r="E847" s="13"/>
      <c r="F847" s="12"/>
    </row>
    <row r="848" spans="5:6" ht="12.5">
      <c r="E848" s="13"/>
      <c r="F848" s="12"/>
    </row>
    <row r="849" spans="5:6" ht="12.5">
      <c r="E849" s="13"/>
      <c r="F849" s="12"/>
    </row>
    <row r="850" spans="5:6" ht="12.5">
      <c r="E850" s="13"/>
      <c r="F850" s="12"/>
    </row>
    <row r="851" spans="5:6" ht="12.5">
      <c r="E851" s="13"/>
      <c r="F851" s="12"/>
    </row>
    <row r="852" spans="5:6" ht="12.5">
      <c r="E852" s="13"/>
      <c r="F852" s="12"/>
    </row>
    <row r="853" spans="5:6" ht="12.5">
      <c r="E853" s="13"/>
      <c r="F853" s="12"/>
    </row>
    <row r="854" spans="5:6" ht="12.5">
      <c r="E854" s="13"/>
      <c r="F854" s="12"/>
    </row>
    <row r="855" spans="5:6" ht="12.5">
      <c r="E855" s="13"/>
      <c r="F855" s="12"/>
    </row>
    <row r="856" spans="5:6" ht="12.5">
      <c r="E856" s="13"/>
      <c r="F856" s="12"/>
    </row>
    <row r="857" spans="5:6" ht="12.5">
      <c r="E857" s="13"/>
      <c r="F857" s="12"/>
    </row>
    <row r="858" spans="5:6" ht="12.5">
      <c r="E858" s="13"/>
      <c r="F858" s="12"/>
    </row>
    <row r="859" spans="5:6" ht="12.5">
      <c r="E859" s="13"/>
      <c r="F859" s="12"/>
    </row>
    <row r="860" spans="5:6" ht="12.5">
      <c r="E860" s="13"/>
      <c r="F860" s="12"/>
    </row>
    <row r="861" spans="5:6" ht="12.5">
      <c r="E861" s="13"/>
      <c r="F861" s="12"/>
    </row>
    <row r="862" spans="5:6" ht="12.5">
      <c r="E862" s="13"/>
      <c r="F862" s="12"/>
    </row>
    <row r="863" spans="5:6" ht="12.5">
      <c r="E863" s="13"/>
      <c r="F863" s="12"/>
    </row>
    <row r="864" spans="5:6" ht="12.5">
      <c r="E864" s="13"/>
      <c r="F864" s="12"/>
    </row>
    <row r="865" spans="5:6" ht="12.5">
      <c r="E865" s="13"/>
      <c r="F865" s="12"/>
    </row>
    <row r="866" spans="5:6" ht="12.5">
      <c r="E866" s="13"/>
      <c r="F866" s="12"/>
    </row>
    <row r="867" spans="5:6" ht="12.5">
      <c r="E867" s="13"/>
      <c r="F867" s="12"/>
    </row>
    <row r="868" spans="5:6" ht="12.5">
      <c r="E868" s="13"/>
      <c r="F868" s="12"/>
    </row>
    <row r="869" spans="5:6" ht="12.5">
      <c r="E869" s="13"/>
      <c r="F869" s="12"/>
    </row>
    <row r="870" spans="5:6" ht="12.5">
      <c r="E870" s="13"/>
      <c r="F870" s="12"/>
    </row>
    <row r="871" spans="5:6" ht="12.5">
      <c r="E871" s="13"/>
      <c r="F871" s="12"/>
    </row>
    <row r="872" spans="5:6" ht="12.5">
      <c r="E872" s="13"/>
      <c r="F872" s="12"/>
    </row>
    <row r="873" spans="5:6" ht="12.5">
      <c r="E873" s="13"/>
      <c r="F873" s="12"/>
    </row>
    <row r="874" spans="5:6" ht="12.5">
      <c r="E874" s="13"/>
      <c r="F874" s="12"/>
    </row>
    <row r="875" spans="5:6" ht="12.5">
      <c r="E875" s="13"/>
      <c r="F875" s="12"/>
    </row>
    <row r="876" spans="5:6" ht="12.5">
      <c r="E876" s="13"/>
      <c r="F876" s="12"/>
    </row>
    <row r="877" spans="5:6" ht="12.5">
      <c r="E877" s="13"/>
      <c r="F877" s="12"/>
    </row>
    <row r="878" spans="5:6" ht="12.5">
      <c r="E878" s="13"/>
      <c r="F878" s="12"/>
    </row>
    <row r="879" spans="5:6" ht="12.5">
      <c r="E879" s="13"/>
      <c r="F879" s="12"/>
    </row>
    <row r="880" spans="5:6" ht="12.5">
      <c r="E880" s="13"/>
      <c r="F880" s="12"/>
    </row>
    <row r="881" spans="5:6" ht="12.5">
      <c r="E881" s="13"/>
      <c r="F881" s="12"/>
    </row>
    <row r="882" spans="5:6" ht="12.5">
      <c r="E882" s="13"/>
      <c r="F882" s="12"/>
    </row>
    <row r="883" spans="5:6" ht="12.5">
      <c r="E883" s="13"/>
      <c r="F883" s="12"/>
    </row>
    <row r="884" spans="5:6" ht="12.5">
      <c r="E884" s="13"/>
      <c r="F884" s="12"/>
    </row>
    <row r="885" spans="5:6" ht="12.5">
      <c r="E885" s="13"/>
      <c r="F885" s="12"/>
    </row>
    <row r="886" spans="5:6" ht="12.5">
      <c r="E886" s="13"/>
      <c r="F886" s="12"/>
    </row>
    <row r="887" spans="5:6" ht="12.5">
      <c r="E887" s="13"/>
      <c r="F887" s="12"/>
    </row>
    <row r="888" spans="5:6" ht="12.5">
      <c r="E888" s="13"/>
      <c r="F888" s="12"/>
    </row>
    <row r="889" spans="5:6" ht="12.5">
      <c r="E889" s="13"/>
      <c r="F889" s="12"/>
    </row>
    <row r="890" spans="5:6" ht="12.5">
      <c r="E890" s="13"/>
      <c r="F890" s="12"/>
    </row>
    <row r="891" spans="5:6" ht="12.5">
      <c r="E891" s="13"/>
      <c r="F891" s="12"/>
    </row>
    <row r="892" spans="5:6" ht="12.5">
      <c r="E892" s="13"/>
      <c r="F892" s="12"/>
    </row>
    <row r="893" spans="5:6" ht="12.5">
      <c r="E893" s="13"/>
      <c r="F893" s="12"/>
    </row>
    <row r="894" spans="5:6" ht="12.5">
      <c r="E894" s="13"/>
      <c r="F894" s="12"/>
    </row>
    <row r="895" spans="5:6" ht="12.5">
      <c r="E895" s="13"/>
      <c r="F895" s="12"/>
    </row>
    <row r="896" spans="5:6" ht="12.5">
      <c r="E896" s="13"/>
      <c r="F896" s="12"/>
    </row>
    <row r="897" spans="5:6" ht="12.5">
      <c r="E897" s="13"/>
      <c r="F897" s="12"/>
    </row>
    <row r="898" spans="5:6" ht="12.5">
      <c r="E898" s="13"/>
      <c r="F898" s="12"/>
    </row>
    <row r="899" spans="5:6" ht="12.5">
      <c r="E899" s="13"/>
      <c r="F899" s="12"/>
    </row>
    <row r="900" spans="5:6" ht="12.5">
      <c r="E900" s="13"/>
      <c r="F900" s="12"/>
    </row>
    <row r="901" spans="5:6" ht="12.5">
      <c r="E901" s="13"/>
      <c r="F901" s="12"/>
    </row>
    <row r="902" spans="5:6" ht="12.5">
      <c r="E902" s="13"/>
      <c r="F902" s="12"/>
    </row>
    <row r="903" spans="5:6" ht="12.5">
      <c r="E903" s="13"/>
      <c r="F903" s="12"/>
    </row>
    <row r="904" spans="5:6" ht="12.5">
      <c r="E904" s="13"/>
      <c r="F904" s="12"/>
    </row>
    <row r="905" spans="5:6" ht="12.5">
      <c r="E905" s="13"/>
      <c r="F905" s="12"/>
    </row>
    <row r="906" spans="5:6" ht="12.5">
      <c r="E906" s="13"/>
      <c r="F906" s="12"/>
    </row>
    <row r="907" spans="5:6" ht="12.5">
      <c r="E907" s="13"/>
      <c r="F907" s="12"/>
    </row>
    <row r="908" spans="5:6" ht="12.5">
      <c r="E908" s="13"/>
      <c r="F908" s="12"/>
    </row>
    <row r="909" spans="5:6" ht="12.5">
      <c r="E909" s="13"/>
      <c r="F909" s="12"/>
    </row>
    <row r="910" spans="5:6" ht="12.5">
      <c r="E910" s="13"/>
      <c r="F910" s="12"/>
    </row>
    <row r="911" spans="5:6" ht="12.5">
      <c r="E911" s="13"/>
      <c r="F911" s="12"/>
    </row>
    <row r="912" spans="5:6" ht="12.5">
      <c r="E912" s="13"/>
      <c r="F912" s="12"/>
    </row>
    <row r="913" spans="5:6" ht="12.5">
      <c r="E913" s="13"/>
      <c r="F913" s="12"/>
    </row>
    <row r="914" spans="5:6" ht="12.5">
      <c r="E914" s="13"/>
      <c r="F914" s="12"/>
    </row>
    <row r="915" spans="5:6" ht="12.5">
      <c r="E915" s="13"/>
      <c r="F915" s="12"/>
    </row>
    <row r="916" spans="5:6" ht="12.5">
      <c r="E916" s="13"/>
      <c r="F916" s="12"/>
    </row>
    <row r="917" spans="5:6" ht="12.5">
      <c r="E917" s="13"/>
      <c r="F917" s="12"/>
    </row>
    <row r="918" spans="5:6" ht="12.5">
      <c r="E918" s="13"/>
      <c r="F918" s="12"/>
    </row>
    <row r="919" spans="5:6" ht="12.5">
      <c r="E919" s="13"/>
      <c r="F919" s="12"/>
    </row>
    <row r="920" spans="5:6" ht="12.5">
      <c r="E920" s="13"/>
      <c r="F920" s="12"/>
    </row>
    <row r="921" spans="5:6" ht="12.5">
      <c r="E921" s="13"/>
      <c r="F921" s="12"/>
    </row>
    <row r="922" spans="5:6" ht="12.5">
      <c r="E922" s="13"/>
      <c r="F922" s="12"/>
    </row>
    <row r="923" spans="5:6" ht="12.5">
      <c r="E923" s="13"/>
      <c r="F923" s="12"/>
    </row>
    <row r="924" spans="5:6" ht="12.5">
      <c r="E924" s="13"/>
      <c r="F924" s="12"/>
    </row>
    <row r="925" spans="5:6" ht="12.5">
      <c r="E925" s="13"/>
      <c r="F925" s="12"/>
    </row>
    <row r="926" spans="5:6" ht="12.5">
      <c r="E926" s="13"/>
      <c r="F926" s="12"/>
    </row>
    <row r="927" spans="5:6" ht="12.5">
      <c r="E927" s="13"/>
      <c r="F927" s="12"/>
    </row>
    <row r="928" spans="5:6" ht="12.5">
      <c r="E928" s="13"/>
      <c r="F928" s="12"/>
    </row>
    <row r="929" spans="5:6" ht="12.5">
      <c r="E929" s="13"/>
      <c r="F929" s="12"/>
    </row>
    <row r="930" spans="5:6" ht="12.5">
      <c r="E930" s="13"/>
      <c r="F930" s="12"/>
    </row>
    <row r="931" spans="5:6" ht="12.5">
      <c r="E931" s="13"/>
      <c r="F931" s="12"/>
    </row>
    <row r="932" spans="5:6" ht="12.5">
      <c r="E932" s="13"/>
      <c r="F932" s="12"/>
    </row>
    <row r="933" spans="5:6" ht="12.5">
      <c r="E933" s="13"/>
      <c r="F933" s="12"/>
    </row>
    <row r="934" spans="5:6" ht="12.5">
      <c r="E934" s="13"/>
      <c r="F934" s="12"/>
    </row>
    <row r="935" spans="5:6" ht="12.5">
      <c r="E935" s="13"/>
      <c r="F935" s="12"/>
    </row>
    <row r="936" spans="5:6" ht="12.5">
      <c r="E936" s="13"/>
      <c r="F936" s="12"/>
    </row>
    <row r="937" spans="5:6" ht="12.5">
      <c r="E937" s="13"/>
      <c r="F937" s="12"/>
    </row>
    <row r="938" spans="5:6" ht="12.5">
      <c r="E938" s="13"/>
      <c r="F938" s="12"/>
    </row>
    <row r="939" spans="5:6" ht="12.5">
      <c r="E939" s="13"/>
      <c r="F939" s="12"/>
    </row>
    <row r="940" spans="5:6" ht="12.5">
      <c r="E940" s="13"/>
      <c r="F940" s="12"/>
    </row>
    <row r="941" spans="5:6" ht="12.5">
      <c r="E941" s="13"/>
      <c r="F941" s="12"/>
    </row>
    <row r="942" spans="5:6" ht="12.5">
      <c r="E942" s="13"/>
      <c r="F942" s="12"/>
    </row>
    <row r="943" spans="5:6" ht="12.5">
      <c r="E943" s="13"/>
      <c r="F943" s="12"/>
    </row>
    <row r="944" spans="5:6" ht="12.5">
      <c r="E944" s="13"/>
      <c r="F944" s="12"/>
    </row>
    <row r="945" spans="5:6" ht="12.5">
      <c r="E945" s="13"/>
      <c r="F945" s="12"/>
    </row>
    <row r="946" spans="5:6" ht="12.5">
      <c r="E946" s="13"/>
      <c r="F946" s="12"/>
    </row>
    <row r="947" spans="5:6" ht="12.5">
      <c r="E947" s="13"/>
      <c r="F947" s="12"/>
    </row>
    <row r="948" spans="5:6" ht="12.5">
      <c r="E948" s="13"/>
      <c r="F948" s="12"/>
    </row>
    <row r="949" spans="5:6" ht="12.5">
      <c r="E949" s="13"/>
      <c r="F949" s="12"/>
    </row>
    <row r="950" spans="5:6" ht="12.5">
      <c r="E950" s="13"/>
      <c r="F950" s="12"/>
    </row>
    <row r="951" spans="5:6" ht="12.5">
      <c r="E951" s="13"/>
      <c r="F951" s="12"/>
    </row>
    <row r="952" spans="5:6" ht="12.5">
      <c r="E952" s="13"/>
      <c r="F952" s="12"/>
    </row>
    <row r="953" spans="5:6" ht="12.5">
      <c r="E953" s="13"/>
      <c r="F953" s="12"/>
    </row>
    <row r="954" spans="5:6" ht="12.5">
      <c r="E954" s="13"/>
      <c r="F954" s="12"/>
    </row>
    <row r="955" spans="5:6" ht="12.5">
      <c r="E955" s="13"/>
      <c r="F955" s="12"/>
    </row>
    <row r="956" spans="5:6" ht="12.5">
      <c r="E956" s="13"/>
      <c r="F956" s="12"/>
    </row>
    <row r="957" spans="5:6" ht="12.5">
      <c r="E957" s="13"/>
      <c r="F957" s="12"/>
    </row>
    <row r="958" spans="5:6" ht="12.5">
      <c r="E958" s="13"/>
      <c r="F958" s="12"/>
    </row>
    <row r="959" spans="5:6" ht="12.5">
      <c r="E959" s="13"/>
      <c r="F959" s="12"/>
    </row>
    <row r="960" spans="5:6" ht="12.5">
      <c r="E960" s="13"/>
      <c r="F960" s="12"/>
    </row>
    <row r="961" spans="5:6" ht="12.5">
      <c r="E961" s="13"/>
      <c r="F961" s="12"/>
    </row>
    <row r="962" spans="5:6" ht="12.5">
      <c r="E962" s="13"/>
      <c r="F962" s="12"/>
    </row>
    <row r="963" spans="5:6" ht="12.5">
      <c r="E963" s="13"/>
      <c r="F963" s="12"/>
    </row>
    <row r="964" spans="5:6" ht="12.5">
      <c r="E964" s="13"/>
      <c r="F964" s="12"/>
    </row>
    <row r="965" spans="5:6" ht="12.5">
      <c r="E965" s="13"/>
      <c r="F965" s="12"/>
    </row>
    <row r="966" spans="5:6" ht="12.5">
      <c r="E966" s="13"/>
      <c r="F966" s="12"/>
    </row>
    <row r="967" spans="5:6" ht="12.5">
      <c r="E967" s="13"/>
      <c r="F967" s="12"/>
    </row>
    <row r="968" spans="5:6" ht="12.5">
      <c r="E968" s="13"/>
      <c r="F968" s="12"/>
    </row>
    <row r="969" spans="5:6" ht="12.5">
      <c r="E969" s="13"/>
      <c r="F969" s="12"/>
    </row>
    <row r="970" spans="5:6" ht="12.5">
      <c r="E970" s="13"/>
      <c r="F970" s="12"/>
    </row>
    <row r="971" spans="5:6" ht="12.5">
      <c r="E971" s="13"/>
      <c r="F971" s="12"/>
    </row>
    <row r="972" spans="5:6" ht="12.5">
      <c r="E972" s="13"/>
      <c r="F972" s="12"/>
    </row>
    <row r="973" spans="5:6" ht="12.5">
      <c r="E973" s="13"/>
      <c r="F973" s="12"/>
    </row>
    <row r="974" spans="5:6" ht="12.5">
      <c r="E974" s="13"/>
      <c r="F974" s="12"/>
    </row>
    <row r="975" spans="5:6" ht="12.5">
      <c r="E975" s="13"/>
      <c r="F975" s="12"/>
    </row>
    <row r="976" spans="5:6" ht="12.5">
      <c r="E976" s="13"/>
      <c r="F976" s="12"/>
    </row>
    <row r="977" spans="5:6" ht="12.5">
      <c r="E977" s="13"/>
      <c r="F977" s="12"/>
    </row>
    <row r="978" spans="5:6" ht="12.5">
      <c r="E978" s="13"/>
      <c r="F978" s="12"/>
    </row>
    <row r="979" spans="5:6" ht="12.5">
      <c r="E979" s="13"/>
      <c r="F979" s="12"/>
    </row>
    <row r="980" spans="5:6" ht="12.5">
      <c r="E980" s="13"/>
      <c r="F980" s="12"/>
    </row>
    <row r="981" spans="5:6" ht="12.5">
      <c r="E981" s="13"/>
      <c r="F981" s="12"/>
    </row>
    <row r="982" spans="5:6" ht="12.5">
      <c r="E982" s="13"/>
      <c r="F982" s="12"/>
    </row>
    <row r="983" spans="5:6" ht="12.5">
      <c r="E983" s="13"/>
      <c r="F983" s="12"/>
    </row>
    <row r="984" spans="5:6" ht="12.5">
      <c r="E984" s="13"/>
      <c r="F984" s="12"/>
    </row>
    <row r="985" spans="5:6" ht="12.5">
      <c r="E985" s="13"/>
      <c r="F985" s="12"/>
    </row>
    <row r="986" spans="5:6" ht="12.5">
      <c r="E986" s="13"/>
      <c r="F986" s="12"/>
    </row>
    <row r="987" spans="5:6" ht="12.5">
      <c r="E987" s="13"/>
      <c r="F987" s="12"/>
    </row>
    <row r="988" spans="5:6" ht="12.5">
      <c r="E988" s="13"/>
      <c r="F988" s="12"/>
    </row>
    <row r="989" spans="5:6" ht="12.5">
      <c r="E989" s="13"/>
      <c r="F989" s="12"/>
    </row>
    <row r="990" spans="5:6" ht="12.5">
      <c r="E990" s="13"/>
      <c r="F990" s="12"/>
    </row>
    <row r="991" spans="5:6" ht="12.5">
      <c r="E991" s="13"/>
      <c r="F991" s="12"/>
    </row>
    <row r="992" spans="5:6" ht="12.5">
      <c r="E992" s="13"/>
      <c r="F992" s="12"/>
    </row>
    <row r="993" spans="5:6" ht="12.5">
      <c r="E993" s="13"/>
      <c r="F993" s="12"/>
    </row>
    <row r="994" spans="5:6" ht="12.5">
      <c r="E994" s="13"/>
      <c r="F994" s="12"/>
    </row>
    <row r="995" spans="5:6" ht="12.5">
      <c r="E995" s="13"/>
      <c r="F995" s="12"/>
    </row>
    <row r="996" spans="5:6" ht="12.5">
      <c r="E996" s="13"/>
      <c r="F996" s="12"/>
    </row>
    <row r="997" spans="5:6" ht="12.5">
      <c r="E997" s="13"/>
      <c r="F997" s="12"/>
    </row>
    <row r="998" spans="5:6" ht="12.5">
      <c r="E998" s="13"/>
      <c r="F998" s="12"/>
    </row>
    <row r="999" spans="5:6" ht="12.5">
      <c r="E999" s="13"/>
      <c r="F999" s="12"/>
    </row>
    <row r="1000" spans="5:6" ht="12.5">
      <c r="E1000" s="13"/>
      <c r="F1000" s="12"/>
    </row>
    <row r="1001" spans="5:6" ht="12.5">
      <c r="E1001" s="13"/>
      <c r="F1001" s="12"/>
    </row>
    <row r="1002" spans="5:6" ht="12.5">
      <c r="E1002" s="13"/>
      <c r="F1002" s="12"/>
    </row>
    <row r="1003" spans="5:6" ht="12.5">
      <c r="E1003" s="13"/>
      <c r="F1003" s="12"/>
    </row>
    <row r="1004" spans="5:6" ht="12.5">
      <c r="E1004" s="13"/>
      <c r="F1004" s="12"/>
    </row>
    <row r="1005" spans="5:6" ht="12.5">
      <c r="E1005" s="13"/>
      <c r="F1005" s="12"/>
    </row>
    <row r="1006" spans="5:6" ht="12.5">
      <c r="E1006" s="13"/>
      <c r="F1006" s="12"/>
    </row>
    <row r="1007" spans="5:6" ht="12.5">
      <c r="E1007" s="13"/>
      <c r="F1007" s="12"/>
    </row>
    <row r="1008" spans="5:6" ht="12.5">
      <c r="E1008" s="13"/>
      <c r="F1008" s="12"/>
    </row>
    <row r="1009" spans="5:6" ht="12.5">
      <c r="E1009" s="13"/>
      <c r="F1009" s="12"/>
    </row>
    <row r="1010" spans="5:6" ht="12.5">
      <c r="E1010" s="13"/>
      <c r="F1010" s="12"/>
    </row>
    <row r="1011" spans="5:6" ht="12.5">
      <c r="E1011" s="13"/>
      <c r="F1011" s="12"/>
    </row>
    <row r="1012" spans="5:6" ht="12.5">
      <c r="E1012" s="13"/>
      <c r="F1012" s="12"/>
    </row>
    <row r="1013" spans="5:6" ht="12.5">
      <c r="E1013" s="13"/>
      <c r="F1013" s="12"/>
    </row>
    <row r="1014" spans="5:6" ht="12.5">
      <c r="E1014" s="13"/>
      <c r="F1014" s="12"/>
    </row>
    <row r="1015" spans="5:6" ht="12.5">
      <c r="E1015" s="13"/>
      <c r="F1015" s="12"/>
    </row>
    <row r="1016" spans="5:6" ht="12.5">
      <c r="E1016" s="13"/>
      <c r="F1016" s="12"/>
    </row>
    <row r="1017" spans="5:6" ht="12.5">
      <c r="E1017" s="13"/>
      <c r="F1017" s="12"/>
    </row>
    <row r="1018" spans="5:6" ht="12.5">
      <c r="E1018" s="13"/>
      <c r="F1018" s="12"/>
    </row>
    <row r="1019" spans="5:6" ht="12.5">
      <c r="E1019" s="13"/>
      <c r="F1019" s="12"/>
    </row>
    <row r="1020" spans="5:6" ht="12.5">
      <c r="E1020" s="13"/>
      <c r="F1020" s="12"/>
    </row>
    <row r="1021" spans="5:6" ht="12.5">
      <c r="E1021" s="13"/>
      <c r="F1021" s="12"/>
    </row>
    <row r="1022" spans="5:6" ht="12.5">
      <c r="E1022" s="13"/>
      <c r="F1022" s="12"/>
    </row>
    <row r="1023" spans="5:6" ht="12.5">
      <c r="E1023" s="13"/>
      <c r="F1023" s="12"/>
    </row>
    <row r="1024" spans="5:6" ht="12.5">
      <c r="E1024" s="13"/>
      <c r="F1024" s="12"/>
    </row>
    <row r="1025" spans="5:6" ht="12.5">
      <c r="E1025" s="13"/>
      <c r="F1025" s="12"/>
    </row>
    <row r="1026" spans="5:6" ht="12.5">
      <c r="E1026" s="13"/>
      <c r="F1026" s="12"/>
    </row>
    <row r="1027" spans="5:6" ht="12.5">
      <c r="E1027" s="13"/>
      <c r="F1027" s="12"/>
    </row>
    <row r="1028" spans="5:6" ht="12.5">
      <c r="E1028" s="13"/>
      <c r="F1028" s="12"/>
    </row>
    <row r="1029" spans="5:6" ht="12.5">
      <c r="E1029" s="13"/>
      <c r="F1029" s="12"/>
    </row>
    <row r="1030" spans="5:6" ht="12.5">
      <c r="E1030" s="13"/>
      <c r="F1030" s="12"/>
    </row>
    <row r="1031" spans="5:6" ht="12.5">
      <c r="E1031" s="13"/>
      <c r="F1031" s="12"/>
    </row>
    <row r="1032" spans="5:6" ht="12.5">
      <c r="E1032" s="13"/>
      <c r="F1032" s="12"/>
    </row>
    <row r="1033" spans="5:6" ht="12.5">
      <c r="E1033" s="13"/>
      <c r="F1033" s="12"/>
    </row>
    <row r="1034" spans="5:6" ht="12.5">
      <c r="E1034" s="13"/>
      <c r="F1034" s="12"/>
    </row>
    <row r="1035" spans="5:6" ht="12.5">
      <c r="E1035" s="13"/>
      <c r="F1035" s="12"/>
    </row>
    <row r="1036" spans="5:6" ht="12.5">
      <c r="E1036" s="13"/>
      <c r="F1036" s="12"/>
    </row>
    <row r="1037" spans="5:6" ht="12.5">
      <c r="E1037" s="13"/>
      <c r="F1037" s="12"/>
    </row>
    <row r="1038" spans="5:6" ht="12.5">
      <c r="E1038" s="13"/>
      <c r="F1038" s="12"/>
    </row>
    <row r="1039" spans="5:6" ht="12.5">
      <c r="E1039" s="13"/>
      <c r="F1039" s="12"/>
    </row>
    <row r="1040" spans="5:6" ht="12.5">
      <c r="E1040" s="13"/>
      <c r="F1040" s="12"/>
    </row>
    <row r="1041" spans="5:6" ht="12.5">
      <c r="E1041" s="13"/>
      <c r="F1041" s="12"/>
    </row>
    <row r="1042" spans="5:6" ht="12.5">
      <c r="E1042" s="13"/>
      <c r="F1042" s="12"/>
    </row>
    <row r="1043" spans="5:6" ht="12.5">
      <c r="E1043" s="13"/>
      <c r="F1043" s="12"/>
    </row>
    <row r="1044" spans="5:6" ht="12.5">
      <c r="E1044" s="13"/>
      <c r="F1044" s="12"/>
    </row>
    <row r="1045" spans="5:6" ht="12.5">
      <c r="E1045" s="13"/>
      <c r="F1045" s="12"/>
    </row>
    <row r="1046" spans="5:6" ht="12.5">
      <c r="E1046" s="13"/>
      <c r="F1046" s="12"/>
    </row>
    <row r="1047" spans="5:6" ht="12.5">
      <c r="E1047" s="13"/>
      <c r="F1047" s="12"/>
    </row>
    <row r="1048" spans="5:6" ht="12.5">
      <c r="E1048" s="13"/>
      <c r="F1048" s="12"/>
    </row>
    <row r="1049" spans="5:6" ht="12.5">
      <c r="E1049" s="13"/>
      <c r="F1049" s="12"/>
    </row>
    <row r="1050" spans="5:6" ht="12.5">
      <c r="E1050" s="13"/>
      <c r="F1050" s="12"/>
    </row>
    <row r="1051" spans="5:6" ht="12.5">
      <c r="E1051" s="13"/>
      <c r="F1051" s="12"/>
    </row>
    <row r="1052" spans="5:6" ht="12.5">
      <c r="E1052" s="13"/>
      <c r="F1052" s="12"/>
    </row>
    <row r="1053" spans="5:6" ht="12.5">
      <c r="E1053" s="13"/>
      <c r="F1053" s="12"/>
    </row>
    <row r="1054" spans="5:6" ht="12.5">
      <c r="E1054" s="13"/>
      <c r="F1054" s="12"/>
    </row>
    <row r="1055" spans="5:6" ht="12.5">
      <c r="E1055" s="13"/>
      <c r="F1055" s="12"/>
    </row>
    <row r="1056" spans="5:6" ht="12.5">
      <c r="E1056" s="13"/>
      <c r="F1056" s="12"/>
    </row>
    <row r="1057" spans="5:6" ht="12.5">
      <c r="E1057" s="13"/>
      <c r="F1057" s="12"/>
    </row>
    <row r="1058" spans="5:6" ht="12.5">
      <c r="E1058" s="13"/>
      <c r="F1058" s="12"/>
    </row>
    <row r="1059" spans="5:6" ht="12.5">
      <c r="E1059" s="13"/>
      <c r="F1059" s="12"/>
    </row>
    <row r="1060" spans="5:6" ht="12.5">
      <c r="E1060" s="13"/>
      <c r="F1060" s="12"/>
    </row>
    <row r="1061" spans="5:6" ht="12.5">
      <c r="E1061" s="13"/>
      <c r="F1061" s="12"/>
    </row>
    <row r="1062" spans="5:6" ht="12.5">
      <c r="E1062" s="13"/>
      <c r="F1062" s="12"/>
    </row>
    <row r="1063" spans="5:6" ht="12.5">
      <c r="E1063" s="13"/>
      <c r="F1063" s="12"/>
    </row>
    <row r="1064" spans="5:6" ht="12.5">
      <c r="E1064" s="13"/>
      <c r="F1064" s="12"/>
    </row>
    <row r="1065" spans="5:6" ht="12.5">
      <c r="E1065" s="13"/>
      <c r="F1065" s="12"/>
    </row>
    <row r="1066" spans="5:6" ht="12.5">
      <c r="E1066" s="13"/>
      <c r="F1066" s="12"/>
    </row>
    <row r="1067" spans="5:6" ht="12.5">
      <c r="E1067" s="13"/>
      <c r="F1067" s="12"/>
    </row>
    <row r="1068" spans="5:6" ht="12.5">
      <c r="E1068" s="13"/>
      <c r="F1068" s="12"/>
    </row>
    <row r="1069" spans="5:6" ht="12.5">
      <c r="E1069" s="13"/>
      <c r="F1069" s="12"/>
    </row>
    <row r="1070" spans="5:6" ht="12.5">
      <c r="E1070" s="13"/>
      <c r="F1070" s="12"/>
    </row>
    <row r="1071" spans="5:6" ht="12.5">
      <c r="E1071" s="13"/>
      <c r="F1071" s="12"/>
    </row>
    <row r="1072" spans="5:6" ht="12.5">
      <c r="E1072" s="13"/>
      <c r="F1072" s="12"/>
    </row>
    <row r="1073" spans="5:6" ht="12.5">
      <c r="E1073" s="13"/>
      <c r="F1073" s="12"/>
    </row>
    <row r="1074" spans="5:6" ht="12.5">
      <c r="E1074" s="13"/>
      <c r="F1074" s="12"/>
    </row>
    <row r="1075" spans="5:6" ht="12.5">
      <c r="E1075" s="13"/>
      <c r="F1075" s="12"/>
    </row>
    <row r="1076" spans="5:6" ht="12.5">
      <c r="E1076" s="13"/>
      <c r="F1076" s="12"/>
    </row>
    <row r="1077" spans="5:6" ht="12.5">
      <c r="E1077" s="13"/>
      <c r="F1077" s="12"/>
    </row>
    <row r="1078" spans="5:6" ht="12.5">
      <c r="E1078" s="13"/>
      <c r="F1078" s="12"/>
    </row>
    <row r="1079" spans="5:6" ht="12.5">
      <c r="E1079" s="13"/>
      <c r="F1079" s="12"/>
    </row>
    <row r="1080" spans="5:6" ht="12.5">
      <c r="E1080" s="13"/>
      <c r="F1080" s="12"/>
    </row>
    <row r="1081" spans="5:6" ht="12.5">
      <c r="E1081" s="13"/>
      <c r="F1081" s="12"/>
    </row>
    <row r="1082" spans="5:6" ht="12.5">
      <c r="E1082" s="13"/>
      <c r="F1082" s="12"/>
    </row>
    <row r="1083" spans="5:6" ht="12.5">
      <c r="E1083" s="13"/>
      <c r="F1083" s="12"/>
    </row>
    <row r="1084" spans="5:6" ht="12.5">
      <c r="E1084" s="13"/>
      <c r="F1084" s="12"/>
    </row>
    <row r="1085" spans="5:6" ht="12.5">
      <c r="E1085" s="13"/>
      <c r="F1085" s="12"/>
    </row>
    <row r="1086" spans="5:6" ht="12.5">
      <c r="E1086" s="13"/>
      <c r="F1086" s="12"/>
    </row>
    <row r="1087" spans="5:6" ht="12.5">
      <c r="E1087" s="13"/>
      <c r="F1087" s="12"/>
    </row>
    <row r="1088" spans="5:6" ht="12.5">
      <c r="E1088" s="13"/>
      <c r="F1088" s="12"/>
    </row>
  </sheetData>
  <hyperlinks>
    <hyperlink ref="H11" r:id="rId1" xr:uid="{00000000-0004-0000-0300-000000000000}"/>
    <hyperlink ref="H12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D1005"/>
  <sheetViews>
    <sheetView workbookViewId="0"/>
  </sheetViews>
  <sheetFormatPr baseColWidth="10" defaultColWidth="12.6328125" defaultRowHeight="15.75" customHeight="1"/>
  <cols>
    <col min="11" max="11" width="12.6328125" hidden="1"/>
  </cols>
  <sheetData>
    <row r="1" spans="1:654">
      <c r="A1" s="1" t="s">
        <v>65</v>
      </c>
      <c r="F1" s="34"/>
    </row>
    <row r="3" spans="1:654" ht="15.75" customHeight="1">
      <c r="A3" s="4" t="s">
        <v>33</v>
      </c>
      <c r="B3" s="4" t="s">
        <v>66</v>
      </c>
      <c r="C3" s="4" t="s">
        <v>67</v>
      </c>
      <c r="D3" s="4" t="s">
        <v>68</v>
      </c>
      <c r="F3" s="34" t="str">
        <f ca="1">IFERROR(__xludf.DUMMYFUNCTION("IMPORTDATA(""https://infra.datos.gob.ar/catalog/sspm/dataset/57/distribution/57.1/download/indice-salario-minimo-vital-movil-valores-mensuales-pesos-corrientes-desde-1988.csv"","","",""UTF-8"")"),"indice_tiempo")</f>
        <v>indice_tiempo</v>
      </c>
      <c r="G3" s="5" t="str">
        <f ca="1">IFERROR(__xludf.DUMMYFUNCTION("""COMPUTED_VALUE"""),"salario_minimo_vital_movil_mensual")</f>
        <v>salario_minimo_vital_movil_mensual</v>
      </c>
      <c r="H3" s="5" t="str">
        <f ca="1">IFERROR(__xludf.DUMMYFUNCTION("""COMPUTED_VALUE"""),"salario_minimo_vital_movil_diario")</f>
        <v>salario_minimo_vital_movil_diario</v>
      </c>
      <c r="I3" s="5" t="str">
        <f ca="1">IFERROR(__xludf.DUMMYFUNCTION("""COMPUTED_VALUE"""),"salario_minimo_vital_movil_hora")</f>
        <v>salario_minimo_vital_movil_hora</v>
      </c>
      <c r="K3" s="5" t="s">
        <v>69</v>
      </c>
      <c r="L3" s="5" t="s">
        <v>70</v>
      </c>
    </row>
    <row r="4" spans="1:654" ht="15.75" customHeight="1">
      <c r="A4" s="16">
        <v>2004</v>
      </c>
      <c r="B4" s="16"/>
      <c r="C4" s="16"/>
      <c r="D4" s="16"/>
      <c r="F4" s="34">
        <f ca="1">IFERROR(__xludf.DUMMYFUNCTION("""COMPUTED_VALUE"""),23743)</f>
        <v>23743</v>
      </c>
      <c r="G4" s="5" t="str">
        <f ca="1">IFERROR(__xludf.DUMMYFUNCTION("""COMPUTED_VALUE"""),"9800.0")</f>
        <v>9800.0</v>
      </c>
      <c r="H4" s="5" t="str">
        <f ca="1">IFERROR(__xludf.DUMMYFUNCTION("""COMPUTED_VALUE"""),"392.0")</f>
        <v>392.0</v>
      </c>
      <c r="I4" s="5" t="str">
        <f ca="1">IFERROR(__xludf.DUMMYFUNCTION("""COMPUTED_VALUE"""),"49.0")</f>
        <v>49.0</v>
      </c>
      <c r="J4" s="5">
        <f ca="1">IFERROR(__xludf.DUMMYFUNCTION("VALUE(REGEXREPLACE(G4,""\."","",""))"),9800)</f>
        <v>9800</v>
      </c>
      <c r="K4" s="5" t="e">
        <f t="shared" ref="K4:K89" ca="1" si="0">DEFLACTAR(J4,F706,F4)</f>
        <v>#NAME?</v>
      </c>
      <c r="L4" s="25"/>
    </row>
    <row r="5" spans="1:654">
      <c r="A5" s="5" t="s">
        <v>71</v>
      </c>
      <c r="B5" s="5">
        <v>450</v>
      </c>
      <c r="C5" s="35">
        <v>149.51</v>
      </c>
      <c r="D5" s="5">
        <f>B5*C5/C5</f>
        <v>450</v>
      </c>
      <c r="F5" s="34">
        <f ca="1">IFERROR(__xludf.DUMMYFUNCTION("""COMPUTED_VALUE"""),23774)</f>
        <v>23774</v>
      </c>
      <c r="G5" s="5" t="str">
        <f ca="1">IFERROR(__xludf.DUMMYFUNCTION("""COMPUTED_VALUE"""),"9800.0")</f>
        <v>9800.0</v>
      </c>
      <c r="H5" s="5" t="str">
        <f ca="1">IFERROR(__xludf.DUMMYFUNCTION("""COMPUTED_VALUE"""),"392.0")</f>
        <v>392.0</v>
      </c>
      <c r="I5" s="5" t="str">
        <f ca="1">IFERROR(__xludf.DUMMYFUNCTION("""COMPUTED_VALUE"""),"49.0")</f>
        <v>49.0</v>
      </c>
      <c r="J5" s="5">
        <f ca="1">IFERROR(__xludf.DUMMYFUNCTION("VALUE(REGEXREPLACE(G5,""\."","",""))"),9800)</f>
        <v>9800</v>
      </c>
      <c r="K5" s="5" t="e">
        <f t="shared" ca="1" si="0"/>
        <v>#NAME?</v>
      </c>
      <c r="L5" s="25"/>
      <c r="N5" s="13"/>
    </row>
    <row r="6" spans="1:654" ht="15.75" customHeight="1">
      <c r="A6" s="16">
        <v>2005</v>
      </c>
      <c r="B6" s="16"/>
      <c r="C6" s="16"/>
      <c r="D6" s="16"/>
      <c r="F6" s="34">
        <f ca="1">IFERROR(__xludf.DUMMYFUNCTION("""COMPUTED_VALUE"""),23802)</f>
        <v>23802</v>
      </c>
      <c r="G6" s="5" t="str">
        <f ca="1">IFERROR(__xludf.DUMMYFUNCTION("""COMPUTED_VALUE"""),"9800.0")</f>
        <v>9800.0</v>
      </c>
      <c r="H6" s="5" t="str">
        <f ca="1">IFERROR(__xludf.DUMMYFUNCTION("""COMPUTED_VALUE"""),"392.0")</f>
        <v>392.0</v>
      </c>
      <c r="I6" s="5" t="str">
        <f ca="1">IFERROR(__xludf.DUMMYFUNCTION("""COMPUTED_VALUE"""),"49.0")</f>
        <v>49.0</v>
      </c>
      <c r="J6" s="5">
        <f ca="1">IFERROR(__xludf.DUMMYFUNCTION("VALUE(REGEXREPLACE(G6,""\."","",""))"),9800)</f>
        <v>9800</v>
      </c>
      <c r="K6" s="5" t="e">
        <f t="shared" ca="1" si="0"/>
        <v>#NAME?</v>
      </c>
      <c r="L6" s="25"/>
    </row>
    <row r="7" spans="1:654">
      <c r="A7" s="5" t="s">
        <v>64</v>
      </c>
      <c r="B7" s="5">
        <v>510</v>
      </c>
      <c r="C7" s="5">
        <v>159.18</v>
      </c>
      <c r="D7" s="14">
        <f t="shared" ref="D7:D8" si="1">B7*C$5/C7</f>
        <v>479.01809272521666</v>
      </c>
      <c r="F7" s="34">
        <f ca="1">IFERROR(__xludf.DUMMYFUNCTION("""COMPUTED_VALUE"""),23833)</f>
        <v>23833</v>
      </c>
      <c r="G7" s="5" t="str">
        <f ca="1">IFERROR(__xludf.DUMMYFUNCTION("""COMPUTED_VALUE"""),"9800.0")</f>
        <v>9800.0</v>
      </c>
      <c r="H7" s="5" t="str">
        <f ca="1">IFERROR(__xludf.DUMMYFUNCTION("""COMPUTED_VALUE"""),"392.0")</f>
        <v>392.0</v>
      </c>
      <c r="I7" s="5" t="str">
        <f ca="1">IFERROR(__xludf.DUMMYFUNCTION("""COMPUTED_VALUE"""),"49.0")</f>
        <v>49.0</v>
      </c>
      <c r="J7" s="5">
        <f ca="1">IFERROR(__xludf.DUMMYFUNCTION("VALUE(REGEXREPLACE(G7,""\."","",""))"),9800)</f>
        <v>9800</v>
      </c>
      <c r="K7" s="5" t="e">
        <f t="shared" ca="1" si="0"/>
        <v>#NAME?</v>
      </c>
      <c r="L7" s="25"/>
      <c r="M7" s="9" t="s">
        <v>72</v>
      </c>
    </row>
    <row r="8" spans="1:654">
      <c r="A8" s="5" t="s">
        <v>55</v>
      </c>
      <c r="B8" s="5">
        <v>570</v>
      </c>
      <c r="C8" s="5">
        <v>160.63999999999999</v>
      </c>
      <c r="D8" s="14">
        <f t="shared" si="1"/>
        <v>530.50734561752995</v>
      </c>
      <c r="F8" s="34">
        <f ca="1">IFERROR(__xludf.DUMMYFUNCTION("""COMPUTED_VALUE"""),23863)</f>
        <v>23863</v>
      </c>
      <c r="G8" s="5" t="str">
        <f ca="1">IFERROR(__xludf.DUMMYFUNCTION("""COMPUTED_VALUE"""),"11550.0")</f>
        <v>11550.0</v>
      </c>
      <c r="H8" s="5" t="str">
        <f ca="1">IFERROR(__xludf.DUMMYFUNCTION("""COMPUTED_VALUE"""),"462.0")</f>
        <v>462.0</v>
      </c>
      <c r="I8" s="5" t="str">
        <f ca="1">IFERROR(__xludf.DUMMYFUNCTION("""COMPUTED_VALUE"""),"57.75")</f>
        <v>57.75</v>
      </c>
      <c r="J8" s="5">
        <f ca="1">IFERROR(__xludf.DUMMYFUNCTION("VALUE(REGEXREPLACE(G8,""\."","",""))"),11550)</f>
        <v>11550</v>
      </c>
      <c r="K8" s="5" t="e">
        <f t="shared" ca="1" si="0"/>
        <v>#NAME?</v>
      </c>
      <c r="L8" s="25"/>
      <c r="M8" s="10" t="s">
        <v>73</v>
      </c>
    </row>
    <row r="9" spans="1:654" ht="15.75" customHeight="1">
      <c r="A9" s="5" t="s">
        <v>74</v>
      </c>
      <c r="B9" s="5">
        <v>630</v>
      </c>
      <c r="C9" s="5">
        <v>162.25</v>
      </c>
      <c r="D9" s="14">
        <f>B9*C5/C9</f>
        <v>580.53189522342052</v>
      </c>
      <c r="F9" s="34">
        <f ca="1">IFERROR(__xludf.DUMMYFUNCTION("""COMPUTED_VALUE"""),23894)</f>
        <v>23894</v>
      </c>
      <c r="G9" s="5" t="str">
        <f ca="1">IFERROR(__xludf.DUMMYFUNCTION("""COMPUTED_VALUE"""),"11550.0")</f>
        <v>11550.0</v>
      </c>
      <c r="H9" s="5" t="str">
        <f ca="1">IFERROR(__xludf.DUMMYFUNCTION("""COMPUTED_VALUE"""),"462.0")</f>
        <v>462.0</v>
      </c>
      <c r="I9" s="5" t="str">
        <f ca="1">IFERROR(__xludf.DUMMYFUNCTION("""COMPUTED_VALUE"""),"57.75")</f>
        <v>57.75</v>
      </c>
      <c r="J9" s="5">
        <f ca="1">IFERROR(__xludf.DUMMYFUNCTION("VALUE(REGEXREPLACE(G9,""\."","",""))"),11550)</f>
        <v>11550</v>
      </c>
      <c r="K9" s="5" t="e">
        <f t="shared" ca="1" si="0"/>
        <v>#NAME?</v>
      </c>
      <c r="L9" s="25"/>
      <c r="M9" s="5" t="s">
        <v>48</v>
      </c>
      <c r="N9" s="13" t="str">
        <f ca="1">IFERROR(__xludf.DUMMYFUNCTION("SUBSTITUTE(SUBSTITUTE(SUBSTITUTE(IMPORTXML(""https://www.argentina.gob.ar/trabajo/consejodelsalario"",""//*[@id='block-system-main']/section/article/div/div[5]/div/div/div[1]/div/h3""),""$"",""""),"",-"",""""),""."","""")"),"  262432,93 ")</f>
        <v xml:space="preserve">  262432,93 </v>
      </c>
      <c r="O9" s="5" t="str">
        <f ca="1">TEXT(EDATE(TODAY(),-1), "MMMM")</f>
        <v>julio</v>
      </c>
    </row>
    <row r="10" spans="1:654" ht="15.75" customHeight="1">
      <c r="A10" s="16">
        <v>2006</v>
      </c>
      <c r="B10" s="16"/>
      <c r="C10" s="16"/>
      <c r="D10" s="17"/>
      <c r="F10" s="34">
        <f ca="1">IFERROR(__xludf.DUMMYFUNCTION("""COMPUTED_VALUE"""),23924)</f>
        <v>23924</v>
      </c>
      <c r="G10" s="5" t="str">
        <f ca="1">IFERROR(__xludf.DUMMYFUNCTION("""COMPUTED_VALUE"""),"11550.0")</f>
        <v>11550.0</v>
      </c>
      <c r="H10" s="5" t="str">
        <f ca="1">IFERROR(__xludf.DUMMYFUNCTION("""COMPUTED_VALUE"""),"462.0")</f>
        <v>462.0</v>
      </c>
      <c r="I10" s="5" t="str">
        <f ca="1">IFERROR(__xludf.DUMMYFUNCTION("""COMPUTED_VALUE"""),"57.75")</f>
        <v>57.75</v>
      </c>
      <c r="J10" s="5">
        <f ca="1">IFERROR(__xludf.DUMMYFUNCTION("VALUE(REGEXREPLACE(G10,""\."","",""))"),11550)</f>
        <v>11550</v>
      </c>
      <c r="K10" s="5" t="e">
        <f t="shared" ca="1" si="0"/>
        <v>#NAME?</v>
      </c>
      <c r="L10" s="25"/>
      <c r="N10" s="36">
        <f t="array" aca="1" ref="N10" ca="1">INDEX(J682:J1005,MATCH(100^100,J682:J1005),1)</f>
        <v>234315.12</v>
      </c>
      <c r="O10" s="37">
        <f t="array" aca="1" ref="O10" ca="1">INDEX(F682:F1005,MATCH(100^100,J682:J1005),1)</f>
        <v>45444</v>
      </c>
    </row>
    <row r="11" spans="1:654" ht="15.75" customHeight="1">
      <c r="A11" s="5" t="s">
        <v>75</v>
      </c>
      <c r="B11" s="5">
        <v>760</v>
      </c>
      <c r="C11" s="5">
        <v>180.46</v>
      </c>
      <c r="D11" s="14">
        <f>B11*C5/C11</f>
        <v>629.65532527984033</v>
      </c>
      <c r="F11" s="34">
        <f ca="1">IFERROR(__xludf.DUMMYFUNCTION("""COMPUTED_VALUE"""),23955)</f>
        <v>23955</v>
      </c>
      <c r="G11" s="5" t="str">
        <f ca="1">IFERROR(__xludf.DUMMYFUNCTION("""COMPUTED_VALUE"""),"11550.0")</f>
        <v>11550.0</v>
      </c>
      <c r="H11" s="5" t="str">
        <f ca="1">IFERROR(__xludf.DUMMYFUNCTION("""COMPUTED_VALUE"""),"462.0")</f>
        <v>462.0</v>
      </c>
      <c r="I11" s="5" t="str">
        <f ca="1">IFERROR(__xludf.DUMMYFUNCTION("""COMPUTED_VALUE"""),"57.75")</f>
        <v>57.75</v>
      </c>
      <c r="J11" s="5">
        <f ca="1">IFERROR(__xludf.DUMMYFUNCTION("VALUE(REGEXREPLACE(G11,""\."","",""))"),11550)</f>
        <v>11550</v>
      </c>
      <c r="K11" s="5" t="e">
        <f t="shared" ca="1" si="0"/>
        <v>#NAME?</v>
      </c>
      <c r="L11" s="25"/>
      <c r="N11" s="38"/>
    </row>
    <row r="12" spans="1:654" ht="15.75" customHeight="1">
      <c r="A12" s="5" t="s">
        <v>71</v>
      </c>
      <c r="B12" s="5">
        <v>780</v>
      </c>
      <c r="C12" s="5">
        <v>182.08</v>
      </c>
      <c r="D12" s="14">
        <f>B12*C5/C12</f>
        <v>640.47561511423544</v>
      </c>
      <c r="F12" s="34">
        <f ca="1">IFERROR(__xludf.DUMMYFUNCTION("""COMPUTED_VALUE"""),23986)</f>
        <v>23986</v>
      </c>
      <c r="G12" s="5" t="str">
        <f ca="1">IFERROR(__xludf.DUMMYFUNCTION("""COMPUTED_VALUE"""),"11550.0")</f>
        <v>11550.0</v>
      </c>
      <c r="H12" s="5" t="str">
        <f ca="1">IFERROR(__xludf.DUMMYFUNCTION("""COMPUTED_VALUE"""),"462.0")</f>
        <v>462.0</v>
      </c>
      <c r="I12" s="5" t="str">
        <f ca="1">IFERROR(__xludf.DUMMYFUNCTION("""COMPUTED_VALUE"""),"57.75")</f>
        <v>57.75</v>
      </c>
      <c r="J12" s="5">
        <f ca="1">IFERROR(__xludf.DUMMYFUNCTION("VALUE(REGEXREPLACE(G12,""\."","",""))"),11550)</f>
        <v>11550</v>
      </c>
      <c r="K12" s="5" t="e">
        <f t="shared" ca="1" si="0"/>
        <v>#NAME?</v>
      </c>
      <c r="L12" s="25"/>
    </row>
    <row r="13" spans="1:654" ht="15.75" customHeight="1">
      <c r="A13" s="5" t="s">
        <v>76</v>
      </c>
      <c r="B13" s="5">
        <v>800</v>
      </c>
      <c r="C13" s="5">
        <v>184.94</v>
      </c>
      <c r="D13" s="14">
        <f>B13*C5/C13</f>
        <v>646.73948307559215</v>
      </c>
      <c r="F13" s="34">
        <f ca="1">IFERROR(__xludf.DUMMYFUNCTION("""COMPUTED_VALUE"""),24016)</f>
        <v>24016</v>
      </c>
      <c r="G13" s="5" t="str">
        <f ca="1">IFERROR(__xludf.DUMMYFUNCTION("""COMPUTED_VALUE"""),"11550.0")</f>
        <v>11550.0</v>
      </c>
      <c r="H13" s="5" t="str">
        <f ca="1">IFERROR(__xludf.DUMMYFUNCTION("""COMPUTED_VALUE"""),"462.0")</f>
        <v>462.0</v>
      </c>
      <c r="I13" s="5" t="str">
        <f ca="1">IFERROR(__xludf.DUMMYFUNCTION("""COMPUTED_VALUE"""),"57.75")</f>
        <v>57.75</v>
      </c>
      <c r="J13" s="5">
        <f ca="1">IFERROR(__xludf.DUMMYFUNCTION("VALUE(REGEXREPLACE(G13,""\."","",""))"),11550)</f>
        <v>11550</v>
      </c>
      <c r="K13" s="5" t="e">
        <f t="shared" ca="1" si="0"/>
        <v>#NAME?</v>
      </c>
      <c r="L13" s="25"/>
      <c r="M13" s="5" t="e">
        <f t="array" ref="M13:YD13" ca="1">TRANSPOSE(L364:L1005)</f>
        <v>#NAME?</v>
      </c>
      <c r="N13" s="5" t="e">
        <f ca="1"/>
        <v>#NAME?</v>
      </c>
      <c r="O13" s="5" t="e">
        <f ca="1"/>
        <v>#NAME?</v>
      </c>
      <c r="P13" s="5" t="e">
        <f ca="1"/>
        <v>#NAME?</v>
      </c>
      <c r="Q13" s="5" t="e">
        <f ca="1"/>
        <v>#NAME?</v>
      </c>
      <c r="R13" s="5" t="e">
        <f ca="1"/>
        <v>#NAME?</v>
      </c>
      <c r="S13" s="5" t="e">
        <f ca="1"/>
        <v>#NAME?</v>
      </c>
      <c r="T13" s="5" t="e">
        <f ca="1"/>
        <v>#NAME?</v>
      </c>
      <c r="U13" s="5" t="e">
        <f ca="1"/>
        <v>#NAME?</v>
      </c>
      <c r="V13" s="5" t="e">
        <f ca="1"/>
        <v>#NAME?</v>
      </c>
      <c r="W13" s="5" t="e">
        <f ca="1"/>
        <v>#NAME?</v>
      </c>
      <c r="X13" s="5" t="e">
        <f ca="1"/>
        <v>#NAME?</v>
      </c>
      <c r="Y13" s="5" t="e">
        <f ca="1"/>
        <v>#NAME?</v>
      </c>
      <c r="Z13" s="5" t="e">
        <f ca="1"/>
        <v>#NAME?</v>
      </c>
      <c r="AA13" s="5" t="e">
        <f ca="1"/>
        <v>#NAME?</v>
      </c>
      <c r="AB13" s="5" t="e">
        <f ca="1"/>
        <v>#NAME?</v>
      </c>
      <c r="AC13" s="5" t="e">
        <f ca="1"/>
        <v>#NAME?</v>
      </c>
      <c r="AD13" s="5" t="e">
        <f ca="1"/>
        <v>#NAME?</v>
      </c>
      <c r="AE13" s="5" t="e">
        <f ca="1"/>
        <v>#NAME?</v>
      </c>
      <c r="AF13" s="5" t="e">
        <f ca="1"/>
        <v>#NAME?</v>
      </c>
      <c r="AG13" s="5" t="e">
        <f ca="1"/>
        <v>#NAME?</v>
      </c>
      <c r="AH13" s="5" t="e">
        <f ca="1"/>
        <v>#NAME?</v>
      </c>
      <c r="AI13" s="5" t="e">
        <f ca="1"/>
        <v>#NAME?</v>
      </c>
      <c r="AJ13" s="5" t="e">
        <f ca="1"/>
        <v>#NAME?</v>
      </c>
      <c r="AK13" s="5" t="e">
        <f ca="1"/>
        <v>#NAME?</v>
      </c>
      <c r="AL13" s="5" t="e">
        <f ca="1"/>
        <v>#NAME?</v>
      </c>
      <c r="AM13" s="5" t="e">
        <f ca="1"/>
        <v>#NAME?</v>
      </c>
      <c r="AN13" s="5" t="e">
        <f ca="1"/>
        <v>#NAME?</v>
      </c>
      <c r="AO13" s="5" t="e">
        <f ca="1"/>
        <v>#NAME?</v>
      </c>
      <c r="AP13" s="5" t="e">
        <f ca="1"/>
        <v>#NAME?</v>
      </c>
      <c r="AQ13" s="5" t="e">
        <f ca="1"/>
        <v>#NAME?</v>
      </c>
      <c r="AR13" s="5" t="e">
        <f ca="1"/>
        <v>#NAME?</v>
      </c>
      <c r="AS13" s="5" t="e">
        <f ca="1"/>
        <v>#NAME?</v>
      </c>
      <c r="AT13" s="5" t="e">
        <f ca="1"/>
        <v>#NAME?</v>
      </c>
      <c r="AU13" s="5" t="e">
        <f ca="1"/>
        <v>#NAME?</v>
      </c>
      <c r="AV13" s="5" t="e">
        <f ca="1"/>
        <v>#NAME?</v>
      </c>
      <c r="AW13" s="5" t="e">
        <f ca="1"/>
        <v>#NAME?</v>
      </c>
      <c r="AX13" s="5" t="e">
        <f ca="1"/>
        <v>#NAME?</v>
      </c>
      <c r="AY13" s="5" t="e">
        <f ca="1"/>
        <v>#NAME?</v>
      </c>
      <c r="AZ13" s="5" t="e">
        <f ca="1"/>
        <v>#NAME?</v>
      </c>
      <c r="BA13" s="5" t="e">
        <f ca="1"/>
        <v>#NAME?</v>
      </c>
      <c r="BB13" s="5" t="e">
        <f ca="1"/>
        <v>#NAME?</v>
      </c>
      <c r="BC13" s="5" t="e">
        <f ca="1"/>
        <v>#NAME?</v>
      </c>
      <c r="BD13" s="5" t="e">
        <f ca="1"/>
        <v>#NAME?</v>
      </c>
      <c r="BE13" s="5" t="e">
        <f ca="1"/>
        <v>#NAME?</v>
      </c>
      <c r="BF13" s="5" t="e">
        <f ca="1"/>
        <v>#NAME?</v>
      </c>
      <c r="BG13" s="5" t="e">
        <f ca="1"/>
        <v>#NAME?</v>
      </c>
      <c r="BH13" s="5" t="e">
        <f ca="1"/>
        <v>#NAME?</v>
      </c>
      <c r="BI13" s="5" t="e">
        <f ca="1"/>
        <v>#NAME?</v>
      </c>
      <c r="BJ13" s="5" t="e">
        <f ca="1"/>
        <v>#NAME?</v>
      </c>
      <c r="BK13" s="5" t="e">
        <f ca="1"/>
        <v>#NAME?</v>
      </c>
      <c r="BL13" s="5" t="e">
        <f ca="1"/>
        <v>#NAME?</v>
      </c>
      <c r="BM13" s="5" t="e">
        <f ca="1"/>
        <v>#NAME?</v>
      </c>
      <c r="BN13" s="5" t="e">
        <f ca="1"/>
        <v>#NAME?</v>
      </c>
      <c r="BO13" s="5" t="e">
        <f ca="1"/>
        <v>#NAME?</v>
      </c>
      <c r="BP13" s="5" t="e">
        <f ca="1"/>
        <v>#NAME?</v>
      </c>
      <c r="BQ13" s="5" t="e">
        <f ca="1"/>
        <v>#NAME?</v>
      </c>
      <c r="BR13" s="5" t="e">
        <f ca="1"/>
        <v>#NAME?</v>
      </c>
      <c r="BS13" s="5" t="e">
        <f ca="1"/>
        <v>#NAME?</v>
      </c>
      <c r="BT13" s="5" t="e">
        <f ca="1"/>
        <v>#NAME?</v>
      </c>
      <c r="BU13" s="5" t="e">
        <f ca="1"/>
        <v>#NAME?</v>
      </c>
      <c r="BV13" s="5" t="e">
        <f ca="1"/>
        <v>#NAME?</v>
      </c>
      <c r="BW13" s="5" t="e">
        <f ca="1"/>
        <v>#NAME?</v>
      </c>
      <c r="BX13" s="5" t="e">
        <f ca="1"/>
        <v>#NAME?</v>
      </c>
      <c r="BY13" s="5" t="e">
        <f ca="1"/>
        <v>#NAME?</v>
      </c>
      <c r="BZ13" s="5" t="e">
        <f ca="1"/>
        <v>#NAME?</v>
      </c>
      <c r="CA13" s="5" t="e">
        <f ca="1"/>
        <v>#NAME?</v>
      </c>
      <c r="CB13" s="5" t="e">
        <f ca="1"/>
        <v>#NAME?</v>
      </c>
      <c r="CC13" s="5" t="e">
        <f ca="1"/>
        <v>#NAME?</v>
      </c>
      <c r="CD13" s="5" t="e">
        <f ca="1"/>
        <v>#NAME?</v>
      </c>
      <c r="CE13" s="5" t="e">
        <f ca="1"/>
        <v>#NAME?</v>
      </c>
      <c r="CF13" s="5" t="e">
        <f ca="1"/>
        <v>#NAME?</v>
      </c>
      <c r="CG13" s="5" t="e">
        <f ca="1"/>
        <v>#NAME?</v>
      </c>
      <c r="CH13" s="5" t="e">
        <f ca="1"/>
        <v>#NAME?</v>
      </c>
      <c r="CI13" s="5" t="e">
        <f ca="1"/>
        <v>#NAME?</v>
      </c>
      <c r="CJ13" s="5" t="e">
        <f ca="1"/>
        <v>#NAME?</v>
      </c>
      <c r="CK13" s="5" t="e">
        <f ca="1"/>
        <v>#NAME?</v>
      </c>
      <c r="CL13" s="5" t="e">
        <f ca="1"/>
        <v>#NAME?</v>
      </c>
      <c r="CM13" s="5" t="e">
        <f ca="1"/>
        <v>#NAME?</v>
      </c>
      <c r="CN13" s="5" t="e">
        <f ca="1"/>
        <v>#NAME?</v>
      </c>
      <c r="CO13" s="5" t="e">
        <f ca="1"/>
        <v>#NAME?</v>
      </c>
      <c r="CP13" s="5" t="e">
        <f ca="1"/>
        <v>#NAME?</v>
      </c>
      <c r="CQ13" s="5" t="e">
        <f ca="1"/>
        <v>#NAME?</v>
      </c>
      <c r="CR13" s="5" t="e">
        <f ca="1"/>
        <v>#NAME?</v>
      </c>
      <c r="CS13" s="5" t="e">
        <f ca="1"/>
        <v>#NAME?</v>
      </c>
      <c r="CT13" s="5" t="e">
        <f ca="1"/>
        <v>#NAME?</v>
      </c>
      <c r="CU13" s="5" t="e">
        <f ca="1"/>
        <v>#NAME?</v>
      </c>
      <c r="CV13" s="5" t="e">
        <f ca="1"/>
        <v>#NAME?</v>
      </c>
      <c r="CW13" s="5" t="e">
        <f ca="1"/>
        <v>#NAME?</v>
      </c>
      <c r="CX13" s="5" t="e">
        <f ca="1"/>
        <v>#NAME?</v>
      </c>
      <c r="CY13" s="5" t="e">
        <f ca="1"/>
        <v>#NAME?</v>
      </c>
      <c r="CZ13" s="5" t="e">
        <f ca="1"/>
        <v>#NAME?</v>
      </c>
      <c r="DA13" s="5" t="e">
        <f ca="1"/>
        <v>#NAME?</v>
      </c>
      <c r="DB13" s="5" t="e">
        <f ca="1"/>
        <v>#NAME?</v>
      </c>
      <c r="DC13" s="5" t="e">
        <f ca="1"/>
        <v>#NAME?</v>
      </c>
      <c r="DD13" s="5" t="e">
        <f ca="1"/>
        <v>#NAME?</v>
      </c>
      <c r="DE13" s="5" t="e">
        <f ca="1"/>
        <v>#NAME?</v>
      </c>
      <c r="DF13" s="5" t="e">
        <f ca="1"/>
        <v>#NAME?</v>
      </c>
      <c r="DG13" s="5" t="e">
        <f ca="1"/>
        <v>#NAME?</v>
      </c>
      <c r="DH13" s="5" t="e">
        <f ca="1"/>
        <v>#NAME?</v>
      </c>
      <c r="DI13" s="5" t="e">
        <f ca="1"/>
        <v>#NAME?</v>
      </c>
      <c r="DJ13" s="5" t="e">
        <f ca="1"/>
        <v>#NAME?</v>
      </c>
      <c r="DK13" s="5" t="e">
        <f ca="1"/>
        <v>#NAME?</v>
      </c>
      <c r="DL13" s="5" t="e">
        <f ca="1"/>
        <v>#NAME?</v>
      </c>
      <c r="DM13" s="5" t="e">
        <f ca="1"/>
        <v>#NAME?</v>
      </c>
      <c r="DN13" s="5" t="e">
        <f ca="1"/>
        <v>#NAME?</v>
      </c>
      <c r="DO13" s="5" t="e">
        <f ca="1"/>
        <v>#NAME?</v>
      </c>
      <c r="DP13" s="5" t="e">
        <f ca="1"/>
        <v>#NAME?</v>
      </c>
      <c r="DQ13" s="5" t="e">
        <f ca="1"/>
        <v>#NAME?</v>
      </c>
      <c r="DR13" s="5" t="e">
        <f ca="1"/>
        <v>#NAME?</v>
      </c>
      <c r="DS13" s="5" t="e">
        <f ca="1"/>
        <v>#NAME?</v>
      </c>
      <c r="DT13" s="5" t="e">
        <f ca="1"/>
        <v>#NAME?</v>
      </c>
      <c r="DU13" s="5" t="e">
        <f ca="1"/>
        <v>#NAME?</v>
      </c>
      <c r="DV13" s="5" t="e">
        <f ca="1"/>
        <v>#NAME?</v>
      </c>
      <c r="DW13" s="5" t="e">
        <f ca="1"/>
        <v>#NAME?</v>
      </c>
      <c r="DX13" s="5" t="e">
        <f ca="1"/>
        <v>#NAME?</v>
      </c>
      <c r="DY13" s="5" t="e">
        <f ca="1"/>
        <v>#NAME?</v>
      </c>
      <c r="DZ13" s="5" t="e">
        <f ca="1"/>
        <v>#NAME?</v>
      </c>
      <c r="EA13" s="5" t="e">
        <f ca="1"/>
        <v>#NAME?</v>
      </c>
      <c r="EB13" s="5" t="e">
        <f ca="1"/>
        <v>#NAME?</v>
      </c>
      <c r="EC13" s="5" t="e">
        <f ca="1"/>
        <v>#NAME?</v>
      </c>
      <c r="ED13" s="5" t="e">
        <f ca="1"/>
        <v>#NAME?</v>
      </c>
      <c r="EE13" s="5" t="e">
        <f ca="1"/>
        <v>#NAME?</v>
      </c>
      <c r="EF13" s="5" t="e">
        <f ca="1"/>
        <v>#NAME?</v>
      </c>
      <c r="EG13" s="5" t="e">
        <f ca="1"/>
        <v>#NAME?</v>
      </c>
      <c r="EH13" s="5" t="e">
        <f ca="1"/>
        <v>#NAME?</v>
      </c>
      <c r="EI13" s="5" t="e">
        <f ca="1"/>
        <v>#NAME?</v>
      </c>
      <c r="EJ13" s="5" t="e">
        <f ca="1"/>
        <v>#NAME?</v>
      </c>
      <c r="EK13" s="5" t="e">
        <f ca="1"/>
        <v>#NAME?</v>
      </c>
      <c r="EL13" s="5" t="e">
        <f ca="1"/>
        <v>#NAME?</v>
      </c>
      <c r="EM13" s="5" t="e">
        <f ca="1"/>
        <v>#NAME?</v>
      </c>
      <c r="EN13" s="5" t="e">
        <f ca="1"/>
        <v>#NAME?</v>
      </c>
      <c r="EO13" s="5" t="e">
        <f ca="1"/>
        <v>#NAME?</v>
      </c>
      <c r="EP13" s="5" t="e">
        <f ca="1"/>
        <v>#NAME?</v>
      </c>
      <c r="EQ13" s="5" t="e">
        <f ca="1"/>
        <v>#NAME?</v>
      </c>
      <c r="ER13" s="5" t="e">
        <f ca="1"/>
        <v>#NAME?</v>
      </c>
      <c r="ES13" s="5" t="e">
        <f ca="1"/>
        <v>#NAME?</v>
      </c>
      <c r="ET13" s="5" t="e">
        <f ca="1"/>
        <v>#NAME?</v>
      </c>
      <c r="EU13" s="5" t="e">
        <f ca="1"/>
        <v>#NAME?</v>
      </c>
      <c r="EV13" s="5" t="e">
        <f ca="1"/>
        <v>#NAME?</v>
      </c>
      <c r="EW13" s="5" t="e">
        <f ca="1"/>
        <v>#NAME?</v>
      </c>
      <c r="EX13" s="5" t="e">
        <f ca="1"/>
        <v>#NAME?</v>
      </c>
      <c r="EY13" s="5" t="e">
        <f ca="1"/>
        <v>#NAME?</v>
      </c>
      <c r="EZ13" s="5" t="e">
        <f ca="1"/>
        <v>#NAME?</v>
      </c>
      <c r="FA13" s="5" t="e">
        <f ca="1"/>
        <v>#NAME?</v>
      </c>
      <c r="FB13" s="5" t="e">
        <f ca="1"/>
        <v>#NAME?</v>
      </c>
      <c r="FC13" s="5" t="e">
        <f ca="1"/>
        <v>#NAME?</v>
      </c>
      <c r="FD13" s="5" t="e">
        <f ca="1"/>
        <v>#NAME?</v>
      </c>
      <c r="FE13" s="5" t="e">
        <f ca="1"/>
        <v>#NAME?</v>
      </c>
      <c r="FF13" s="5" t="e">
        <f ca="1"/>
        <v>#NAME?</v>
      </c>
      <c r="FG13" s="5" t="e">
        <f ca="1"/>
        <v>#NAME?</v>
      </c>
      <c r="FH13" s="5" t="e">
        <f ca="1"/>
        <v>#NAME?</v>
      </c>
      <c r="FI13" s="5" t="e">
        <f ca="1"/>
        <v>#NAME?</v>
      </c>
      <c r="FJ13" s="5" t="e">
        <f ca="1"/>
        <v>#NAME?</v>
      </c>
      <c r="FK13" s="5" t="e">
        <f ca="1"/>
        <v>#NAME?</v>
      </c>
      <c r="FL13" s="5" t="e">
        <f ca="1"/>
        <v>#NAME?</v>
      </c>
      <c r="FM13" s="5" t="e">
        <f ca="1"/>
        <v>#NAME?</v>
      </c>
      <c r="FN13" s="5" t="e">
        <f ca="1"/>
        <v>#NAME?</v>
      </c>
      <c r="FO13" s="5" t="e">
        <f ca="1"/>
        <v>#NAME?</v>
      </c>
      <c r="FP13" s="5" t="e">
        <f ca="1"/>
        <v>#NAME?</v>
      </c>
      <c r="FQ13" s="5" t="e">
        <f ca="1"/>
        <v>#NAME?</v>
      </c>
      <c r="FR13" s="5" t="e">
        <f ca="1"/>
        <v>#NAME?</v>
      </c>
      <c r="FS13" s="5" t="e">
        <f ca="1"/>
        <v>#NAME?</v>
      </c>
      <c r="FT13" s="5" t="e">
        <f ca="1"/>
        <v>#NAME?</v>
      </c>
      <c r="FU13" s="5" t="e">
        <f ca="1"/>
        <v>#NAME?</v>
      </c>
      <c r="FV13" s="5" t="e">
        <f ca="1"/>
        <v>#NAME?</v>
      </c>
      <c r="FW13" s="5" t="e">
        <f ca="1"/>
        <v>#NAME?</v>
      </c>
      <c r="FX13" s="5" t="e">
        <f ca="1"/>
        <v>#NAME?</v>
      </c>
      <c r="FY13" s="5" t="e">
        <f ca="1"/>
        <v>#NAME?</v>
      </c>
      <c r="FZ13" s="5" t="e">
        <f ca="1"/>
        <v>#NAME?</v>
      </c>
      <c r="GA13" s="5" t="e">
        <f ca="1"/>
        <v>#NAME?</v>
      </c>
      <c r="GB13" s="5" t="e">
        <f ca="1"/>
        <v>#NAME?</v>
      </c>
      <c r="GC13" s="5" t="e">
        <f ca="1"/>
        <v>#NAME?</v>
      </c>
      <c r="GD13" s="5" t="e">
        <f ca="1"/>
        <v>#NAME?</v>
      </c>
      <c r="GE13" s="5" t="e">
        <f ca="1"/>
        <v>#NAME?</v>
      </c>
      <c r="GF13" s="5" t="e">
        <f ca="1"/>
        <v>#NAME?</v>
      </c>
      <c r="GG13" s="5" t="e">
        <f ca="1"/>
        <v>#NAME?</v>
      </c>
      <c r="GH13" s="5" t="e">
        <f ca="1"/>
        <v>#NAME?</v>
      </c>
      <c r="GI13" s="5" t="e">
        <f ca="1"/>
        <v>#NAME?</v>
      </c>
      <c r="GJ13" s="5" t="e">
        <f ca="1"/>
        <v>#NAME?</v>
      </c>
      <c r="GK13" s="5" t="e">
        <f ca="1"/>
        <v>#NAME?</v>
      </c>
      <c r="GL13" s="5" t="e">
        <f ca="1"/>
        <v>#NAME?</v>
      </c>
      <c r="GM13" s="5" t="e">
        <f ca="1"/>
        <v>#NAME?</v>
      </c>
      <c r="GN13" s="5" t="e">
        <f ca="1"/>
        <v>#NAME?</v>
      </c>
      <c r="GO13" s="5" t="e">
        <f ca="1"/>
        <v>#NAME?</v>
      </c>
      <c r="GP13" s="5" t="e">
        <f ca="1"/>
        <v>#NAME?</v>
      </c>
      <c r="GQ13" s="5" t="e">
        <f ca="1"/>
        <v>#NAME?</v>
      </c>
      <c r="GR13" s="5" t="e">
        <f ca="1"/>
        <v>#NAME?</v>
      </c>
      <c r="GS13" s="5" t="e">
        <f ca="1"/>
        <v>#NAME?</v>
      </c>
      <c r="GT13" s="5" t="e">
        <f ca="1"/>
        <v>#NAME?</v>
      </c>
      <c r="GU13" s="5" t="e">
        <f ca="1"/>
        <v>#NAME?</v>
      </c>
      <c r="GV13" s="5" t="e">
        <f ca="1"/>
        <v>#NAME?</v>
      </c>
      <c r="GW13" s="5" t="e">
        <f ca="1"/>
        <v>#NAME?</v>
      </c>
      <c r="GX13" s="5" t="e">
        <f ca="1"/>
        <v>#NAME?</v>
      </c>
      <c r="GY13" s="5" t="e">
        <f ca="1"/>
        <v>#NAME?</v>
      </c>
      <c r="GZ13" s="5" t="e">
        <f ca="1"/>
        <v>#NAME?</v>
      </c>
      <c r="HA13" s="5" t="e">
        <f ca="1"/>
        <v>#NAME?</v>
      </c>
      <c r="HB13" s="5" t="e">
        <f ca="1"/>
        <v>#NAME?</v>
      </c>
      <c r="HC13" s="5" t="e">
        <f ca="1"/>
        <v>#NAME?</v>
      </c>
      <c r="HD13" s="5" t="e">
        <f ca="1"/>
        <v>#NAME?</v>
      </c>
      <c r="HE13" s="5" t="e">
        <f ca="1"/>
        <v>#NAME?</v>
      </c>
      <c r="HF13" s="5" t="e">
        <f ca="1"/>
        <v>#NAME?</v>
      </c>
      <c r="HG13" s="5" t="e">
        <f ca="1"/>
        <v>#NAME?</v>
      </c>
      <c r="HH13" s="5" t="e">
        <f ca="1"/>
        <v>#NAME?</v>
      </c>
      <c r="HI13" s="5" t="e">
        <f ca="1"/>
        <v>#NAME?</v>
      </c>
      <c r="HJ13" s="5" t="e">
        <f ca="1"/>
        <v>#NAME?</v>
      </c>
      <c r="HK13" s="5" t="e">
        <f ca="1"/>
        <v>#NAME?</v>
      </c>
      <c r="HL13" s="5" t="e">
        <f ca="1"/>
        <v>#NAME?</v>
      </c>
      <c r="HM13" s="5" t="e">
        <f ca="1"/>
        <v>#NAME?</v>
      </c>
      <c r="HN13" s="5" t="e">
        <f ca="1"/>
        <v>#NAME?</v>
      </c>
      <c r="HO13" s="5" t="e">
        <f ca="1"/>
        <v>#NAME?</v>
      </c>
      <c r="HP13" s="5" t="e">
        <f ca="1"/>
        <v>#NAME?</v>
      </c>
      <c r="HQ13" s="5" t="e">
        <f ca="1"/>
        <v>#NAME?</v>
      </c>
      <c r="HR13" s="5" t="e">
        <f ca="1"/>
        <v>#NAME?</v>
      </c>
      <c r="HS13" s="5" t="e">
        <f ca="1"/>
        <v>#NAME?</v>
      </c>
      <c r="HT13" s="5" t="e">
        <f ca="1"/>
        <v>#NAME?</v>
      </c>
      <c r="HU13" s="5" t="e">
        <f ca="1"/>
        <v>#NAME?</v>
      </c>
      <c r="HV13" s="5" t="e">
        <f ca="1"/>
        <v>#NAME?</v>
      </c>
      <c r="HW13" s="5" t="e">
        <f ca="1"/>
        <v>#NAME?</v>
      </c>
      <c r="HX13" s="5" t="e">
        <f ca="1"/>
        <v>#NAME?</v>
      </c>
      <c r="HY13" s="5" t="e">
        <f ca="1"/>
        <v>#NAME?</v>
      </c>
      <c r="HZ13" s="5" t="e">
        <f ca="1"/>
        <v>#NAME?</v>
      </c>
      <c r="IA13" s="5" t="e">
        <f ca="1"/>
        <v>#NAME?</v>
      </c>
      <c r="IB13" s="5" t="e">
        <f ca="1"/>
        <v>#NAME?</v>
      </c>
      <c r="IC13" s="5" t="e">
        <f ca="1"/>
        <v>#NAME?</v>
      </c>
      <c r="ID13" s="5" t="e">
        <f ca="1"/>
        <v>#NAME?</v>
      </c>
      <c r="IE13" s="5" t="e">
        <f ca="1"/>
        <v>#NAME?</v>
      </c>
      <c r="IF13" s="5" t="e">
        <f ca="1"/>
        <v>#NAME?</v>
      </c>
      <c r="IG13" s="5" t="e">
        <f ca="1"/>
        <v>#NAME?</v>
      </c>
      <c r="IH13" s="5" t="e">
        <f ca="1"/>
        <v>#NAME?</v>
      </c>
      <c r="II13" s="5" t="e">
        <f ca="1"/>
        <v>#NAME?</v>
      </c>
      <c r="IJ13" s="5" t="e">
        <f ca="1"/>
        <v>#NAME?</v>
      </c>
      <c r="IK13" s="5" t="e">
        <f ca="1"/>
        <v>#NAME?</v>
      </c>
      <c r="IL13" s="5" t="e">
        <f ca="1"/>
        <v>#NAME?</v>
      </c>
      <c r="IM13" s="5" t="e">
        <f ca="1"/>
        <v>#NAME?</v>
      </c>
      <c r="IN13" s="5" t="e">
        <f ca="1"/>
        <v>#NAME?</v>
      </c>
      <c r="IO13" s="5" t="e">
        <f ca="1"/>
        <v>#NAME?</v>
      </c>
      <c r="IP13" s="5" t="e">
        <f ca="1"/>
        <v>#NAME?</v>
      </c>
      <c r="IQ13" s="5" t="e">
        <f ca="1"/>
        <v>#NAME?</v>
      </c>
      <c r="IR13" s="5" t="e">
        <f ca="1"/>
        <v>#NAME?</v>
      </c>
      <c r="IS13" s="5" t="e">
        <f ca="1"/>
        <v>#NAME?</v>
      </c>
      <c r="IT13" s="5" t="e">
        <f ca="1"/>
        <v>#NAME?</v>
      </c>
      <c r="IU13" s="5" t="e">
        <f ca="1"/>
        <v>#NAME?</v>
      </c>
      <c r="IV13" s="5" t="e">
        <f ca="1"/>
        <v>#NAME?</v>
      </c>
      <c r="IW13" s="5" t="e">
        <f ca="1"/>
        <v>#NAME?</v>
      </c>
      <c r="IX13" s="5" t="e">
        <f ca="1"/>
        <v>#NAME?</v>
      </c>
      <c r="IY13" s="5" t="e">
        <f ca="1"/>
        <v>#NAME?</v>
      </c>
      <c r="IZ13" s="5" t="e">
        <f ca="1"/>
        <v>#NAME?</v>
      </c>
      <c r="JA13" s="5" t="e">
        <f ca="1"/>
        <v>#NAME?</v>
      </c>
      <c r="JB13" s="5" t="e">
        <f ca="1"/>
        <v>#NAME?</v>
      </c>
      <c r="JC13" s="5" t="e">
        <f ca="1"/>
        <v>#NAME?</v>
      </c>
      <c r="JD13" s="5" t="e">
        <f ca="1"/>
        <v>#NAME?</v>
      </c>
      <c r="JE13" s="5" t="e">
        <f ca="1"/>
        <v>#NAME?</v>
      </c>
      <c r="JF13" s="5" t="e">
        <f ca="1"/>
        <v>#NAME?</v>
      </c>
      <c r="JG13" s="5" t="e">
        <f ca="1"/>
        <v>#NAME?</v>
      </c>
      <c r="JH13" s="5" t="e">
        <f ca="1"/>
        <v>#NAME?</v>
      </c>
      <c r="JI13" s="5" t="e">
        <f ca="1"/>
        <v>#NAME?</v>
      </c>
      <c r="JJ13" s="5" t="e">
        <f ca="1"/>
        <v>#NAME?</v>
      </c>
      <c r="JK13" s="5" t="e">
        <f ca="1"/>
        <v>#NAME?</v>
      </c>
      <c r="JL13" s="5" t="e">
        <f ca="1"/>
        <v>#NAME?</v>
      </c>
      <c r="JM13" s="5" t="e">
        <f ca="1"/>
        <v>#NAME?</v>
      </c>
      <c r="JN13" s="5" t="e">
        <f ca="1"/>
        <v>#NAME?</v>
      </c>
      <c r="JO13" s="5" t="e">
        <f ca="1"/>
        <v>#NAME?</v>
      </c>
      <c r="JP13" s="5" t="e">
        <f ca="1"/>
        <v>#NAME?</v>
      </c>
      <c r="JQ13" s="5" t="e">
        <f ca="1"/>
        <v>#NAME?</v>
      </c>
      <c r="JR13" s="5" t="e">
        <f ca="1"/>
        <v>#NAME?</v>
      </c>
      <c r="JS13" s="5" t="e">
        <f ca="1"/>
        <v>#NAME?</v>
      </c>
      <c r="JT13" s="5" t="e">
        <f ca="1"/>
        <v>#NAME?</v>
      </c>
      <c r="JU13" s="5" t="e">
        <f ca="1"/>
        <v>#NAME?</v>
      </c>
      <c r="JV13" s="5" t="e">
        <f ca="1"/>
        <v>#NAME?</v>
      </c>
      <c r="JW13" s="5" t="e">
        <f ca="1"/>
        <v>#NAME?</v>
      </c>
      <c r="JX13" s="5" t="e">
        <f ca="1"/>
        <v>#NAME?</v>
      </c>
      <c r="JY13" s="5" t="e">
        <f ca="1"/>
        <v>#NAME?</v>
      </c>
      <c r="JZ13" s="5" t="e">
        <f ca="1"/>
        <v>#NAME?</v>
      </c>
      <c r="KA13" s="5" t="e">
        <f ca="1"/>
        <v>#NAME?</v>
      </c>
      <c r="KB13" s="5" t="e">
        <f ca="1"/>
        <v>#NAME?</v>
      </c>
      <c r="KC13" s="5" t="e">
        <f ca="1"/>
        <v>#NAME?</v>
      </c>
      <c r="KD13" s="5" t="e">
        <f ca="1"/>
        <v>#NAME?</v>
      </c>
      <c r="KE13" s="5" t="e">
        <f ca="1"/>
        <v>#NAME?</v>
      </c>
      <c r="KF13" s="5" t="e">
        <f ca="1"/>
        <v>#NAME?</v>
      </c>
      <c r="KG13" s="5" t="e">
        <f ca="1"/>
        <v>#NAME?</v>
      </c>
      <c r="KH13" s="5" t="e">
        <f ca="1"/>
        <v>#NAME?</v>
      </c>
      <c r="KI13" s="5" t="e">
        <f ca="1"/>
        <v>#NAME?</v>
      </c>
      <c r="KJ13" s="5" t="e">
        <f ca="1"/>
        <v>#NAME?</v>
      </c>
      <c r="KK13" s="5" t="e">
        <f ca="1"/>
        <v>#NAME?</v>
      </c>
      <c r="KL13" s="5" t="e">
        <f ca="1"/>
        <v>#NAME?</v>
      </c>
      <c r="KM13" s="5" t="e">
        <f ca="1"/>
        <v>#NAME?</v>
      </c>
      <c r="KN13" s="5" t="e">
        <f ca="1"/>
        <v>#NAME?</v>
      </c>
      <c r="KO13" t="e">
        <f ca="1"/>
        <v>#NAME?</v>
      </c>
      <c r="KP13" t="e">
        <f ca="1"/>
        <v>#NAME?</v>
      </c>
      <c r="KQ13" t="e">
        <f ca="1"/>
        <v>#NAME?</v>
      </c>
      <c r="KR13" t="e">
        <f ca="1"/>
        <v>#NAME?</v>
      </c>
      <c r="KS13" t="e">
        <f ca="1"/>
        <v>#NAME?</v>
      </c>
      <c r="KT13" t="e">
        <f ca="1"/>
        <v>#NAME?</v>
      </c>
      <c r="KU13" t="e">
        <f ca="1"/>
        <v>#NAME?</v>
      </c>
      <c r="KV13" t="e">
        <f ca="1"/>
        <v>#NAME?</v>
      </c>
      <c r="KW13" t="e">
        <f ca="1"/>
        <v>#NAME?</v>
      </c>
      <c r="KX13" t="e">
        <f ca="1"/>
        <v>#NAME?</v>
      </c>
      <c r="KY13" t="e">
        <f ca="1"/>
        <v>#NAME?</v>
      </c>
      <c r="KZ13" t="e">
        <f ca="1"/>
        <v>#NAME?</v>
      </c>
      <c r="LA13" t="e">
        <f ca="1"/>
        <v>#NAME?</v>
      </c>
      <c r="LB13" t="e">
        <f ca="1"/>
        <v>#NAME?</v>
      </c>
      <c r="LC13" t="e">
        <f ca="1"/>
        <v>#NAME?</v>
      </c>
      <c r="LD13" t="e">
        <f ca="1"/>
        <v>#NAME?</v>
      </c>
      <c r="LE13" t="e">
        <f ca="1"/>
        <v>#NAME?</v>
      </c>
      <c r="LF13" t="e">
        <f ca="1"/>
        <v>#NAME?</v>
      </c>
      <c r="LG13" t="e">
        <f ca="1"/>
        <v>#NAME?</v>
      </c>
      <c r="LH13" t="e">
        <f ca="1"/>
        <v>#NAME?</v>
      </c>
      <c r="LI13" t="e">
        <f ca="1"/>
        <v>#NAME?</v>
      </c>
      <c r="LJ13" t="e">
        <f ca="1"/>
        <v>#NAME?</v>
      </c>
      <c r="LK13" t="e">
        <f ca="1"/>
        <v>#NAME?</v>
      </c>
      <c r="LL13" t="e">
        <f ca="1"/>
        <v>#NAME?</v>
      </c>
      <c r="LM13" t="e">
        <f ca="1"/>
        <v>#NAME?</v>
      </c>
      <c r="LN13" t="e">
        <f ca="1"/>
        <v>#NAME?</v>
      </c>
      <c r="LO13" t="e">
        <f ca="1"/>
        <v>#NAME?</v>
      </c>
      <c r="LP13" t="e">
        <f ca="1"/>
        <v>#NAME?</v>
      </c>
      <c r="LQ13" t="e">
        <f ca="1"/>
        <v>#NAME?</v>
      </c>
      <c r="LR13" t="e">
        <f ca="1"/>
        <v>#NAME?</v>
      </c>
      <c r="LS13" t="e">
        <f ca="1"/>
        <v>#NAME?</v>
      </c>
      <c r="LT13" t="e">
        <f ca="1"/>
        <v>#NAME?</v>
      </c>
      <c r="LU13" t="e">
        <f ca="1"/>
        <v>#NAME?</v>
      </c>
      <c r="LV13" t="e">
        <f ca="1"/>
        <v>#NAME?</v>
      </c>
      <c r="LW13" t="e">
        <f ca="1"/>
        <v>#NAME?</v>
      </c>
      <c r="LX13" t="e">
        <f ca="1"/>
        <v>#NAME?</v>
      </c>
      <c r="LY13" t="e">
        <f ca="1"/>
        <v>#NAME?</v>
      </c>
      <c r="LZ13" t="e">
        <f ca="1"/>
        <v>#NAME?</v>
      </c>
      <c r="MA13" t="e">
        <f ca="1"/>
        <v>#NAME?</v>
      </c>
      <c r="MB13" t="e">
        <f ca="1"/>
        <v>#NAME?</v>
      </c>
      <c r="MC13" t="e">
        <f ca="1"/>
        <v>#NAME?</v>
      </c>
      <c r="MD13" t="e">
        <f ca="1"/>
        <v>#NAME?</v>
      </c>
      <c r="ME13" t="e">
        <f ca="1"/>
        <v>#NAME?</v>
      </c>
      <c r="MF13" t="e">
        <f ca="1"/>
        <v>#NAME?</v>
      </c>
      <c r="MG13" t="e">
        <f ca="1"/>
        <v>#NAME?</v>
      </c>
      <c r="MH13" t="e">
        <f ca="1"/>
        <v>#NAME?</v>
      </c>
      <c r="MI13" t="e">
        <f ca="1"/>
        <v>#NAME?</v>
      </c>
      <c r="MJ13" t="e">
        <f ca="1"/>
        <v>#NAME?</v>
      </c>
      <c r="MK13" t="e">
        <f ca="1"/>
        <v>#NAME?</v>
      </c>
      <c r="ML13" t="e">
        <f ca="1"/>
        <v>#NAME?</v>
      </c>
      <c r="MM13" t="e">
        <f ca="1"/>
        <v>#NAME?</v>
      </c>
      <c r="MN13" t="e">
        <f ca="1"/>
        <v>#NAME?</v>
      </c>
      <c r="MO13" t="e">
        <f ca="1"/>
        <v>#NAME?</v>
      </c>
      <c r="MP13" t="e">
        <f ca="1"/>
        <v>#NAME?</v>
      </c>
      <c r="MQ13" t="e">
        <f ca="1"/>
        <v>#NAME?</v>
      </c>
      <c r="MR13" t="e">
        <f ca="1"/>
        <v>#NAME?</v>
      </c>
      <c r="MS13" t="e">
        <f ca="1"/>
        <v>#NAME?</v>
      </c>
      <c r="MT13" t="e">
        <f ca="1"/>
        <v>#NAME?</v>
      </c>
      <c r="MU13" t="e">
        <f ca="1"/>
        <v>#NAME?</v>
      </c>
      <c r="MV13" t="e">
        <f ca="1"/>
        <v>#NAME?</v>
      </c>
      <c r="MW13" t="e">
        <f ca="1"/>
        <v>#NAME?</v>
      </c>
      <c r="MX13" t="e">
        <f ca="1"/>
        <v>#NAME?</v>
      </c>
      <c r="MY13" t="e">
        <f ca="1"/>
        <v>#NAME?</v>
      </c>
      <c r="MZ13" t="e">
        <f ca="1"/>
        <v>#NAME?</v>
      </c>
      <c r="NA13" t="e">
        <f ca="1"/>
        <v>#NAME?</v>
      </c>
      <c r="NB13" t="e">
        <f ca="1"/>
        <v>#NAME?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</row>
    <row r="14" spans="1:654" ht="15.75" customHeight="1">
      <c r="A14" s="16">
        <v>2007</v>
      </c>
      <c r="B14" s="16"/>
      <c r="C14" s="16"/>
      <c r="D14" s="17"/>
      <c r="F14" s="34">
        <f ca="1">IFERROR(__xludf.DUMMYFUNCTION("""COMPUTED_VALUE"""),24047)</f>
        <v>24047</v>
      </c>
      <c r="G14" s="5" t="str">
        <f ca="1">IFERROR(__xludf.DUMMYFUNCTION("""COMPUTED_VALUE"""),"13440.0")</f>
        <v>13440.0</v>
      </c>
      <c r="H14" s="5" t="str">
        <f ca="1">IFERROR(__xludf.DUMMYFUNCTION("""COMPUTED_VALUE"""),"537.6")</f>
        <v>537.6</v>
      </c>
      <c r="I14" s="5" t="str">
        <f ca="1">IFERROR(__xludf.DUMMYFUNCTION("""COMPUTED_VALUE"""),"67.2")</f>
        <v>67.2</v>
      </c>
      <c r="J14" s="5">
        <f ca="1">IFERROR(__xludf.DUMMYFUNCTION("VALUE(REGEXREPLACE(G14,""\."","",""))"),13440)</f>
        <v>13440</v>
      </c>
      <c r="K14" s="5" t="e">
        <f t="shared" ca="1" si="0"/>
        <v>#NAME?</v>
      </c>
      <c r="L14" s="25"/>
    </row>
    <row r="15" spans="1:654" ht="15.75" customHeight="1">
      <c r="A15" s="5" t="s">
        <v>75</v>
      </c>
      <c r="B15" s="5">
        <v>900</v>
      </c>
      <c r="C15" s="5">
        <v>219.55</v>
      </c>
      <c r="D15" s="14">
        <f>B15*C5/C15</f>
        <v>612.88544750626284</v>
      </c>
      <c r="F15" s="34">
        <f ca="1">IFERROR(__xludf.DUMMYFUNCTION("""COMPUTED_VALUE"""),24077)</f>
        <v>24077</v>
      </c>
      <c r="G15" s="5" t="str">
        <f ca="1">IFERROR(__xludf.DUMMYFUNCTION("""COMPUTED_VALUE"""),"13440.0")</f>
        <v>13440.0</v>
      </c>
      <c r="H15" s="5" t="str">
        <f ca="1">IFERROR(__xludf.DUMMYFUNCTION("""COMPUTED_VALUE"""),"537.6")</f>
        <v>537.6</v>
      </c>
      <c r="I15" s="5" t="str">
        <f ca="1">IFERROR(__xludf.DUMMYFUNCTION("""COMPUTED_VALUE"""),"67.2")</f>
        <v>67.2</v>
      </c>
      <c r="J15" s="5">
        <f ca="1">IFERROR(__xludf.DUMMYFUNCTION("VALUE(REGEXREPLACE(G15,""\."","",""))"),13440)</f>
        <v>13440</v>
      </c>
      <c r="K15" s="5" t="e">
        <f t="shared" ca="1" si="0"/>
        <v>#NAME?</v>
      </c>
      <c r="L15" s="25"/>
    </row>
    <row r="16" spans="1:654" ht="15.75" customHeight="1">
      <c r="A16" s="5" t="s">
        <v>77</v>
      </c>
      <c r="B16" s="5">
        <v>970</v>
      </c>
      <c r="C16" s="5">
        <v>230.58</v>
      </c>
      <c r="D16" s="14">
        <f>B16*C5/C16</f>
        <v>628.95611067742209</v>
      </c>
      <c r="F16" s="34">
        <f ca="1">IFERROR(__xludf.DUMMYFUNCTION("""COMPUTED_VALUE"""),24108)</f>
        <v>24108</v>
      </c>
      <c r="G16" s="5" t="str">
        <f ca="1">IFERROR(__xludf.DUMMYFUNCTION("""COMPUTED_VALUE"""),"13440.0")</f>
        <v>13440.0</v>
      </c>
      <c r="H16" s="5" t="str">
        <f ca="1">IFERROR(__xludf.DUMMYFUNCTION("""COMPUTED_VALUE"""),"537.6")</f>
        <v>537.6</v>
      </c>
      <c r="I16" s="5" t="str">
        <f ca="1">IFERROR(__xludf.DUMMYFUNCTION("""COMPUTED_VALUE"""),"67.2")</f>
        <v>67.2</v>
      </c>
      <c r="J16" s="5">
        <f ca="1">IFERROR(__xludf.DUMMYFUNCTION("VALUE(REGEXREPLACE(G16,""\."","",""))"),13440)</f>
        <v>13440</v>
      </c>
      <c r="K16" s="5" t="e">
        <f t="shared" ca="1" si="0"/>
        <v>#NAME?</v>
      </c>
      <c r="L16" s="25"/>
    </row>
    <row r="17" spans="1:12" ht="15.75" customHeight="1">
      <c r="A17" s="5" t="s">
        <v>78</v>
      </c>
      <c r="B17" s="5">
        <v>980</v>
      </c>
      <c r="C17" s="5">
        <v>233.91</v>
      </c>
      <c r="D17" s="14">
        <f>B17*C5/C17</f>
        <v>626.39391218844855</v>
      </c>
      <c r="F17" s="34">
        <f ca="1">IFERROR(__xludf.DUMMYFUNCTION("""COMPUTED_VALUE"""),24139)</f>
        <v>24139</v>
      </c>
      <c r="G17" s="5" t="str">
        <f ca="1">IFERROR(__xludf.DUMMYFUNCTION("""COMPUTED_VALUE"""),"13440.0")</f>
        <v>13440.0</v>
      </c>
      <c r="H17" s="5" t="str">
        <f ca="1">IFERROR(__xludf.DUMMYFUNCTION("""COMPUTED_VALUE"""),"537.6")</f>
        <v>537.6</v>
      </c>
      <c r="I17" s="5" t="str">
        <f ca="1">IFERROR(__xludf.DUMMYFUNCTION("""COMPUTED_VALUE"""),"67.2")</f>
        <v>67.2</v>
      </c>
      <c r="J17" s="5">
        <f ca="1">IFERROR(__xludf.DUMMYFUNCTION("VALUE(REGEXREPLACE(G17,""\."","",""))"),13440)</f>
        <v>13440</v>
      </c>
      <c r="K17" s="5" t="e">
        <f t="shared" ca="1" si="0"/>
        <v>#NAME?</v>
      </c>
      <c r="L17" s="25"/>
    </row>
    <row r="18" spans="1:12" ht="15.75" customHeight="1">
      <c r="A18" s="16">
        <v>2008</v>
      </c>
      <c r="B18" s="16"/>
      <c r="C18" s="16"/>
      <c r="D18" s="17"/>
      <c r="F18" s="34">
        <f ca="1">IFERROR(__xludf.DUMMYFUNCTION("""COMPUTED_VALUE"""),24167)</f>
        <v>24167</v>
      </c>
      <c r="G18" s="5" t="str">
        <f ca="1">IFERROR(__xludf.DUMMYFUNCTION("""COMPUTED_VALUE"""),"13440.0")</f>
        <v>13440.0</v>
      </c>
      <c r="H18" s="5" t="str">
        <f ca="1">IFERROR(__xludf.DUMMYFUNCTION("""COMPUTED_VALUE"""),"537.6")</f>
        <v>537.6</v>
      </c>
      <c r="I18" s="5" t="str">
        <f ca="1">IFERROR(__xludf.DUMMYFUNCTION("""COMPUTED_VALUE"""),"67.2")</f>
        <v>67.2</v>
      </c>
      <c r="J18" s="5">
        <f ca="1">IFERROR(__xludf.DUMMYFUNCTION("VALUE(REGEXREPLACE(G18,""\."","",""))"),13440)</f>
        <v>13440</v>
      </c>
      <c r="K18" s="5" t="e">
        <f t="shared" ca="1" si="0"/>
        <v>#NAME?</v>
      </c>
      <c r="L18" s="25"/>
    </row>
    <row r="19" spans="1:12" ht="15.75" customHeight="1">
      <c r="A19" s="5" t="s">
        <v>75</v>
      </c>
      <c r="B19" s="5">
        <v>1200</v>
      </c>
      <c r="C19" s="5">
        <v>277.52999999999997</v>
      </c>
      <c r="D19" s="14">
        <f>B19*C5/C19</f>
        <v>646.45984217922398</v>
      </c>
      <c r="F19" s="34">
        <f ca="1">IFERROR(__xludf.DUMMYFUNCTION("""COMPUTED_VALUE"""),24198)</f>
        <v>24198</v>
      </c>
      <c r="G19" s="5" t="str">
        <f ca="1">IFERROR(__xludf.DUMMYFUNCTION("""COMPUTED_VALUE"""),"13440.0")</f>
        <v>13440.0</v>
      </c>
      <c r="H19" s="5" t="str">
        <f ca="1">IFERROR(__xludf.DUMMYFUNCTION("""COMPUTED_VALUE"""),"537.6")</f>
        <v>537.6</v>
      </c>
      <c r="I19" s="5" t="str">
        <f ca="1">IFERROR(__xludf.DUMMYFUNCTION("""COMPUTED_VALUE"""),"67.2")</f>
        <v>67.2</v>
      </c>
      <c r="J19" s="5">
        <f ca="1">IFERROR(__xludf.DUMMYFUNCTION("VALUE(REGEXREPLACE(G19,""\."","",""))"),13440)</f>
        <v>13440</v>
      </c>
      <c r="K19" s="5" t="e">
        <f t="shared" ca="1" si="0"/>
        <v>#NAME?</v>
      </c>
      <c r="L19" s="25"/>
    </row>
    <row r="20" spans="1:12" ht="12.5">
      <c r="A20" s="5" t="s">
        <v>78</v>
      </c>
      <c r="B20" s="5">
        <v>1240</v>
      </c>
      <c r="C20" s="5">
        <v>287.58</v>
      </c>
      <c r="D20" s="14">
        <f>B20*C5/C20</f>
        <v>644.66374574031579</v>
      </c>
      <c r="F20" s="34">
        <f ca="1">IFERROR(__xludf.DUMMYFUNCTION("""COMPUTED_VALUE"""),24228)</f>
        <v>24228</v>
      </c>
      <c r="G20" s="5" t="str">
        <f ca="1">IFERROR(__xludf.DUMMYFUNCTION("""COMPUTED_VALUE"""),"15750.0")</f>
        <v>15750.0</v>
      </c>
      <c r="H20" s="5" t="str">
        <f ca="1">IFERROR(__xludf.DUMMYFUNCTION("""COMPUTED_VALUE"""),"630.0")</f>
        <v>630.0</v>
      </c>
      <c r="I20" s="5" t="str">
        <f ca="1">IFERROR(__xludf.DUMMYFUNCTION("""COMPUTED_VALUE"""),"78.75")</f>
        <v>78.75</v>
      </c>
      <c r="J20" s="5">
        <f ca="1">IFERROR(__xludf.DUMMYFUNCTION("VALUE(REGEXREPLACE(G20,""\."","",""))"),15750)</f>
        <v>15750</v>
      </c>
      <c r="K20" s="5" t="e">
        <f t="shared" ca="1" si="0"/>
        <v>#NAME?</v>
      </c>
      <c r="L20" s="25"/>
    </row>
    <row r="21" spans="1:12" ht="12.5">
      <c r="A21" s="16">
        <v>2009</v>
      </c>
      <c r="B21" s="16"/>
      <c r="C21" s="16"/>
      <c r="D21" s="17"/>
      <c r="F21" s="34">
        <f ca="1">IFERROR(__xludf.DUMMYFUNCTION("""COMPUTED_VALUE"""),24259)</f>
        <v>24259</v>
      </c>
      <c r="G21" s="5" t="str">
        <f ca="1">IFERROR(__xludf.DUMMYFUNCTION("""COMPUTED_VALUE"""),"15750.0")</f>
        <v>15750.0</v>
      </c>
      <c r="H21" s="5" t="str">
        <f ca="1">IFERROR(__xludf.DUMMYFUNCTION("""COMPUTED_VALUE"""),"630.0")</f>
        <v>630.0</v>
      </c>
      <c r="I21" s="5" t="str">
        <f ca="1">IFERROR(__xludf.DUMMYFUNCTION("""COMPUTED_VALUE"""),"78.75")</f>
        <v>78.75</v>
      </c>
      <c r="J21" s="5">
        <f ca="1">IFERROR(__xludf.DUMMYFUNCTION("VALUE(REGEXREPLACE(G21,""\."","",""))"),15750)</f>
        <v>15750</v>
      </c>
      <c r="K21" s="5" t="e">
        <f t="shared" ca="1" si="0"/>
        <v>#NAME?</v>
      </c>
      <c r="L21" s="25"/>
    </row>
    <row r="22" spans="1:12" ht="12.5">
      <c r="A22" s="5" t="s">
        <v>75</v>
      </c>
      <c r="B22" s="5">
        <v>1400</v>
      </c>
      <c r="C22" s="5">
        <v>310.7</v>
      </c>
      <c r="D22" s="14">
        <f>B22*C5/C22</f>
        <v>673.68522690698421</v>
      </c>
      <c r="F22" s="34">
        <f ca="1">IFERROR(__xludf.DUMMYFUNCTION("""COMPUTED_VALUE"""),24289)</f>
        <v>24289</v>
      </c>
      <c r="G22" s="5" t="str">
        <f ca="1">IFERROR(__xludf.DUMMYFUNCTION("""COMPUTED_VALUE"""),"15750.0")</f>
        <v>15750.0</v>
      </c>
      <c r="H22" s="5" t="str">
        <f ca="1">IFERROR(__xludf.DUMMYFUNCTION("""COMPUTED_VALUE"""),"630.0")</f>
        <v>630.0</v>
      </c>
      <c r="I22" s="5" t="str">
        <f ca="1">IFERROR(__xludf.DUMMYFUNCTION("""COMPUTED_VALUE"""),"78.75")</f>
        <v>78.75</v>
      </c>
      <c r="J22" s="5">
        <f ca="1">IFERROR(__xludf.DUMMYFUNCTION("VALUE(REGEXREPLACE(G22,""\."","",""))"),15750)</f>
        <v>15750</v>
      </c>
      <c r="K22" s="5" t="e">
        <f t="shared" ca="1" si="0"/>
        <v>#NAME?</v>
      </c>
      <c r="L22" s="25"/>
    </row>
    <row r="23" spans="1:12" ht="12.5">
      <c r="A23" s="5" t="s">
        <v>77</v>
      </c>
      <c r="B23" s="5">
        <v>1440</v>
      </c>
      <c r="C23" s="5">
        <v>318.68</v>
      </c>
      <c r="D23" s="14">
        <f>B23*C5/C23</f>
        <v>675.58177482113717</v>
      </c>
      <c r="F23" s="34">
        <f ca="1">IFERROR(__xludf.DUMMYFUNCTION("""COMPUTED_VALUE"""),24320)</f>
        <v>24320</v>
      </c>
      <c r="G23" s="5" t="str">
        <f ca="1">IFERROR(__xludf.DUMMYFUNCTION("""COMPUTED_VALUE"""),"15750.0")</f>
        <v>15750.0</v>
      </c>
      <c r="H23" s="5" t="str">
        <f ca="1">IFERROR(__xludf.DUMMYFUNCTION("""COMPUTED_VALUE"""),"630.0")</f>
        <v>630.0</v>
      </c>
      <c r="I23" s="5" t="str">
        <f ca="1">IFERROR(__xludf.DUMMYFUNCTION("""COMPUTED_VALUE"""),"78.75")</f>
        <v>78.75</v>
      </c>
      <c r="J23" s="5">
        <f ca="1">IFERROR(__xludf.DUMMYFUNCTION("VALUE(REGEXREPLACE(G23,""\."","",""))"),15750)</f>
        <v>15750</v>
      </c>
      <c r="K23" s="5" t="e">
        <f t="shared" ca="1" si="0"/>
        <v>#NAME?</v>
      </c>
      <c r="L23" s="25"/>
    </row>
    <row r="24" spans="1:12" ht="12.5">
      <c r="A24" s="16">
        <v>2010</v>
      </c>
      <c r="B24" s="16"/>
      <c r="C24" s="16"/>
      <c r="D24" s="17"/>
      <c r="F24" s="34">
        <f ca="1">IFERROR(__xludf.DUMMYFUNCTION("""COMPUTED_VALUE"""),24351)</f>
        <v>24351</v>
      </c>
      <c r="G24" s="5" t="str">
        <f ca="1">IFERROR(__xludf.DUMMYFUNCTION("""COMPUTED_VALUE"""),"15750.0")</f>
        <v>15750.0</v>
      </c>
      <c r="H24" s="5" t="str">
        <f ca="1">IFERROR(__xludf.DUMMYFUNCTION("""COMPUTED_VALUE"""),"630.0")</f>
        <v>630.0</v>
      </c>
      <c r="I24" s="5" t="str">
        <f ca="1">IFERROR(__xludf.DUMMYFUNCTION("""COMPUTED_VALUE"""),"78.75")</f>
        <v>78.75</v>
      </c>
      <c r="J24" s="5">
        <f ca="1">IFERROR(__xludf.DUMMYFUNCTION("VALUE(REGEXREPLACE(G24,""\."","",""))"),15750)</f>
        <v>15750</v>
      </c>
      <c r="K24" s="5" t="e">
        <f t="shared" ca="1" si="0"/>
        <v>#NAME?</v>
      </c>
      <c r="L24" s="25"/>
    </row>
    <row r="25" spans="1:12" ht="12.5">
      <c r="A25" s="5" t="s">
        <v>79</v>
      </c>
      <c r="B25" s="5">
        <v>1500</v>
      </c>
      <c r="C25" s="5">
        <v>337.47</v>
      </c>
      <c r="D25" s="14">
        <f>B25*C5/C25</f>
        <v>664.5479598186505</v>
      </c>
      <c r="F25" s="34">
        <f ca="1">IFERROR(__xludf.DUMMYFUNCTION("""COMPUTED_VALUE"""),24381)</f>
        <v>24381</v>
      </c>
      <c r="G25" s="5" t="str">
        <f ca="1">IFERROR(__xludf.DUMMYFUNCTION("""COMPUTED_VALUE"""),"15750.0")</f>
        <v>15750.0</v>
      </c>
      <c r="H25" s="5" t="str">
        <f ca="1">IFERROR(__xludf.DUMMYFUNCTION("""COMPUTED_VALUE"""),"630.0")</f>
        <v>630.0</v>
      </c>
      <c r="I25" s="5" t="str">
        <f ca="1">IFERROR(__xludf.DUMMYFUNCTION("""COMPUTED_VALUE"""),"78.75")</f>
        <v>78.75</v>
      </c>
      <c r="J25" s="5">
        <f ca="1">IFERROR(__xludf.DUMMYFUNCTION("VALUE(REGEXREPLACE(G25,""\."","",""))"),15750)</f>
        <v>15750</v>
      </c>
      <c r="K25" s="5" t="e">
        <f t="shared" ca="1" si="0"/>
        <v>#NAME?</v>
      </c>
      <c r="L25" s="25"/>
    </row>
    <row r="26" spans="1:12" ht="12.5">
      <c r="A26" s="5" t="s">
        <v>75</v>
      </c>
      <c r="B26" s="5">
        <v>1740</v>
      </c>
      <c r="C26" s="5">
        <v>385.15</v>
      </c>
      <c r="D26" s="14">
        <f>B26*C5/C26</f>
        <v>675.44437232247174</v>
      </c>
      <c r="F26" s="34">
        <f ca="1">IFERROR(__xludf.DUMMYFUNCTION("""COMPUTED_VALUE"""),24412)</f>
        <v>24412</v>
      </c>
      <c r="G26" s="5" t="str">
        <f ca="1">IFERROR(__xludf.DUMMYFUNCTION("""COMPUTED_VALUE"""),"15750.0")</f>
        <v>15750.0</v>
      </c>
      <c r="H26" s="5" t="str">
        <f ca="1">IFERROR(__xludf.DUMMYFUNCTION("""COMPUTED_VALUE"""),"630.0")</f>
        <v>630.0</v>
      </c>
      <c r="I26" s="5" t="str">
        <f ca="1">IFERROR(__xludf.DUMMYFUNCTION("""COMPUTED_VALUE"""),"78.75")</f>
        <v>78.75</v>
      </c>
      <c r="J26" s="5">
        <f ca="1">IFERROR(__xludf.DUMMYFUNCTION("VALUE(REGEXREPLACE(G26,""\."","",""))"),15750)</f>
        <v>15750</v>
      </c>
      <c r="K26" s="5" t="e">
        <f t="shared" ca="1" si="0"/>
        <v>#NAME?</v>
      </c>
      <c r="L26" s="25"/>
    </row>
    <row r="27" spans="1:12" ht="12.5">
      <c r="A27" s="16">
        <v>2011</v>
      </c>
      <c r="B27" s="16"/>
      <c r="C27" s="16"/>
      <c r="D27" s="17"/>
      <c r="F27" s="34">
        <f ca="1">IFERROR(__xludf.DUMMYFUNCTION("""COMPUTED_VALUE"""),24442)</f>
        <v>24442</v>
      </c>
      <c r="G27" s="5" t="str">
        <f ca="1">IFERROR(__xludf.DUMMYFUNCTION("""COMPUTED_VALUE"""),"15750.0")</f>
        <v>15750.0</v>
      </c>
      <c r="H27" s="5" t="str">
        <f ca="1">IFERROR(__xludf.DUMMYFUNCTION("""COMPUTED_VALUE"""),"630.0")</f>
        <v>630.0</v>
      </c>
      <c r="I27" s="5" t="str">
        <f ca="1">IFERROR(__xludf.DUMMYFUNCTION("""COMPUTED_VALUE"""),"78.75")</f>
        <v>78.75</v>
      </c>
      <c r="J27" s="5">
        <f ca="1">IFERROR(__xludf.DUMMYFUNCTION("VALUE(REGEXREPLACE(G27,""\."","",""))"),15750)</f>
        <v>15750</v>
      </c>
      <c r="K27" s="5" t="e">
        <f t="shared" ca="1" si="0"/>
        <v>#NAME?</v>
      </c>
      <c r="L27" s="25"/>
    </row>
    <row r="28" spans="1:12" ht="12.5">
      <c r="A28" s="5" t="s">
        <v>79</v>
      </c>
      <c r="B28" s="5">
        <v>1840</v>
      </c>
      <c r="C28" s="5">
        <v>422.66</v>
      </c>
      <c r="D28" s="14">
        <f>B28*C5/C28</f>
        <v>650.87398854871515</v>
      </c>
      <c r="F28" s="34">
        <f ca="1">IFERROR(__xludf.DUMMYFUNCTION("""COMPUTED_VALUE"""),24473)</f>
        <v>24473</v>
      </c>
      <c r="G28" s="5" t="str">
        <f ca="1">IFERROR(__xludf.DUMMYFUNCTION("""COMPUTED_VALUE"""),"15750.0")</f>
        <v>15750.0</v>
      </c>
      <c r="H28" s="5" t="str">
        <f ca="1">IFERROR(__xludf.DUMMYFUNCTION("""COMPUTED_VALUE"""),"630.0")</f>
        <v>630.0</v>
      </c>
      <c r="I28" s="5" t="str">
        <f ca="1">IFERROR(__xludf.DUMMYFUNCTION("""COMPUTED_VALUE"""),"78.75")</f>
        <v>78.75</v>
      </c>
      <c r="J28" s="5">
        <f ca="1">IFERROR(__xludf.DUMMYFUNCTION("VALUE(REGEXREPLACE(G28,""\."","",""))"),15750)</f>
        <v>15750</v>
      </c>
      <c r="K28" s="5" t="e">
        <f t="shared" ca="1" si="0"/>
        <v>#NAME?</v>
      </c>
      <c r="L28" s="25"/>
    </row>
    <row r="29" spans="1:12" ht="12.5">
      <c r="A29" s="5" t="s">
        <v>75</v>
      </c>
      <c r="B29" s="5">
        <v>2300</v>
      </c>
      <c r="C29" s="5">
        <v>478.94</v>
      </c>
      <c r="D29" s="14">
        <f>B29*C5/C29</f>
        <v>717.98763937027604</v>
      </c>
      <c r="F29" s="34">
        <f ca="1">IFERROR(__xludf.DUMMYFUNCTION("""COMPUTED_VALUE"""),24504)</f>
        <v>24504</v>
      </c>
      <c r="G29" s="5" t="str">
        <f ca="1">IFERROR(__xludf.DUMMYFUNCTION("""COMPUTED_VALUE"""),"15750.0")</f>
        <v>15750.0</v>
      </c>
      <c r="H29" s="5" t="str">
        <f ca="1">IFERROR(__xludf.DUMMYFUNCTION("""COMPUTED_VALUE"""),"630.0")</f>
        <v>630.0</v>
      </c>
      <c r="I29" s="5" t="str">
        <f ca="1">IFERROR(__xludf.DUMMYFUNCTION("""COMPUTED_VALUE"""),"78.75")</f>
        <v>78.75</v>
      </c>
      <c r="J29" s="5">
        <f ca="1">IFERROR(__xludf.DUMMYFUNCTION("VALUE(REGEXREPLACE(G29,""\."","",""))"),15750)</f>
        <v>15750</v>
      </c>
      <c r="K29" s="5" t="e">
        <f t="shared" ca="1" si="0"/>
        <v>#NAME?</v>
      </c>
      <c r="L29" s="25"/>
    </row>
    <row r="30" spans="1:12" ht="12.5">
      <c r="A30" s="16">
        <v>2012</v>
      </c>
      <c r="B30" s="16"/>
      <c r="C30" s="16"/>
      <c r="D30" s="17"/>
      <c r="F30" s="34">
        <f ca="1">IFERROR(__xludf.DUMMYFUNCTION("""COMPUTED_VALUE"""),24532)</f>
        <v>24532</v>
      </c>
      <c r="G30" s="5" t="str">
        <f ca="1">IFERROR(__xludf.DUMMYFUNCTION("""COMPUTED_VALUE"""),"15750.0")</f>
        <v>15750.0</v>
      </c>
      <c r="H30" s="5" t="str">
        <f ca="1">IFERROR(__xludf.DUMMYFUNCTION("""COMPUTED_VALUE"""),"630.0")</f>
        <v>630.0</v>
      </c>
      <c r="I30" s="5" t="str">
        <f ca="1">IFERROR(__xludf.DUMMYFUNCTION("""COMPUTED_VALUE"""),"78.75")</f>
        <v>78.75</v>
      </c>
      <c r="J30" s="5">
        <f ca="1">IFERROR(__xludf.DUMMYFUNCTION("VALUE(REGEXREPLACE(G30,""\."","",""))"),15750)</f>
        <v>15750</v>
      </c>
      <c r="K30" s="5" t="e">
        <f t="shared" ca="1" si="0"/>
        <v>#NAME?</v>
      </c>
      <c r="L30" s="25"/>
    </row>
    <row r="31" spans="1:12" ht="12.5">
      <c r="A31" s="5" t="s">
        <v>71</v>
      </c>
      <c r="B31" s="5">
        <v>2670</v>
      </c>
      <c r="C31" s="5">
        <v>610.26</v>
      </c>
      <c r="D31" s="14">
        <f>B31*C5/C31</f>
        <v>654.13381181791362</v>
      </c>
      <c r="F31" s="34">
        <f ca="1">IFERROR(__xludf.DUMMYFUNCTION("""COMPUTED_VALUE"""),24563)</f>
        <v>24563</v>
      </c>
      <c r="G31" s="5" t="str">
        <f ca="1">IFERROR(__xludf.DUMMYFUNCTION("""COMPUTED_VALUE"""),"15750.0")</f>
        <v>15750.0</v>
      </c>
      <c r="H31" s="5" t="str">
        <f ca="1">IFERROR(__xludf.DUMMYFUNCTION("""COMPUTED_VALUE"""),"630.0")</f>
        <v>630.0</v>
      </c>
      <c r="I31" s="5" t="str">
        <f ca="1">IFERROR(__xludf.DUMMYFUNCTION("""COMPUTED_VALUE"""),"78.75")</f>
        <v>78.75</v>
      </c>
      <c r="J31" s="5">
        <f ca="1">IFERROR(__xludf.DUMMYFUNCTION("VALUE(REGEXREPLACE(G31,""\."","",""))"),15750)</f>
        <v>15750</v>
      </c>
      <c r="K31" s="5" t="e">
        <f t="shared" ca="1" si="0"/>
        <v>#NAME?</v>
      </c>
      <c r="L31" s="25"/>
    </row>
    <row r="32" spans="1:12" ht="12.5">
      <c r="A32" s="16">
        <v>2013</v>
      </c>
      <c r="B32" s="16"/>
      <c r="C32" s="16"/>
      <c r="D32" s="17"/>
      <c r="F32" s="34">
        <f ca="1">IFERROR(__xludf.DUMMYFUNCTION("""COMPUTED_VALUE"""),24593)</f>
        <v>24593</v>
      </c>
      <c r="G32" s="5" t="str">
        <f ca="1">IFERROR(__xludf.DUMMYFUNCTION("""COMPUTED_VALUE"""),"15750.0")</f>
        <v>15750.0</v>
      </c>
      <c r="H32" s="5" t="str">
        <f ca="1">IFERROR(__xludf.DUMMYFUNCTION("""COMPUTED_VALUE"""),"630.0")</f>
        <v>630.0</v>
      </c>
      <c r="I32" s="5" t="str">
        <f ca="1">IFERROR(__xludf.DUMMYFUNCTION("""COMPUTED_VALUE"""),"78.75")</f>
        <v>78.75</v>
      </c>
      <c r="J32" s="5">
        <f ca="1">IFERROR(__xludf.DUMMYFUNCTION("VALUE(REGEXREPLACE(G32,""\."","",""))"),15750)</f>
        <v>15750</v>
      </c>
      <c r="K32" s="5" t="e">
        <f t="shared" ca="1" si="0"/>
        <v>#NAME?</v>
      </c>
      <c r="L32" s="25"/>
    </row>
    <row r="33" spans="1:12" ht="12.5">
      <c r="A33" s="5" t="s">
        <v>80</v>
      </c>
      <c r="B33" s="5">
        <v>2875</v>
      </c>
      <c r="C33" s="5">
        <v>664.33</v>
      </c>
      <c r="D33" s="14">
        <f>B33*C5/C33</f>
        <v>647.02971414808906</v>
      </c>
      <c r="F33" s="34">
        <f ca="1">IFERROR(__xludf.DUMMYFUNCTION("""COMPUTED_VALUE"""),24624)</f>
        <v>24624</v>
      </c>
      <c r="G33" s="5" t="str">
        <f ca="1">IFERROR(__xludf.DUMMYFUNCTION("""COMPUTED_VALUE"""),"15750.0")</f>
        <v>15750.0</v>
      </c>
      <c r="H33" s="5" t="str">
        <f ca="1">IFERROR(__xludf.DUMMYFUNCTION("""COMPUTED_VALUE"""),"630.0")</f>
        <v>630.0</v>
      </c>
      <c r="I33" s="5" t="str">
        <f ca="1">IFERROR(__xludf.DUMMYFUNCTION("""COMPUTED_VALUE"""),"78.75")</f>
        <v>78.75</v>
      </c>
      <c r="J33" s="5">
        <f ca="1">IFERROR(__xludf.DUMMYFUNCTION("VALUE(REGEXREPLACE(G33,""\."","",""))"),15750)</f>
        <v>15750</v>
      </c>
      <c r="K33" s="5" t="e">
        <f t="shared" ca="1" si="0"/>
        <v>#NAME?</v>
      </c>
      <c r="L33" s="25"/>
    </row>
    <row r="34" spans="1:12" ht="12.5">
      <c r="A34" s="5" t="s">
        <v>75</v>
      </c>
      <c r="B34" s="5">
        <v>3300</v>
      </c>
      <c r="C34" s="5">
        <v>748.03</v>
      </c>
      <c r="D34" s="14">
        <f>B34*C5/C34</f>
        <v>659.57648757402774</v>
      </c>
      <c r="F34" s="34">
        <f ca="1">IFERROR(__xludf.DUMMYFUNCTION("""COMPUTED_VALUE"""),24654)</f>
        <v>24654</v>
      </c>
      <c r="G34" s="5" t="str">
        <f ca="1">IFERROR(__xludf.DUMMYFUNCTION("""COMPUTED_VALUE"""),"15750.0")</f>
        <v>15750.0</v>
      </c>
      <c r="H34" s="5" t="str">
        <f ca="1">IFERROR(__xludf.DUMMYFUNCTION("""COMPUTED_VALUE"""),"630.0")</f>
        <v>630.0</v>
      </c>
      <c r="I34" s="5" t="str">
        <f ca="1">IFERROR(__xludf.DUMMYFUNCTION("""COMPUTED_VALUE"""),"78.75")</f>
        <v>78.75</v>
      </c>
      <c r="J34" s="5">
        <f ca="1">IFERROR(__xludf.DUMMYFUNCTION("VALUE(REGEXREPLACE(G34,""\."","",""))"),15750)</f>
        <v>15750</v>
      </c>
      <c r="K34" s="5" t="e">
        <f t="shared" ca="1" si="0"/>
        <v>#NAME?</v>
      </c>
      <c r="L34" s="25"/>
    </row>
    <row r="35" spans="1:12" ht="12.5">
      <c r="A35" s="16">
        <v>2014</v>
      </c>
      <c r="B35" s="16"/>
      <c r="C35" s="16"/>
      <c r="D35" s="17"/>
      <c r="F35" s="34">
        <f ca="1">IFERROR(__xludf.DUMMYFUNCTION("""COMPUTED_VALUE"""),24685)</f>
        <v>24685</v>
      </c>
      <c r="G35" s="5" t="str">
        <f ca="1">IFERROR(__xludf.DUMMYFUNCTION("""COMPUTED_VALUE"""),"15750.0")</f>
        <v>15750.0</v>
      </c>
      <c r="H35" s="5" t="str">
        <f ca="1">IFERROR(__xludf.DUMMYFUNCTION("""COMPUTED_VALUE"""),"630.0")</f>
        <v>630.0</v>
      </c>
      <c r="I35" s="5" t="str">
        <f ca="1">IFERROR(__xludf.DUMMYFUNCTION("""COMPUTED_VALUE"""),"78.75")</f>
        <v>78.75</v>
      </c>
      <c r="J35" s="5">
        <f ca="1">IFERROR(__xludf.DUMMYFUNCTION("VALUE(REGEXREPLACE(G35,""\."","",""))"),15750)</f>
        <v>15750</v>
      </c>
      <c r="K35" s="5" t="e">
        <f t="shared" ca="1" si="0"/>
        <v>#NAME?</v>
      </c>
      <c r="L35" s="25"/>
    </row>
    <row r="36" spans="1:12" ht="12.5">
      <c r="A36" s="5" t="s">
        <v>79</v>
      </c>
      <c r="B36" s="5">
        <v>3600</v>
      </c>
      <c r="C36" s="5">
        <v>859.85</v>
      </c>
      <c r="D36" s="14">
        <f>B36*C5/C36</f>
        <v>625.96499389428391</v>
      </c>
      <c r="F36" s="34">
        <f ca="1">IFERROR(__xludf.DUMMYFUNCTION("""COMPUTED_VALUE"""),24716)</f>
        <v>24716</v>
      </c>
      <c r="G36" s="5" t="str">
        <f ca="1">IFERROR(__xludf.DUMMYFUNCTION("""COMPUTED_VALUE"""),"15750.0")</f>
        <v>15750.0</v>
      </c>
      <c r="H36" s="5" t="str">
        <f ca="1">IFERROR(__xludf.DUMMYFUNCTION("""COMPUTED_VALUE"""),"630.0")</f>
        <v>630.0</v>
      </c>
      <c r="I36" s="5" t="str">
        <f ca="1">IFERROR(__xludf.DUMMYFUNCTION("""COMPUTED_VALUE"""),"78.75")</f>
        <v>78.75</v>
      </c>
      <c r="J36" s="5">
        <f ca="1">IFERROR(__xludf.DUMMYFUNCTION("VALUE(REGEXREPLACE(G36,""\."","",""))"),15750)</f>
        <v>15750</v>
      </c>
      <c r="K36" s="5" t="e">
        <f t="shared" ca="1" si="0"/>
        <v>#NAME?</v>
      </c>
      <c r="L36" s="25"/>
    </row>
    <row r="37" spans="1:12" ht="12.5">
      <c r="A37" s="5" t="s">
        <v>71</v>
      </c>
      <c r="B37" s="5">
        <v>4400</v>
      </c>
      <c r="C37" s="5">
        <v>1075.68</v>
      </c>
      <c r="D37" s="14">
        <f>B37*C5/C37</f>
        <v>611.5610590510189</v>
      </c>
      <c r="F37" s="34">
        <f ca="1">IFERROR(__xludf.DUMMYFUNCTION("""COMPUTED_VALUE"""),24746)</f>
        <v>24746</v>
      </c>
      <c r="G37" s="5" t="str">
        <f ca="1">IFERROR(__xludf.DUMMYFUNCTION("""COMPUTED_VALUE"""),"15750.0")</f>
        <v>15750.0</v>
      </c>
      <c r="H37" s="5" t="str">
        <f ca="1">IFERROR(__xludf.DUMMYFUNCTION("""COMPUTED_VALUE"""),"630.0")</f>
        <v>630.0</v>
      </c>
      <c r="I37" s="5" t="str">
        <f ca="1">IFERROR(__xludf.DUMMYFUNCTION("""COMPUTED_VALUE"""),"78.75")</f>
        <v>78.75</v>
      </c>
      <c r="J37" s="5">
        <f ca="1">IFERROR(__xludf.DUMMYFUNCTION("VALUE(REGEXREPLACE(G37,""\."","",""))"),15750)</f>
        <v>15750</v>
      </c>
      <c r="K37" s="5" t="e">
        <f t="shared" ca="1" si="0"/>
        <v>#NAME?</v>
      </c>
      <c r="L37" s="25"/>
    </row>
    <row r="38" spans="1:12" ht="12.5">
      <c r="A38" s="16">
        <v>2015</v>
      </c>
      <c r="B38" s="16"/>
      <c r="C38" s="16"/>
      <c r="D38" s="17"/>
      <c r="F38" s="34">
        <f ca="1">IFERROR(__xludf.DUMMYFUNCTION("""COMPUTED_VALUE"""),24777)</f>
        <v>24777</v>
      </c>
      <c r="G38" s="5" t="str">
        <f ca="1">IFERROR(__xludf.DUMMYFUNCTION("""COMPUTED_VALUE"""),"15750.0")</f>
        <v>15750.0</v>
      </c>
      <c r="H38" s="5" t="str">
        <f ca="1">IFERROR(__xludf.DUMMYFUNCTION("""COMPUTED_VALUE"""),"630.0")</f>
        <v>630.0</v>
      </c>
      <c r="I38" s="5" t="str">
        <f ca="1">IFERROR(__xludf.DUMMYFUNCTION("""COMPUTED_VALUE"""),"78.75")</f>
        <v>78.75</v>
      </c>
      <c r="J38" s="5">
        <f ca="1">IFERROR(__xludf.DUMMYFUNCTION("VALUE(REGEXREPLACE(G38,""\."","",""))"),15750)</f>
        <v>15750</v>
      </c>
      <c r="K38" s="5" t="e">
        <f t="shared" ca="1" si="0"/>
        <v>#NAME?</v>
      </c>
      <c r="L38" s="25"/>
    </row>
    <row r="39" spans="1:12" ht="12.5">
      <c r="A39" s="5" t="s">
        <v>79</v>
      </c>
      <c r="B39" s="5">
        <v>4716</v>
      </c>
      <c r="C39" s="5">
        <v>1153.19</v>
      </c>
      <c r="D39" s="14">
        <f>B39*C5/C39</f>
        <v>611.42496899903733</v>
      </c>
      <c r="F39" s="34">
        <f ca="1">IFERROR(__xludf.DUMMYFUNCTION("""COMPUTED_VALUE"""),24807)</f>
        <v>24807</v>
      </c>
      <c r="G39" s="5" t="str">
        <f ca="1">IFERROR(__xludf.DUMMYFUNCTION("""COMPUTED_VALUE"""),"15750.0")</f>
        <v>15750.0</v>
      </c>
      <c r="H39" s="5" t="str">
        <f ca="1">IFERROR(__xludf.DUMMYFUNCTION("""COMPUTED_VALUE"""),"630.0")</f>
        <v>630.0</v>
      </c>
      <c r="I39" s="5" t="str">
        <f ca="1">IFERROR(__xludf.DUMMYFUNCTION("""COMPUTED_VALUE"""),"78.75")</f>
        <v>78.75</v>
      </c>
      <c r="J39" s="5">
        <f ca="1">IFERROR(__xludf.DUMMYFUNCTION("VALUE(REGEXREPLACE(G39,""\."","",""))"),15750)</f>
        <v>15750</v>
      </c>
      <c r="K39" s="5" t="e">
        <f t="shared" ca="1" si="0"/>
        <v>#NAME?</v>
      </c>
      <c r="L39" s="25"/>
    </row>
    <row r="40" spans="1:12" ht="12.5">
      <c r="A40" s="5" t="s">
        <v>75</v>
      </c>
      <c r="B40" s="5">
        <v>5588</v>
      </c>
      <c r="C40" s="5">
        <v>1310.42</v>
      </c>
      <c r="D40" s="14">
        <f>B40*C5/C40</f>
        <v>637.55275407884494</v>
      </c>
      <c r="F40" s="34">
        <f ca="1">IFERROR(__xludf.DUMMYFUNCTION("""COMPUTED_VALUE"""),24838)</f>
        <v>24838</v>
      </c>
      <c r="G40" s="5" t="str">
        <f ca="1">IFERROR(__xludf.DUMMYFUNCTION("""COMPUTED_VALUE"""),"15750.0")</f>
        <v>15750.0</v>
      </c>
      <c r="H40" s="5" t="str">
        <f ca="1">IFERROR(__xludf.DUMMYFUNCTION("""COMPUTED_VALUE"""),"630.0")</f>
        <v>630.0</v>
      </c>
      <c r="I40" s="5" t="str">
        <f ca="1">IFERROR(__xludf.DUMMYFUNCTION("""COMPUTED_VALUE"""),"78.75")</f>
        <v>78.75</v>
      </c>
      <c r="J40" s="5">
        <f ca="1">IFERROR(__xludf.DUMMYFUNCTION("VALUE(REGEXREPLACE(G40,""\."","",""))"),15750)</f>
        <v>15750</v>
      </c>
      <c r="K40" s="5" t="e">
        <f t="shared" ca="1" si="0"/>
        <v>#NAME?</v>
      </c>
      <c r="L40" s="25"/>
    </row>
    <row r="41" spans="1:12" ht="12.5">
      <c r="A41" s="16">
        <v>2016</v>
      </c>
      <c r="B41" s="16"/>
      <c r="C41" s="16"/>
      <c r="D41" s="17"/>
      <c r="F41" s="34">
        <f ca="1">IFERROR(__xludf.DUMMYFUNCTION("""COMPUTED_VALUE"""),24869)</f>
        <v>24869</v>
      </c>
      <c r="G41" s="5" t="str">
        <f ca="1">IFERROR(__xludf.DUMMYFUNCTION("""COMPUTED_VALUE"""),"15750.0")</f>
        <v>15750.0</v>
      </c>
      <c r="H41" s="5" t="str">
        <f ca="1">IFERROR(__xludf.DUMMYFUNCTION("""COMPUTED_VALUE"""),"630.0")</f>
        <v>630.0</v>
      </c>
      <c r="I41" s="5" t="str">
        <f ca="1">IFERROR(__xludf.DUMMYFUNCTION("""COMPUTED_VALUE"""),"78.75")</f>
        <v>78.75</v>
      </c>
      <c r="J41" s="5">
        <f ca="1">IFERROR(__xludf.DUMMYFUNCTION("VALUE(REGEXREPLACE(G41,""\."","",""))"),15750)</f>
        <v>15750</v>
      </c>
      <c r="K41" s="5" t="e">
        <f t="shared" ca="1" si="0"/>
        <v>#NAME?</v>
      </c>
      <c r="L41" s="25"/>
    </row>
    <row r="42" spans="1:12" ht="12.5">
      <c r="A42" s="5" t="s">
        <v>79</v>
      </c>
      <c r="B42" s="5">
        <v>6060</v>
      </c>
      <c r="C42" s="5">
        <v>1496.31</v>
      </c>
      <c r="D42" s="14">
        <f>B42*C5/C42</f>
        <v>605.50995448804053</v>
      </c>
      <c r="F42" s="34">
        <f ca="1">IFERROR(__xludf.DUMMYFUNCTION("""COMPUTED_VALUE"""),24898)</f>
        <v>24898</v>
      </c>
      <c r="G42" s="5" t="str">
        <f ca="1">IFERROR(__xludf.DUMMYFUNCTION("""COMPUTED_VALUE"""),"15750.0")</f>
        <v>15750.0</v>
      </c>
      <c r="H42" s="5" t="str">
        <f ca="1">IFERROR(__xludf.DUMMYFUNCTION("""COMPUTED_VALUE"""),"630.0")</f>
        <v>630.0</v>
      </c>
      <c r="I42" s="5" t="str">
        <f ca="1">IFERROR(__xludf.DUMMYFUNCTION("""COMPUTED_VALUE"""),"78.75")</f>
        <v>78.75</v>
      </c>
      <c r="J42" s="5">
        <f ca="1">IFERROR(__xludf.DUMMYFUNCTION("VALUE(REGEXREPLACE(G42,""\."","",""))"),15750)</f>
        <v>15750</v>
      </c>
      <c r="K42" s="5" t="e">
        <f t="shared" ca="1" si="0"/>
        <v>#NAME?</v>
      </c>
      <c r="L42" s="25"/>
    </row>
    <row r="43" spans="1:12" ht="12.5">
      <c r="A43" s="5" t="s">
        <v>55</v>
      </c>
      <c r="B43" s="5">
        <v>6810</v>
      </c>
      <c r="C43" s="5">
        <v>1832.12</v>
      </c>
      <c r="D43" s="14">
        <f>B43*C5/C43</f>
        <v>555.7294827849704</v>
      </c>
      <c r="F43" s="34">
        <f ca="1">IFERROR(__xludf.DUMMYFUNCTION("""COMPUTED_VALUE"""),24929)</f>
        <v>24929</v>
      </c>
      <c r="G43" s="5" t="str">
        <f ca="1">IFERROR(__xludf.DUMMYFUNCTION("""COMPUTED_VALUE"""),"15750.0")</f>
        <v>15750.0</v>
      </c>
      <c r="H43" s="5" t="str">
        <f ca="1">IFERROR(__xludf.DUMMYFUNCTION("""COMPUTED_VALUE"""),"630.0")</f>
        <v>630.0</v>
      </c>
      <c r="I43" s="5" t="str">
        <f ca="1">IFERROR(__xludf.DUMMYFUNCTION("""COMPUTED_VALUE"""),"78.75")</f>
        <v>78.75</v>
      </c>
      <c r="J43" s="5">
        <f ca="1">IFERROR(__xludf.DUMMYFUNCTION("VALUE(REGEXREPLACE(G43,""\."","",""))"),15750)</f>
        <v>15750</v>
      </c>
      <c r="K43" s="5" t="e">
        <f t="shared" ca="1" si="0"/>
        <v>#NAME?</v>
      </c>
      <c r="L43" s="25"/>
    </row>
    <row r="44" spans="1:12" ht="12.5">
      <c r="A44" s="5" t="s">
        <v>71</v>
      </c>
      <c r="B44" s="5">
        <v>7560</v>
      </c>
      <c r="C44" s="5">
        <v>1893.1</v>
      </c>
      <c r="D44" s="14">
        <f>B44*C5/C44</f>
        <v>597.06069409962493</v>
      </c>
      <c r="F44" s="34">
        <f ca="1">IFERROR(__xludf.DUMMYFUNCTION("""COMPUTED_VALUE"""),24959)</f>
        <v>24959</v>
      </c>
      <c r="G44" s="5" t="str">
        <f ca="1">IFERROR(__xludf.DUMMYFUNCTION("""COMPUTED_VALUE"""),"15750.0")</f>
        <v>15750.0</v>
      </c>
      <c r="H44" s="5" t="str">
        <f ca="1">IFERROR(__xludf.DUMMYFUNCTION("""COMPUTED_VALUE"""),"630.0")</f>
        <v>630.0</v>
      </c>
      <c r="I44" s="5" t="str">
        <f ca="1">IFERROR(__xludf.DUMMYFUNCTION("""COMPUTED_VALUE"""),"78.75")</f>
        <v>78.75</v>
      </c>
      <c r="J44" s="5">
        <f ca="1">IFERROR(__xludf.DUMMYFUNCTION("VALUE(REGEXREPLACE(G44,""\."","",""))"),15750)</f>
        <v>15750</v>
      </c>
      <c r="K44" s="5" t="e">
        <f t="shared" ca="1" si="0"/>
        <v>#NAME?</v>
      </c>
      <c r="L44" s="25"/>
    </row>
    <row r="45" spans="1:12" ht="12.5">
      <c r="A45" s="16">
        <v>2017</v>
      </c>
      <c r="B45" s="16"/>
      <c r="C45" s="16"/>
      <c r="D45" s="17"/>
      <c r="F45" s="34">
        <f ca="1">IFERROR(__xludf.DUMMYFUNCTION("""COMPUTED_VALUE"""),24990)</f>
        <v>24990</v>
      </c>
      <c r="G45" s="5" t="str">
        <f ca="1">IFERROR(__xludf.DUMMYFUNCTION("""COMPUTED_VALUE"""),"15750.0")</f>
        <v>15750.0</v>
      </c>
      <c r="H45" s="5" t="str">
        <f ca="1">IFERROR(__xludf.DUMMYFUNCTION("""COMPUTED_VALUE"""),"630.0")</f>
        <v>630.0</v>
      </c>
      <c r="I45" s="5" t="str">
        <f ca="1">IFERROR(__xludf.DUMMYFUNCTION("""COMPUTED_VALUE"""),"78.75")</f>
        <v>78.75</v>
      </c>
      <c r="J45" s="5">
        <f ca="1">IFERROR(__xludf.DUMMYFUNCTION("VALUE(REGEXREPLACE(G45,""\."","",""))"),15750)</f>
        <v>15750</v>
      </c>
      <c r="K45" s="5" t="e">
        <f t="shared" ca="1" si="0"/>
        <v>#NAME?</v>
      </c>
      <c r="L45" s="25"/>
    </row>
    <row r="46" spans="1:12" ht="12.5">
      <c r="A46" s="5" t="s">
        <v>79</v>
      </c>
      <c r="B46" s="5">
        <v>8060</v>
      </c>
      <c r="C46" s="5">
        <v>2025.07</v>
      </c>
      <c r="D46" s="14">
        <f>B46*C5/C46</f>
        <v>595.06614586162448</v>
      </c>
      <c r="F46" s="34">
        <f ca="1">IFERROR(__xludf.DUMMYFUNCTION("""COMPUTED_VALUE"""),25020)</f>
        <v>25020</v>
      </c>
      <c r="G46" s="5" t="str">
        <f ca="1">IFERROR(__xludf.DUMMYFUNCTION("""COMPUTED_VALUE"""),"15750.0")</f>
        <v>15750.0</v>
      </c>
      <c r="H46" s="5" t="str">
        <f ca="1">IFERROR(__xludf.DUMMYFUNCTION("""COMPUTED_VALUE"""),"630.0")</f>
        <v>630.0</v>
      </c>
      <c r="I46" s="5" t="str">
        <f ca="1">IFERROR(__xludf.DUMMYFUNCTION("""COMPUTED_VALUE"""),"78.75")</f>
        <v>78.75</v>
      </c>
      <c r="J46" s="5">
        <f ca="1">IFERROR(__xludf.DUMMYFUNCTION("VALUE(REGEXREPLACE(G46,""\."","",""))"),15750)</f>
        <v>15750</v>
      </c>
      <c r="K46" s="5" t="e">
        <f t="shared" ca="1" si="0"/>
        <v>#NAME?</v>
      </c>
      <c r="L46" s="25"/>
    </row>
    <row r="47" spans="1:12" ht="12.5">
      <c r="A47" s="5" t="s">
        <v>74</v>
      </c>
      <c r="B47" s="5">
        <v>8860</v>
      </c>
      <c r="C47" s="5">
        <v>2269.23</v>
      </c>
      <c r="D47" s="14">
        <f>B47*C5/C47</f>
        <v>583.74805550781537</v>
      </c>
      <c r="F47" s="34">
        <f ca="1">IFERROR(__xludf.DUMMYFUNCTION("""COMPUTED_VALUE"""),25051)</f>
        <v>25051</v>
      </c>
      <c r="G47" s="5" t="str">
        <f ca="1">IFERROR(__xludf.DUMMYFUNCTION("""COMPUTED_VALUE"""),"15750.0")</f>
        <v>15750.0</v>
      </c>
      <c r="H47" s="5" t="str">
        <f ca="1">IFERROR(__xludf.DUMMYFUNCTION("""COMPUTED_VALUE"""),"630.0")</f>
        <v>630.0</v>
      </c>
      <c r="I47" s="5" t="str">
        <f ca="1">IFERROR(__xludf.DUMMYFUNCTION("""COMPUTED_VALUE"""),"78.75")</f>
        <v>78.75</v>
      </c>
      <c r="J47" s="5">
        <f ca="1">IFERROR(__xludf.DUMMYFUNCTION("VALUE(REGEXREPLACE(G47,""\."","",""))"),15750)</f>
        <v>15750</v>
      </c>
      <c r="K47" s="5" t="e">
        <f t="shared" ca="1" si="0"/>
        <v>#NAME?</v>
      </c>
      <c r="L47" s="25"/>
    </row>
    <row r="48" spans="1:12" ht="12.5">
      <c r="A48" s="16">
        <v>2018</v>
      </c>
      <c r="B48" s="16"/>
      <c r="C48" s="16"/>
      <c r="D48" s="17"/>
      <c r="F48" s="34">
        <f ca="1">IFERROR(__xludf.DUMMYFUNCTION("""COMPUTED_VALUE"""),25082)</f>
        <v>25082</v>
      </c>
      <c r="G48" s="5" t="str">
        <f ca="1">IFERROR(__xludf.DUMMYFUNCTION("""COMPUTED_VALUE"""),"15750.0")</f>
        <v>15750.0</v>
      </c>
      <c r="H48" s="5" t="str">
        <f ca="1">IFERROR(__xludf.DUMMYFUNCTION("""COMPUTED_VALUE"""),"630.0")</f>
        <v>630.0</v>
      </c>
      <c r="I48" s="5" t="str">
        <f ca="1">IFERROR(__xludf.DUMMYFUNCTION("""COMPUTED_VALUE"""),"78.75")</f>
        <v>78.75</v>
      </c>
      <c r="J48" s="5">
        <f ca="1">IFERROR(__xludf.DUMMYFUNCTION("VALUE(REGEXREPLACE(G48,""\."","",""))"),15750)</f>
        <v>15750</v>
      </c>
      <c r="K48" s="5" t="e">
        <f t="shared" ca="1" si="0"/>
        <v>#NAME?</v>
      </c>
      <c r="L48" s="25"/>
    </row>
    <row r="49" spans="1:12" ht="12.5">
      <c r="A49" s="5" t="s">
        <v>79</v>
      </c>
      <c r="B49" s="5">
        <v>9500</v>
      </c>
      <c r="C49" s="5">
        <v>2532.8000000000002</v>
      </c>
      <c r="D49" s="14">
        <f>B49*C5/C49</f>
        <v>560.78055906506631</v>
      </c>
      <c r="F49" s="34">
        <f ca="1">IFERROR(__xludf.DUMMYFUNCTION("""COMPUTED_VALUE"""),25112)</f>
        <v>25112</v>
      </c>
      <c r="G49" s="5" t="str">
        <f ca="1">IFERROR(__xludf.DUMMYFUNCTION("""COMPUTED_VALUE"""),"15750.0")</f>
        <v>15750.0</v>
      </c>
      <c r="H49" s="5" t="str">
        <f ca="1">IFERROR(__xludf.DUMMYFUNCTION("""COMPUTED_VALUE"""),"630.0")</f>
        <v>630.0</v>
      </c>
      <c r="I49" s="5" t="str">
        <f ca="1">IFERROR(__xludf.DUMMYFUNCTION("""COMPUTED_VALUE"""),"78.75")</f>
        <v>78.75</v>
      </c>
      <c r="J49" s="5">
        <f ca="1">IFERROR(__xludf.DUMMYFUNCTION("VALUE(REGEXREPLACE(G49,""\."","",""))"),15750)</f>
        <v>15750</v>
      </c>
      <c r="K49" s="5" t="e">
        <f t="shared" ca="1" si="0"/>
        <v>#NAME?</v>
      </c>
      <c r="L49" s="25"/>
    </row>
    <row r="50" spans="1:12" ht="12.5">
      <c r="A50" s="5" t="s">
        <v>81</v>
      </c>
      <c r="B50" s="5">
        <v>10000</v>
      </c>
      <c r="C50" s="5">
        <v>2974.48</v>
      </c>
      <c r="D50" s="14">
        <f>B50*C5/C50</f>
        <v>502.64247868535006</v>
      </c>
      <c r="F50" s="34">
        <f ca="1">IFERROR(__xludf.DUMMYFUNCTION("""COMPUTED_VALUE"""),25143)</f>
        <v>25143</v>
      </c>
      <c r="G50" s="5" t="str">
        <f ca="1">IFERROR(__xludf.DUMMYFUNCTION("""COMPUTED_VALUE"""),"15750.0")</f>
        <v>15750.0</v>
      </c>
      <c r="H50" s="5" t="str">
        <f ca="1">IFERROR(__xludf.DUMMYFUNCTION("""COMPUTED_VALUE"""),"630.0")</f>
        <v>630.0</v>
      </c>
      <c r="I50" s="5" t="str">
        <f ca="1">IFERROR(__xludf.DUMMYFUNCTION("""COMPUTED_VALUE"""),"78.75")</f>
        <v>78.75</v>
      </c>
      <c r="J50" s="5">
        <f ca="1">IFERROR(__xludf.DUMMYFUNCTION("VALUE(REGEXREPLACE(G50,""\."","",""))"),15750)</f>
        <v>15750</v>
      </c>
      <c r="K50" s="5" t="e">
        <f t="shared" ca="1" si="0"/>
        <v>#NAME?</v>
      </c>
      <c r="L50" s="25"/>
    </row>
    <row r="51" spans="1:12" ht="12.5">
      <c r="A51" s="5" t="s">
        <v>71</v>
      </c>
      <c r="B51" s="5">
        <v>10700</v>
      </c>
      <c r="C51" s="5">
        <v>3291.36</v>
      </c>
      <c r="D51" s="14">
        <f>B51*C5/C51</f>
        <v>486.04740897379804</v>
      </c>
      <c r="F51" s="34">
        <f ca="1">IFERROR(__xludf.DUMMYFUNCTION("""COMPUTED_VALUE"""),25173)</f>
        <v>25173</v>
      </c>
      <c r="G51" s="5" t="str">
        <f ca="1">IFERROR(__xludf.DUMMYFUNCTION("""COMPUTED_VALUE"""),"15750.0")</f>
        <v>15750.0</v>
      </c>
      <c r="H51" s="5" t="str">
        <f ca="1">IFERROR(__xludf.DUMMYFUNCTION("""COMPUTED_VALUE"""),"630.0")</f>
        <v>630.0</v>
      </c>
      <c r="I51" s="5" t="str">
        <f ca="1">IFERROR(__xludf.DUMMYFUNCTION("""COMPUTED_VALUE"""),"78.75")</f>
        <v>78.75</v>
      </c>
      <c r="J51" s="5">
        <f ca="1">IFERROR(__xludf.DUMMYFUNCTION("VALUE(REGEXREPLACE(G51,""\."","",""))"),15750)</f>
        <v>15750</v>
      </c>
      <c r="K51" s="5" t="e">
        <f t="shared" ca="1" si="0"/>
        <v>#NAME?</v>
      </c>
      <c r="L51" s="25"/>
    </row>
    <row r="52" spans="1:12" ht="12.5">
      <c r="A52" s="5" t="s">
        <v>78</v>
      </c>
      <c r="B52" s="5">
        <v>11300</v>
      </c>
      <c r="C52" s="5">
        <v>3673.19</v>
      </c>
      <c r="D52" s="14">
        <f>B52*C5/C52</f>
        <v>459.94435354555577</v>
      </c>
      <c r="F52" s="34">
        <f ca="1">IFERROR(__xludf.DUMMYFUNCTION("""COMPUTED_VALUE"""),25204)</f>
        <v>25204</v>
      </c>
      <c r="G52" s="5" t="str">
        <f ca="1">IFERROR(__xludf.DUMMYFUNCTION("""COMPUTED_VALUE"""),"20000.0")</f>
        <v>20000.0</v>
      </c>
      <c r="H52" s="5" t="str">
        <f ca="1">IFERROR(__xludf.DUMMYFUNCTION("""COMPUTED_VALUE"""),"800.0")</f>
        <v>800.0</v>
      </c>
      <c r="I52" s="5" t="str">
        <f ca="1">IFERROR(__xludf.DUMMYFUNCTION("""COMPUTED_VALUE"""),"100.0")</f>
        <v>100.0</v>
      </c>
      <c r="J52" s="5">
        <f ca="1">IFERROR(__xludf.DUMMYFUNCTION("VALUE(REGEXREPLACE(G52,""\."","",""))"),20000)</f>
        <v>20000</v>
      </c>
      <c r="K52" s="5" t="e">
        <f t="shared" ca="1" si="0"/>
        <v>#NAME?</v>
      </c>
      <c r="L52" s="25"/>
    </row>
    <row r="53" spans="1:12" ht="12.5">
      <c r="A53" s="16">
        <v>2019</v>
      </c>
      <c r="B53" s="16"/>
      <c r="C53" s="16"/>
      <c r="D53" s="17"/>
      <c r="F53" s="34">
        <f ca="1">IFERROR(__xludf.DUMMYFUNCTION("""COMPUTED_VALUE"""),25235)</f>
        <v>25235</v>
      </c>
      <c r="G53" s="5" t="str">
        <f ca="1">IFERROR(__xludf.DUMMYFUNCTION("""COMPUTED_VALUE"""),"20000.0")</f>
        <v>20000.0</v>
      </c>
      <c r="H53" s="5" t="str">
        <f ca="1">IFERROR(__xludf.DUMMYFUNCTION("""COMPUTED_VALUE"""),"800.0")</f>
        <v>800.0</v>
      </c>
      <c r="I53" s="5" t="str">
        <f ca="1">IFERROR(__xludf.DUMMYFUNCTION("""COMPUTED_VALUE"""),"100.0")</f>
        <v>100.0</v>
      </c>
      <c r="J53" s="5">
        <f ca="1">IFERROR(__xludf.DUMMYFUNCTION("VALUE(REGEXREPLACE(G53,""\."","",""))"),20000)</f>
        <v>20000</v>
      </c>
      <c r="K53" s="5" t="e">
        <f t="shared" ca="1" si="0"/>
        <v>#NAME?</v>
      </c>
      <c r="L53" s="25"/>
    </row>
    <row r="54" spans="1:12" ht="12.5">
      <c r="A54" s="5" t="s">
        <v>82</v>
      </c>
      <c r="B54" s="5">
        <v>11900</v>
      </c>
      <c r="C54" s="5">
        <v>4105.82</v>
      </c>
      <c r="D54" s="14">
        <f>B54*C5/C54</f>
        <v>433.3285433847563</v>
      </c>
      <c r="F54" s="34">
        <f ca="1">IFERROR(__xludf.DUMMYFUNCTION("""COMPUTED_VALUE"""),25263)</f>
        <v>25263</v>
      </c>
      <c r="G54" s="5" t="str">
        <f ca="1">IFERROR(__xludf.DUMMYFUNCTION("""COMPUTED_VALUE"""),"20000.0")</f>
        <v>20000.0</v>
      </c>
      <c r="H54" s="5" t="str">
        <f ca="1">IFERROR(__xludf.DUMMYFUNCTION("""COMPUTED_VALUE"""),"800.0")</f>
        <v>800.0</v>
      </c>
      <c r="I54" s="5" t="str">
        <f ca="1">IFERROR(__xludf.DUMMYFUNCTION("""COMPUTED_VALUE"""),"100.0")</f>
        <v>100.0</v>
      </c>
      <c r="J54" s="5">
        <f ca="1">IFERROR(__xludf.DUMMYFUNCTION("VALUE(REGEXREPLACE(G54,""\."","",""))"),20000)</f>
        <v>20000</v>
      </c>
      <c r="K54" s="5" t="e">
        <f t="shared" ca="1" si="0"/>
        <v>#NAME?</v>
      </c>
      <c r="L54" s="25"/>
    </row>
    <row r="55" spans="1:12" ht="12.5">
      <c r="A55" s="5" t="s">
        <v>55</v>
      </c>
      <c r="B55" s="5">
        <v>12500</v>
      </c>
      <c r="C55" s="5">
        <v>4496.1499999999996</v>
      </c>
      <c r="D55" s="14">
        <f>B55*C5/C55</f>
        <v>415.66117678458238</v>
      </c>
      <c r="F55" s="34">
        <f ca="1">IFERROR(__xludf.DUMMYFUNCTION("""COMPUTED_VALUE"""),25294)</f>
        <v>25294</v>
      </c>
      <c r="G55" s="5" t="str">
        <f ca="1">IFERROR(__xludf.DUMMYFUNCTION("""COMPUTED_VALUE"""),"20000.0")</f>
        <v>20000.0</v>
      </c>
      <c r="H55" s="5" t="str">
        <f ca="1">IFERROR(__xludf.DUMMYFUNCTION("""COMPUTED_VALUE"""),"800.0")</f>
        <v>800.0</v>
      </c>
      <c r="I55" s="5" t="str">
        <f ca="1">IFERROR(__xludf.DUMMYFUNCTION("""COMPUTED_VALUE"""),"100.0")</f>
        <v>100.0</v>
      </c>
      <c r="J55" s="5">
        <f ca="1">IFERROR(__xludf.DUMMYFUNCTION("VALUE(REGEXREPLACE(G55,""\."","",""))"),20000)</f>
        <v>20000</v>
      </c>
      <c r="K55" s="5" t="e">
        <f t="shared" ca="1" si="0"/>
        <v>#NAME?</v>
      </c>
      <c r="L55" s="25"/>
    </row>
    <row r="56" spans="1:12" ht="12.5">
      <c r="A56" s="5" t="s">
        <v>75</v>
      </c>
      <c r="B56" s="5">
        <v>14125</v>
      </c>
      <c r="C56" s="5">
        <v>4776.66</v>
      </c>
      <c r="D56" s="14">
        <f>B56*C5/C56</f>
        <v>442.11410274124597</v>
      </c>
      <c r="F56" s="34">
        <f ca="1">IFERROR(__xludf.DUMMYFUNCTION("""COMPUTED_VALUE"""),25324)</f>
        <v>25324</v>
      </c>
      <c r="G56" s="5" t="str">
        <f ca="1">IFERROR(__xludf.DUMMYFUNCTION("""COMPUTED_VALUE"""),"20000.0")</f>
        <v>20000.0</v>
      </c>
      <c r="H56" s="5" t="str">
        <f ca="1">IFERROR(__xludf.DUMMYFUNCTION("""COMPUTED_VALUE"""),"800.0")</f>
        <v>800.0</v>
      </c>
      <c r="I56" s="5" t="str">
        <f ca="1">IFERROR(__xludf.DUMMYFUNCTION("""COMPUTED_VALUE"""),"100.0")</f>
        <v>100.0</v>
      </c>
      <c r="J56" s="5">
        <f ca="1">IFERROR(__xludf.DUMMYFUNCTION("VALUE(REGEXREPLACE(G56,""\."","",""))"),20000)</f>
        <v>20000</v>
      </c>
      <c r="K56" s="5" t="e">
        <f t="shared" ca="1" si="0"/>
        <v>#NAME?</v>
      </c>
      <c r="L56" s="25"/>
    </row>
    <row r="57" spans="1:12" ht="12.5">
      <c r="A57" s="5" t="s">
        <v>71</v>
      </c>
      <c r="B57" s="5">
        <v>15625</v>
      </c>
      <c r="C57" s="5">
        <v>5057.8</v>
      </c>
      <c r="D57" s="14">
        <f>B57*C5/C57</f>
        <v>461.87942386017636</v>
      </c>
      <c r="F57" s="34">
        <f ca="1">IFERROR(__xludf.DUMMYFUNCTION("""COMPUTED_VALUE"""),25355)</f>
        <v>25355</v>
      </c>
      <c r="G57" s="5" t="str">
        <f ca="1">IFERROR(__xludf.DUMMYFUNCTION("""COMPUTED_VALUE"""),"20000.0")</f>
        <v>20000.0</v>
      </c>
      <c r="H57" s="5" t="str">
        <f ca="1">IFERROR(__xludf.DUMMYFUNCTION("""COMPUTED_VALUE"""),"800.0")</f>
        <v>800.0</v>
      </c>
      <c r="I57" s="5" t="str">
        <f ca="1">IFERROR(__xludf.DUMMYFUNCTION("""COMPUTED_VALUE"""),"100.0")</f>
        <v>100.0</v>
      </c>
      <c r="J57" s="5">
        <f ca="1">IFERROR(__xludf.DUMMYFUNCTION("VALUE(REGEXREPLACE(G57,""\."","",""))"),20000)</f>
        <v>20000</v>
      </c>
      <c r="K57" s="5" t="e">
        <f t="shared" ca="1" si="0"/>
        <v>#NAME?</v>
      </c>
      <c r="L57" s="25"/>
    </row>
    <row r="58" spans="1:12" ht="12.5">
      <c r="A58" s="5" t="s">
        <v>77</v>
      </c>
      <c r="B58" s="5">
        <v>16875</v>
      </c>
      <c r="C58" s="5">
        <v>5224.38</v>
      </c>
      <c r="D58" s="14">
        <f>B58*C5/C58</f>
        <v>482.92452884361398</v>
      </c>
      <c r="F58" s="34">
        <f ca="1">IFERROR(__xludf.DUMMYFUNCTION("""COMPUTED_VALUE"""),25385)</f>
        <v>25385</v>
      </c>
      <c r="G58" s="5" t="str">
        <f ca="1">IFERROR(__xludf.DUMMYFUNCTION("""COMPUTED_VALUE"""),"20000.0")</f>
        <v>20000.0</v>
      </c>
      <c r="H58" s="5" t="str">
        <f ca="1">IFERROR(__xludf.DUMMYFUNCTION("""COMPUTED_VALUE"""),"800.0")</f>
        <v>800.0</v>
      </c>
      <c r="I58" s="5" t="str">
        <f ca="1">IFERROR(__xludf.DUMMYFUNCTION("""COMPUTED_VALUE"""),"100.0")</f>
        <v>100.0</v>
      </c>
      <c r="J58" s="5">
        <f ca="1">IFERROR(__xludf.DUMMYFUNCTION("VALUE(REGEXREPLACE(G58,""\."","",""))"),20000)</f>
        <v>20000</v>
      </c>
      <c r="K58" s="5" t="e">
        <f t="shared" ca="1" si="0"/>
        <v>#NAME?</v>
      </c>
      <c r="L58" s="25"/>
    </row>
    <row r="59" spans="1:12" ht="12.5">
      <c r="A59" s="16">
        <v>2020</v>
      </c>
      <c r="B59" s="16"/>
      <c r="C59" s="16"/>
      <c r="D59" s="17"/>
      <c r="F59" s="34">
        <f ca="1">IFERROR(__xludf.DUMMYFUNCTION("""COMPUTED_VALUE"""),25416)</f>
        <v>25416</v>
      </c>
      <c r="G59" s="5" t="str">
        <f ca="1">IFERROR(__xludf.DUMMYFUNCTION("""COMPUTED_VALUE"""),"20000.0")</f>
        <v>20000.0</v>
      </c>
      <c r="H59" s="5" t="str">
        <f ca="1">IFERROR(__xludf.DUMMYFUNCTION("""COMPUTED_VALUE"""),"800.0")</f>
        <v>800.0</v>
      </c>
      <c r="I59" s="5" t="str">
        <f ca="1">IFERROR(__xludf.DUMMYFUNCTION("""COMPUTED_VALUE"""),"100.0")</f>
        <v>100.0</v>
      </c>
      <c r="J59" s="5">
        <f ca="1">IFERROR(__xludf.DUMMYFUNCTION("VALUE(REGEXREPLACE(G59,""\."","",""))"),20000)</f>
        <v>20000</v>
      </c>
      <c r="K59" s="5" t="e">
        <f t="shared" ca="1" si="0"/>
        <v>#NAME?</v>
      </c>
      <c r="L59" s="25"/>
    </row>
    <row r="60" spans="1:12" ht="12.5">
      <c r="A60" s="5" t="s">
        <v>77</v>
      </c>
      <c r="B60" s="5">
        <v>18900</v>
      </c>
      <c r="C60" s="5">
        <v>7169.87</v>
      </c>
      <c r="D60" s="14">
        <f>B60*C5/C60</f>
        <v>394.1130034435771</v>
      </c>
      <c r="F60" s="34">
        <f ca="1">IFERROR(__xludf.DUMMYFUNCTION("""COMPUTED_VALUE"""),25447)</f>
        <v>25447</v>
      </c>
      <c r="G60" s="5" t="str">
        <f ca="1">IFERROR(__xludf.DUMMYFUNCTION("""COMPUTED_VALUE"""),"20000.0")</f>
        <v>20000.0</v>
      </c>
      <c r="H60" s="5" t="str">
        <f ca="1">IFERROR(__xludf.DUMMYFUNCTION("""COMPUTED_VALUE"""),"800.0")</f>
        <v>800.0</v>
      </c>
      <c r="I60" s="5" t="str">
        <f ca="1">IFERROR(__xludf.DUMMYFUNCTION("""COMPUTED_VALUE"""),"100.0")</f>
        <v>100.0</v>
      </c>
      <c r="J60" s="5">
        <f ca="1">IFERROR(__xludf.DUMMYFUNCTION("VALUE(REGEXREPLACE(G60,""\."","",""))"),20000)</f>
        <v>20000</v>
      </c>
      <c r="K60" s="5" t="e">
        <f t="shared" ca="1" si="0"/>
        <v>#NAME?</v>
      </c>
      <c r="L60" s="25"/>
    </row>
    <row r="61" spans="1:12" ht="12.5">
      <c r="A61" s="5" t="s">
        <v>78</v>
      </c>
      <c r="B61" s="5">
        <v>20588</v>
      </c>
      <c r="C61" s="5">
        <v>7692.69</v>
      </c>
      <c r="D61" s="14">
        <f>B61*C5/C61</f>
        <v>400.13465770751196</v>
      </c>
      <c r="F61" s="34">
        <f ca="1">IFERROR(__xludf.DUMMYFUNCTION("""COMPUTED_VALUE"""),25477)</f>
        <v>25477</v>
      </c>
      <c r="G61" s="5" t="str">
        <f ca="1">IFERROR(__xludf.DUMMYFUNCTION("""COMPUTED_VALUE"""),"20000.0")</f>
        <v>20000.0</v>
      </c>
      <c r="H61" s="5" t="str">
        <f ca="1">IFERROR(__xludf.DUMMYFUNCTION("""COMPUTED_VALUE"""),"800.0")</f>
        <v>800.0</v>
      </c>
      <c r="I61" s="5" t="str">
        <f ca="1">IFERROR(__xludf.DUMMYFUNCTION("""COMPUTED_VALUE"""),"100.0")</f>
        <v>100.0</v>
      </c>
      <c r="J61" s="5">
        <f ca="1">IFERROR(__xludf.DUMMYFUNCTION("VALUE(REGEXREPLACE(G61,""\."","",""))"),20000)</f>
        <v>20000</v>
      </c>
      <c r="K61" s="5" t="e">
        <f t="shared" ca="1" si="0"/>
        <v>#NAME?</v>
      </c>
      <c r="L61" s="25"/>
    </row>
    <row r="62" spans="1:12" ht="12.5">
      <c r="A62" s="16">
        <v>2021</v>
      </c>
      <c r="B62" s="16"/>
      <c r="C62" s="16"/>
      <c r="D62" s="17"/>
      <c r="F62" s="34">
        <f ca="1">IFERROR(__xludf.DUMMYFUNCTION("""COMPUTED_VALUE"""),25508)</f>
        <v>25508</v>
      </c>
      <c r="G62" s="5" t="str">
        <f ca="1">IFERROR(__xludf.DUMMYFUNCTION("""COMPUTED_VALUE"""),"20000.0")</f>
        <v>20000.0</v>
      </c>
      <c r="H62" s="5" t="str">
        <f ca="1">IFERROR(__xludf.DUMMYFUNCTION("""COMPUTED_VALUE"""),"800.0")</f>
        <v>800.0</v>
      </c>
      <c r="I62" s="5" t="str">
        <f ca="1">IFERROR(__xludf.DUMMYFUNCTION("""COMPUTED_VALUE"""),"100.0")</f>
        <v>100.0</v>
      </c>
      <c r="J62" s="5">
        <f ca="1">IFERROR(__xludf.DUMMYFUNCTION("VALUE(REGEXREPLACE(G62,""\."","",""))"),20000)</f>
        <v>20000</v>
      </c>
      <c r="K62" s="5" t="e">
        <f t="shared" ca="1" si="0"/>
        <v>#NAME?</v>
      </c>
      <c r="L62" s="25"/>
    </row>
    <row r="63" spans="1:12" ht="12.5">
      <c r="A63" s="5" t="s">
        <v>82</v>
      </c>
      <c r="B63" s="5">
        <v>21600</v>
      </c>
      <c r="C63" s="5">
        <v>8690.35</v>
      </c>
      <c r="D63" s="14">
        <f>B63*C5/C63</f>
        <v>371.60942884924083</v>
      </c>
      <c r="F63" s="34">
        <f ca="1">IFERROR(__xludf.DUMMYFUNCTION("""COMPUTED_VALUE"""),25538)</f>
        <v>25538</v>
      </c>
      <c r="G63" s="5" t="str">
        <f ca="1">IFERROR(__xludf.DUMMYFUNCTION("""COMPUTED_VALUE"""),"20000.0")</f>
        <v>20000.0</v>
      </c>
      <c r="H63" s="5" t="str">
        <f ca="1">IFERROR(__xludf.DUMMYFUNCTION("""COMPUTED_VALUE"""),"800.0")</f>
        <v>800.0</v>
      </c>
      <c r="I63" s="5" t="str">
        <f ca="1">IFERROR(__xludf.DUMMYFUNCTION("""COMPUTED_VALUE"""),"100.0")</f>
        <v>100.0</v>
      </c>
      <c r="J63" s="5">
        <f ca="1">IFERROR(__xludf.DUMMYFUNCTION("VALUE(REGEXREPLACE(G63,""\."","",""))"),20000)</f>
        <v>20000</v>
      </c>
      <c r="K63" s="5" t="e">
        <f t="shared" ca="1" si="0"/>
        <v>#NAME?</v>
      </c>
      <c r="L63" s="25"/>
    </row>
    <row r="64" spans="1:12" ht="12.5">
      <c r="A64" s="5" t="s">
        <v>83</v>
      </c>
      <c r="B64" s="5">
        <v>23554</v>
      </c>
      <c r="C64" s="5">
        <v>9046.65</v>
      </c>
      <c r="D64" s="14">
        <f>B64*C5/C64</f>
        <v>389.26658376305039</v>
      </c>
      <c r="F64" s="34">
        <f ca="1">IFERROR(__xludf.DUMMYFUNCTION("""COMPUTED_VALUE"""),25569)</f>
        <v>25569</v>
      </c>
      <c r="G64" s="5" t="str">
        <f ca="1">IFERROR(__xludf.DUMMYFUNCTION("""COMPUTED_VALUE"""),"220.0")</f>
        <v>220.0</v>
      </c>
      <c r="H64" s="5">
        <f ca="1">IFERROR(__xludf.DUMMYFUNCTION("""COMPUTED_VALUE"""),45512)</f>
        <v>45512</v>
      </c>
      <c r="I64" s="5">
        <f ca="1">IFERROR(__xludf.DUMMYFUNCTION("""COMPUTED_VALUE"""),45292)</f>
        <v>45292</v>
      </c>
      <c r="J64" s="5">
        <f ca="1">IFERROR(__xludf.DUMMYFUNCTION("VALUE(REGEXREPLACE(G64,""\."","",""))"),220)</f>
        <v>220</v>
      </c>
      <c r="K64" s="5" t="e">
        <f t="shared" ca="1" si="0"/>
        <v>#NAME?</v>
      </c>
      <c r="L64" s="25"/>
    </row>
    <row r="65" spans="1:12" ht="12.5">
      <c r="A65" s="5" t="s">
        <v>64</v>
      </c>
      <c r="B65" s="5">
        <v>24408</v>
      </c>
      <c r="C65" s="5">
        <v>9345.19</v>
      </c>
      <c r="D65" s="14">
        <f>B65*C5/C65</f>
        <v>390.49394180321633</v>
      </c>
      <c r="F65" s="34">
        <f ca="1">IFERROR(__xludf.DUMMYFUNCTION("""COMPUTED_VALUE"""),25600)</f>
        <v>25600</v>
      </c>
      <c r="G65" s="5" t="str">
        <f ca="1">IFERROR(__xludf.DUMMYFUNCTION("""COMPUTED_VALUE"""),"220.0")</f>
        <v>220.0</v>
      </c>
      <c r="H65" s="5">
        <f ca="1">IFERROR(__xludf.DUMMYFUNCTION("""COMPUTED_VALUE"""),45512)</f>
        <v>45512</v>
      </c>
      <c r="I65" s="5">
        <f ca="1">IFERROR(__xludf.DUMMYFUNCTION("""COMPUTED_VALUE"""),45292)</f>
        <v>45292</v>
      </c>
      <c r="J65" s="5">
        <f ca="1">IFERROR(__xludf.DUMMYFUNCTION("VALUE(REGEXREPLACE(G65,""\."","",""))"),220)</f>
        <v>220</v>
      </c>
      <c r="K65" s="5" t="e">
        <f t="shared" ca="1" si="0"/>
        <v>#NAME?</v>
      </c>
      <c r="L65" s="25"/>
    </row>
    <row r="66" spans="1:12" ht="12.5">
      <c r="A66" s="5" t="s">
        <v>55</v>
      </c>
      <c r="B66" s="5">
        <v>25572</v>
      </c>
      <c r="C66" s="5">
        <v>9644.24</v>
      </c>
      <c r="D66" s="14">
        <f>B66*C5/C66</f>
        <v>396.43037916932798</v>
      </c>
      <c r="F66" s="34">
        <f ca="1">IFERROR(__xludf.DUMMYFUNCTION("""COMPUTED_VALUE"""),25628)</f>
        <v>25628</v>
      </c>
      <c r="G66" s="5" t="str">
        <f ca="1">IFERROR(__xludf.DUMMYFUNCTION("""COMPUTED_VALUE"""),"220.0")</f>
        <v>220.0</v>
      </c>
      <c r="H66" s="5">
        <f ca="1">IFERROR(__xludf.DUMMYFUNCTION("""COMPUTED_VALUE"""),45512)</f>
        <v>45512</v>
      </c>
      <c r="I66" s="5">
        <f ca="1">IFERROR(__xludf.DUMMYFUNCTION("""COMPUTED_VALUE"""),45292)</f>
        <v>45292</v>
      </c>
      <c r="J66" s="5">
        <f ca="1">IFERROR(__xludf.DUMMYFUNCTION("VALUE(REGEXREPLACE(G66,""\."","",""))"),220)</f>
        <v>220</v>
      </c>
      <c r="K66" s="5" t="e">
        <f t="shared" ca="1" si="0"/>
        <v>#NAME?</v>
      </c>
      <c r="L66" s="25"/>
    </row>
    <row r="67" spans="1:12" ht="12.5">
      <c r="A67" s="5" t="s">
        <v>74</v>
      </c>
      <c r="B67" s="5">
        <v>27216</v>
      </c>
      <c r="C67" s="5">
        <v>9933.57</v>
      </c>
      <c r="D67" s="14">
        <f>B67*C5/C67</f>
        <v>409.62757196053383</v>
      </c>
      <c r="F67" s="34">
        <f ca="1">IFERROR(__xludf.DUMMYFUNCTION("""COMPUTED_VALUE"""),25659)</f>
        <v>25659</v>
      </c>
      <c r="G67" s="5" t="str">
        <f ca="1">IFERROR(__xludf.DUMMYFUNCTION("""COMPUTED_VALUE"""),"220.0")</f>
        <v>220.0</v>
      </c>
      <c r="H67" s="5">
        <f ca="1">IFERROR(__xludf.DUMMYFUNCTION("""COMPUTED_VALUE"""),45512)</f>
        <v>45512</v>
      </c>
      <c r="I67" s="5">
        <f ca="1">IFERROR(__xludf.DUMMYFUNCTION("""COMPUTED_VALUE"""),45292)</f>
        <v>45292</v>
      </c>
      <c r="J67" s="5">
        <f ca="1">IFERROR(__xludf.DUMMYFUNCTION("VALUE(REGEXREPLACE(G67,""\."","",""))"),220)</f>
        <v>220</v>
      </c>
      <c r="K67" s="5" t="e">
        <f t="shared" ca="1" si="0"/>
        <v>#NAME?</v>
      </c>
      <c r="L67" s="25"/>
    </row>
    <row r="68" spans="1:12" ht="12.5">
      <c r="A68" s="5" t="s">
        <v>75</v>
      </c>
      <c r="B68" s="5">
        <v>28080</v>
      </c>
      <c r="C68" s="5">
        <v>10181.91</v>
      </c>
      <c r="D68" s="14">
        <f>B68*C5/C68</f>
        <v>412.32350315412333</v>
      </c>
      <c r="F68" s="34">
        <f ca="1">IFERROR(__xludf.DUMMYFUNCTION("""COMPUTED_VALUE"""),25689)</f>
        <v>25689</v>
      </c>
      <c r="G68" s="5" t="str">
        <f ca="1">IFERROR(__xludf.DUMMYFUNCTION("""COMPUTED_VALUE"""),"220.0")</f>
        <v>220.0</v>
      </c>
      <c r="H68" s="5">
        <f ca="1">IFERROR(__xludf.DUMMYFUNCTION("""COMPUTED_VALUE"""),45512)</f>
        <v>45512</v>
      </c>
      <c r="I68" s="5">
        <f ca="1">IFERROR(__xludf.DUMMYFUNCTION("""COMPUTED_VALUE"""),45292)</f>
        <v>45292</v>
      </c>
      <c r="J68" s="5">
        <f ca="1">IFERROR(__xludf.DUMMYFUNCTION("VALUE(REGEXREPLACE(G68,""\."","",""))"),220)</f>
        <v>220</v>
      </c>
      <c r="K68" s="5" t="e">
        <f t="shared" ca="1" si="0"/>
        <v>#NAME?</v>
      </c>
      <c r="L68" s="25"/>
    </row>
    <row r="69" spans="1:12" ht="12.5">
      <c r="A69" s="5" t="s">
        <v>71</v>
      </c>
      <c r="B69" s="5">
        <v>31104</v>
      </c>
      <c r="C69" s="5">
        <v>10538.27</v>
      </c>
      <c r="D69" s="14">
        <f>B69*C5/C69</f>
        <v>441.28296579988933</v>
      </c>
      <c r="F69" s="34">
        <f ca="1">IFERROR(__xludf.DUMMYFUNCTION("""COMPUTED_VALUE"""),25720)</f>
        <v>25720</v>
      </c>
      <c r="G69" s="5" t="str">
        <f ca="1">IFERROR(__xludf.DUMMYFUNCTION("""COMPUTED_VALUE"""),"220.0")</f>
        <v>220.0</v>
      </c>
      <c r="H69" s="5">
        <f ca="1">IFERROR(__xludf.DUMMYFUNCTION("""COMPUTED_VALUE"""),45512)</f>
        <v>45512</v>
      </c>
      <c r="I69" s="5">
        <f ca="1">IFERROR(__xludf.DUMMYFUNCTION("""COMPUTED_VALUE"""),45292)</f>
        <v>45292</v>
      </c>
      <c r="J69" s="5">
        <f ca="1">IFERROR(__xludf.DUMMYFUNCTION("VALUE(REGEXREPLACE(G69,""\."","",""))"),220)</f>
        <v>220</v>
      </c>
      <c r="K69" s="5" t="e">
        <f t="shared" ca="1" si="0"/>
        <v>#NAME?</v>
      </c>
      <c r="L69" s="25"/>
    </row>
    <row r="70" spans="1:12" ht="12.5">
      <c r="A70" s="5" t="s">
        <v>77</v>
      </c>
      <c r="B70" s="5">
        <v>32000</v>
      </c>
      <c r="C70" s="5">
        <v>10907.11</v>
      </c>
      <c r="D70" s="14">
        <f>B70*C5/C70</f>
        <v>438.64231680069236</v>
      </c>
      <c r="F70" s="34">
        <f ca="1">IFERROR(__xludf.DUMMYFUNCTION("""COMPUTED_VALUE"""),25750)</f>
        <v>25750</v>
      </c>
      <c r="G70" s="5" t="str">
        <f ca="1">IFERROR(__xludf.DUMMYFUNCTION("""COMPUTED_VALUE"""),"220.0")</f>
        <v>220.0</v>
      </c>
      <c r="H70" s="5">
        <f ca="1">IFERROR(__xludf.DUMMYFUNCTION("""COMPUTED_VALUE"""),45512)</f>
        <v>45512</v>
      </c>
      <c r="I70" s="5">
        <f ca="1">IFERROR(__xludf.DUMMYFUNCTION("""COMPUTED_VALUE"""),45292)</f>
        <v>45292</v>
      </c>
      <c r="J70" s="5">
        <f ca="1">IFERROR(__xludf.DUMMYFUNCTION("VALUE(REGEXREPLACE(G70,""\."","",""))"),220)</f>
        <v>220</v>
      </c>
      <c r="K70" s="5" t="e">
        <f t="shared" ca="1" si="0"/>
        <v>#NAME?</v>
      </c>
      <c r="L70" s="25"/>
    </row>
    <row r="71" spans="1:12" ht="12.5">
      <c r="A71" s="16">
        <v>2022</v>
      </c>
      <c r="B71" s="16"/>
      <c r="C71" s="16"/>
      <c r="D71" s="17"/>
      <c r="F71" s="34">
        <f ca="1">IFERROR(__xludf.DUMMYFUNCTION("""COMPUTED_VALUE"""),25781)</f>
        <v>25781</v>
      </c>
      <c r="G71" s="5" t="str">
        <f ca="1">IFERROR(__xludf.DUMMYFUNCTION("""COMPUTED_VALUE"""),"220.0")</f>
        <v>220.0</v>
      </c>
      <c r="H71" s="5">
        <f ca="1">IFERROR(__xludf.DUMMYFUNCTION("""COMPUTED_VALUE"""),45512)</f>
        <v>45512</v>
      </c>
      <c r="I71" s="5">
        <f ca="1">IFERROR(__xludf.DUMMYFUNCTION("""COMPUTED_VALUE"""),45292)</f>
        <v>45292</v>
      </c>
      <c r="J71" s="5">
        <f ca="1">IFERROR(__xludf.DUMMYFUNCTION("VALUE(REGEXREPLACE(G71,""\."","",""))"),220)</f>
        <v>220</v>
      </c>
      <c r="K71" s="5" t="e">
        <f t="shared" ca="1" si="0"/>
        <v>#NAME?</v>
      </c>
      <c r="L71" s="25"/>
    </row>
    <row r="72" spans="1:12" ht="12.5">
      <c r="A72" s="5" t="s">
        <v>80</v>
      </c>
      <c r="B72" s="5">
        <v>32616</v>
      </c>
      <c r="C72" s="5">
        <v>12623.89</v>
      </c>
      <c r="D72" s="14">
        <f>B72*C5/C72</f>
        <v>386.28490584122648</v>
      </c>
      <c r="F72" s="34">
        <f ca="1">IFERROR(__xludf.DUMMYFUNCTION("""COMPUTED_VALUE"""),25812)</f>
        <v>25812</v>
      </c>
      <c r="G72" s="5" t="str">
        <f ca="1">IFERROR(__xludf.DUMMYFUNCTION("""COMPUTED_VALUE"""),"220.0")</f>
        <v>220.0</v>
      </c>
      <c r="H72" s="5">
        <f ca="1">IFERROR(__xludf.DUMMYFUNCTION("""COMPUTED_VALUE"""),45512)</f>
        <v>45512</v>
      </c>
      <c r="I72" s="5">
        <f ca="1">IFERROR(__xludf.DUMMYFUNCTION("""COMPUTED_VALUE"""),45292)</f>
        <v>45292</v>
      </c>
      <c r="J72" s="5">
        <f ca="1">IFERROR(__xludf.DUMMYFUNCTION("VALUE(REGEXREPLACE(G72,""\."","",""))"),220)</f>
        <v>220</v>
      </c>
      <c r="K72" s="5" t="e">
        <f t="shared" ca="1" si="0"/>
        <v>#NAME?</v>
      </c>
      <c r="L72" s="25"/>
    </row>
    <row r="73" spans="1:12" ht="12.5">
      <c r="A73" s="5" t="s">
        <v>83</v>
      </c>
      <c r="B73" s="5">
        <v>38940</v>
      </c>
      <c r="C73" s="5">
        <v>14277.87</v>
      </c>
      <c r="D73" s="14">
        <f>B73*C5/C73</f>
        <v>407.75825805950041</v>
      </c>
      <c r="F73" s="34">
        <f ca="1">IFERROR(__xludf.DUMMYFUNCTION("""COMPUTED_VALUE"""),25842)</f>
        <v>25842</v>
      </c>
      <c r="G73" s="5" t="str">
        <f ca="1">IFERROR(__xludf.DUMMYFUNCTION("""COMPUTED_VALUE"""),"220.0")</f>
        <v>220.0</v>
      </c>
      <c r="H73" s="5">
        <f ca="1">IFERROR(__xludf.DUMMYFUNCTION("""COMPUTED_VALUE"""),45512)</f>
        <v>45512</v>
      </c>
      <c r="I73" s="5">
        <f ca="1">IFERROR(__xludf.DUMMYFUNCTION("""COMPUTED_VALUE"""),45292)</f>
        <v>45292</v>
      </c>
      <c r="J73" s="5">
        <f ca="1">IFERROR(__xludf.DUMMYFUNCTION("VALUE(REGEXREPLACE(G73,""\."","",""))"),220)</f>
        <v>220</v>
      </c>
      <c r="K73" s="5" t="e">
        <f t="shared" ca="1" si="0"/>
        <v>#NAME?</v>
      </c>
      <c r="L73" s="25"/>
    </row>
    <row r="74" spans="1:12" ht="12.5">
      <c r="A74" s="5" t="s">
        <v>55</v>
      </c>
      <c r="B74" s="5">
        <v>45540</v>
      </c>
      <c r="C74" s="5">
        <v>15801.37</v>
      </c>
      <c r="D74" s="14">
        <f t="shared" ref="D74:D76" si="2">B74*C$5/C74</f>
        <v>430.89209353366192</v>
      </c>
      <c r="F74" s="34">
        <f ca="1">IFERROR(__xludf.DUMMYFUNCTION("""COMPUTED_VALUE"""),25873)</f>
        <v>25873</v>
      </c>
      <c r="G74" s="5" t="str">
        <f ca="1">IFERROR(__xludf.DUMMYFUNCTION("""COMPUTED_VALUE"""),"220.0")</f>
        <v>220.0</v>
      </c>
      <c r="H74" s="5">
        <f ca="1">IFERROR(__xludf.DUMMYFUNCTION("""COMPUTED_VALUE"""),45512)</f>
        <v>45512</v>
      </c>
      <c r="I74" s="5">
        <f ca="1">IFERROR(__xludf.DUMMYFUNCTION("""COMPUTED_VALUE"""),45292)</f>
        <v>45292</v>
      </c>
      <c r="J74" s="5">
        <f ca="1">IFERROR(__xludf.DUMMYFUNCTION("VALUE(REGEXREPLACE(G74,""\."","",""))"),220)</f>
        <v>220</v>
      </c>
      <c r="K74" s="5" t="e">
        <f t="shared" ca="1" si="0"/>
        <v>#NAME?</v>
      </c>
      <c r="L74" s="25"/>
    </row>
    <row r="75" spans="1:12" ht="12.5">
      <c r="A75" s="5" t="s">
        <v>75</v>
      </c>
      <c r="B75" s="5">
        <v>47850</v>
      </c>
      <c r="C75" s="5">
        <v>18158.61</v>
      </c>
      <c r="D75" s="14">
        <f t="shared" si="2"/>
        <v>393.97583295197154</v>
      </c>
      <c r="F75" s="34">
        <f ca="1">IFERROR(__xludf.DUMMYFUNCTION("""COMPUTED_VALUE"""),25903)</f>
        <v>25903</v>
      </c>
      <c r="G75" s="5" t="str">
        <f ca="1">IFERROR(__xludf.DUMMYFUNCTION("""COMPUTED_VALUE"""),"220.0")</f>
        <v>220.0</v>
      </c>
      <c r="H75" s="5">
        <f ca="1">IFERROR(__xludf.DUMMYFUNCTION("""COMPUTED_VALUE"""),45512)</f>
        <v>45512</v>
      </c>
      <c r="I75" s="5">
        <f ca="1">IFERROR(__xludf.DUMMYFUNCTION("""COMPUTED_VALUE"""),45292)</f>
        <v>45292</v>
      </c>
      <c r="J75" s="5">
        <f ca="1">IFERROR(__xludf.DUMMYFUNCTION("VALUE(REGEXREPLACE(G75,""\."","",""))"),220)</f>
        <v>220</v>
      </c>
      <c r="K75" s="5" t="e">
        <f t="shared" ca="1" si="0"/>
        <v>#NAME?</v>
      </c>
      <c r="L75" s="25"/>
    </row>
    <row r="76" spans="1:12" ht="12.5">
      <c r="A76" s="5" t="s">
        <v>78</v>
      </c>
      <c r="B76" s="5">
        <v>61953</v>
      </c>
      <c r="C76" s="5">
        <v>22600.53</v>
      </c>
      <c r="D76" s="14">
        <f t="shared" si="2"/>
        <v>409.83963783150216</v>
      </c>
      <c r="F76" s="34">
        <f ca="1">IFERROR(__xludf.DUMMYFUNCTION("""COMPUTED_VALUE"""),25934)</f>
        <v>25934</v>
      </c>
      <c r="G76" s="5" t="str">
        <f ca="1">IFERROR(__xludf.DUMMYFUNCTION("""COMPUTED_VALUE"""),"300.0")</f>
        <v>300.0</v>
      </c>
      <c r="H76" s="5" t="str">
        <f ca="1">IFERROR(__xludf.DUMMYFUNCTION("""COMPUTED_VALUE"""),"12.0")</f>
        <v>12.0</v>
      </c>
      <c r="I76" s="5">
        <f ca="1">IFERROR(__xludf.DUMMYFUNCTION("""COMPUTED_VALUE"""),45413)</f>
        <v>45413</v>
      </c>
      <c r="J76" s="5">
        <f ca="1">IFERROR(__xludf.DUMMYFUNCTION("VALUE(REGEXREPLACE(G76,""\."","",""))"),300)</f>
        <v>300</v>
      </c>
      <c r="K76" s="5" t="e">
        <f t="shared" ca="1" si="0"/>
        <v>#NAME?</v>
      </c>
      <c r="L76" s="25"/>
    </row>
    <row r="77" spans="1:12" ht="12.5">
      <c r="A77" s="16">
        <v>2023</v>
      </c>
      <c r="B77" s="16"/>
      <c r="C77" s="16"/>
      <c r="D77" s="17"/>
      <c r="F77" s="34">
        <f ca="1">IFERROR(__xludf.DUMMYFUNCTION("""COMPUTED_VALUE"""),25965)</f>
        <v>25965</v>
      </c>
      <c r="G77" s="5" t="str">
        <f ca="1">IFERROR(__xludf.DUMMYFUNCTION("""COMPUTED_VALUE"""),"300.0")</f>
        <v>300.0</v>
      </c>
      <c r="H77" s="5" t="str">
        <f ca="1">IFERROR(__xludf.DUMMYFUNCTION("""COMPUTED_VALUE"""),"12.0")</f>
        <v>12.0</v>
      </c>
      <c r="I77" s="5">
        <f ca="1">IFERROR(__xludf.DUMMYFUNCTION("""COMPUTED_VALUE"""),45413)</f>
        <v>45413</v>
      </c>
      <c r="J77" s="5">
        <f ca="1">IFERROR(__xludf.DUMMYFUNCTION("VALUE(REGEXREPLACE(G77,""\."","",""))"),300)</f>
        <v>300</v>
      </c>
      <c r="K77" s="5" t="e">
        <f t="shared" ca="1" si="0"/>
        <v>#NAME?</v>
      </c>
      <c r="L77" s="25"/>
    </row>
    <row r="78" spans="1:12" ht="12.5">
      <c r="A78" s="5" t="s">
        <v>79</v>
      </c>
      <c r="B78" s="5">
        <v>65427</v>
      </c>
      <c r="C78" s="5">
        <v>23956.57</v>
      </c>
      <c r="D78" s="14">
        <f>B78*C11/C78</f>
        <v>492.84836769203605</v>
      </c>
      <c r="F78" s="34">
        <f ca="1">IFERROR(__xludf.DUMMYFUNCTION("""COMPUTED_VALUE"""),25993)</f>
        <v>25993</v>
      </c>
      <c r="G78" s="5" t="str">
        <f ca="1">IFERROR(__xludf.DUMMYFUNCTION("""COMPUTED_VALUE"""),"300.0")</f>
        <v>300.0</v>
      </c>
      <c r="H78" s="5" t="str">
        <f ca="1">IFERROR(__xludf.DUMMYFUNCTION("""COMPUTED_VALUE"""),"12.0")</f>
        <v>12.0</v>
      </c>
      <c r="I78" s="5">
        <f ca="1">IFERROR(__xludf.DUMMYFUNCTION("""COMPUTED_VALUE"""),45413)</f>
        <v>45413</v>
      </c>
      <c r="J78" s="5">
        <f ca="1">IFERROR(__xludf.DUMMYFUNCTION("VALUE(REGEXREPLACE(G78,""\."","",""))"),300)</f>
        <v>300</v>
      </c>
      <c r="K78" s="5" t="e">
        <f t="shared" ca="1" si="0"/>
        <v>#NAME?</v>
      </c>
      <c r="L78" s="25"/>
    </row>
    <row r="79" spans="1:12" ht="12.5">
      <c r="A79" s="5" t="s">
        <v>80</v>
      </c>
      <c r="B79" s="5">
        <v>67743</v>
      </c>
      <c r="C79" s="5">
        <v>25537.7</v>
      </c>
      <c r="D79" s="14">
        <f>B79*C11/C79</f>
        <v>478.70018756583409</v>
      </c>
      <c r="F79" s="34">
        <f ca="1">IFERROR(__xludf.DUMMYFUNCTION("""COMPUTED_VALUE"""),26024)</f>
        <v>26024</v>
      </c>
      <c r="G79" s="5" t="str">
        <f ca="1">IFERROR(__xludf.DUMMYFUNCTION("""COMPUTED_VALUE"""),"300.0")</f>
        <v>300.0</v>
      </c>
      <c r="H79" s="5" t="str">
        <f ca="1">IFERROR(__xludf.DUMMYFUNCTION("""COMPUTED_VALUE"""),"12.0")</f>
        <v>12.0</v>
      </c>
      <c r="I79" s="5">
        <f ca="1">IFERROR(__xludf.DUMMYFUNCTION("""COMPUTED_VALUE"""),45413)</f>
        <v>45413</v>
      </c>
      <c r="J79" s="5">
        <f ca="1">IFERROR(__xludf.DUMMYFUNCTION("VALUE(REGEXREPLACE(G79,""\."","",""))"),300)</f>
        <v>300</v>
      </c>
      <c r="K79" s="5" t="e">
        <f t="shared" ca="1" si="0"/>
        <v>#NAME?</v>
      </c>
      <c r="L79" s="25"/>
    </row>
    <row r="80" spans="1:12" ht="12.5">
      <c r="A80" s="5" t="s">
        <v>82</v>
      </c>
      <c r="B80" s="5">
        <v>69500</v>
      </c>
      <c r="C80" s="5">
        <v>27504.1</v>
      </c>
      <c r="D80" s="14">
        <f t="shared" ref="D80:D89" si="3">B80*C$5/C80</f>
        <v>377.79621947273318</v>
      </c>
      <c r="F80" s="34">
        <f ca="1">IFERROR(__xludf.DUMMYFUNCTION("""COMPUTED_VALUE"""),26054)</f>
        <v>26054</v>
      </c>
      <c r="G80" s="5" t="str">
        <f ca="1">IFERROR(__xludf.DUMMYFUNCTION("""COMPUTED_VALUE"""),"300.0")</f>
        <v>300.0</v>
      </c>
      <c r="H80" s="5" t="str">
        <f ca="1">IFERROR(__xludf.DUMMYFUNCTION("""COMPUTED_VALUE"""),"12.0")</f>
        <v>12.0</v>
      </c>
      <c r="I80" s="5">
        <f ca="1">IFERROR(__xludf.DUMMYFUNCTION("""COMPUTED_VALUE"""),45413)</f>
        <v>45413</v>
      </c>
      <c r="J80" s="5">
        <f ca="1">IFERROR(__xludf.DUMMYFUNCTION("VALUE(REGEXREPLACE(G80,""\."","",""))"),300)</f>
        <v>300</v>
      </c>
      <c r="K80" s="5" t="e">
        <f t="shared" ca="1" si="0"/>
        <v>#NAME?</v>
      </c>
      <c r="L80" s="25"/>
    </row>
    <row r="81" spans="1:12" ht="12.5">
      <c r="A81" s="5" t="s">
        <v>83</v>
      </c>
      <c r="B81" s="5">
        <v>80342</v>
      </c>
      <c r="C81" s="5">
        <v>29814.45</v>
      </c>
      <c r="D81" s="14">
        <f t="shared" si="3"/>
        <v>402.88961963074951</v>
      </c>
      <c r="F81" s="34">
        <f ca="1">IFERROR(__xludf.DUMMYFUNCTION("""COMPUTED_VALUE"""),26085)</f>
        <v>26085</v>
      </c>
      <c r="G81" s="5" t="str">
        <f ca="1">IFERROR(__xludf.DUMMYFUNCTION("""COMPUTED_VALUE"""),"300.0")</f>
        <v>300.0</v>
      </c>
      <c r="H81" s="5" t="str">
        <f ca="1">IFERROR(__xludf.DUMMYFUNCTION("""COMPUTED_VALUE"""),"12.0")</f>
        <v>12.0</v>
      </c>
      <c r="I81" s="5">
        <f ca="1">IFERROR(__xludf.DUMMYFUNCTION("""COMPUTED_VALUE"""),45413)</f>
        <v>45413</v>
      </c>
      <c r="J81" s="5">
        <f ca="1">IFERROR(__xludf.DUMMYFUNCTION("VALUE(REGEXREPLACE(G81,""\."","",""))"),300)</f>
        <v>300</v>
      </c>
      <c r="K81" s="5" t="e">
        <f t="shared" ca="1" si="0"/>
        <v>#NAME?</v>
      </c>
      <c r="L81" s="25"/>
    </row>
    <row r="82" spans="1:12" ht="12.5">
      <c r="A82" s="5" t="s">
        <v>64</v>
      </c>
      <c r="B82" s="5">
        <v>84512</v>
      </c>
      <c r="C82" s="5">
        <v>32139.97</v>
      </c>
      <c r="D82" s="14">
        <f t="shared" si="3"/>
        <v>393.13630722119524</v>
      </c>
      <c r="F82" s="34">
        <f ca="1">IFERROR(__xludf.DUMMYFUNCTION("""COMPUTED_VALUE"""),26115)</f>
        <v>26115</v>
      </c>
      <c r="G82" s="5" t="str">
        <f ca="1">IFERROR(__xludf.DUMMYFUNCTION("""COMPUTED_VALUE"""),"300.0")</f>
        <v>300.0</v>
      </c>
      <c r="H82" s="5" t="str">
        <f ca="1">IFERROR(__xludf.DUMMYFUNCTION("""COMPUTED_VALUE"""),"12.0")</f>
        <v>12.0</v>
      </c>
      <c r="I82" s="5">
        <f ca="1">IFERROR(__xludf.DUMMYFUNCTION("""COMPUTED_VALUE"""),45413)</f>
        <v>45413</v>
      </c>
      <c r="J82" s="5">
        <f ca="1">IFERROR(__xludf.DUMMYFUNCTION("VALUE(REGEXREPLACE(G82,""\."","",""))"),300)</f>
        <v>300</v>
      </c>
      <c r="K82" s="5" t="e">
        <f t="shared" ca="1" si="0"/>
        <v>#NAME?</v>
      </c>
      <c r="L82" s="25"/>
    </row>
    <row r="83" spans="1:12" ht="12.5">
      <c r="A83" s="5" t="s">
        <v>55</v>
      </c>
      <c r="B83" s="5">
        <v>87987</v>
      </c>
      <c r="C83" s="5">
        <v>34068.370000000003</v>
      </c>
      <c r="D83" s="14">
        <f t="shared" si="3"/>
        <v>386.13342434639515</v>
      </c>
      <c r="F83" s="34">
        <f ca="1">IFERROR(__xludf.DUMMYFUNCTION("""COMPUTED_VALUE"""),26146)</f>
        <v>26146</v>
      </c>
      <c r="G83" s="5" t="str">
        <f ca="1">IFERROR(__xludf.DUMMYFUNCTION("""COMPUTED_VALUE"""),"300.0")</f>
        <v>300.0</v>
      </c>
      <c r="H83" s="5" t="str">
        <f ca="1">IFERROR(__xludf.DUMMYFUNCTION("""COMPUTED_VALUE"""),"12.0")</f>
        <v>12.0</v>
      </c>
      <c r="I83" s="5">
        <f ca="1">IFERROR(__xludf.DUMMYFUNCTION("""COMPUTED_VALUE"""),45413)</f>
        <v>45413</v>
      </c>
      <c r="J83" s="5">
        <f ca="1">IFERROR(__xludf.DUMMYFUNCTION("VALUE(REGEXREPLACE(G83,""\."","",""))"),300)</f>
        <v>300</v>
      </c>
      <c r="K83" s="5" t="e">
        <f t="shared" ca="1" si="0"/>
        <v>#NAME?</v>
      </c>
      <c r="L83" s="25"/>
    </row>
    <row r="84" spans="1:12" ht="12.5">
      <c r="A84" s="5" t="s">
        <v>74</v>
      </c>
      <c r="B84" s="5">
        <v>105500</v>
      </c>
      <c r="C84" s="5">
        <v>36214.68</v>
      </c>
      <c r="D84" s="14">
        <f t="shared" si="3"/>
        <v>435.55003109236361</v>
      </c>
      <c r="F84" s="34">
        <f ca="1">IFERROR(__xludf.DUMMYFUNCTION("""COMPUTED_VALUE"""),26177)</f>
        <v>26177</v>
      </c>
      <c r="G84" s="5" t="str">
        <f ca="1">IFERROR(__xludf.DUMMYFUNCTION("""COMPUTED_VALUE"""),"350.0")</f>
        <v>350.0</v>
      </c>
      <c r="H84" s="5" t="str">
        <f ca="1">IFERROR(__xludf.DUMMYFUNCTION("""COMPUTED_VALUE"""),"14.0")</f>
        <v>14.0</v>
      </c>
      <c r="I84" s="5" t="str">
        <f ca="1">IFERROR(__xludf.DUMMYFUNCTION("""COMPUTED_VALUE"""),"1.75")</f>
        <v>1.75</v>
      </c>
      <c r="J84" s="5">
        <f ca="1">IFERROR(__xludf.DUMMYFUNCTION("VALUE(REGEXREPLACE(G84,""\."","",""))"),350)</f>
        <v>350</v>
      </c>
      <c r="K84" s="5" t="e">
        <f t="shared" ca="1" si="0"/>
        <v>#NAME?</v>
      </c>
      <c r="L84" s="25"/>
    </row>
    <row r="85" spans="1:12" ht="12.5">
      <c r="A85" s="5" t="s">
        <v>75</v>
      </c>
      <c r="B85" s="5">
        <v>112500</v>
      </c>
      <c r="C85" s="5">
        <v>40705.300000000003</v>
      </c>
      <c r="D85" s="14">
        <f t="shared" si="3"/>
        <v>413.21093321999837</v>
      </c>
      <c r="F85" s="34">
        <f ca="1">IFERROR(__xludf.DUMMYFUNCTION("""COMPUTED_VALUE"""),26207)</f>
        <v>26207</v>
      </c>
      <c r="G85" s="5" t="str">
        <f ca="1">IFERROR(__xludf.DUMMYFUNCTION("""COMPUTED_VALUE"""),"350.0")</f>
        <v>350.0</v>
      </c>
      <c r="H85" s="5" t="str">
        <f ca="1">IFERROR(__xludf.DUMMYFUNCTION("""COMPUTED_VALUE"""),"14.0")</f>
        <v>14.0</v>
      </c>
      <c r="I85" s="5" t="str">
        <f ca="1">IFERROR(__xludf.DUMMYFUNCTION("""COMPUTED_VALUE"""),"1.75")</f>
        <v>1.75</v>
      </c>
      <c r="J85" s="5">
        <f ca="1">IFERROR(__xludf.DUMMYFUNCTION("VALUE(REGEXREPLACE(G85,""\."","",""))"),350)</f>
        <v>350</v>
      </c>
      <c r="K85" s="5" t="e">
        <f t="shared" ca="1" si="0"/>
        <v>#NAME?</v>
      </c>
      <c r="L85" s="25"/>
    </row>
    <row r="86" spans="1:12" ht="12.5">
      <c r="A86" s="5" t="s">
        <v>71</v>
      </c>
      <c r="B86" s="5">
        <v>118000</v>
      </c>
      <c r="C86" s="5">
        <v>45874.87</v>
      </c>
      <c r="D86" s="14">
        <f t="shared" si="3"/>
        <v>384.57177099357443</v>
      </c>
      <c r="F86" s="34">
        <f ca="1">IFERROR(__xludf.DUMMYFUNCTION("""COMPUTED_VALUE"""),26238)</f>
        <v>26238</v>
      </c>
      <c r="G86" s="5" t="str">
        <f ca="1">IFERROR(__xludf.DUMMYFUNCTION("""COMPUTED_VALUE"""),"350.0")</f>
        <v>350.0</v>
      </c>
      <c r="H86" s="5" t="str">
        <f ca="1">IFERROR(__xludf.DUMMYFUNCTION("""COMPUTED_VALUE"""),"14.0")</f>
        <v>14.0</v>
      </c>
      <c r="I86" s="5" t="str">
        <f ca="1">IFERROR(__xludf.DUMMYFUNCTION("""COMPUTED_VALUE"""),"1.75")</f>
        <v>1.75</v>
      </c>
      <c r="J86" s="5">
        <f ca="1">IFERROR(__xludf.DUMMYFUNCTION("VALUE(REGEXREPLACE(G86,""\."","",""))"),350)</f>
        <v>350</v>
      </c>
      <c r="K86" s="5" t="e">
        <f t="shared" ca="1" si="0"/>
        <v>#NAME?</v>
      </c>
      <c r="L86" s="25"/>
    </row>
    <row r="87" spans="1:12" ht="12.5">
      <c r="A87" s="5" t="s">
        <v>77</v>
      </c>
      <c r="B87" s="5">
        <v>132000</v>
      </c>
      <c r="C87" s="14">
        <v>49682.49</v>
      </c>
      <c r="D87" s="14">
        <f t="shared" si="3"/>
        <v>397.22888285188606</v>
      </c>
      <c r="F87" s="34">
        <f ca="1">IFERROR(__xludf.DUMMYFUNCTION("""COMPUTED_VALUE"""),26268)</f>
        <v>26268</v>
      </c>
      <c r="G87" s="5" t="str">
        <f ca="1">IFERROR(__xludf.DUMMYFUNCTION("""COMPUTED_VALUE"""),"350.0")</f>
        <v>350.0</v>
      </c>
      <c r="H87" s="5" t="str">
        <f ca="1">IFERROR(__xludf.DUMMYFUNCTION("""COMPUTED_VALUE"""),"14.0")</f>
        <v>14.0</v>
      </c>
      <c r="I87" s="5" t="str">
        <f ca="1">IFERROR(__xludf.DUMMYFUNCTION("""COMPUTED_VALUE"""),"1.75")</f>
        <v>1.75</v>
      </c>
      <c r="J87" s="5">
        <f ca="1">IFERROR(__xludf.DUMMYFUNCTION("VALUE(REGEXREPLACE(G87,""\."","",""))"),350)</f>
        <v>350</v>
      </c>
      <c r="K87" s="5" t="e">
        <f t="shared" ca="1" si="0"/>
        <v>#NAME?</v>
      </c>
      <c r="L87" s="25"/>
    </row>
    <row r="88" spans="1:12" ht="12.5">
      <c r="A88" s="5" t="s">
        <v>76</v>
      </c>
      <c r="B88" s="5">
        <v>146000</v>
      </c>
      <c r="C88" s="14">
        <v>56041.84</v>
      </c>
      <c r="D88" s="14">
        <f t="shared" si="3"/>
        <v>389.50291425120946</v>
      </c>
      <c r="E88" s="12"/>
      <c r="F88" s="34">
        <f ca="1">IFERROR(__xludf.DUMMYFUNCTION("""COMPUTED_VALUE"""),26299)</f>
        <v>26299</v>
      </c>
      <c r="G88" s="5" t="str">
        <f ca="1">IFERROR(__xludf.DUMMYFUNCTION("""COMPUTED_VALUE"""),"400.0")</f>
        <v>400.0</v>
      </c>
      <c r="H88" s="5" t="str">
        <f ca="1">IFERROR(__xludf.DUMMYFUNCTION("""COMPUTED_VALUE"""),"16.0")</f>
        <v>16.0</v>
      </c>
      <c r="I88" s="5" t="str">
        <f ca="1">IFERROR(__xludf.DUMMYFUNCTION("""COMPUTED_VALUE"""),"2.0")</f>
        <v>2.0</v>
      </c>
      <c r="J88" s="5">
        <f ca="1">IFERROR(__xludf.DUMMYFUNCTION("VALUE(REGEXREPLACE(G88,""\."","",""))"),400)</f>
        <v>400</v>
      </c>
      <c r="K88" s="5" t="e">
        <f t="shared" ca="1" si="0"/>
        <v>#NAME?</v>
      </c>
      <c r="L88" s="25"/>
    </row>
    <row r="89" spans="1:12" ht="12.5">
      <c r="A89" s="5" t="s">
        <v>78</v>
      </c>
      <c r="B89" s="5">
        <v>156000</v>
      </c>
      <c r="C89" s="14">
        <v>70332.509999999995</v>
      </c>
      <c r="D89" s="14">
        <f t="shared" si="3"/>
        <v>331.61847913575104</v>
      </c>
      <c r="E89" s="12"/>
      <c r="F89" s="34">
        <f ca="1">IFERROR(__xludf.DUMMYFUNCTION("""COMPUTED_VALUE"""),26330)</f>
        <v>26330</v>
      </c>
      <c r="G89" s="5" t="str">
        <f ca="1">IFERROR(__xludf.DUMMYFUNCTION("""COMPUTED_VALUE"""),"400.0")</f>
        <v>400.0</v>
      </c>
      <c r="H89" s="5" t="str">
        <f ca="1">IFERROR(__xludf.DUMMYFUNCTION("""COMPUTED_VALUE"""),"16.0")</f>
        <v>16.0</v>
      </c>
      <c r="I89" s="5" t="str">
        <f ca="1">IFERROR(__xludf.DUMMYFUNCTION("""COMPUTED_VALUE"""),"2.0")</f>
        <v>2.0</v>
      </c>
      <c r="J89" s="5">
        <f ca="1">IFERROR(__xludf.DUMMYFUNCTION("VALUE(REGEXREPLACE(G89,""\."","",""))"),400)</f>
        <v>400</v>
      </c>
      <c r="K89" s="5" t="e">
        <f t="shared" ca="1" si="0"/>
        <v>#NAME?</v>
      </c>
      <c r="L89" s="25"/>
    </row>
    <row r="90" spans="1:12" ht="12.5">
      <c r="A90" s="16">
        <v>2024</v>
      </c>
      <c r="B90" s="16"/>
      <c r="C90" s="16"/>
      <c r="D90" s="17"/>
      <c r="F90" s="34">
        <f ca="1">IFERROR(__xludf.DUMMYFUNCTION("""COMPUTED_VALUE"""),26359)</f>
        <v>26359</v>
      </c>
      <c r="G90" s="5" t="str">
        <f ca="1">IFERROR(__xludf.DUMMYFUNCTION("""COMPUTED_VALUE"""),"400.0")</f>
        <v>400.0</v>
      </c>
      <c r="H90" s="5" t="str">
        <f ca="1">IFERROR(__xludf.DUMMYFUNCTION("""COMPUTED_VALUE"""),"16.0")</f>
        <v>16.0</v>
      </c>
      <c r="I90" s="5" t="str">
        <f ca="1">IFERROR(__xludf.DUMMYFUNCTION("""COMPUTED_VALUE"""),"2.0")</f>
        <v>2.0</v>
      </c>
      <c r="L90" s="25"/>
    </row>
    <row r="91" spans="1:12" ht="12.5">
      <c r="A91" s="5" t="s">
        <v>79</v>
      </c>
      <c r="B91" s="5">
        <v>156000</v>
      </c>
      <c r="C91" s="14">
        <f>C89*1.206</f>
        <v>84821.007059999989</v>
      </c>
      <c r="D91" s="14">
        <f t="shared" ref="D91:D94" si="4">B91*C$5/C91</f>
        <v>274.97386329664266</v>
      </c>
      <c r="E91" s="12"/>
      <c r="F91" s="34">
        <f ca="1">IFERROR(__xludf.DUMMYFUNCTION("""COMPUTED_VALUE"""),26390)</f>
        <v>26390</v>
      </c>
      <c r="G91" s="5" t="str">
        <f ca="1">IFERROR(__xludf.DUMMYFUNCTION("""COMPUTED_VALUE"""),"400.0")</f>
        <v>400.0</v>
      </c>
      <c r="H91" s="5" t="str">
        <f ca="1">IFERROR(__xludf.DUMMYFUNCTION("""COMPUTED_VALUE"""),"16.0")</f>
        <v>16.0</v>
      </c>
      <c r="I91" s="5" t="str">
        <f ca="1">IFERROR(__xludf.DUMMYFUNCTION("""COMPUTED_VALUE"""),"2.0")</f>
        <v>2.0</v>
      </c>
      <c r="J91" s="5">
        <f ca="1">IFERROR(__xludf.DUMMYFUNCTION("VALUE(REGEXREPLACE(G91,""\."","",""))"),400)</f>
        <v>400</v>
      </c>
      <c r="K91" s="5" t="e">
        <f t="shared" ref="K91:K345" ca="1" si="5">DEFLACTAR(J91,F792,F91)</f>
        <v>#NAME?</v>
      </c>
      <c r="L91" s="25"/>
    </row>
    <row r="92" spans="1:12" ht="12.5">
      <c r="A92" s="5" t="s">
        <v>80</v>
      </c>
      <c r="B92" s="5">
        <v>180000</v>
      </c>
      <c r="C92" s="14">
        <f>C91*1.132</f>
        <v>96017.379991919981</v>
      </c>
      <c r="D92" s="14">
        <f t="shared" si="4"/>
        <v>280.28050757336507</v>
      </c>
      <c r="F92" s="34">
        <f ca="1">IFERROR(__xludf.DUMMYFUNCTION("""COMPUTED_VALUE"""),26420)</f>
        <v>26420</v>
      </c>
      <c r="G92" s="5" t="str">
        <f ca="1">IFERROR(__xludf.DUMMYFUNCTION("""COMPUTED_VALUE"""),"450.0")</f>
        <v>450.0</v>
      </c>
      <c r="H92" s="5" t="str">
        <f ca="1">IFERROR(__xludf.DUMMYFUNCTION("""COMPUTED_VALUE"""),"18.0")</f>
        <v>18.0</v>
      </c>
      <c r="I92" s="5" t="str">
        <f ca="1">IFERROR(__xludf.DUMMYFUNCTION("""COMPUTED_VALUE"""),"2.25")</f>
        <v>2.25</v>
      </c>
      <c r="J92" s="5">
        <f ca="1">IFERROR(__xludf.DUMMYFUNCTION("VALUE(REGEXREPLACE(G92,""\."","",""))"),450)</f>
        <v>450</v>
      </c>
      <c r="K92" s="5" t="e">
        <f t="shared" ca="1" si="5"/>
        <v>#NAME?</v>
      </c>
      <c r="L92" s="25"/>
    </row>
    <row r="93" spans="1:12" ht="12.5">
      <c r="A93" s="5" t="s">
        <v>82</v>
      </c>
      <c r="B93" s="5">
        <v>202800</v>
      </c>
      <c r="C93" s="14">
        <f>C92*1.11</f>
        <v>106579.2917910312</v>
      </c>
      <c r="D93" s="14">
        <f t="shared" si="4"/>
        <v>284.48892360299516</v>
      </c>
      <c r="F93" s="34">
        <f ca="1">IFERROR(__xludf.DUMMYFUNCTION("""COMPUTED_VALUE"""),26451)</f>
        <v>26451</v>
      </c>
      <c r="G93" s="5" t="str">
        <f ca="1">IFERROR(__xludf.DUMMYFUNCTION("""COMPUTED_VALUE"""),"450.0")</f>
        <v>450.0</v>
      </c>
      <c r="H93" s="5" t="str">
        <f ca="1">IFERROR(__xludf.DUMMYFUNCTION("""COMPUTED_VALUE"""),"18.0")</f>
        <v>18.0</v>
      </c>
      <c r="I93" s="5" t="str">
        <f ca="1">IFERROR(__xludf.DUMMYFUNCTION("""COMPUTED_VALUE"""),"2.25")</f>
        <v>2.25</v>
      </c>
      <c r="J93" s="5">
        <f ca="1">IFERROR(__xludf.DUMMYFUNCTION("VALUE(REGEXREPLACE(G93,""\."","",""))"),450)</f>
        <v>450</v>
      </c>
      <c r="K93" s="5" t="e">
        <f t="shared" ca="1" si="5"/>
        <v>#NAME?</v>
      </c>
      <c r="L93" s="25"/>
    </row>
    <row r="94" spans="1:12" ht="12.5">
      <c r="A94" s="5" t="s">
        <v>83</v>
      </c>
      <c r="B94" s="33">
        <v>221052</v>
      </c>
      <c r="C94" s="14">
        <f>C93*1.088</f>
        <v>115958.26946864194</v>
      </c>
      <c r="D94" s="14">
        <f t="shared" si="4"/>
        <v>285.01188118314769</v>
      </c>
      <c r="F94" s="34">
        <f ca="1">IFERROR(__xludf.DUMMYFUNCTION("""COMPUTED_VALUE"""),26481)</f>
        <v>26481</v>
      </c>
      <c r="G94" s="5" t="str">
        <f ca="1">IFERROR(__xludf.DUMMYFUNCTION("""COMPUTED_VALUE"""),"450.0")</f>
        <v>450.0</v>
      </c>
      <c r="H94" s="5" t="str">
        <f ca="1">IFERROR(__xludf.DUMMYFUNCTION("""COMPUTED_VALUE"""),"18.0")</f>
        <v>18.0</v>
      </c>
      <c r="I94" s="5" t="str">
        <f ca="1">IFERROR(__xludf.DUMMYFUNCTION("""COMPUTED_VALUE"""),"2.25")</f>
        <v>2.25</v>
      </c>
      <c r="J94" s="5">
        <f ca="1">IFERROR(__xludf.DUMMYFUNCTION("VALUE(REGEXREPLACE(G94,""\."","",""))"),450)</f>
        <v>450</v>
      </c>
      <c r="K94" s="5" t="e">
        <f t="shared" ca="1" si="5"/>
        <v>#NAME?</v>
      </c>
      <c r="L94" s="25"/>
    </row>
    <row r="95" spans="1:12" ht="12.5">
      <c r="A95" s="5" t="s">
        <v>64</v>
      </c>
      <c r="B95" s="33">
        <v>234315</v>
      </c>
      <c r="F95" s="34">
        <f ca="1">IFERROR(__xludf.DUMMYFUNCTION("""COMPUTED_VALUE"""),26512)</f>
        <v>26512</v>
      </c>
      <c r="G95" s="5" t="str">
        <f ca="1">IFERROR(__xludf.DUMMYFUNCTION("""COMPUTED_VALUE"""),"450.0")</f>
        <v>450.0</v>
      </c>
      <c r="H95" s="5" t="str">
        <f ca="1">IFERROR(__xludf.DUMMYFUNCTION("""COMPUTED_VALUE"""),"18.0")</f>
        <v>18.0</v>
      </c>
      <c r="I95" s="5" t="str">
        <f ca="1">IFERROR(__xludf.DUMMYFUNCTION("""COMPUTED_VALUE"""),"2.25")</f>
        <v>2.25</v>
      </c>
      <c r="J95" s="5">
        <f ca="1">IFERROR(__xludf.DUMMYFUNCTION("VALUE(REGEXREPLACE(G95,""\."","",""))"),450)</f>
        <v>450</v>
      </c>
      <c r="K95" s="5" t="e">
        <f t="shared" ca="1" si="5"/>
        <v>#NAME?</v>
      </c>
      <c r="L95" s="25"/>
    </row>
    <row r="96" spans="1:12" ht="12.5">
      <c r="F96" s="34">
        <f ca="1">IFERROR(__xludf.DUMMYFUNCTION("""COMPUTED_VALUE"""),26543)</f>
        <v>26543</v>
      </c>
      <c r="G96" s="5" t="str">
        <f ca="1">IFERROR(__xludf.DUMMYFUNCTION("""COMPUTED_VALUE"""),"450.0")</f>
        <v>450.0</v>
      </c>
      <c r="H96" s="5" t="str">
        <f ca="1">IFERROR(__xludf.DUMMYFUNCTION("""COMPUTED_VALUE"""),"18.0")</f>
        <v>18.0</v>
      </c>
      <c r="I96" s="5" t="str">
        <f ca="1">IFERROR(__xludf.DUMMYFUNCTION("""COMPUTED_VALUE"""),"2.25")</f>
        <v>2.25</v>
      </c>
      <c r="J96" s="5">
        <f ca="1">IFERROR(__xludf.DUMMYFUNCTION("VALUE(REGEXREPLACE(G96,""\."","",""))"),450)</f>
        <v>450</v>
      </c>
      <c r="K96" s="5" t="e">
        <f t="shared" ca="1" si="5"/>
        <v>#NAME?</v>
      </c>
      <c r="L96" s="25"/>
    </row>
    <row r="97" spans="6:12" ht="12.5">
      <c r="F97" s="34">
        <f ca="1">IFERROR(__xludf.DUMMYFUNCTION("""COMPUTED_VALUE"""),26573)</f>
        <v>26573</v>
      </c>
      <c r="G97" s="5" t="str">
        <f ca="1">IFERROR(__xludf.DUMMYFUNCTION("""COMPUTED_VALUE"""),"500.0")</f>
        <v>500.0</v>
      </c>
      <c r="H97" s="5" t="str">
        <f ca="1">IFERROR(__xludf.DUMMYFUNCTION("""COMPUTED_VALUE"""),"20.0")</f>
        <v>20.0</v>
      </c>
      <c r="I97" s="5">
        <f ca="1">IFERROR(__xludf.DUMMYFUNCTION("""COMPUTED_VALUE"""),45414)</f>
        <v>45414</v>
      </c>
      <c r="J97" s="5">
        <f ca="1">IFERROR(__xludf.DUMMYFUNCTION("VALUE(REGEXREPLACE(G97,""\."","",""))"),500)</f>
        <v>500</v>
      </c>
      <c r="K97" s="5" t="e">
        <f t="shared" ca="1" si="5"/>
        <v>#NAME?</v>
      </c>
      <c r="L97" s="25"/>
    </row>
    <row r="98" spans="6:12" ht="12.5">
      <c r="F98" s="34">
        <f ca="1">IFERROR(__xludf.DUMMYFUNCTION("""COMPUTED_VALUE"""),26604)</f>
        <v>26604</v>
      </c>
      <c r="G98" s="5" t="str">
        <f ca="1">IFERROR(__xludf.DUMMYFUNCTION("""COMPUTED_VALUE"""),"500.0")</f>
        <v>500.0</v>
      </c>
      <c r="H98" s="5" t="str">
        <f ca="1">IFERROR(__xludf.DUMMYFUNCTION("""COMPUTED_VALUE"""),"20.0")</f>
        <v>20.0</v>
      </c>
      <c r="I98" s="5">
        <f ca="1">IFERROR(__xludf.DUMMYFUNCTION("""COMPUTED_VALUE"""),45414)</f>
        <v>45414</v>
      </c>
      <c r="J98" s="5">
        <f ca="1">IFERROR(__xludf.DUMMYFUNCTION("VALUE(REGEXREPLACE(G98,""\."","",""))"),500)</f>
        <v>500</v>
      </c>
      <c r="K98" s="5" t="e">
        <f t="shared" ca="1" si="5"/>
        <v>#NAME?</v>
      </c>
      <c r="L98" s="25"/>
    </row>
    <row r="99" spans="6:12" ht="12.5">
      <c r="F99" s="34">
        <f ca="1">IFERROR(__xludf.DUMMYFUNCTION("""COMPUTED_VALUE"""),26634)</f>
        <v>26634</v>
      </c>
      <c r="G99" s="5" t="str">
        <f ca="1">IFERROR(__xludf.DUMMYFUNCTION("""COMPUTED_VALUE"""),"500.0")</f>
        <v>500.0</v>
      </c>
      <c r="H99" s="5" t="str">
        <f ca="1">IFERROR(__xludf.DUMMYFUNCTION("""COMPUTED_VALUE"""),"20.0")</f>
        <v>20.0</v>
      </c>
      <c r="I99" s="5">
        <f ca="1">IFERROR(__xludf.DUMMYFUNCTION("""COMPUTED_VALUE"""),45414)</f>
        <v>45414</v>
      </c>
      <c r="J99" s="5">
        <f ca="1">IFERROR(__xludf.DUMMYFUNCTION("VALUE(REGEXREPLACE(G99,""\."","",""))"),500)</f>
        <v>500</v>
      </c>
      <c r="K99" s="5" t="e">
        <f t="shared" ca="1" si="5"/>
        <v>#NAME?</v>
      </c>
      <c r="L99" s="25"/>
    </row>
    <row r="100" spans="6:12" ht="12.5">
      <c r="F100" s="34">
        <f ca="1">IFERROR(__xludf.DUMMYFUNCTION("""COMPUTED_VALUE"""),26665)</f>
        <v>26665</v>
      </c>
      <c r="G100" s="5" t="str">
        <f ca="1">IFERROR(__xludf.DUMMYFUNCTION("""COMPUTED_VALUE"""),"500.0")</f>
        <v>500.0</v>
      </c>
      <c r="H100" s="5" t="str">
        <f ca="1">IFERROR(__xludf.DUMMYFUNCTION("""COMPUTED_VALUE"""),"20.0")</f>
        <v>20.0</v>
      </c>
      <c r="I100" s="5">
        <f ca="1">IFERROR(__xludf.DUMMYFUNCTION("""COMPUTED_VALUE"""),45414)</f>
        <v>45414</v>
      </c>
      <c r="J100" s="5">
        <f ca="1">IFERROR(__xludf.DUMMYFUNCTION("VALUE(REGEXREPLACE(G100,""\."","",""))"),500)</f>
        <v>500</v>
      </c>
      <c r="K100" s="5" t="e">
        <f t="shared" ca="1" si="5"/>
        <v>#NAME?</v>
      </c>
      <c r="L100" s="25"/>
    </row>
    <row r="101" spans="6:12" ht="12.5">
      <c r="F101" s="34">
        <f ca="1">IFERROR(__xludf.DUMMYFUNCTION("""COMPUTED_VALUE"""),26696)</f>
        <v>26696</v>
      </c>
      <c r="G101" s="5" t="str">
        <f ca="1">IFERROR(__xludf.DUMMYFUNCTION("""COMPUTED_VALUE"""),"500.0")</f>
        <v>500.0</v>
      </c>
      <c r="H101" s="5" t="str">
        <f ca="1">IFERROR(__xludf.DUMMYFUNCTION("""COMPUTED_VALUE"""),"20.0")</f>
        <v>20.0</v>
      </c>
      <c r="I101" s="5">
        <f ca="1">IFERROR(__xludf.DUMMYFUNCTION("""COMPUTED_VALUE"""),45414)</f>
        <v>45414</v>
      </c>
      <c r="J101" s="5">
        <f ca="1">IFERROR(__xludf.DUMMYFUNCTION("VALUE(REGEXREPLACE(G101,""\."","",""))"),500)</f>
        <v>500</v>
      </c>
      <c r="K101" s="5" t="e">
        <f t="shared" ca="1" si="5"/>
        <v>#NAME?</v>
      </c>
      <c r="L101" s="25"/>
    </row>
    <row r="102" spans="6:12" ht="12.5">
      <c r="F102" s="34">
        <f ca="1">IFERROR(__xludf.DUMMYFUNCTION("""COMPUTED_VALUE"""),26724)</f>
        <v>26724</v>
      </c>
      <c r="G102" s="5" t="str">
        <f ca="1">IFERROR(__xludf.DUMMYFUNCTION("""COMPUTED_VALUE"""),"700.0")</f>
        <v>700.0</v>
      </c>
      <c r="H102" s="5" t="str">
        <f ca="1">IFERROR(__xludf.DUMMYFUNCTION("""COMPUTED_VALUE"""),"28.0")</f>
        <v>28.0</v>
      </c>
      <c r="I102" s="5">
        <f ca="1">IFERROR(__xludf.DUMMYFUNCTION("""COMPUTED_VALUE"""),45415)</f>
        <v>45415</v>
      </c>
      <c r="J102" s="5">
        <f ca="1">IFERROR(__xludf.DUMMYFUNCTION("VALUE(REGEXREPLACE(G102,""\."","",""))"),700)</f>
        <v>700</v>
      </c>
      <c r="K102" s="5" t="e">
        <f t="shared" ca="1" si="5"/>
        <v>#NAME?</v>
      </c>
      <c r="L102" s="25"/>
    </row>
    <row r="103" spans="6:12" ht="12.5">
      <c r="F103" s="34">
        <f ca="1">IFERROR(__xludf.DUMMYFUNCTION("""COMPUTED_VALUE"""),26755)</f>
        <v>26755</v>
      </c>
      <c r="G103" s="5" t="str">
        <f ca="1">IFERROR(__xludf.DUMMYFUNCTION("""COMPUTED_VALUE"""),"700.0")</f>
        <v>700.0</v>
      </c>
      <c r="H103" s="5" t="str">
        <f ca="1">IFERROR(__xludf.DUMMYFUNCTION("""COMPUTED_VALUE"""),"28.0")</f>
        <v>28.0</v>
      </c>
      <c r="I103" s="5">
        <f ca="1">IFERROR(__xludf.DUMMYFUNCTION("""COMPUTED_VALUE"""),45415)</f>
        <v>45415</v>
      </c>
      <c r="J103" s="5">
        <f ca="1">IFERROR(__xludf.DUMMYFUNCTION("VALUE(REGEXREPLACE(G103,""\."","",""))"),700)</f>
        <v>700</v>
      </c>
      <c r="K103" s="5" t="e">
        <f t="shared" ca="1" si="5"/>
        <v>#NAME?</v>
      </c>
      <c r="L103" s="25"/>
    </row>
    <row r="104" spans="6:12" ht="12.5">
      <c r="F104" s="34">
        <f ca="1">IFERROR(__xludf.DUMMYFUNCTION("""COMPUTED_VALUE"""),26785)</f>
        <v>26785</v>
      </c>
      <c r="G104" s="5" t="str">
        <f ca="1">IFERROR(__xludf.DUMMYFUNCTION("""COMPUTED_VALUE"""),"700.0")</f>
        <v>700.0</v>
      </c>
      <c r="H104" s="5" t="str">
        <f ca="1">IFERROR(__xludf.DUMMYFUNCTION("""COMPUTED_VALUE"""),"28.0")</f>
        <v>28.0</v>
      </c>
      <c r="I104" s="5">
        <f ca="1">IFERROR(__xludf.DUMMYFUNCTION("""COMPUTED_VALUE"""),45415)</f>
        <v>45415</v>
      </c>
      <c r="J104" s="5">
        <f ca="1">IFERROR(__xludf.DUMMYFUNCTION("VALUE(REGEXREPLACE(G104,""\."","",""))"),700)</f>
        <v>700</v>
      </c>
      <c r="K104" s="5" t="e">
        <f t="shared" ca="1" si="5"/>
        <v>#NAME?</v>
      </c>
      <c r="L104" s="25"/>
    </row>
    <row r="105" spans="6:12" ht="12.5">
      <c r="F105" s="34">
        <f ca="1">IFERROR(__xludf.DUMMYFUNCTION("""COMPUTED_VALUE"""),26816)</f>
        <v>26816</v>
      </c>
      <c r="G105" s="5" t="str">
        <f ca="1">IFERROR(__xludf.DUMMYFUNCTION("""COMPUTED_VALUE"""),"1000.0")</f>
        <v>1000.0</v>
      </c>
      <c r="H105" s="5" t="str">
        <f ca="1">IFERROR(__xludf.DUMMYFUNCTION("""COMPUTED_VALUE"""),"40.0")</f>
        <v>40.0</v>
      </c>
      <c r="I105" s="5" t="str">
        <f ca="1">IFERROR(__xludf.DUMMYFUNCTION("""COMPUTED_VALUE"""),"5.0")</f>
        <v>5.0</v>
      </c>
      <c r="J105" s="5">
        <f ca="1">IFERROR(__xludf.DUMMYFUNCTION("VALUE(REGEXREPLACE(G105,""\."","",""))"),1000)</f>
        <v>1000</v>
      </c>
      <c r="K105" s="5" t="e">
        <f t="shared" ca="1" si="5"/>
        <v>#NAME?</v>
      </c>
      <c r="L105" s="25"/>
    </row>
    <row r="106" spans="6:12" ht="12.5">
      <c r="F106" s="34">
        <f ca="1">IFERROR(__xludf.DUMMYFUNCTION("""COMPUTED_VALUE"""),26846)</f>
        <v>26846</v>
      </c>
      <c r="G106" s="5" t="str">
        <f ca="1">IFERROR(__xludf.DUMMYFUNCTION("""COMPUTED_VALUE"""),"1000.0")</f>
        <v>1000.0</v>
      </c>
      <c r="H106" s="5" t="str">
        <f ca="1">IFERROR(__xludf.DUMMYFUNCTION("""COMPUTED_VALUE"""),"40.0")</f>
        <v>40.0</v>
      </c>
      <c r="I106" s="5" t="str">
        <f ca="1">IFERROR(__xludf.DUMMYFUNCTION("""COMPUTED_VALUE"""),"5.0")</f>
        <v>5.0</v>
      </c>
      <c r="J106" s="5">
        <f ca="1">IFERROR(__xludf.DUMMYFUNCTION("VALUE(REGEXREPLACE(G106,""\."","",""))"),1000)</f>
        <v>1000</v>
      </c>
      <c r="K106" s="5" t="e">
        <f t="shared" ca="1" si="5"/>
        <v>#NAME?</v>
      </c>
      <c r="L106" s="25"/>
    </row>
    <row r="107" spans="6:12" ht="12.5">
      <c r="F107" s="34">
        <f ca="1">IFERROR(__xludf.DUMMYFUNCTION("""COMPUTED_VALUE"""),26877)</f>
        <v>26877</v>
      </c>
      <c r="G107" s="5" t="str">
        <f ca="1">IFERROR(__xludf.DUMMYFUNCTION("""COMPUTED_VALUE"""),"1000.0")</f>
        <v>1000.0</v>
      </c>
      <c r="H107" s="5" t="str">
        <f ca="1">IFERROR(__xludf.DUMMYFUNCTION("""COMPUTED_VALUE"""),"40.0")</f>
        <v>40.0</v>
      </c>
      <c r="I107" s="5" t="str">
        <f ca="1">IFERROR(__xludf.DUMMYFUNCTION("""COMPUTED_VALUE"""),"5.0")</f>
        <v>5.0</v>
      </c>
      <c r="J107" s="5">
        <f ca="1">IFERROR(__xludf.DUMMYFUNCTION("VALUE(REGEXREPLACE(G107,""\."","",""))"),1000)</f>
        <v>1000</v>
      </c>
      <c r="K107" s="5" t="e">
        <f t="shared" ca="1" si="5"/>
        <v>#NAME?</v>
      </c>
      <c r="L107" s="25"/>
    </row>
    <row r="108" spans="6:12" ht="12.5">
      <c r="F108" s="34">
        <f ca="1">IFERROR(__xludf.DUMMYFUNCTION("""COMPUTED_VALUE"""),26908)</f>
        <v>26908</v>
      </c>
      <c r="G108" s="5" t="str">
        <f ca="1">IFERROR(__xludf.DUMMYFUNCTION("""COMPUTED_VALUE"""),"1000.0")</f>
        <v>1000.0</v>
      </c>
      <c r="H108" s="5" t="str">
        <f ca="1">IFERROR(__xludf.DUMMYFUNCTION("""COMPUTED_VALUE"""),"40.0")</f>
        <v>40.0</v>
      </c>
      <c r="I108" s="5" t="str">
        <f ca="1">IFERROR(__xludf.DUMMYFUNCTION("""COMPUTED_VALUE"""),"5.0")</f>
        <v>5.0</v>
      </c>
      <c r="J108" s="5">
        <f ca="1">IFERROR(__xludf.DUMMYFUNCTION("VALUE(REGEXREPLACE(G108,""\."","",""))"),1000)</f>
        <v>1000</v>
      </c>
      <c r="K108" s="5" t="e">
        <f t="shared" ca="1" si="5"/>
        <v>#NAME?</v>
      </c>
      <c r="L108" s="25"/>
    </row>
    <row r="109" spans="6:12" ht="12.5">
      <c r="F109" s="34">
        <f ca="1">IFERROR(__xludf.DUMMYFUNCTION("""COMPUTED_VALUE"""),26938)</f>
        <v>26938</v>
      </c>
      <c r="G109" s="5" t="str">
        <f ca="1">IFERROR(__xludf.DUMMYFUNCTION("""COMPUTED_VALUE"""),"1000.0")</f>
        <v>1000.0</v>
      </c>
      <c r="H109" s="5" t="str">
        <f ca="1">IFERROR(__xludf.DUMMYFUNCTION("""COMPUTED_VALUE"""),"40.0")</f>
        <v>40.0</v>
      </c>
      <c r="I109" s="5" t="str">
        <f ca="1">IFERROR(__xludf.DUMMYFUNCTION("""COMPUTED_VALUE"""),"5.0")</f>
        <v>5.0</v>
      </c>
      <c r="J109" s="5">
        <f ca="1">IFERROR(__xludf.DUMMYFUNCTION("VALUE(REGEXREPLACE(G109,""\."","",""))"),1000)</f>
        <v>1000</v>
      </c>
      <c r="K109" s="5" t="e">
        <f t="shared" ca="1" si="5"/>
        <v>#NAME?</v>
      </c>
      <c r="L109" s="25"/>
    </row>
    <row r="110" spans="6:12" ht="12.5">
      <c r="F110" s="34">
        <f ca="1">IFERROR(__xludf.DUMMYFUNCTION("""COMPUTED_VALUE"""),26969)</f>
        <v>26969</v>
      </c>
      <c r="G110" s="5" t="str">
        <f ca="1">IFERROR(__xludf.DUMMYFUNCTION("""COMPUTED_VALUE"""),"1000.0")</f>
        <v>1000.0</v>
      </c>
      <c r="H110" s="5" t="str">
        <f ca="1">IFERROR(__xludf.DUMMYFUNCTION("""COMPUTED_VALUE"""),"40.0")</f>
        <v>40.0</v>
      </c>
      <c r="I110" s="5" t="str">
        <f ca="1">IFERROR(__xludf.DUMMYFUNCTION("""COMPUTED_VALUE"""),"5.0")</f>
        <v>5.0</v>
      </c>
      <c r="J110" s="5">
        <f ca="1">IFERROR(__xludf.DUMMYFUNCTION("VALUE(REGEXREPLACE(G110,""\."","",""))"),1000)</f>
        <v>1000</v>
      </c>
      <c r="K110" s="5" t="e">
        <f t="shared" ca="1" si="5"/>
        <v>#NAME?</v>
      </c>
      <c r="L110" s="25"/>
    </row>
    <row r="111" spans="6:12" ht="12.5">
      <c r="F111" s="34">
        <f ca="1">IFERROR(__xludf.DUMMYFUNCTION("""COMPUTED_VALUE"""),26999)</f>
        <v>26999</v>
      </c>
      <c r="G111" s="5" t="str">
        <f ca="1">IFERROR(__xludf.DUMMYFUNCTION("""COMPUTED_VALUE"""),"1000.0")</f>
        <v>1000.0</v>
      </c>
      <c r="H111" s="5" t="str">
        <f ca="1">IFERROR(__xludf.DUMMYFUNCTION("""COMPUTED_VALUE"""),"40.0")</f>
        <v>40.0</v>
      </c>
      <c r="I111" s="5" t="str">
        <f ca="1">IFERROR(__xludf.DUMMYFUNCTION("""COMPUTED_VALUE"""),"5.0")</f>
        <v>5.0</v>
      </c>
      <c r="J111" s="5">
        <f ca="1">IFERROR(__xludf.DUMMYFUNCTION("VALUE(REGEXREPLACE(G111,""\."","",""))"),1000)</f>
        <v>1000</v>
      </c>
      <c r="K111" s="5" t="e">
        <f t="shared" ca="1" si="5"/>
        <v>#NAME?</v>
      </c>
      <c r="L111" s="25"/>
    </row>
    <row r="112" spans="6:12" ht="12.5">
      <c r="F112" s="34">
        <f ca="1">IFERROR(__xludf.DUMMYFUNCTION("""COMPUTED_VALUE"""),27030)</f>
        <v>27030</v>
      </c>
      <c r="G112" s="5" t="str">
        <f ca="1">IFERROR(__xludf.DUMMYFUNCTION("""COMPUTED_VALUE"""),"1000.0")</f>
        <v>1000.0</v>
      </c>
      <c r="H112" s="5" t="str">
        <f ca="1">IFERROR(__xludf.DUMMYFUNCTION("""COMPUTED_VALUE"""),"40.0")</f>
        <v>40.0</v>
      </c>
      <c r="I112" s="5" t="str">
        <f ca="1">IFERROR(__xludf.DUMMYFUNCTION("""COMPUTED_VALUE"""),"5.0")</f>
        <v>5.0</v>
      </c>
      <c r="J112" s="5">
        <f ca="1">IFERROR(__xludf.DUMMYFUNCTION("VALUE(REGEXREPLACE(G112,""\."","",""))"),1000)</f>
        <v>1000</v>
      </c>
      <c r="K112" s="5" t="e">
        <f t="shared" ca="1" si="5"/>
        <v>#NAME?</v>
      </c>
      <c r="L112" s="25"/>
    </row>
    <row r="113" spans="6:12" ht="12.5">
      <c r="F113" s="34">
        <f ca="1">IFERROR(__xludf.DUMMYFUNCTION("""COMPUTED_VALUE"""),27061)</f>
        <v>27061</v>
      </c>
      <c r="G113" s="5" t="str">
        <f ca="1">IFERROR(__xludf.DUMMYFUNCTION("""COMPUTED_VALUE"""),"1000.0")</f>
        <v>1000.0</v>
      </c>
      <c r="H113" s="5" t="str">
        <f ca="1">IFERROR(__xludf.DUMMYFUNCTION("""COMPUTED_VALUE"""),"40.0")</f>
        <v>40.0</v>
      </c>
      <c r="I113" s="5" t="str">
        <f ca="1">IFERROR(__xludf.DUMMYFUNCTION("""COMPUTED_VALUE"""),"5.0")</f>
        <v>5.0</v>
      </c>
      <c r="J113" s="5">
        <f ca="1">IFERROR(__xludf.DUMMYFUNCTION("VALUE(REGEXREPLACE(G113,""\."","",""))"),1000)</f>
        <v>1000</v>
      </c>
      <c r="K113" s="5" t="e">
        <f t="shared" ca="1" si="5"/>
        <v>#NAME?</v>
      </c>
      <c r="L113" s="25"/>
    </row>
    <row r="114" spans="6:12" ht="12.5">
      <c r="F114" s="34">
        <f ca="1">IFERROR(__xludf.DUMMYFUNCTION("""COMPUTED_VALUE"""),27089)</f>
        <v>27089</v>
      </c>
      <c r="G114" s="5" t="str">
        <f ca="1">IFERROR(__xludf.DUMMYFUNCTION("""COMPUTED_VALUE"""),"1000.0")</f>
        <v>1000.0</v>
      </c>
      <c r="H114" s="5" t="str">
        <f ca="1">IFERROR(__xludf.DUMMYFUNCTION("""COMPUTED_VALUE"""),"40.0")</f>
        <v>40.0</v>
      </c>
      <c r="I114" s="5" t="str">
        <f ca="1">IFERROR(__xludf.DUMMYFUNCTION("""COMPUTED_VALUE"""),"5.0")</f>
        <v>5.0</v>
      </c>
      <c r="J114" s="5">
        <f ca="1">IFERROR(__xludf.DUMMYFUNCTION("VALUE(REGEXREPLACE(G114,""\."","",""))"),1000)</f>
        <v>1000</v>
      </c>
      <c r="K114" s="5" t="e">
        <f t="shared" ca="1" si="5"/>
        <v>#NAME?</v>
      </c>
      <c r="L114" s="25"/>
    </row>
    <row r="115" spans="6:12" ht="12.5">
      <c r="F115" s="34">
        <f ca="1">IFERROR(__xludf.DUMMYFUNCTION("""COMPUTED_VALUE"""),27120)</f>
        <v>27120</v>
      </c>
      <c r="G115" s="5" t="str">
        <f ca="1">IFERROR(__xludf.DUMMYFUNCTION("""COMPUTED_VALUE"""),"1300.0")</f>
        <v>1300.0</v>
      </c>
      <c r="H115" s="5" t="str">
        <f ca="1">IFERROR(__xludf.DUMMYFUNCTION("""COMPUTED_VALUE"""),"52.0")</f>
        <v>52.0</v>
      </c>
      <c r="I115" s="5">
        <f ca="1">IFERROR(__xludf.DUMMYFUNCTION("""COMPUTED_VALUE"""),45418)</f>
        <v>45418</v>
      </c>
      <c r="J115" s="5">
        <f ca="1">IFERROR(__xludf.DUMMYFUNCTION("VALUE(REGEXREPLACE(G115,""\."","",""))"),1300)</f>
        <v>1300</v>
      </c>
      <c r="K115" s="5" t="e">
        <f t="shared" ca="1" si="5"/>
        <v>#NAME?</v>
      </c>
      <c r="L115" s="25"/>
    </row>
    <row r="116" spans="6:12" ht="12.5">
      <c r="F116" s="34">
        <f ca="1">IFERROR(__xludf.DUMMYFUNCTION("""COMPUTED_VALUE"""),27150)</f>
        <v>27150</v>
      </c>
      <c r="G116" s="5" t="str">
        <f ca="1">IFERROR(__xludf.DUMMYFUNCTION("""COMPUTED_VALUE"""),"1300.0")</f>
        <v>1300.0</v>
      </c>
      <c r="H116" s="5" t="str">
        <f ca="1">IFERROR(__xludf.DUMMYFUNCTION("""COMPUTED_VALUE"""),"52.0")</f>
        <v>52.0</v>
      </c>
      <c r="I116" s="5">
        <f ca="1">IFERROR(__xludf.DUMMYFUNCTION("""COMPUTED_VALUE"""),45418)</f>
        <v>45418</v>
      </c>
      <c r="J116" s="5">
        <f ca="1">IFERROR(__xludf.DUMMYFUNCTION("VALUE(REGEXREPLACE(G116,""\."","",""))"),1300)</f>
        <v>1300</v>
      </c>
      <c r="K116" s="5" t="e">
        <f t="shared" ca="1" si="5"/>
        <v>#NAME?</v>
      </c>
      <c r="L116" s="25"/>
    </row>
    <row r="117" spans="6:12" ht="12.5">
      <c r="F117" s="34">
        <f ca="1">IFERROR(__xludf.DUMMYFUNCTION("""COMPUTED_VALUE"""),27181)</f>
        <v>27181</v>
      </c>
      <c r="G117" s="5" t="str">
        <f ca="1">IFERROR(__xludf.DUMMYFUNCTION("""COMPUTED_VALUE"""),"1300.0")</f>
        <v>1300.0</v>
      </c>
      <c r="H117" s="5" t="str">
        <f ca="1">IFERROR(__xludf.DUMMYFUNCTION("""COMPUTED_VALUE"""),"52.0")</f>
        <v>52.0</v>
      </c>
      <c r="I117" s="5">
        <f ca="1">IFERROR(__xludf.DUMMYFUNCTION("""COMPUTED_VALUE"""),45418)</f>
        <v>45418</v>
      </c>
      <c r="J117" s="5">
        <f ca="1">IFERROR(__xludf.DUMMYFUNCTION("VALUE(REGEXREPLACE(G117,""\."","",""))"),1300)</f>
        <v>1300</v>
      </c>
      <c r="K117" s="5" t="e">
        <f t="shared" ca="1" si="5"/>
        <v>#NAME?</v>
      </c>
      <c r="L117" s="25"/>
    </row>
    <row r="118" spans="6:12" ht="12.5">
      <c r="F118" s="34">
        <f ca="1">IFERROR(__xludf.DUMMYFUNCTION("""COMPUTED_VALUE"""),27211)</f>
        <v>27211</v>
      </c>
      <c r="G118" s="5" t="str">
        <f ca="1">IFERROR(__xludf.DUMMYFUNCTION("""COMPUTED_VALUE"""),"1300.0")</f>
        <v>1300.0</v>
      </c>
      <c r="H118" s="5" t="str">
        <f ca="1">IFERROR(__xludf.DUMMYFUNCTION("""COMPUTED_VALUE"""),"52.0")</f>
        <v>52.0</v>
      </c>
      <c r="I118" s="5">
        <f ca="1">IFERROR(__xludf.DUMMYFUNCTION("""COMPUTED_VALUE"""),45418)</f>
        <v>45418</v>
      </c>
      <c r="J118" s="5">
        <f ca="1">IFERROR(__xludf.DUMMYFUNCTION("VALUE(REGEXREPLACE(G118,""\."","",""))"),1300)</f>
        <v>1300</v>
      </c>
      <c r="K118" s="5" t="e">
        <f t="shared" ca="1" si="5"/>
        <v>#NAME?</v>
      </c>
      <c r="L118" s="25"/>
    </row>
    <row r="119" spans="6:12" ht="12.5">
      <c r="F119" s="34">
        <f ca="1">IFERROR(__xludf.DUMMYFUNCTION("""COMPUTED_VALUE"""),27242)</f>
        <v>27242</v>
      </c>
      <c r="G119" s="5" t="str">
        <f ca="1">IFERROR(__xludf.DUMMYFUNCTION("""COMPUTED_VALUE"""),"1300.0")</f>
        <v>1300.0</v>
      </c>
      <c r="H119" s="5" t="str">
        <f ca="1">IFERROR(__xludf.DUMMYFUNCTION("""COMPUTED_VALUE"""),"52.0")</f>
        <v>52.0</v>
      </c>
      <c r="I119" s="5">
        <f ca="1">IFERROR(__xludf.DUMMYFUNCTION("""COMPUTED_VALUE"""),45418)</f>
        <v>45418</v>
      </c>
      <c r="J119" s="5">
        <f ca="1">IFERROR(__xludf.DUMMYFUNCTION("VALUE(REGEXREPLACE(G119,""\."","",""))"),1300)</f>
        <v>1300</v>
      </c>
      <c r="K119" s="5" t="e">
        <f t="shared" ca="1" si="5"/>
        <v>#NAME?</v>
      </c>
      <c r="L119" s="25"/>
    </row>
    <row r="120" spans="6:12" ht="12.5">
      <c r="F120" s="34">
        <f ca="1">IFERROR(__xludf.DUMMYFUNCTION("""COMPUTED_VALUE"""),27273)</f>
        <v>27273</v>
      </c>
      <c r="G120" s="5" t="str">
        <f ca="1">IFERROR(__xludf.DUMMYFUNCTION("""COMPUTED_VALUE"""),"1300.0")</f>
        <v>1300.0</v>
      </c>
      <c r="H120" s="5" t="str">
        <f ca="1">IFERROR(__xludf.DUMMYFUNCTION("""COMPUTED_VALUE"""),"52.0")</f>
        <v>52.0</v>
      </c>
      <c r="I120" s="5">
        <f ca="1">IFERROR(__xludf.DUMMYFUNCTION("""COMPUTED_VALUE"""),45418)</f>
        <v>45418</v>
      </c>
      <c r="J120" s="5">
        <f ca="1">IFERROR(__xludf.DUMMYFUNCTION("VALUE(REGEXREPLACE(G120,""\."","",""))"),1300)</f>
        <v>1300</v>
      </c>
      <c r="K120" s="5" t="e">
        <f t="shared" ca="1" si="5"/>
        <v>#NAME?</v>
      </c>
      <c r="L120" s="25"/>
    </row>
    <row r="121" spans="6:12" ht="12.5">
      <c r="F121" s="34">
        <f ca="1">IFERROR(__xludf.DUMMYFUNCTION("""COMPUTED_VALUE"""),27303)</f>
        <v>27303</v>
      </c>
      <c r="G121" s="5" t="str">
        <f ca="1">IFERROR(__xludf.DUMMYFUNCTION("""COMPUTED_VALUE"""),"1300.0")</f>
        <v>1300.0</v>
      </c>
      <c r="H121" s="5" t="str">
        <f ca="1">IFERROR(__xludf.DUMMYFUNCTION("""COMPUTED_VALUE"""),"52.0")</f>
        <v>52.0</v>
      </c>
      <c r="I121" s="5">
        <f ca="1">IFERROR(__xludf.DUMMYFUNCTION("""COMPUTED_VALUE"""),45418)</f>
        <v>45418</v>
      </c>
      <c r="J121" s="5">
        <f ca="1">IFERROR(__xludf.DUMMYFUNCTION("VALUE(REGEXREPLACE(G121,""\."","",""))"),1300)</f>
        <v>1300</v>
      </c>
      <c r="K121" s="5" t="e">
        <f t="shared" ca="1" si="5"/>
        <v>#NAME?</v>
      </c>
      <c r="L121" s="25"/>
    </row>
    <row r="122" spans="6:12" ht="12.5">
      <c r="F122" s="34">
        <f ca="1">IFERROR(__xludf.DUMMYFUNCTION("""COMPUTED_VALUE"""),27334)</f>
        <v>27334</v>
      </c>
      <c r="G122" s="5" t="str">
        <f ca="1">IFERROR(__xludf.DUMMYFUNCTION("""COMPUTED_VALUE"""),"1600.0")</f>
        <v>1600.0</v>
      </c>
      <c r="H122" s="5" t="str">
        <f ca="1">IFERROR(__xludf.DUMMYFUNCTION("""COMPUTED_VALUE"""),"64.0")</f>
        <v>64.0</v>
      </c>
      <c r="I122" s="5" t="str">
        <f ca="1">IFERROR(__xludf.DUMMYFUNCTION("""COMPUTED_VALUE"""),"8.0")</f>
        <v>8.0</v>
      </c>
      <c r="J122" s="5">
        <f ca="1">IFERROR(__xludf.DUMMYFUNCTION("VALUE(REGEXREPLACE(G122,""\."","",""))"),1600)</f>
        <v>1600</v>
      </c>
      <c r="K122" s="5" t="e">
        <f t="shared" ca="1" si="5"/>
        <v>#NAME?</v>
      </c>
      <c r="L122" s="25"/>
    </row>
    <row r="123" spans="6:12" ht="12.5">
      <c r="F123" s="34">
        <f ca="1">IFERROR(__xludf.DUMMYFUNCTION("""COMPUTED_VALUE"""),27364)</f>
        <v>27364</v>
      </c>
      <c r="G123" s="5" t="str">
        <f ca="1">IFERROR(__xludf.DUMMYFUNCTION("""COMPUTED_VALUE"""),"1600.0")</f>
        <v>1600.0</v>
      </c>
      <c r="H123" s="5" t="str">
        <f ca="1">IFERROR(__xludf.DUMMYFUNCTION("""COMPUTED_VALUE"""),"64.0")</f>
        <v>64.0</v>
      </c>
      <c r="I123" s="5" t="str">
        <f ca="1">IFERROR(__xludf.DUMMYFUNCTION("""COMPUTED_VALUE"""),"8.0")</f>
        <v>8.0</v>
      </c>
      <c r="J123" s="5">
        <f ca="1">IFERROR(__xludf.DUMMYFUNCTION("VALUE(REGEXREPLACE(G123,""\."","",""))"),1600)</f>
        <v>1600</v>
      </c>
      <c r="K123" s="5" t="e">
        <f t="shared" ca="1" si="5"/>
        <v>#NAME?</v>
      </c>
      <c r="L123" s="25"/>
    </row>
    <row r="124" spans="6:12" ht="12.5">
      <c r="F124" s="34">
        <f ca="1">IFERROR(__xludf.DUMMYFUNCTION("""COMPUTED_VALUE"""),27395)</f>
        <v>27395</v>
      </c>
      <c r="G124" s="5" t="str">
        <f ca="1">IFERROR(__xludf.DUMMYFUNCTION("""COMPUTED_VALUE"""),"1600.0")</f>
        <v>1600.0</v>
      </c>
      <c r="H124" s="5" t="str">
        <f ca="1">IFERROR(__xludf.DUMMYFUNCTION("""COMPUTED_VALUE"""),"64.0")</f>
        <v>64.0</v>
      </c>
      <c r="I124" s="5" t="str">
        <f ca="1">IFERROR(__xludf.DUMMYFUNCTION("""COMPUTED_VALUE"""),"8.0")</f>
        <v>8.0</v>
      </c>
      <c r="J124" s="5">
        <f ca="1">IFERROR(__xludf.DUMMYFUNCTION("VALUE(REGEXREPLACE(G124,""\."","",""))"),1600)</f>
        <v>1600</v>
      </c>
      <c r="K124" s="5" t="e">
        <f t="shared" ca="1" si="5"/>
        <v>#NAME?</v>
      </c>
      <c r="L124" s="25"/>
    </row>
    <row r="125" spans="6:12" ht="12.5">
      <c r="F125" s="34">
        <f ca="1">IFERROR(__xludf.DUMMYFUNCTION("""COMPUTED_VALUE"""),27426)</f>
        <v>27426</v>
      </c>
      <c r="G125" s="5" t="str">
        <f ca="1">IFERROR(__xludf.DUMMYFUNCTION("""COMPUTED_VALUE"""),"1600.0")</f>
        <v>1600.0</v>
      </c>
      <c r="H125" s="5" t="str">
        <f ca="1">IFERROR(__xludf.DUMMYFUNCTION("""COMPUTED_VALUE"""),"64.0")</f>
        <v>64.0</v>
      </c>
      <c r="I125" s="5" t="str">
        <f ca="1">IFERROR(__xludf.DUMMYFUNCTION("""COMPUTED_VALUE"""),"8.0")</f>
        <v>8.0</v>
      </c>
      <c r="J125" s="5">
        <f ca="1">IFERROR(__xludf.DUMMYFUNCTION("VALUE(REGEXREPLACE(G125,""\."","",""))"),1600)</f>
        <v>1600</v>
      </c>
      <c r="K125" s="5" t="e">
        <f t="shared" ca="1" si="5"/>
        <v>#NAME?</v>
      </c>
      <c r="L125" s="25"/>
    </row>
    <row r="126" spans="6:12" ht="12.5">
      <c r="F126" s="34">
        <f ca="1">IFERROR(__xludf.DUMMYFUNCTION("""COMPUTED_VALUE"""),27454)</f>
        <v>27454</v>
      </c>
      <c r="G126" s="5" t="str">
        <f ca="1">IFERROR(__xludf.DUMMYFUNCTION("""COMPUTED_VALUE"""),"2000.0")</f>
        <v>2000.0</v>
      </c>
      <c r="H126" s="5" t="str">
        <f ca="1">IFERROR(__xludf.DUMMYFUNCTION("""COMPUTED_VALUE"""),"80.0")</f>
        <v>80.0</v>
      </c>
      <c r="I126" s="5" t="str">
        <f ca="1">IFERROR(__xludf.DUMMYFUNCTION("""COMPUTED_VALUE"""),"10.0")</f>
        <v>10.0</v>
      </c>
      <c r="J126" s="5">
        <f ca="1">IFERROR(__xludf.DUMMYFUNCTION("VALUE(REGEXREPLACE(G126,""\."","",""))"),2000)</f>
        <v>2000</v>
      </c>
      <c r="K126" s="5" t="e">
        <f t="shared" ca="1" si="5"/>
        <v>#NAME?</v>
      </c>
      <c r="L126" s="25"/>
    </row>
    <row r="127" spans="6:12" ht="12.5">
      <c r="F127" s="34">
        <f ca="1">IFERROR(__xludf.DUMMYFUNCTION("""COMPUTED_VALUE"""),27485)</f>
        <v>27485</v>
      </c>
      <c r="G127" s="5" t="str">
        <f ca="1">IFERROR(__xludf.DUMMYFUNCTION("""COMPUTED_VALUE"""),"2000.0")</f>
        <v>2000.0</v>
      </c>
      <c r="H127" s="5" t="str">
        <f ca="1">IFERROR(__xludf.DUMMYFUNCTION("""COMPUTED_VALUE"""),"80.0")</f>
        <v>80.0</v>
      </c>
      <c r="I127" s="5" t="str">
        <f ca="1">IFERROR(__xludf.DUMMYFUNCTION("""COMPUTED_VALUE"""),"10.0")</f>
        <v>10.0</v>
      </c>
      <c r="J127" s="5">
        <f ca="1">IFERROR(__xludf.DUMMYFUNCTION("VALUE(REGEXREPLACE(G127,""\."","",""))"),2000)</f>
        <v>2000</v>
      </c>
      <c r="K127" s="5" t="e">
        <f t="shared" ca="1" si="5"/>
        <v>#NAME?</v>
      </c>
      <c r="L127" s="25"/>
    </row>
    <row r="128" spans="6:12" ht="12.5">
      <c r="F128" s="34">
        <f ca="1">IFERROR(__xludf.DUMMYFUNCTION("""COMPUTED_VALUE"""),27515)</f>
        <v>27515</v>
      </c>
      <c r="G128" s="5" t="str">
        <f ca="1">IFERROR(__xludf.DUMMYFUNCTION("""COMPUTED_VALUE"""),"2000.0")</f>
        <v>2000.0</v>
      </c>
      <c r="H128" s="5" t="str">
        <f ca="1">IFERROR(__xludf.DUMMYFUNCTION("""COMPUTED_VALUE"""),"80.0")</f>
        <v>80.0</v>
      </c>
      <c r="I128" s="5" t="str">
        <f ca="1">IFERROR(__xludf.DUMMYFUNCTION("""COMPUTED_VALUE"""),"10.0")</f>
        <v>10.0</v>
      </c>
      <c r="J128" s="5">
        <f ca="1">IFERROR(__xludf.DUMMYFUNCTION("VALUE(REGEXREPLACE(G128,""\."","",""))"),2000)</f>
        <v>2000</v>
      </c>
      <c r="K128" s="5" t="e">
        <f t="shared" ca="1" si="5"/>
        <v>#NAME?</v>
      </c>
      <c r="L128" s="25"/>
    </row>
    <row r="129" spans="6:12" ht="12.5">
      <c r="F129" s="34">
        <f ca="1">IFERROR(__xludf.DUMMYFUNCTION("""COMPUTED_VALUE"""),27546)</f>
        <v>27546</v>
      </c>
      <c r="G129" s="5" t="str">
        <f ca="1">IFERROR(__xludf.DUMMYFUNCTION("""COMPUTED_VALUE"""),"3300.0")</f>
        <v>3300.0</v>
      </c>
      <c r="H129" s="5" t="str">
        <f ca="1">IFERROR(__xludf.DUMMYFUNCTION("""COMPUTED_VALUE"""),"132.0")</f>
        <v>132.0</v>
      </c>
      <c r="I129" s="5">
        <f ca="1">IFERROR(__xludf.DUMMYFUNCTION("""COMPUTED_VALUE"""),45428)</f>
        <v>45428</v>
      </c>
      <c r="J129" s="5">
        <f ca="1">IFERROR(__xludf.DUMMYFUNCTION("VALUE(REGEXREPLACE(G129,""\."","",""))"),3300)</f>
        <v>3300</v>
      </c>
      <c r="K129" s="5" t="e">
        <f t="shared" ca="1" si="5"/>
        <v>#NAME?</v>
      </c>
      <c r="L129" s="25"/>
    </row>
    <row r="130" spans="6:12" ht="12.5">
      <c r="F130" s="34">
        <f ca="1">IFERROR(__xludf.DUMMYFUNCTION("""COMPUTED_VALUE"""),27576)</f>
        <v>27576</v>
      </c>
      <c r="G130" s="5" t="str">
        <f ca="1">IFERROR(__xludf.DUMMYFUNCTION("""COMPUTED_VALUE"""),"3300.0")</f>
        <v>3300.0</v>
      </c>
      <c r="H130" s="5" t="str">
        <f ca="1">IFERROR(__xludf.DUMMYFUNCTION("""COMPUTED_VALUE"""),"132.0")</f>
        <v>132.0</v>
      </c>
      <c r="I130" s="5">
        <f ca="1">IFERROR(__xludf.DUMMYFUNCTION("""COMPUTED_VALUE"""),45428)</f>
        <v>45428</v>
      </c>
      <c r="J130" s="5">
        <f ca="1">IFERROR(__xludf.DUMMYFUNCTION("VALUE(REGEXREPLACE(G130,""\."","",""))"),3300)</f>
        <v>3300</v>
      </c>
      <c r="K130" s="5" t="e">
        <f t="shared" ca="1" si="5"/>
        <v>#NAME?</v>
      </c>
      <c r="L130" s="25"/>
    </row>
    <row r="131" spans="6:12" ht="12.5">
      <c r="F131" s="34">
        <f ca="1">IFERROR(__xludf.DUMMYFUNCTION("""COMPUTED_VALUE"""),27607)</f>
        <v>27607</v>
      </c>
      <c r="G131" s="5" t="str">
        <f ca="1">IFERROR(__xludf.DUMMYFUNCTION("""COMPUTED_VALUE"""),"3300.0")</f>
        <v>3300.0</v>
      </c>
      <c r="H131" s="5" t="str">
        <f ca="1">IFERROR(__xludf.DUMMYFUNCTION("""COMPUTED_VALUE"""),"132.0")</f>
        <v>132.0</v>
      </c>
      <c r="I131" s="5">
        <f ca="1">IFERROR(__xludf.DUMMYFUNCTION("""COMPUTED_VALUE"""),45428)</f>
        <v>45428</v>
      </c>
      <c r="J131" s="5">
        <f ca="1">IFERROR(__xludf.DUMMYFUNCTION("VALUE(REGEXREPLACE(G131,""\."","",""))"),3300)</f>
        <v>3300</v>
      </c>
      <c r="K131" s="5" t="e">
        <f t="shared" ca="1" si="5"/>
        <v>#NAME?</v>
      </c>
      <c r="L131" s="25"/>
    </row>
    <row r="132" spans="6:12" ht="12.5">
      <c r="F132" s="34">
        <f ca="1">IFERROR(__xludf.DUMMYFUNCTION("""COMPUTED_VALUE"""),27638)</f>
        <v>27638</v>
      </c>
      <c r="G132" s="5" t="str">
        <f ca="1">IFERROR(__xludf.DUMMYFUNCTION("""COMPUTED_VALUE"""),"3300.0")</f>
        <v>3300.0</v>
      </c>
      <c r="H132" s="5" t="str">
        <f ca="1">IFERROR(__xludf.DUMMYFUNCTION("""COMPUTED_VALUE"""),"132.0")</f>
        <v>132.0</v>
      </c>
      <c r="I132" s="5">
        <f ca="1">IFERROR(__xludf.DUMMYFUNCTION("""COMPUTED_VALUE"""),45428)</f>
        <v>45428</v>
      </c>
      <c r="J132" s="5">
        <f ca="1">IFERROR(__xludf.DUMMYFUNCTION("VALUE(REGEXREPLACE(G132,""\."","",""))"),3300)</f>
        <v>3300</v>
      </c>
      <c r="K132" s="5" t="e">
        <f t="shared" ca="1" si="5"/>
        <v>#NAME?</v>
      </c>
      <c r="L132" s="25"/>
    </row>
    <row r="133" spans="6:12" ht="12.5">
      <c r="F133" s="34">
        <f ca="1">IFERROR(__xludf.DUMMYFUNCTION("""COMPUTED_VALUE"""),27668)</f>
        <v>27668</v>
      </c>
      <c r="G133" s="5" t="str">
        <f ca="1">IFERROR(__xludf.DUMMYFUNCTION("""COMPUTED_VALUE"""),"3300.0")</f>
        <v>3300.0</v>
      </c>
      <c r="H133" s="5" t="str">
        <f ca="1">IFERROR(__xludf.DUMMYFUNCTION("""COMPUTED_VALUE"""),"132.0")</f>
        <v>132.0</v>
      </c>
      <c r="I133" s="5">
        <f ca="1">IFERROR(__xludf.DUMMYFUNCTION("""COMPUTED_VALUE"""),45428)</f>
        <v>45428</v>
      </c>
      <c r="J133" s="5">
        <f ca="1">IFERROR(__xludf.DUMMYFUNCTION("VALUE(REGEXREPLACE(G133,""\."","",""))"),3300)</f>
        <v>3300</v>
      </c>
      <c r="K133" s="5" t="e">
        <f t="shared" ca="1" si="5"/>
        <v>#NAME?</v>
      </c>
      <c r="L133" s="25"/>
    </row>
    <row r="134" spans="6:12" ht="12.5">
      <c r="F134" s="34">
        <f ca="1">IFERROR(__xludf.DUMMYFUNCTION("""COMPUTED_VALUE"""),27699)</f>
        <v>27699</v>
      </c>
      <c r="G134" s="5" t="str">
        <f ca="1">IFERROR(__xludf.DUMMYFUNCTION("""COMPUTED_VALUE"""),"3300.0")</f>
        <v>3300.0</v>
      </c>
      <c r="H134" s="5" t="str">
        <f ca="1">IFERROR(__xludf.DUMMYFUNCTION("""COMPUTED_VALUE"""),"132.0")</f>
        <v>132.0</v>
      </c>
      <c r="I134" s="5">
        <f ca="1">IFERROR(__xludf.DUMMYFUNCTION("""COMPUTED_VALUE"""),45428)</f>
        <v>45428</v>
      </c>
      <c r="J134" s="5">
        <f ca="1">IFERROR(__xludf.DUMMYFUNCTION("VALUE(REGEXREPLACE(G134,""\."","",""))"),3300)</f>
        <v>3300</v>
      </c>
      <c r="K134" s="5" t="e">
        <f t="shared" ca="1" si="5"/>
        <v>#NAME?</v>
      </c>
      <c r="L134" s="25"/>
    </row>
    <row r="135" spans="6:12" ht="12.5">
      <c r="F135" s="34">
        <f ca="1">IFERROR(__xludf.DUMMYFUNCTION("""COMPUTED_VALUE"""),27729)</f>
        <v>27729</v>
      </c>
      <c r="G135" s="5" t="str">
        <f ca="1">IFERROR(__xludf.DUMMYFUNCTION("""COMPUTED_VALUE"""),"3300.0")</f>
        <v>3300.0</v>
      </c>
      <c r="H135" s="5" t="str">
        <f ca="1">IFERROR(__xludf.DUMMYFUNCTION("""COMPUTED_VALUE"""),"132.0")</f>
        <v>132.0</v>
      </c>
      <c r="I135" s="5">
        <f ca="1">IFERROR(__xludf.DUMMYFUNCTION("""COMPUTED_VALUE"""),45428)</f>
        <v>45428</v>
      </c>
      <c r="J135" s="5">
        <f ca="1">IFERROR(__xludf.DUMMYFUNCTION("VALUE(REGEXREPLACE(G135,""\."","",""))"),3300)</f>
        <v>3300</v>
      </c>
      <c r="K135" s="5" t="e">
        <f t="shared" ca="1" si="5"/>
        <v>#NAME?</v>
      </c>
      <c r="L135" s="25"/>
    </row>
    <row r="136" spans="6:12" ht="12.5">
      <c r="F136" s="34">
        <f ca="1">IFERROR(__xludf.DUMMYFUNCTION("""COMPUTED_VALUE"""),27760)</f>
        <v>27760</v>
      </c>
      <c r="G136" s="5" t="str">
        <f ca="1">IFERROR(__xludf.DUMMYFUNCTION("""COMPUTED_VALUE"""),"3300.0")</f>
        <v>3300.0</v>
      </c>
      <c r="H136" s="5" t="str">
        <f ca="1">IFERROR(__xludf.DUMMYFUNCTION("""COMPUTED_VALUE"""),"132.0")</f>
        <v>132.0</v>
      </c>
      <c r="I136" s="5">
        <f ca="1">IFERROR(__xludf.DUMMYFUNCTION("""COMPUTED_VALUE"""),45428)</f>
        <v>45428</v>
      </c>
      <c r="J136" s="5">
        <f ca="1">IFERROR(__xludf.DUMMYFUNCTION("VALUE(REGEXREPLACE(G136,""\."","",""))"),3300)</f>
        <v>3300</v>
      </c>
      <c r="K136" s="5" t="e">
        <f t="shared" ca="1" si="5"/>
        <v>#NAME?</v>
      </c>
      <c r="L136" s="25"/>
    </row>
    <row r="137" spans="6:12" ht="12.5">
      <c r="F137" s="34">
        <f ca="1">IFERROR(__xludf.DUMMYFUNCTION("""COMPUTED_VALUE"""),27791)</f>
        <v>27791</v>
      </c>
      <c r="G137" s="5" t="str">
        <f ca="1">IFERROR(__xludf.DUMMYFUNCTION("""COMPUTED_VALUE"""),"3300.0")</f>
        <v>3300.0</v>
      </c>
      <c r="H137" s="5" t="str">
        <f ca="1">IFERROR(__xludf.DUMMYFUNCTION("""COMPUTED_VALUE"""),"132.0")</f>
        <v>132.0</v>
      </c>
      <c r="I137" s="5">
        <f ca="1">IFERROR(__xludf.DUMMYFUNCTION("""COMPUTED_VALUE"""),45428)</f>
        <v>45428</v>
      </c>
      <c r="J137" s="5">
        <f ca="1">IFERROR(__xludf.DUMMYFUNCTION("VALUE(REGEXREPLACE(G137,""\."","",""))"),3300)</f>
        <v>3300</v>
      </c>
      <c r="K137" s="5" t="e">
        <f t="shared" ca="1" si="5"/>
        <v>#NAME?</v>
      </c>
      <c r="L137" s="25"/>
    </row>
    <row r="138" spans="6:12" ht="12.5">
      <c r="F138" s="34">
        <f ca="1">IFERROR(__xludf.DUMMYFUNCTION("""COMPUTED_VALUE"""),27820)</f>
        <v>27820</v>
      </c>
      <c r="G138" s="5" t="str">
        <f ca="1">IFERROR(__xludf.DUMMYFUNCTION("""COMPUTED_VALUE"""),"3300.0")</f>
        <v>3300.0</v>
      </c>
      <c r="H138" s="5" t="str">
        <f ca="1">IFERROR(__xludf.DUMMYFUNCTION("""COMPUTED_VALUE"""),"132.0")</f>
        <v>132.0</v>
      </c>
      <c r="I138" s="5">
        <f ca="1">IFERROR(__xludf.DUMMYFUNCTION("""COMPUTED_VALUE"""),45428)</f>
        <v>45428</v>
      </c>
      <c r="J138" s="5">
        <f ca="1">IFERROR(__xludf.DUMMYFUNCTION("VALUE(REGEXREPLACE(G138,""\."","",""))"),3300)</f>
        <v>3300</v>
      </c>
      <c r="K138" s="5" t="e">
        <f t="shared" ca="1" si="5"/>
        <v>#NAME?</v>
      </c>
      <c r="L138" s="25"/>
    </row>
    <row r="139" spans="6:12" ht="12.5">
      <c r="F139" s="34">
        <f ca="1">IFERROR(__xludf.DUMMYFUNCTION("""COMPUTED_VALUE"""),27851)</f>
        <v>27851</v>
      </c>
      <c r="G139" s="5" t="str">
        <f ca="1">IFERROR(__xludf.DUMMYFUNCTION("""COMPUTED_VALUE"""),"3300.0")</f>
        <v>3300.0</v>
      </c>
      <c r="H139" s="5" t="str">
        <f ca="1">IFERROR(__xludf.DUMMYFUNCTION("""COMPUTED_VALUE"""),"132.0")</f>
        <v>132.0</v>
      </c>
      <c r="I139" s="5">
        <f ca="1">IFERROR(__xludf.DUMMYFUNCTION("""COMPUTED_VALUE"""),45428)</f>
        <v>45428</v>
      </c>
      <c r="J139" s="5">
        <f ca="1">IFERROR(__xludf.DUMMYFUNCTION("VALUE(REGEXREPLACE(G139,""\."","",""))"),3300)</f>
        <v>3300</v>
      </c>
      <c r="K139" s="5" t="e">
        <f t="shared" ca="1" si="5"/>
        <v>#NAME?</v>
      </c>
      <c r="L139" s="25"/>
    </row>
    <row r="140" spans="6:12" ht="12.5">
      <c r="F140" s="34">
        <f ca="1">IFERROR(__xludf.DUMMYFUNCTION("""COMPUTED_VALUE"""),27881)</f>
        <v>27881</v>
      </c>
      <c r="G140" s="5" t="str">
        <f ca="1">IFERROR(__xludf.DUMMYFUNCTION("""COMPUTED_VALUE"""),"3300.0")</f>
        <v>3300.0</v>
      </c>
      <c r="H140" s="5" t="str">
        <f ca="1">IFERROR(__xludf.DUMMYFUNCTION("""COMPUTED_VALUE"""),"132.0")</f>
        <v>132.0</v>
      </c>
      <c r="I140" s="5">
        <f ca="1">IFERROR(__xludf.DUMMYFUNCTION("""COMPUTED_VALUE"""),45428)</f>
        <v>45428</v>
      </c>
      <c r="J140" s="5">
        <f ca="1">IFERROR(__xludf.DUMMYFUNCTION("VALUE(REGEXREPLACE(G140,""\."","",""))"),3300)</f>
        <v>3300</v>
      </c>
      <c r="K140" s="5" t="e">
        <f t="shared" ca="1" si="5"/>
        <v>#NAME?</v>
      </c>
      <c r="L140" s="25"/>
    </row>
    <row r="141" spans="6:12" ht="12.5">
      <c r="F141" s="34">
        <f ca="1">IFERROR(__xludf.DUMMYFUNCTION("""COMPUTED_VALUE"""),27912)</f>
        <v>27912</v>
      </c>
      <c r="G141" s="5" t="str">
        <f ca="1">IFERROR(__xludf.DUMMYFUNCTION("""COMPUTED_VALUE"""),"10000.0")</f>
        <v>10000.0</v>
      </c>
      <c r="H141" s="5" t="str">
        <f ca="1">IFERROR(__xludf.DUMMYFUNCTION("""COMPUTED_VALUE"""),"400.0")</f>
        <v>400.0</v>
      </c>
      <c r="I141" s="5" t="str">
        <f ca="1">IFERROR(__xludf.DUMMYFUNCTION("""COMPUTED_VALUE"""),"50.0")</f>
        <v>50.0</v>
      </c>
      <c r="J141" s="5">
        <f ca="1">IFERROR(__xludf.DUMMYFUNCTION("VALUE(REGEXREPLACE(G141,""\."","",""))"),10000)</f>
        <v>10000</v>
      </c>
      <c r="K141" s="5" t="e">
        <f t="shared" ca="1" si="5"/>
        <v>#NAME?</v>
      </c>
      <c r="L141" s="25"/>
    </row>
    <row r="142" spans="6:12" ht="12.5">
      <c r="F142" s="34">
        <f ca="1">IFERROR(__xludf.DUMMYFUNCTION("""COMPUTED_VALUE"""),27942)</f>
        <v>27942</v>
      </c>
      <c r="G142" s="5" t="str">
        <f ca="1">IFERROR(__xludf.DUMMYFUNCTION("""COMPUTED_VALUE"""),"10000.0")</f>
        <v>10000.0</v>
      </c>
      <c r="H142" s="5" t="str">
        <f ca="1">IFERROR(__xludf.DUMMYFUNCTION("""COMPUTED_VALUE"""),"400.0")</f>
        <v>400.0</v>
      </c>
      <c r="I142" s="5" t="str">
        <f ca="1">IFERROR(__xludf.DUMMYFUNCTION("""COMPUTED_VALUE"""),"50.0")</f>
        <v>50.0</v>
      </c>
      <c r="J142" s="5">
        <f ca="1">IFERROR(__xludf.DUMMYFUNCTION("VALUE(REGEXREPLACE(G142,""\."","",""))"),10000)</f>
        <v>10000</v>
      </c>
      <c r="K142" s="5" t="e">
        <f t="shared" ca="1" si="5"/>
        <v>#NAME?</v>
      </c>
      <c r="L142" s="25"/>
    </row>
    <row r="143" spans="6:12" ht="12.5">
      <c r="F143" s="34">
        <f ca="1">IFERROR(__xludf.DUMMYFUNCTION("""COMPUTED_VALUE"""),27973)</f>
        <v>27973</v>
      </c>
      <c r="G143" s="5" t="str">
        <f ca="1">IFERROR(__xludf.DUMMYFUNCTION("""COMPUTED_VALUE"""),"10000.0")</f>
        <v>10000.0</v>
      </c>
      <c r="H143" s="5" t="str">
        <f ca="1">IFERROR(__xludf.DUMMYFUNCTION("""COMPUTED_VALUE"""),"400.0")</f>
        <v>400.0</v>
      </c>
      <c r="I143" s="5" t="str">
        <f ca="1">IFERROR(__xludf.DUMMYFUNCTION("""COMPUTED_VALUE"""),"50.0")</f>
        <v>50.0</v>
      </c>
      <c r="J143" s="5">
        <f ca="1">IFERROR(__xludf.DUMMYFUNCTION("VALUE(REGEXREPLACE(G143,""\."","",""))"),10000)</f>
        <v>10000</v>
      </c>
      <c r="K143" s="5" t="e">
        <f t="shared" ca="1" si="5"/>
        <v>#NAME?</v>
      </c>
      <c r="L143" s="25"/>
    </row>
    <row r="144" spans="6:12" ht="12.5">
      <c r="F144" s="34">
        <f ca="1">IFERROR(__xludf.DUMMYFUNCTION("""COMPUTED_VALUE"""),28004)</f>
        <v>28004</v>
      </c>
      <c r="G144" s="5" t="str">
        <f ca="1">IFERROR(__xludf.DUMMYFUNCTION("""COMPUTED_VALUE"""),"11200.0")</f>
        <v>11200.0</v>
      </c>
      <c r="H144" s="5" t="str">
        <f ca="1">IFERROR(__xludf.DUMMYFUNCTION("""COMPUTED_VALUE"""),"448.0")</f>
        <v>448.0</v>
      </c>
      <c r="I144" s="5" t="str">
        <f ca="1">IFERROR(__xludf.DUMMYFUNCTION("""COMPUTED_VALUE"""),"56.0")</f>
        <v>56.0</v>
      </c>
      <c r="J144" s="5">
        <f ca="1">IFERROR(__xludf.DUMMYFUNCTION("VALUE(REGEXREPLACE(G144,""\."","",""))"),11200)</f>
        <v>11200</v>
      </c>
      <c r="K144" s="5" t="e">
        <f t="shared" ca="1" si="5"/>
        <v>#NAME?</v>
      </c>
      <c r="L144" s="25"/>
    </row>
    <row r="145" spans="6:12" ht="12.5">
      <c r="F145" s="34">
        <f ca="1">IFERROR(__xludf.DUMMYFUNCTION("""COMPUTED_VALUE"""),28034)</f>
        <v>28034</v>
      </c>
      <c r="G145" s="5" t="str">
        <f ca="1">IFERROR(__xludf.DUMMYFUNCTION("""COMPUTED_VALUE"""),"11200.0")</f>
        <v>11200.0</v>
      </c>
      <c r="H145" s="5" t="str">
        <f ca="1">IFERROR(__xludf.DUMMYFUNCTION("""COMPUTED_VALUE"""),"448.0")</f>
        <v>448.0</v>
      </c>
      <c r="I145" s="5" t="str">
        <f ca="1">IFERROR(__xludf.DUMMYFUNCTION("""COMPUTED_VALUE"""),"56.0")</f>
        <v>56.0</v>
      </c>
      <c r="J145" s="5">
        <f ca="1">IFERROR(__xludf.DUMMYFUNCTION("VALUE(REGEXREPLACE(G145,""\."","",""))"),11200)</f>
        <v>11200</v>
      </c>
      <c r="K145" s="5" t="e">
        <f t="shared" ca="1" si="5"/>
        <v>#NAME?</v>
      </c>
      <c r="L145" s="25"/>
    </row>
    <row r="146" spans="6:12" ht="12.5">
      <c r="F146" s="34">
        <f ca="1">IFERROR(__xludf.DUMMYFUNCTION("""COMPUTED_VALUE"""),28065)</f>
        <v>28065</v>
      </c>
      <c r="G146" s="5" t="str">
        <f ca="1">IFERROR(__xludf.DUMMYFUNCTION("""COMPUTED_VALUE"""),"11200.0")</f>
        <v>11200.0</v>
      </c>
      <c r="H146" s="5" t="str">
        <f ca="1">IFERROR(__xludf.DUMMYFUNCTION("""COMPUTED_VALUE"""),"448.0")</f>
        <v>448.0</v>
      </c>
      <c r="I146" s="5" t="str">
        <f ca="1">IFERROR(__xludf.DUMMYFUNCTION("""COMPUTED_VALUE"""),"56.0")</f>
        <v>56.0</v>
      </c>
      <c r="J146" s="5">
        <f ca="1">IFERROR(__xludf.DUMMYFUNCTION("VALUE(REGEXREPLACE(G146,""\."","",""))"),11200)</f>
        <v>11200</v>
      </c>
      <c r="K146" s="5" t="e">
        <f t="shared" ca="1" si="5"/>
        <v>#NAME?</v>
      </c>
      <c r="L146" s="25"/>
    </row>
    <row r="147" spans="6:12" ht="12.5">
      <c r="F147" s="34">
        <f ca="1">IFERROR(__xludf.DUMMYFUNCTION("""COMPUTED_VALUE"""),28095)</f>
        <v>28095</v>
      </c>
      <c r="G147" s="5" t="str">
        <f ca="1">IFERROR(__xludf.DUMMYFUNCTION("""COMPUTED_VALUE"""),"11200.0")</f>
        <v>11200.0</v>
      </c>
      <c r="H147" s="5" t="str">
        <f ca="1">IFERROR(__xludf.DUMMYFUNCTION("""COMPUTED_VALUE"""),"448.0")</f>
        <v>448.0</v>
      </c>
      <c r="I147" s="5" t="str">
        <f ca="1">IFERROR(__xludf.DUMMYFUNCTION("""COMPUTED_VALUE"""),"56.0")</f>
        <v>56.0</v>
      </c>
      <c r="J147" s="5">
        <f ca="1">IFERROR(__xludf.DUMMYFUNCTION("VALUE(REGEXREPLACE(G147,""\."","",""))"),11200)</f>
        <v>11200</v>
      </c>
      <c r="K147" s="5" t="e">
        <f t="shared" ca="1" si="5"/>
        <v>#NAME?</v>
      </c>
      <c r="L147" s="25"/>
    </row>
    <row r="148" spans="6:12" ht="12.5">
      <c r="F148" s="34">
        <f ca="1">IFERROR(__xludf.DUMMYFUNCTION("""COMPUTED_VALUE"""),28126)</f>
        <v>28126</v>
      </c>
      <c r="G148" s="5" t="str">
        <f ca="1">IFERROR(__xludf.DUMMYFUNCTION("""COMPUTED_VALUE"""),"14000.0")</f>
        <v>14000.0</v>
      </c>
      <c r="H148" s="5" t="str">
        <f ca="1">IFERROR(__xludf.DUMMYFUNCTION("""COMPUTED_VALUE"""),"560.0")</f>
        <v>560.0</v>
      </c>
      <c r="I148" s="5" t="str">
        <f ca="1">IFERROR(__xludf.DUMMYFUNCTION("""COMPUTED_VALUE"""),"70.0")</f>
        <v>70.0</v>
      </c>
      <c r="J148" s="5">
        <f ca="1">IFERROR(__xludf.DUMMYFUNCTION("VALUE(REGEXREPLACE(G148,""\."","",""))"),14000)</f>
        <v>14000</v>
      </c>
      <c r="K148" s="5" t="e">
        <f t="shared" ca="1" si="5"/>
        <v>#NAME?</v>
      </c>
      <c r="L148" s="25"/>
    </row>
    <row r="149" spans="6:12" ht="12.5">
      <c r="F149" s="34">
        <f ca="1">IFERROR(__xludf.DUMMYFUNCTION("""COMPUTED_VALUE"""),28157)</f>
        <v>28157</v>
      </c>
      <c r="G149" s="5" t="str">
        <f ca="1">IFERROR(__xludf.DUMMYFUNCTION("""COMPUTED_VALUE"""),"14000.0")</f>
        <v>14000.0</v>
      </c>
      <c r="H149" s="5" t="str">
        <f ca="1">IFERROR(__xludf.DUMMYFUNCTION("""COMPUTED_VALUE"""),"560.0")</f>
        <v>560.0</v>
      </c>
      <c r="I149" s="5" t="str">
        <f ca="1">IFERROR(__xludf.DUMMYFUNCTION("""COMPUTED_VALUE"""),"70.0")</f>
        <v>70.0</v>
      </c>
      <c r="J149" s="5">
        <f ca="1">IFERROR(__xludf.DUMMYFUNCTION("VALUE(REGEXREPLACE(G149,""\."","",""))"),14000)</f>
        <v>14000</v>
      </c>
      <c r="K149" s="5" t="e">
        <f t="shared" ca="1" si="5"/>
        <v>#NAME?</v>
      </c>
      <c r="L149" s="25"/>
    </row>
    <row r="150" spans="6:12" ht="12.5">
      <c r="F150" s="34">
        <f ca="1">IFERROR(__xludf.DUMMYFUNCTION("""COMPUTED_VALUE"""),28185)</f>
        <v>28185</v>
      </c>
      <c r="G150" s="5" t="str">
        <f ca="1">IFERROR(__xludf.DUMMYFUNCTION("""COMPUTED_VALUE"""),"14000.0")</f>
        <v>14000.0</v>
      </c>
      <c r="H150" s="5" t="str">
        <f ca="1">IFERROR(__xludf.DUMMYFUNCTION("""COMPUTED_VALUE"""),"560.0")</f>
        <v>560.0</v>
      </c>
      <c r="I150" s="5" t="str">
        <f ca="1">IFERROR(__xludf.DUMMYFUNCTION("""COMPUTED_VALUE"""),"70.0")</f>
        <v>70.0</v>
      </c>
      <c r="J150" s="5">
        <f ca="1">IFERROR(__xludf.DUMMYFUNCTION("VALUE(REGEXREPLACE(G150,""\."","",""))"),14000)</f>
        <v>14000</v>
      </c>
      <c r="K150" s="5" t="e">
        <f t="shared" ca="1" si="5"/>
        <v>#NAME?</v>
      </c>
      <c r="L150" s="25"/>
    </row>
    <row r="151" spans="6:12" ht="12.5">
      <c r="F151" s="34">
        <f ca="1">IFERROR(__xludf.DUMMYFUNCTION("""COMPUTED_VALUE"""),28216)</f>
        <v>28216</v>
      </c>
      <c r="G151" s="5" t="str">
        <f ca="1">IFERROR(__xludf.DUMMYFUNCTION("""COMPUTED_VALUE"""),"14000.0")</f>
        <v>14000.0</v>
      </c>
      <c r="H151" s="5" t="str">
        <f ca="1">IFERROR(__xludf.DUMMYFUNCTION("""COMPUTED_VALUE"""),"560.0")</f>
        <v>560.0</v>
      </c>
      <c r="I151" s="5" t="str">
        <f ca="1">IFERROR(__xludf.DUMMYFUNCTION("""COMPUTED_VALUE"""),"70.0")</f>
        <v>70.0</v>
      </c>
      <c r="J151" s="5">
        <f ca="1">IFERROR(__xludf.DUMMYFUNCTION("VALUE(REGEXREPLACE(G151,""\."","",""))"),14000)</f>
        <v>14000</v>
      </c>
      <c r="K151" s="5" t="e">
        <f t="shared" ca="1" si="5"/>
        <v>#NAME?</v>
      </c>
      <c r="L151" s="25"/>
    </row>
    <row r="152" spans="6:12" ht="12.5">
      <c r="F152" s="34">
        <f ca="1">IFERROR(__xludf.DUMMYFUNCTION("""COMPUTED_VALUE"""),28246)</f>
        <v>28246</v>
      </c>
      <c r="G152" s="5" t="str">
        <f ca="1">IFERROR(__xludf.DUMMYFUNCTION("""COMPUTED_VALUE"""),"14000.0")</f>
        <v>14000.0</v>
      </c>
      <c r="H152" s="5" t="str">
        <f ca="1">IFERROR(__xludf.DUMMYFUNCTION("""COMPUTED_VALUE"""),"560.0")</f>
        <v>560.0</v>
      </c>
      <c r="I152" s="5" t="str">
        <f ca="1">IFERROR(__xludf.DUMMYFUNCTION("""COMPUTED_VALUE"""),"70.0")</f>
        <v>70.0</v>
      </c>
      <c r="J152" s="5">
        <f ca="1">IFERROR(__xludf.DUMMYFUNCTION("VALUE(REGEXREPLACE(G152,""\."","",""))"),14000)</f>
        <v>14000</v>
      </c>
      <c r="K152" s="5" t="e">
        <f t="shared" ca="1" si="5"/>
        <v>#NAME?</v>
      </c>
      <c r="L152" s="25"/>
    </row>
    <row r="153" spans="6:12" ht="12.5">
      <c r="F153" s="34">
        <f ca="1">IFERROR(__xludf.DUMMYFUNCTION("""COMPUTED_VALUE"""),28277)</f>
        <v>28277</v>
      </c>
      <c r="G153" s="5" t="str">
        <f ca="1">IFERROR(__xludf.DUMMYFUNCTION("""COMPUTED_VALUE"""),"14000.0")</f>
        <v>14000.0</v>
      </c>
      <c r="H153" s="5" t="str">
        <f ca="1">IFERROR(__xludf.DUMMYFUNCTION("""COMPUTED_VALUE"""),"560.0")</f>
        <v>560.0</v>
      </c>
      <c r="I153" s="5" t="str">
        <f ca="1">IFERROR(__xludf.DUMMYFUNCTION("""COMPUTED_VALUE"""),"70.0")</f>
        <v>70.0</v>
      </c>
      <c r="J153" s="5">
        <f ca="1">IFERROR(__xludf.DUMMYFUNCTION("VALUE(REGEXREPLACE(G153,""\."","",""))"),14000)</f>
        <v>14000</v>
      </c>
      <c r="K153" s="5" t="e">
        <f t="shared" ca="1" si="5"/>
        <v>#NAME?</v>
      </c>
      <c r="L153" s="25"/>
    </row>
    <row r="154" spans="6:12" ht="12.5">
      <c r="F154" s="34">
        <f ca="1">IFERROR(__xludf.DUMMYFUNCTION("""COMPUTED_VALUE"""),28307)</f>
        <v>28307</v>
      </c>
      <c r="G154" s="5" t="str">
        <f ca="1">IFERROR(__xludf.DUMMYFUNCTION("""COMPUTED_VALUE"""),"22500.0")</f>
        <v>22500.0</v>
      </c>
      <c r="H154" s="5" t="str">
        <f ca="1">IFERROR(__xludf.DUMMYFUNCTION("""COMPUTED_VALUE"""),"900.0")</f>
        <v>900.0</v>
      </c>
      <c r="I154" s="5" t="str">
        <f ca="1">IFERROR(__xludf.DUMMYFUNCTION("""COMPUTED_VALUE"""),"112.5")</f>
        <v>112.5</v>
      </c>
      <c r="J154" s="5">
        <f ca="1">IFERROR(__xludf.DUMMYFUNCTION("VALUE(REGEXREPLACE(G154,""\."","",""))"),22500)</f>
        <v>22500</v>
      </c>
      <c r="K154" s="5" t="e">
        <f t="shared" ca="1" si="5"/>
        <v>#NAME?</v>
      </c>
      <c r="L154" s="25"/>
    </row>
    <row r="155" spans="6:12" ht="12.5">
      <c r="F155" s="34">
        <f ca="1">IFERROR(__xludf.DUMMYFUNCTION("""COMPUTED_VALUE"""),28338)</f>
        <v>28338</v>
      </c>
      <c r="G155" s="5" t="str">
        <f ca="1">IFERROR(__xludf.DUMMYFUNCTION("""COMPUTED_VALUE"""),"22500.0")</f>
        <v>22500.0</v>
      </c>
      <c r="H155" s="5" t="str">
        <f ca="1">IFERROR(__xludf.DUMMYFUNCTION("""COMPUTED_VALUE"""),"900.0")</f>
        <v>900.0</v>
      </c>
      <c r="I155" s="5" t="str">
        <f ca="1">IFERROR(__xludf.DUMMYFUNCTION("""COMPUTED_VALUE"""),"112.5")</f>
        <v>112.5</v>
      </c>
      <c r="J155" s="5">
        <f ca="1">IFERROR(__xludf.DUMMYFUNCTION("VALUE(REGEXREPLACE(G155,""\."","",""))"),22500)</f>
        <v>22500</v>
      </c>
      <c r="K155" s="5" t="e">
        <f t="shared" ca="1" si="5"/>
        <v>#NAME?</v>
      </c>
      <c r="L155" s="25"/>
    </row>
    <row r="156" spans="6:12" ht="12.5">
      <c r="F156" s="34">
        <f ca="1">IFERROR(__xludf.DUMMYFUNCTION("""COMPUTED_VALUE"""),28369)</f>
        <v>28369</v>
      </c>
      <c r="G156" s="5" t="str">
        <f ca="1">IFERROR(__xludf.DUMMYFUNCTION("""COMPUTED_VALUE"""),"22500.0")</f>
        <v>22500.0</v>
      </c>
      <c r="H156" s="5" t="str">
        <f ca="1">IFERROR(__xludf.DUMMYFUNCTION("""COMPUTED_VALUE"""),"900.0")</f>
        <v>900.0</v>
      </c>
      <c r="I156" s="5" t="str">
        <f ca="1">IFERROR(__xludf.DUMMYFUNCTION("""COMPUTED_VALUE"""),"112.5")</f>
        <v>112.5</v>
      </c>
      <c r="J156" s="5">
        <f ca="1">IFERROR(__xludf.DUMMYFUNCTION("VALUE(REGEXREPLACE(G156,""\."","",""))"),22500)</f>
        <v>22500</v>
      </c>
      <c r="K156" s="5" t="e">
        <f t="shared" ca="1" si="5"/>
        <v>#NAME?</v>
      </c>
      <c r="L156" s="25"/>
    </row>
    <row r="157" spans="6:12" ht="12.5">
      <c r="F157" s="34">
        <f ca="1">IFERROR(__xludf.DUMMYFUNCTION("""COMPUTED_VALUE"""),28399)</f>
        <v>28399</v>
      </c>
      <c r="G157" s="5" t="str">
        <f ca="1">IFERROR(__xludf.DUMMYFUNCTION("""COMPUTED_VALUE"""),"30000.0")</f>
        <v>30000.0</v>
      </c>
      <c r="H157" s="5" t="str">
        <f ca="1">IFERROR(__xludf.DUMMYFUNCTION("""COMPUTED_VALUE"""),"1200.0")</f>
        <v>1200.0</v>
      </c>
      <c r="I157" s="5" t="str">
        <f ca="1">IFERROR(__xludf.DUMMYFUNCTION("""COMPUTED_VALUE"""),"150.0")</f>
        <v>150.0</v>
      </c>
      <c r="J157" s="5">
        <f ca="1">IFERROR(__xludf.DUMMYFUNCTION("VALUE(REGEXREPLACE(G157,""\."","",""))"),30000)</f>
        <v>30000</v>
      </c>
      <c r="K157" s="5" t="e">
        <f t="shared" ca="1" si="5"/>
        <v>#NAME?</v>
      </c>
      <c r="L157" s="25"/>
    </row>
    <row r="158" spans="6:12" ht="12.5">
      <c r="F158" s="34">
        <f ca="1">IFERROR(__xludf.DUMMYFUNCTION("""COMPUTED_VALUE"""),28430)</f>
        <v>28430</v>
      </c>
      <c r="G158" s="5" t="str">
        <f ca="1">IFERROR(__xludf.DUMMYFUNCTION("""COMPUTED_VALUE"""),"30000.0")</f>
        <v>30000.0</v>
      </c>
      <c r="H158" s="5" t="str">
        <f ca="1">IFERROR(__xludf.DUMMYFUNCTION("""COMPUTED_VALUE"""),"1200.0")</f>
        <v>1200.0</v>
      </c>
      <c r="I158" s="5" t="str">
        <f ca="1">IFERROR(__xludf.DUMMYFUNCTION("""COMPUTED_VALUE"""),"150.0")</f>
        <v>150.0</v>
      </c>
      <c r="J158" s="5">
        <f ca="1">IFERROR(__xludf.DUMMYFUNCTION("VALUE(REGEXREPLACE(G158,""\."","",""))"),30000)</f>
        <v>30000</v>
      </c>
      <c r="K158" s="5" t="e">
        <f t="shared" ca="1" si="5"/>
        <v>#NAME?</v>
      </c>
      <c r="L158" s="25"/>
    </row>
    <row r="159" spans="6:12" ht="12.5">
      <c r="F159" s="34">
        <f ca="1">IFERROR(__xludf.DUMMYFUNCTION("""COMPUTED_VALUE"""),28460)</f>
        <v>28460</v>
      </c>
      <c r="G159" s="5" t="str">
        <f ca="1">IFERROR(__xludf.DUMMYFUNCTION("""COMPUTED_VALUE"""),"30000.0")</f>
        <v>30000.0</v>
      </c>
      <c r="H159" s="5" t="str">
        <f ca="1">IFERROR(__xludf.DUMMYFUNCTION("""COMPUTED_VALUE"""),"1200.0")</f>
        <v>1200.0</v>
      </c>
      <c r="I159" s="5" t="str">
        <f ca="1">IFERROR(__xludf.DUMMYFUNCTION("""COMPUTED_VALUE"""),"150.0")</f>
        <v>150.0</v>
      </c>
      <c r="J159" s="5">
        <f ca="1">IFERROR(__xludf.DUMMYFUNCTION("VALUE(REGEXREPLACE(G159,""\."","",""))"),30000)</f>
        <v>30000</v>
      </c>
      <c r="K159" s="5" t="e">
        <f t="shared" ca="1" si="5"/>
        <v>#NAME?</v>
      </c>
      <c r="L159" s="25"/>
    </row>
    <row r="160" spans="6:12" ht="12.5">
      <c r="F160" s="34">
        <f ca="1">IFERROR(__xludf.DUMMYFUNCTION("""COMPUTED_VALUE"""),28491)</f>
        <v>28491</v>
      </c>
      <c r="G160" s="5" t="str">
        <f ca="1">IFERROR(__xludf.DUMMYFUNCTION("""COMPUTED_VALUE"""),"30000.0")</f>
        <v>30000.0</v>
      </c>
      <c r="H160" s="5" t="str">
        <f ca="1">IFERROR(__xludf.DUMMYFUNCTION("""COMPUTED_VALUE"""),"1200.0")</f>
        <v>1200.0</v>
      </c>
      <c r="I160" s="5" t="str">
        <f ca="1">IFERROR(__xludf.DUMMYFUNCTION("""COMPUTED_VALUE"""),"150.0")</f>
        <v>150.0</v>
      </c>
      <c r="J160" s="5">
        <f ca="1">IFERROR(__xludf.DUMMYFUNCTION("VALUE(REGEXREPLACE(G160,""\."","",""))"),30000)</f>
        <v>30000</v>
      </c>
      <c r="K160" s="5" t="e">
        <f t="shared" ca="1" si="5"/>
        <v>#NAME?</v>
      </c>
      <c r="L160" s="25"/>
    </row>
    <row r="161" spans="6:12" ht="12.5">
      <c r="F161" s="34">
        <f ca="1">IFERROR(__xludf.DUMMYFUNCTION("""COMPUTED_VALUE"""),28522)</f>
        <v>28522</v>
      </c>
      <c r="G161" s="5" t="str">
        <f ca="1">IFERROR(__xludf.DUMMYFUNCTION("""COMPUTED_VALUE"""),"30000.0")</f>
        <v>30000.0</v>
      </c>
      <c r="H161" s="5" t="str">
        <f ca="1">IFERROR(__xludf.DUMMYFUNCTION("""COMPUTED_VALUE"""),"1200.0")</f>
        <v>1200.0</v>
      </c>
      <c r="I161" s="5" t="str">
        <f ca="1">IFERROR(__xludf.DUMMYFUNCTION("""COMPUTED_VALUE"""),"150.0")</f>
        <v>150.0</v>
      </c>
      <c r="J161" s="5">
        <f ca="1">IFERROR(__xludf.DUMMYFUNCTION("VALUE(REGEXREPLACE(G161,""\."","",""))"),30000)</f>
        <v>30000</v>
      </c>
      <c r="K161" s="5" t="e">
        <f t="shared" ca="1" si="5"/>
        <v>#NAME?</v>
      </c>
      <c r="L161" s="25"/>
    </row>
    <row r="162" spans="6:12" ht="12.5">
      <c r="F162" s="34">
        <f ca="1">IFERROR(__xludf.DUMMYFUNCTION("""COMPUTED_VALUE"""),28550)</f>
        <v>28550</v>
      </c>
      <c r="G162" s="5" t="str">
        <f ca="1">IFERROR(__xludf.DUMMYFUNCTION("""COMPUTED_VALUE"""),"30000.0")</f>
        <v>30000.0</v>
      </c>
      <c r="H162" s="5" t="str">
        <f ca="1">IFERROR(__xludf.DUMMYFUNCTION("""COMPUTED_VALUE"""),"1200.0")</f>
        <v>1200.0</v>
      </c>
      <c r="I162" s="5" t="str">
        <f ca="1">IFERROR(__xludf.DUMMYFUNCTION("""COMPUTED_VALUE"""),"150.0")</f>
        <v>150.0</v>
      </c>
      <c r="J162" s="5">
        <f ca="1">IFERROR(__xludf.DUMMYFUNCTION("VALUE(REGEXREPLACE(G162,""\."","",""))"),30000)</f>
        <v>30000</v>
      </c>
      <c r="K162" s="5" t="e">
        <f t="shared" ca="1" si="5"/>
        <v>#NAME?</v>
      </c>
      <c r="L162" s="25"/>
    </row>
    <row r="163" spans="6:12" ht="12.5">
      <c r="F163" s="34">
        <f ca="1">IFERROR(__xludf.DUMMYFUNCTION("""COMPUTED_VALUE"""),28581)</f>
        <v>28581</v>
      </c>
      <c r="G163" s="5" t="str">
        <f ca="1">IFERROR(__xludf.DUMMYFUNCTION("""COMPUTED_VALUE"""),"30000.0")</f>
        <v>30000.0</v>
      </c>
      <c r="H163" s="5" t="str">
        <f ca="1">IFERROR(__xludf.DUMMYFUNCTION("""COMPUTED_VALUE"""),"1200.0")</f>
        <v>1200.0</v>
      </c>
      <c r="I163" s="5" t="str">
        <f ca="1">IFERROR(__xludf.DUMMYFUNCTION("""COMPUTED_VALUE"""),"150.0")</f>
        <v>150.0</v>
      </c>
      <c r="J163" s="5">
        <f ca="1">IFERROR(__xludf.DUMMYFUNCTION("VALUE(REGEXREPLACE(G163,""\."","",""))"),30000)</f>
        <v>30000</v>
      </c>
      <c r="K163" s="5" t="e">
        <f t="shared" ca="1" si="5"/>
        <v>#NAME?</v>
      </c>
      <c r="L163" s="25"/>
    </row>
    <row r="164" spans="6:12" ht="12.5">
      <c r="F164" s="34">
        <f ca="1">IFERROR(__xludf.DUMMYFUNCTION("""COMPUTED_VALUE"""),28611)</f>
        <v>28611</v>
      </c>
      <c r="G164" s="5" t="str">
        <f ca="1">IFERROR(__xludf.DUMMYFUNCTION("""COMPUTED_VALUE"""),"30000.0")</f>
        <v>30000.0</v>
      </c>
      <c r="H164" s="5" t="str">
        <f ca="1">IFERROR(__xludf.DUMMYFUNCTION("""COMPUTED_VALUE"""),"1200.0")</f>
        <v>1200.0</v>
      </c>
      <c r="I164" s="5" t="str">
        <f ca="1">IFERROR(__xludf.DUMMYFUNCTION("""COMPUTED_VALUE"""),"150.0")</f>
        <v>150.0</v>
      </c>
      <c r="J164" s="5">
        <f ca="1">IFERROR(__xludf.DUMMYFUNCTION("VALUE(REGEXREPLACE(G164,""\."","",""))"),30000)</f>
        <v>30000</v>
      </c>
      <c r="K164" s="5" t="e">
        <f t="shared" ca="1" si="5"/>
        <v>#NAME?</v>
      </c>
      <c r="L164" s="25"/>
    </row>
    <row r="165" spans="6:12" ht="12.5">
      <c r="F165" s="34">
        <f ca="1">IFERROR(__xludf.DUMMYFUNCTION("""COMPUTED_VALUE"""),28642)</f>
        <v>28642</v>
      </c>
      <c r="G165" s="5" t="str">
        <f ca="1">IFERROR(__xludf.DUMMYFUNCTION("""COMPUTED_VALUE"""),"30000.0")</f>
        <v>30000.0</v>
      </c>
      <c r="H165" s="5" t="str">
        <f ca="1">IFERROR(__xludf.DUMMYFUNCTION("""COMPUTED_VALUE"""),"1200.0")</f>
        <v>1200.0</v>
      </c>
      <c r="I165" s="5" t="str">
        <f ca="1">IFERROR(__xludf.DUMMYFUNCTION("""COMPUTED_VALUE"""),"150.0")</f>
        <v>150.0</v>
      </c>
      <c r="J165" s="5">
        <f ca="1">IFERROR(__xludf.DUMMYFUNCTION("VALUE(REGEXREPLACE(G165,""\."","",""))"),30000)</f>
        <v>30000</v>
      </c>
      <c r="K165" s="5" t="e">
        <f t="shared" ca="1" si="5"/>
        <v>#NAME?</v>
      </c>
      <c r="L165" s="25"/>
    </row>
    <row r="166" spans="6:12" ht="12.5">
      <c r="F166" s="34">
        <f ca="1">IFERROR(__xludf.DUMMYFUNCTION("""COMPUTED_VALUE"""),28672)</f>
        <v>28672</v>
      </c>
      <c r="G166" s="5" t="str">
        <f ca="1">IFERROR(__xludf.DUMMYFUNCTION("""COMPUTED_VALUE"""),"30000.0")</f>
        <v>30000.0</v>
      </c>
      <c r="H166" s="5" t="str">
        <f ca="1">IFERROR(__xludf.DUMMYFUNCTION("""COMPUTED_VALUE"""),"1200.0")</f>
        <v>1200.0</v>
      </c>
      <c r="I166" s="5" t="str">
        <f ca="1">IFERROR(__xludf.DUMMYFUNCTION("""COMPUTED_VALUE"""),"150.0")</f>
        <v>150.0</v>
      </c>
      <c r="J166" s="5">
        <f ca="1">IFERROR(__xludf.DUMMYFUNCTION("VALUE(REGEXREPLACE(G166,""\."","",""))"),30000)</f>
        <v>30000</v>
      </c>
      <c r="K166" s="5" t="e">
        <f t="shared" ca="1" si="5"/>
        <v>#NAME?</v>
      </c>
      <c r="L166" s="25"/>
    </row>
    <row r="167" spans="6:12" ht="12.5">
      <c r="F167" s="34">
        <f ca="1">IFERROR(__xludf.DUMMYFUNCTION("""COMPUTED_VALUE"""),28703)</f>
        <v>28703</v>
      </c>
      <c r="G167" s="5" t="str">
        <f ca="1">IFERROR(__xludf.DUMMYFUNCTION("""COMPUTED_VALUE"""),"60000.0")</f>
        <v>60000.0</v>
      </c>
      <c r="H167" s="5" t="str">
        <f ca="1">IFERROR(__xludf.DUMMYFUNCTION("""COMPUTED_VALUE"""),"2400.0")</f>
        <v>2400.0</v>
      </c>
      <c r="I167" s="5" t="str">
        <f ca="1">IFERROR(__xludf.DUMMYFUNCTION("""COMPUTED_VALUE"""),"300.0")</f>
        <v>300.0</v>
      </c>
      <c r="J167" s="5">
        <f ca="1">IFERROR(__xludf.DUMMYFUNCTION("VALUE(REGEXREPLACE(G167,""\."","",""))"),60000)</f>
        <v>60000</v>
      </c>
      <c r="K167" s="5" t="e">
        <f t="shared" ca="1" si="5"/>
        <v>#NAME?</v>
      </c>
      <c r="L167" s="25"/>
    </row>
    <row r="168" spans="6:12" ht="12.5">
      <c r="F168" s="34">
        <f ca="1">IFERROR(__xludf.DUMMYFUNCTION("""COMPUTED_VALUE"""),28734)</f>
        <v>28734</v>
      </c>
      <c r="G168" s="5" t="str">
        <f ca="1">IFERROR(__xludf.DUMMYFUNCTION("""COMPUTED_VALUE"""),"60000.0")</f>
        <v>60000.0</v>
      </c>
      <c r="H168" s="5" t="str">
        <f ca="1">IFERROR(__xludf.DUMMYFUNCTION("""COMPUTED_VALUE"""),"2400.0")</f>
        <v>2400.0</v>
      </c>
      <c r="I168" s="5" t="str">
        <f ca="1">IFERROR(__xludf.DUMMYFUNCTION("""COMPUTED_VALUE"""),"300.0")</f>
        <v>300.0</v>
      </c>
      <c r="J168" s="5">
        <f ca="1">IFERROR(__xludf.DUMMYFUNCTION("VALUE(REGEXREPLACE(G168,""\."","",""))"),60000)</f>
        <v>60000</v>
      </c>
      <c r="K168" s="5" t="e">
        <f t="shared" ca="1" si="5"/>
        <v>#NAME?</v>
      </c>
      <c r="L168" s="25"/>
    </row>
    <row r="169" spans="6:12" ht="12.5">
      <c r="F169" s="34">
        <f ca="1">IFERROR(__xludf.DUMMYFUNCTION("""COMPUTED_VALUE"""),28764)</f>
        <v>28764</v>
      </c>
      <c r="G169" s="5" t="str">
        <f ca="1">IFERROR(__xludf.DUMMYFUNCTION("""COMPUTED_VALUE"""),"60000.0")</f>
        <v>60000.0</v>
      </c>
      <c r="H169" s="5" t="str">
        <f ca="1">IFERROR(__xludf.DUMMYFUNCTION("""COMPUTED_VALUE"""),"2400.0")</f>
        <v>2400.0</v>
      </c>
      <c r="I169" s="5" t="str">
        <f ca="1">IFERROR(__xludf.DUMMYFUNCTION("""COMPUTED_VALUE"""),"300.0")</f>
        <v>300.0</v>
      </c>
      <c r="J169" s="5">
        <f ca="1">IFERROR(__xludf.DUMMYFUNCTION("VALUE(REGEXREPLACE(G169,""\."","",""))"),60000)</f>
        <v>60000</v>
      </c>
      <c r="K169" s="5" t="e">
        <f t="shared" ca="1" si="5"/>
        <v>#NAME?</v>
      </c>
      <c r="L169" s="25"/>
    </row>
    <row r="170" spans="6:12" ht="12.5">
      <c r="F170" s="34">
        <f ca="1">IFERROR(__xludf.DUMMYFUNCTION("""COMPUTED_VALUE"""),28795)</f>
        <v>28795</v>
      </c>
      <c r="G170" s="5" t="str">
        <f ca="1">IFERROR(__xludf.DUMMYFUNCTION("""COMPUTED_VALUE"""),"60000.0")</f>
        <v>60000.0</v>
      </c>
      <c r="H170" s="5" t="str">
        <f ca="1">IFERROR(__xludf.DUMMYFUNCTION("""COMPUTED_VALUE"""),"2400.0")</f>
        <v>2400.0</v>
      </c>
      <c r="I170" s="5" t="str">
        <f ca="1">IFERROR(__xludf.DUMMYFUNCTION("""COMPUTED_VALUE"""),"300.0")</f>
        <v>300.0</v>
      </c>
      <c r="J170" s="5">
        <f ca="1">IFERROR(__xludf.DUMMYFUNCTION("VALUE(REGEXREPLACE(G170,""\."","",""))"),60000)</f>
        <v>60000</v>
      </c>
      <c r="K170" s="5" t="e">
        <f t="shared" ca="1" si="5"/>
        <v>#NAME?</v>
      </c>
      <c r="L170" s="25"/>
    </row>
    <row r="171" spans="6:12" ht="12.5">
      <c r="F171" s="34">
        <f ca="1">IFERROR(__xludf.DUMMYFUNCTION("""COMPUTED_VALUE"""),28825)</f>
        <v>28825</v>
      </c>
      <c r="G171" s="5" t="str">
        <f ca="1">IFERROR(__xludf.DUMMYFUNCTION("""COMPUTED_VALUE"""),"90000.0")</f>
        <v>90000.0</v>
      </c>
      <c r="H171" s="5" t="str">
        <f ca="1">IFERROR(__xludf.DUMMYFUNCTION("""COMPUTED_VALUE"""),"3600.0")</f>
        <v>3600.0</v>
      </c>
      <c r="I171" s="5" t="str">
        <f ca="1">IFERROR(__xludf.DUMMYFUNCTION("""COMPUTED_VALUE"""),"450.0")</f>
        <v>450.0</v>
      </c>
      <c r="J171" s="5">
        <f ca="1">IFERROR(__xludf.DUMMYFUNCTION("VALUE(REGEXREPLACE(G171,""\."","",""))"),90000)</f>
        <v>90000</v>
      </c>
      <c r="K171" s="5" t="e">
        <f t="shared" ca="1" si="5"/>
        <v>#NAME?</v>
      </c>
      <c r="L171" s="25"/>
    </row>
    <row r="172" spans="6:12" ht="12.5">
      <c r="F172" s="34">
        <f ca="1">IFERROR(__xludf.DUMMYFUNCTION("""COMPUTED_VALUE"""),28856)</f>
        <v>28856</v>
      </c>
      <c r="G172" s="5" t="str">
        <f ca="1">IFERROR(__xludf.DUMMYFUNCTION("""COMPUTED_VALUE"""),"93600.0")</f>
        <v>93600.0</v>
      </c>
      <c r="H172" s="5" t="str">
        <f ca="1">IFERROR(__xludf.DUMMYFUNCTION("""COMPUTED_VALUE"""),"3744.0")</f>
        <v>3744.0</v>
      </c>
      <c r="I172" s="5" t="str">
        <f ca="1">IFERROR(__xludf.DUMMYFUNCTION("""COMPUTED_VALUE"""),"468.0")</f>
        <v>468.0</v>
      </c>
      <c r="J172" s="5">
        <f ca="1">IFERROR(__xludf.DUMMYFUNCTION("VALUE(REGEXREPLACE(G172,""\."","",""))"),93600)</f>
        <v>93600</v>
      </c>
      <c r="K172" s="5" t="e">
        <f t="shared" ca="1" si="5"/>
        <v>#NAME?</v>
      </c>
      <c r="L172" s="25"/>
    </row>
    <row r="173" spans="6:12" ht="12.5">
      <c r="F173" s="34">
        <f ca="1">IFERROR(__xludf.DUMMYFUNCTION("""COMPUTED_VALUE"""),28887)</f>
        <v>28887</v>
      </c>
      <c r="G173" s="5" t="str">
        <f ca="1">IFERROR(__xludf.DUMMYFUNCTION("""COMPUTED_VALUE"""),"97344.0")</f>
        <v>97344.0</v>
      </c>
      <c r="H173" s="5" t="str">
        <f ca="1">IFERROR(__xludf.DUMMYFUNCTION("""COMPUTED_VALUE"""),"3893.76")</f>
        <v>3893.76</v>
      </c>
      <c r="I173" s="5" t="str">
        <f ca="1">IFERROR(__xludf.DUMMYFUNCTION("""COMPUTED_VALUE"""),"486.72")</f>
        <v>486.72</v>
      </c>
      <c r="J173" s="5">
        <f ca="1">IFERROR(__xludf.DUMMYFUNCTION("VALUE(REGEXREPLACE(G173,""\."","",""))"),97344)</f>
        <v>97344</v>
      </c>
      <c r="K173" s="5" t="e">
        <f t="shared" ca="1" si="5"/>
        <v>#NAME?</v>
      </c>
      <c r="L173" s="25"/>
    </row>
    <row r="174" spans="6:12" ht="12.5">
      <c r="F174" s="34">
        <f ca="1">IFERROR(__xludf.DUMMYFUNCTION("""COMPUTED_VALUE"""),28915)</f>
        <v>28915</v>
      </c>
      <c r="G174" s="5" t="str">
        <f ca="1">IFERROR(__xludf.DUMMYFUNCTION("""COMPUTED_VALUE"""),"101238.0")</f>
        <v>101238.0</v>
      </c>
      <c r="H174" s="5" t="str">
        <f ca="1">IFERROR(__xludf.DUMMYFUNCTION("""COMPUTED_VALUE"""),"4049.52")</f>
        <v>4049.52</v>
      </c>
      <c r="I174" s="5" t="str">
        <f ca="1">IFERROR(__xludf.DUMMYFUNCTION("""COMPUTED_VALUE"""),"506.19")</f>
        <v>506.19</v>
      </c>
      <c r="J174" s="5">
        <f ca="1">IFERROR(__xludf.DUMMYFUNCTION("VALUE(REGEXREPLACE(G174,""\."","",""))"),101238)</f>
        <v>101238</v>
      </c>
      <c r="K174" s="5" t="e">
        <f t="shared" ca="1" si="5"/>
        <v>#NAME?</v>
      </c>
      <c r="L174" s="25"/>
    </row>
    <row r="175" spans="6:12" ht="12.5">
      <c r="F175" s="34">
        <f ca="1">IFERROR(__xludf.DUMMYFUNCTION("""COMPUTED_VALUE"""),28946)</f>
        <v>28946</v>
      </c>
      <c r="G175" s="5" t="str">
        <f ca="1">IFERROR(__xludf.DUMMYFUNCTION("""COMPUTED_VALUE"""),"105288.0")</f>
        <v>105288.0</v>
      </c>
      <c r="H175" s="5" t="str">
        <f ca="1">IFERROR(__xludf.DUMMYFUNCTION("""COMPUTED_VALUE"""),"4211.52")</f>
        <v>4211.52</v>
      </c>
      <c r="I175" s="5" t="str">
        <f ca="1">IFERROR(__xludf.DUMMYFUNCTION("""COMPUTED_VALUE"""),"526.44")</f>
        <v>526.44</v>
      </c>
      <c r="J175" s="5">
        <f ca="1">IFERROR(__xludf.DUMMYFUNCTION("VALUE(REGEXREPLACE(G175,""\."","",""))"),105288)</f>
        <v>105288</v>
      </c>
      <c r="K175" s="5" t="e">
        <f t="shared" ca="1" si="5"/>
        <v>#NAME?</v>
      </c>
      <c r="L175" s="25"/>
    </row>
    <row r="176" spans="6:12" ht="12.5">
      <c r="F176" s="34">
        <f ca="1">IFERROR(__xludf.DUMMYFUNCTION("""COMPUTED_VALUE"""),28976)</f>
        <v>28976</v>
      </c>
      <c r="G176" s="5" t="str">
        <f ca="1">IFERROR(__xludf.DUMMYFUNCTION("""COMPUTED_VALUE"""),"109500.0")</f>
        <v>109500.0</v>
      </c>
      <c r="H176" s="5" t="str">
        <f ca="1">IFERROR(__xludf.DUMMYFUNCTION("""COMPUTED_VALUE"""),"4380.0")</f>
        <v>4380.0</v>
      </c>
      <c r="I176" s="5" t="str">
        <f ca="1">IFERROR(__xludf.DUMMYFUNCTION("""COMPUTED_VALUE"""),"547.5")</f>
        <v>547.5</v>
      </c>
      <c r="J176" s="5">
        <f ca="1">IFERROR(__xludf.DUMMYFUNCTION("VALUE(REGEXREPLACE(G176,""\."","",""))"),109500)</f>
        <v>109500</v>
      </c>
      <c r="K176" s="5" t="e">
        <f t="shared" ca="1" si="5"/>
        <v>#NAME?</v>
      </c>
      <c r="L176" s="25"/>
    </row>
    <row r="177" spans="6:12" ht="12.5">
      <c r="F177" s="34">
        <f ca="1">IFERROR(__xludf.DUMMYFUNCTION("""COMPUTED_VALUE"""),29007)</f>
        <v>29007</v>
      </c>
      <c r="G177" s="5" t="str">
        <f ca="1">IFERROR(__xludf.DUMMYFUNCTION("""COMPUTED_VALUE"""),"113880.0")</f>
        <v>113880.0</v>
      </c>
      <c r="H177" s="5">
        <f ca="1">IFERROR(__xludf.DUMMYFUNCTION("""COMPUTED_VALUE"""),969752)</f>
        <v>969752</v>
      </c>
      <c r="I177" s="5" t="str">
        <f ca="1">IFERROR(__xludf.DUMMYFUNCTION("""COMPUTED_VALUE"""),"569.4")</f>
        <v>569.4</v>
      </c>
      <c r="J177" s="5">
        <f ca="1">IFERROR(__xludf.DUMMYFUNCTION("VALUE(REGEXREPLACE(G177,""\."","",""))"),113880)</f>
        <v>113880</v>
      </c>
      <c r="K177" s="5" t="e">
        <f t="shared" ca="1" si="5"/>
        <v>#NAME?</v>
      </c>
      <c r="L177" s="25"/>
    </row>
    <row r="178" spans="6:12" ht="12.5">
      <c r="F178" s="34">
        <f ca="1">IFERROR(__xludf.DUMMYFUNCTION("""COMPUTED_VALUE"""),29037)</f>
        <v>29037</v>
      </c>
      <c r="G178" s="5" t="str">
        <f ca="1">IFERROR(__xludf.DUMMYFUNCTION("""COMPUTED_VALUE"""),"118435.0")</f>
        <v>118435.0</v>
      </c>
      <c r="H178" s="5">
        <f ca="1">IFERROR(__xludf.DUMMYFUNCTION("""COMPUTED_VALUE"""),1036285)</f>
        <v>1036285</v>
      </c>
      <c r="I178" s="5">
        <f ca="1">IFERROR(__xludf.DUMMYFUNCTION("""COMPUTED_VALUE"""),592175)</f>
        <v>592175</v>
      </c>
      <c r="J178" s="5">
        <f ca="1">IFERROR(__xludf.DUMMYFUNCTION("VALUE(REGEXREPLACE(G178,""\."","",""))"),118435)</f>
        <v>118435</v>
      </c>
      <c r="K178" s="5" t="e">
        <f t="shared" ca="1" si="5"/>
        <v>#NAME?</v>
      </c>
      <c r="L178" s="25"/>
    </row>
    <row r="179" spans="6:12" ht="12.5">
      <c r="F179" s="34">
        <f ca="1">IFERROR(__xludf.DUMMYFUNCTION("""COMPUTED_VALUE"""),29068)</f>
        <v>29068</v>
      </c>
      <c r="G179" s="5" t="str">
        <f ca="1">IFERROR(__xludf.DUMMYFUNCTION("""COMPUTED_VALUE"""),"123172.0")</f>
        <v>123172.0</v>
      </c>
      <c r="H179" s="5" t="str">
        <f ca="1">IFERROR(__xludf.DUMMYFUNCTION("""COMPUTED_VALUE"""),"4926.88")</f>
        <v>4926.88</v>
      </c>
      <c r="I179" s="5" t="str">
        <f ca="1">IFERROR(__xludf.DUMMYFUNCTION("""COMPUTED_VALUE"""),"615.86")</f>
        <v>615.86</v>
      </c>
      <c r="J179" s="5">
        <f ca="1">IFERROR(__xludf.DUMMYFUNCTION("VALUE(REGEXREPLACE(G179,""\."","",""))"),123172)</f>
        <v>123172</v>
      </c>
      <c r="K179" s="5" t="e">
        <f t="shared" ca="1" si="5"/>
        <v>#NAME?</v>
      </c>
      <c r="L179" s="25"/>
    </row>
    <row r="180" spans="6:12" ht="12.5">
      <c r="F180" s="34">
        <f ca="1">IFERROR(__xludf.DUMMYFUNCTION("""COMPUTED_VALUE"""),29099)</f>
        <v>29099</v>
      </c>
      <c r="G180" s="5" t="str">
        <f ca="1">IFERROR(__xludf.DUMMYFUNCTION("""COMPUTED_VALUE"""),"172500.0")</f>
        <v>172500.0</v>
      </c>
      <c r="H180" s="5" t="str">
        <f ca="1">IFERROR(__xludf.DUMMYFUNCTION("""COMPUTED_VALUE"""),"6900.0")</f>
        <v>6900.0</v>
      </c>
      <c r="I180" s="5" t="str">
        <f ca="1">IFERROR(__xludf.DUMMYFUNCTION("""COMPUTED_VALUE"""),"862.5")</f>
        <v>862.5</v>
      </c>
      <c r="J180" s="5">
        <f ca="1">IFERROR(__xludf.DUMMYFUNCTION("VALUE(REGEXREPLACE(G180,""\."","",""))"),172500)</f>
        <v>172500</v>
      </c>
      <c r="K180" s="5" t="e">
        <f t="shared" ca="1" si="5"/>
        <v>#NAME?</v>
      </c>
      <c r="L180" s="25"/>
    </row>
    <row r="181" spans="6:12" ht="12.5">
      <c r="F181" s="34">
        <f ca="1">IFERROR(__xludf.DUMMYFUNCTION("""COMPUTED_VALUE"""),29129)</f>
        <v>29129</v>
      </c>
      <c r="G181" s="5" t="str">
        <f ca="1">IFERROR(__xludf.DUMMYFUNCTION("""COMPUTED_VALUE"""),"179400.0")</f>
        <v>179400.0</v>
      </c>
      <c r="H181" s="5" t="str">
        <f ca="1">IFERROR(__xludf.DUMMYFUNCTION("""COMPUTED_VALUE"""),"7176.0")</f>
        <v>7176.0</v>
      </c>
      <c r="I181" s="5" t="str">
        <f ca="1">IFERROR(__xludf.DUMMYFUNCTION("""COMPUTED_VALUE"""),"897.0")</f>
        <v>897.0</v>
      </c>
      <c r="J181" s="5">
        <f ca="1">IFERROR(__xludf.DUMMYFUNCTION("VALUE(REGEXREPLACE(G181,""\."","",""))"),179400)</f>
        <v>179400</v>
      </c>
      <c r="K181" s="5" t="e">
        <f t="shared" ca="1" si="5"/>
        <v>#NAME?</v>
      </c>
      <c r="L181" s="25"/>
    </row>
    <row r="182" spans="6:12" ht="12.5">
      <c r="F182" s="34">
        <f ca="1">IFERROR(__xludf.DUMMYFUNCTION("""COMPUTED_VALUE"""),29160)</f>
        <v>29160</v>
      </c>
      <c r="G182" s="5" t="str">
        <f ca="1">IFERROR(__xludf.DUMMYFUNCTION("""COMPUTED_VALUE"""),"186576.0")</f>
        <v>186576.0</v>
      </c>
      <c r="H182" s="5">
        <f ca="1">IFERROR(__xludf.DUMMYFUNCTION("""COMPUTED_VALUE"""),2031936)</f>
        <v>2031936</v>
      </c>
      <c r="I182" s="5" t="str">
        <f ca="1">IFERROR(__xludf.DUMMYFUNCTION("""COMPUTED_VALUE"""),"932.88")</f>
        <v>932.88</v>
      </c>
      <c r="J182" s="5">
        <f ca="1">IFERROR(__xludf.DUMMYFUNCTION("VALUE(REGEXREPLACE(G182,""\."","",""))"),186576)</f>
        <v>186576</v>
      </c>
      <c r="K182" s="5" t="e">
        <f t="shared" ca="1" si="5"/>
        <v>#NAME?</v>
      </c>
      <c r="L182" s="25"/>
    </row>
    <row r="183" spans="6:12" ht="12.5">
      <c r="F183" s="34">
        <f ca="1">IFERROR(__xludf.DUMMYFUNCTION("""COMPUTED_VALUE"""),29190)</f>
        <v>29190</v>
      </c>
      <c r="G183" s="5" t="str">
        <f ca="1">IFERROR(__xludf.DUMMYFUNCTION("""COMPUTED_VALUE"""),"194039.0")</f>
        <v>194039.0</v>
      </c>
      <c r="H183" s="5" t="str">
        <f ca="1">IFERROR(__xludf.DUMMYFUNCTION("""COMPUTED_VALUE"""),"7761.56")</f>
        <v>7761.56</v>
      </c>
      <c r="I183" s="5">
        <f ca="1">IFERROR(__xludf.DUMMYFUNCTION("""COMPUTED_VALUE"""),970195)</f>
        <v>970195</v>
      </c>
      <c r="J183" s="5">
        <f ca="1">IFERROR(__xludf.DUMMYFUNCTION("VALUE(REGEXREPLACE(G183,""\."","",""))"),194039)</f>
        <v>194039</v>
      </c>
      <c r="K183" s="5" t="e">
        <f t="shared" ca="1" si="5"/>
        <v>#NAME?</v>
      </c>
      <c r="L183" s="25"/>
    </row>
    <row r="184" spans="6:12" ht="12.5">
      <c r="F184" s="34">
        <f ca="1">IFERROR(__xludf.DUMMYFUNCTION("""COMPUTED_VALUE"""),29221)</f>
        <v>29221</v>
      </c>
      <c r="G184" s="5" t="str">
        <f ca="1">IFERROR(__xludf.DUMMYFUNCTION("""COMPUTED_VALUE"""),"250000.0")</f>
        <v>250000.0</v>
      </c>
      <c r="H184" s="5" t="str">
        <f ca="1">IFERROR(__xludf.DUMMYFUNCTION("""COMPUTED_VALUE"""),"10000.0")</f>
        <v>10000.0</v>
      </c>
      <c r="I184" s="5" t="str">
        <f ca="1">IFERROR(__xludf.DUMMYFUNCTION("""COMPUTED_VALUE"""),"1250.0")</f>
        <v>1250.0</v>
      </c>
      <c r="J184" s="5">
        <f ca="1">IFERROR(__xludf.DUMMYFUNCTION("VALUE(REGEXREPLACE(G184,""\."","",""))"),250000)</f>
        <v>250000</v>
      </c>
      <c r="K184" s="5" t="e">
        <f t="shared" ca="1" si="5"/>
        <v>#NAME?</v>
      </c>
      <c r="L184" s="25"/>
    </row>
    <row r="185" spans="6:12" ht="12.5">
      <c r="F185" s="34">
        <f ca="1">IFERROR(__xludf.DUMMYFUNCTION("""COMPUTED_VALUE"""),29252)</f>
        <v>29252</v>
      </c>
      <c r="G185" s="5" t="str">
        <f ca="1">IFERROR(__xludf.DUMMYFUNCTION("""COMPUTED_VALUE"""),"260000.0")</f>
        <v>260000.0</v>
      </c>
      <c r="H185" s="5" t="str">
        <f ca="1">IFERROR(__xludf.DUMMYFUNCTION("""COMPUTED_VALUE"""),"10400.0")</f>
        <v>10400.0</v>
      </c>
      <c r="I185" s="5" t="str">
        <f ca="1">IFERROR(__xludf.DUMMYFUNCTION("""COMPUTED_VALUE"""),"1300.0")</f>
        <v>1300.0</v>
      </c>
      <c r="J185" s="5">
        <f ca="1">IFERROR(__xludf.DUMMYFUNCTION("VALUE(REGEXREPLACE(G185,""\."","",""))"),260000)</f>
        <v>260000</v>
      </c>
      <c r="K185" s="5" t="e">
        <f t="shared" ca="1" si="5"/>
        <v>#NAME?</v>
      </c>
      <c r="L185" s="25"/>
    </row>
    <row r="186" spans="6:12" ht="12.5">
      <c r="F186" s="34">
        <f ca="1">IFERROR(__xludf.DUMMYFUNCTION("""COMPUTED_VALUE"""),29281)</f>
        <v>29281</v>
      </c>
      <c r="G186" s="5" t="str">
        <f ca="1">IFERROR(__xludf.DUMMYFUNCTION("""COMPUTED_VALUE"""),"270400.0")</f>
        <v>270400.0</v>
      </c>
      <c r="H186" s="5" t="str">
        <f ca="1">IFERROR(__xludf.DUMMYFUNCTION("""COMPUTED_VALUE"""),"10816.0")</f>
        <v>10816.0</v>
      </c>
      <c r="I186" s="5" t="str">
        <f ca="1">IFERROR(__xludf.DUMMYFUNCTION("""COMPUTED_VALUE"""),"1352.0")</f>
        <v>1352.0</v>
      </c>
      <c r="J186" s="5">
        <f ca="1">IFERROR(__xludf.DUMMYFUNCTION("VALUE(REGEXREPLACE(G186,""\."","",""))"),270400)</f>
        <v>270400</v>
      </c>
      <c r="K186" s="5" t="e">
        <f t="shared" ca="1" si="5"/>
        <v>#NAME?</v>
      </c>
      <c r="L186" s="25"/>
    </row>
    <row r="187" spans="6:12" ht="12.5">
      <c r="F187" s="34">
        <f ca="1">IFERROR(__xludf.DUMMYFUNCTION("""COMPUTED_VALUE"""),29312)</f>
        <v>29312</v>
      </c>
      <c r="G187" s="5" t="str">
        <f ca="1">IFERROR(__xludf.DUMMYFUNCTION("""COMPUTED_VALUE"""),"281216.0")</f>
        <v>281216.0</v>
      </c>
      <c r="H187" s="5" t="str">
        <f ca="1">IFERROR(__xludf.DUMMYFUNCTION("""COMPUTED_VALUE"""),"11248.64")</f>
        <v>11248.64</v>
      </c>
      <c r="I187" s="5">
        <f ca="1">IFERROR(__xludf.DUMMYFUNCTION("""COMPUTED_VALUE"""),-180216)</f>
        <v>-180216</v>
      </c>
      <c r="J187" s="5">
        <f ca="1">IFERROR(__xludf.DUMMYFUNCTION("VALUE(REGEXREPLACE(G187,""\."","",""))"),281216)</f>
        <v>281216</v>
      </c>
      <c r="K187" s="5" t="e">
        <f t="shared" ca="1" si="5"/>
        <v>#NAME?</v>
      </c>
      <c r="L187" s="25"/>
    </row>
    <row r="188" spans="6:12" ht="12.5">
      <c r="F188" s="34">
        <f ca="1">IFERROR(__xludf.DUMMYFUNCTION("""COMPUTED_VALUE"""),29342)</f>
        <v>29342</v>
      </c>
      <c r="G188" s="5" t="str">
        <f ca="1">IFERROR(__xludf.DUMMYFUNCTION("""COMPUTED_VALUE"""),"292464.0")</f>
        <v>292464.0</v>
      </c>
      <c r="H188" s="5" t="str">
        <f ca="1">IFERROR(__xludf.DUMMYFUNCTION("""COMPUTED_VALUE"""),"11698.56")</f>
        <v>11698.56</v>
      </c>
      <c r="I188" s="5" t="str">
        <f ca="1">IFERROR(__xludf.DUMMYFUNCTION("""COMPUTED_VALUE"""),"1462.32")</f>
        <v>1462.32</v>
      </c>
      <c r="J188" s="5">
        <f ca="1">IFERROR(__xludf.DUMMYFUNCTION("VALUE(REGEXREPLACE(G188,""\."","",""))"),292464)</f>
        <v>292464</v>
      </c>
      <c r="K188" s="5" t="e">
        <f t="shared" ca="1" si="5"/>
        <v>#NAME?</v>
      </c>
      <c r="L188" s="25"/>
    </row>
    <row r="189" spans="6:12" ht="12.5">
      <c r="F189" s="34">
        <f ca="1">IFERROR(__xludf.DUMMYFUNCTION("""COMPUTED_VALUE"""),29373)</f>
        <v>29373</v>
      </c>
      <c r="G189" s="5" t="str">
        <f ca="1">IFERROR(__xludf.DUMMYFUNCTION("""COMPUTED_VALUE"""),"304163.0")</f>
        <v>304163.0</v>
      </c>
      <c r="H189" s="5" t="str">
        <f ca="1">IFERROR(__xludf.DUMMYFUNCTION("""COMPUTED_VALUE"""),"12166.52")</f>
        <v>12166.52</v>
      </c>
      <c r="I189" s="5">
        <f ca="1">IFERROR(__xludf.DUMMYFUNCTION("""COMPUTED_VALUE"""),1520815)</f>
        <v>1520815</v>
      </c>
      <c r="J189" s="5">
        <f ca="1">IFERROR(__xludf.DUMMYFUNCTION("VALUE(REGEXREPLACE(G189,""\."","",""))"),304163)</f>
        <v>304163</v>
      </c>
      <c r="K189" s="5" t="e">
        <f t="shared" ca="1" si="5"/>
        <v>#NAME?</v>
      </c>
      <c r="L189" s="25"/>
    </row>
    <row r="190" spans="6:12" ht="12.5">
      <c r="F190" s="34">
        <f ca="1">IFERROR(__xludf.DUMMYFUNCTION("""COMPUTED_VALUE"""),29403)</f>
        <v>29403</v>
      </c>
      <c r="G190" s="5" t="str">
        <f ca="1">IFERROR(__xludf.DUMMYFUNCTION("""COMPUTED_VALUE"""),"316329.0")</f>
        <v>316329.0</v>
      </c>
      <c r="H190" s="5" t="str">
        <f ca="1">IFERROR(__xludf.DUMMYFUNCTION("""COMPUTED_VALUE"""),"12653.16")</f>
        <v>12653.16</v>
      </c>
      <c r="I190" s="5">
        <f ca="1">IFERROR(__xludf.DUMMYFUNCTION("""COMPUTED_VALUE"""),1581645)</f>
        <v>1581645</v>
      </c>
      <c r="J190" s="5">
        <f ca="1">IFERROR(__xludf.DUMMYFUNCTION("VALUE(REGEXREPLACE(G190,""\."","",""))"),316329)</f>
        <v>316329</v>
      </c>
      <c r="K190" s="5" t="e">
        <f t="shared" ca="1" si="5"/>
        <v>#NAME?</v>
      </c>
      <c r="L190" s="25"/>
    </row>
    <row r="191" spans="6:12" ht="12.5">
      <c r="F191" s="34">
        <f ca="1">IFERROR(__xludf.DUMMYFUNCTION("""COMPUTED_VALUE"""),29434)</f>
        <v>29434</v>
      </c>
      <c r="G191" s="5" t="str">
        <f ca="1">IFERROR(__xludf.DUMMYFUNCTION("""COMPUTED_VALUE"""),"328982.0")</f>
        <v>328982.0</v>
      </c>
      <c r="H191" s="5" t="str">
        <f ca="1">IFERROR(__xludf.DUMMYFUNCTION("""COMPUTED_VALUE"""),"13159.28")</f>
        <v>13159.28</v>
      </c>
      <c r="I191" s="5" t="str">
        <f ca="1">IFERROR(__xludf.DUMMYFUNCTION("""COMPUTED_VALUE"""),"1644.91")</f>
        <v>1644.91</v>
      </c>
      <c r="J191" s="5">
        <f ca="1">IFERROR(__xludf.DUMMYFUNCTION("VALUE(REGEXREPLACE(G191,""\."","",""))"),328982)</f>
        <v>328982</v>
      </c>
      <c r="K191" s="5" t="e">
        <f t="shared" ca="1" si="5"/>
        <v>#NAME?</v>
      </c>
      <c r="L191" s="25"/>
    </row>
    <row r="192" spans="6:12" ht="12.5">
      <c r="F192" s="34">
        <f ca="1">IFERROR(__xludf.DUMMYFUNCTION("""COMPUTED_VALUE"""),29465)</f>
        <v>29465</v>
      </c>
      <c r="G192" s="5" t="str">
        <f ca="1">IFERROR(__xludf.DUMMYFUNCTION("""COMPUTED_VALUE"""),"342142.0")</f>
        <v>342142.0</v>
      </c>
      <c r="H192" s="5" t="str">
        <f ca="1">IFERROR(__xludf.DUMMYFUNCTION("""COMPUTED_VALUE"""),"13685.68")</f>
        <v>13685.68</v>
      </c>
      <c r="I192" s="5" t="str">
        <f ca="1">IFERROR(__xludf.DUMMYFUNCTION("""COMPUTED_VALUE"""),"1710.71")</f>
        <v>1710.71</v>
      </c>
      <c r="J192" s="5">
        <f ca="1">IFERROR(__xludf.DUMMYFUNCTION("VALUE(REGEXREPLACE(G192,""\."","",""))"),342142)</f>
        <v>342142</v>
      </c>
      <c r="K192" s="5" t="e">
        <f t="shared" ca="1" si="5"/>
        <v>#NAME?</v>
      </c>
      <c r="L192" s="25"/>
    </row>
    <row r="193" spans="6:12" ht="12.5">
      <c r="F193" s="34">
        <f ca="1">IFERROR(__xludf.DUMMYFUNCTION("""COMPUTED_VALUE"""),29495)</f>
        <v>29495</v>
      </c>
      <c r="G193" s="5" t="str">
        <f ca="1">IFERROR(__xludf.DUMMYFUNCTION("""COMPUTED_VALUE"""),"355827.0")</f>
        <v>355827.0</v>
      </c>
      <c r="H193" s="5" t="str">
        <f ca="1">IFERROR(__xludf.DUMMYFUNCTION("""COMPUTED_VALUE"""),"14233.08")</f>
        <v>14233.08</v>
      </c>
      <c r="I193" s="5">
        <f ca="1">IFERROR(__xludf.DUMMYFUNCTION("""COMPUTED_VALUE"""),1779135)</f>
        <v>1779135</v>
      </c>
      <c r="J193" s="5">
        <f ca="1">IFERROR(__xludf.DUMMYFUNCTION("VALUE(REGEXREPLACE(G193,""\."","",""))"),355827)</f>
        <v>355827</v>
      </c>
      <c r="K193" s="5" t="e">
        <f t="shared" ca="1" si="5"/>
        <v>#NAME?</v>
      </c>
      <c r="L193" s="25"/>
    </row>
    <row r="194" spans="6:12" ht="12.5">
      <c r="F194" s="34">
        <f ca="1">IFERROR(__xludf.DUMMYFUNCTION("""COMPUTED_VALUE"""),29526)</f>
        <v>29526</v>
      </c>
      <c r="G194" s="5" t="str">
        <f ca="1">IFERROR(__xludf.DUMMYFUNCTION("""COMPUTED_VALUE"""),"370061.0")</f>
        <v>370061.0</v>
      </c>
      <c r="H194" s="5" t="str">
        <f ca="1">IFERROR(__xludf.DUMMYFUNCTION("""COMPUTED_VALUE"""),"14802.44")</f>
        <v>14802.44</v>
      </c>
      <c r="I194" s="5">
        <f ca="1">IFERROR(__xludf.DUMMYFUNCTION("""COMPUTED_VALUE"""),1850305)</f>
        <v>1850305</v>
      </c>
      <c r="J194" s="5">
        <f ca="1">IFERROR(__xludf.DUMMYFUNCTION("VALUE(REGEXREPLACE(G194,""\."","",""))"),370061)</f>
        <v>370061</v>
      </c>
      <c r="K194" s="5" t="e">
        <f t="shared" ca="1" si="5"/>
        <v>#NAME?</v>
      </c>
      <c r="L194" s="25"/>
    </row>
    <row r="195" spans="6:12" ht="12.5">
      <c r="F195" s="34">
        <f ca="1">IFERROR(__xludf.DUMMYFUNCTION("""COMPUTED_VALUE"""),29556)</f>
        <v>29556</v>
      </c>
      <c r="G195" s="5" t="str">
        <f ca="1">IFERROR(__xludf.DUMMYFUNCTION("""COMPUTED_VALUE"""),"384868.0")</f>
        <v>384868.0</v>
      </c>
      <c r="H195" s="5" t="str">
        <f ca="1">IFERROR(__xludf.DUMMYFUNCTION("""COMPUTED_VALUE"""),"15394.72")</f>
        <v>15394.72</v>
      </c>
      <c r="I195" s="5" t="str">
        <f ca="1">IFERROR(__xludf.DUMMYFUNCTION("""COMPUTED_VALUE"""),"1924.34")</f>
        <v>1924.34</v>
      </c>
      <c r="J195" s="5">
        <f ca="1">IFERROR(__xludf.DUMMYFUNCTION("VALUE(REGEXREPLACE(G195,""\."","",""))"),384868)</f>
        <v>384868</v>
      </c>
      <c r="K195" s="5" t="e">
        <f t="shared" ca="1" si="5"/>
        <v>#NAME?</v>
      </c>
      <c r="L195" s="25"/>
    </row>
    <row r="196" spans="6:12" ht="12.5">
      <c r="F196" s="34">
        <f ca="1">IFERROR(__xludf.DUMMYFUNCTION("""COMPUTED_VALUE"""),29587)</f>
        <v>29587</v>
      </c>
      <c r="G196" s="5" t="str">
        <f ca="1">IFERROR(__xludf.DUMMYFUNCTION("""COMPUTED_VALUE"""),"394486.0")</f>
        <v>394486.0</v>
      </c>
      <c r="H196" s="5" t="str">
        <f ca="1">IFERROR(__xludf.DUMMYFUNCTION("""COMPUTED_VALUE"""),"15779.44")</f>
        <v>15779.44</v>
      </c>
      <c r="I196" s="5" t="str">
        <f ca="1">IFERROR(__xludf.DUMMYFUNCTION("""COMPUTED_VALUE"""),"1972.43")</f>
        <v>1972.43</v>
      </c>
      <c r="J196" s="5">
        <f ca="1">IFERROR(__xludf.DUMMYFUNCTION("VALUE(REGEXREPLACE(G196,""\."","",""))"),394486)</f>
        <v>394486</v>
      </c>
      <c r="K196" s="5" t="e">
        <f t="shared" ca="1" si="5"/>
        <v>#NAME?</v>
      </c>
      <c r="L196" s="25"/>
    </row>
    <row r="197" spans="6:12" ht="12.5">
      <c r="F197" s="34">
        <f ca="1">IFERROR(__xludf.DUMMYFUNCTION("""COMPUTED_VALUE"""),29618)</f>
        <v>29618</v>
      </c>
      <c r="G197" s="5" t="str">
        <f ca="1">IFERROR(__xludf.DUMMYFUNCTION("""COMPUTED_VALUE"""),"404348.0")</f>
        <v>404348.0</v>
      </c>
      <c r="H197" s="5" t="str">
        <f ca="1">IFERROR(__xludf.DUMMYFUNCTION("""COMPUTED_VALUE"""),"16173.92")</f>
        <v>16173.92</v>
      </c>
      <c r="I197" s="5" t="str">
        <f ca="1">IFERROR(__xludf.DUMMYFUNCTION("""COMPUTED_VALUE"""),"2021.74")</f>
        <v>2021.74</v>
      </c>
      <c r="J197" s="5">
        <f ca="1">IFERROR(__xludf.DUMMYFUNCTION("VALUE(REGEXREPLACE(G197,""\."","",""))"),404348)</f>
        <v>404348</v>
      </c>
      <c r="K197" s="5" t="e">
        <f t="shared" ca="1" si="5"/>
        <v>#NAME?</v>
      </c>
      <c r="L197" s="25"/>
    </row>
    <row r="198" spans="6:12" ht="12.5">
      <c r="F198" s="34">
        <f ca="1">IFERROR(__xludf.DUMMYFUNCTION("""COMPUTED_VALUE"""),29646)</f>
        <v>29646</v>
      </c>
      <c r="G198" s="5" t="str">
        <f ca="1">IFERROR(__xludf.DUMMYFUNCTION("""COMPUTED_VALUE"""),"414457.0")</f>
        <v>414457.0</v>
      </c>
      <c r="H198" s="5" t="str">
        <f ca="1">IFERROR(__xludf.DUMMYFUNCTION("""COMPUTED_VALUE"""),"16578.28")</f>
        <v>16578.28</v>
      </c>
      <c r="I198" s="5">
        <f ca="1">IFERROR(__xludf.DUMMYFUNCTION("""COMPUTED_VALUE"""),2072285)</f>
        <v>2072285</v>
      </c>
      <c r="J198" s="5">
        <f ca="1">IFERROR(__xludf.DUMMYFUNCTION("VALUE(REGEXREPLACE(G198,""\."","",""))"),414457)</f>
        <v>414457</v>
      </c>
      <c r="K198" s="5" t="e">
        <f t="shared" ca="1" si="5"/>
        <v>#NAME?</v>
      </c>
      <c r="L198" s="25"/>
    </row>
    <row r="199" spans="6:12" ht="12.5">
      <c r="F199" s="34">
        <f ca="1">IFERROR(__xludf.DUMMYFUNCTION("""COMPUTED_VALUE"""),29677)</f>
        <v>29677</v>
      </c>
      <c r="G199" s="5" t="str">
        <f ca="1">IFERROR(__xludf.DUMMYFUNCTION("""COMPUTED_VALUE"""),"424818.0")</f>
        <v>424818.0</v>
      </c>
      <c r="H199" s="5" t="str">
        <f ca="1">IFERROR(__xludf.DUMMYFUNCTION("""COMPUTED_VALUE"""),"16992.72")</f>
        <v>16992.72</v>
      </c>
      <c r="I199" s="5">
        <f ca="1">IFERROR(__xludf.DUMMYFUNCTION("""COMPUTED_VALUE"""),82060)</f>
        <v>82060</v>
      </c>
      <c r="J199" s="5">
        <f ca="1">IFERROR(__xludf.DUMMYFUNCTION("VALUE(REGEXREPLACE(G199,""\."","",""))"),424818)</f>
        <v>424818</v>
      </c>
      <c r="K199" s="5" t="e">
        <f t="shared" ca="1" si="5"/>
        <v>#NAME?</v>
      </c>
      <c r="L199" s="25"/>
    </row>
    <row r="200" spans="6:12" ht="12.5">
      <c r="F200" s="34">
        <f ca="1">IFERROR(__xludf.DUMMYFUNCTION("""COMPUTED_VALUE"""),29707)</f>
        <v>29707</v>
      </c>
      <c r="G200" s="5" t="str">
        <f ca="1">IFERROR(__xludf.DUMMYFUNCTION("""COMPUTED_VALUE"""),"435438.0")</f>
        <v>435438.0</v>
      </c>
      <c r="H200" s="5" t="str">
        <f ca="1">IFERROR(__xludf.DUMMYFUNCTION("""COMPUTED_VALUE"""),"17417.52")</f>
        <v>17417.52</v>
      </c>
      <c r="I200" s="5" t="str">
        <f ca="1">IFERROR(__xludf.DUMMYFUNCTION("""COMPUTED_VALUE"""),"2177.19")</f>
        <v>2177.19</v>
      </c>
      <c r="J200" s="5">
        <f ca="1">IFERROR(__xludf.DUMMYFUNCTION("VALUE(REGEXREPLACE(G200,""\."","",""))"),435438)</f>
        <v>435438</v>
      </c>
      <c r="K200" s="5" t="e">
        <f t="shared" ca="1" si="5"/>
        <v>#NAME?</v>
      </c>
      <c r="L200" s="25"/>
    </row>
    <row r="201" spans="6:12" ht="12.5">
      <c r="F201" s="34">
        <f ca="1">IFERROR(__xludf.DUMMYFUNCTION("""COMPUTED_VALUE"""),29738)</f>
        <v>29738</v>
      </c>
      <c r="G201" s="5" t="str">
        <f ca="1">IFERROR(__xludf.DUMMYFUNCTION("""COMPUTED_VALUE"""),"587841.0")</f>
        <v>587841.0</v>
      </c>
      <c r="H201" s="5" t="str">
        <f ca="1">IFERROR(__xludf.DUMMYFUNCTION("""COMPUTED_VALUE"""),"23513.64")</f>
        <v>23513.64</v>
      </c>
      <c r="I201" s="5">
        <f ca="1">IFERROR(__xludf.DUMMYFUNCTION("""COMPUTED_VALUE"""),2939205)</f>
        <v>2939205</v>
      </c>
      <c r="J201" s="5">
        <f ca="1">IFERROR(__xludf.DUMMYFUNCTION("VALUE(REGEXREPLACE(G201,""\."","",""))"),587841)</f>
        <v>587841</v>
      </c>
      <c r="K201" s="5" t="e">
        <f t="shared" ca="1" si="5"/>
        <v>#NAME?</v>
      </c>
      <c r="L201" s="25"/>
    </row>
    <row r="202" spans="6:12" ht="12.5">
      <c r="F202" s="34">
        <f ca="1">IFERROR(__xludf.DUMMYFUNCTION("""COMPUTED_VALUE"""),29768)</f>
        <v>29768</v>
      </c>
      <c r="G202" s="5" t="str">
        <f ca="1">IFERROR(__xludf.DUMMYFUNCTION("""COMPUTED_VALUE"""),"646625.0")</f>
        <v>646625.0</v>
      </c>
      <c r="H202" s="5" t="str">
        <f ca="1">IFERROR(__xludf.DUMMYFUNCTION("""COMPUTED_VALUE"""),"25865.0")</f>
        <v>25865.0</v>
      </c>
      <c r="I202" s="5">
        <f ca="1">IFERROR(__xludf.DUMMYFUNCTION("""COMPUTED_VALUE"""),3233125)</f>
        <v>3233125</v>
      </c>
      <c r="J202" s="5">
        <f ca="1">IFERROR(__xludf.DUMMYFUNCTION("VALUE(REGEXREPLACE(G202,""\."","",""))"),646625)</f>
        <v>646625</v>
      </c>
      <c r="K202" s="5" t="e">
        <f t="shared" ca="1" si="5"/>
        <v>#NAME?</v>
      </c>
      <c r="L202" s="25"/>
    </row>
    <row r="203" spans="6:12" ht="12.5">
      <c r="F203" s="34">
        <f ca="1">IFERROR(__xludf.DUMMYFUNCTION("""COMPUTED_VALUE"""),29799)</f>
        <v>29799</v>
      </c>
      <c r="G203" s="5" t="str">
        <f ca="1">IFERROR(__xludf.DUMMYFUNCTION("""COMPUTED_VALUE"""),"678956.0")</f>
        <v>678956.0</v>
      </c>
      <c r="H203" s="5" t="str">
        <f ca="1">IFERROR(__xludf.DUMMYFUNCTION("""COMPUTED_VALUE"""),"27158.24")</f>
        <v>27158.24</v>
      </c>
      <c r="I203" s="5" t="str">
        <f ca="1">IFERROR(__xludf.DUMMYFUNCTION("""COMPUTED_VALUE"""),"3394.78")</f>
        <v>3394.78</v>
      </c>
      <c r="J203" s="5">
        <f ca="1">IFERROR(__xludf.DUMMYFUNCTION("VALUE(REGEXREPLACE(G203,""\."","",""))"),678956)</f>
        <v>678956</v>
      </c>
      <c r="K203" s="5" t="e">
        <f t="shared" ca="1" si="5"/>
        <v>#NAME?</v>
      </c>
      <c r="L203" s="25"/>
    </row>
    <row r="204" spans="6:12" ht="12.5">
      <c r="F204" s="34">
        <f ca="1">IFERROR(__xludf.DUMMYFUNCTION("""COMPUTED_VALUE"""),29830)</f>
        <v>29830</v>
      </c>
      <c r="G204" s="5" t="str">
        <f ca="1">IFERROR(__xludf.DUMMYFUNCTION("""COMPUTED_VALUE"""),"712904.0")</f>
        <v>712904.0</v>
      </c>
      <c r="H204" s="5" t="str">
        <f ca="1">IFERROR(__xludf.DUMMYFUNCTION("""COMPUTED_VALUE"""),"28516.16")</f>
        <v>28516.16</v>
      </c>
      <c r="I204" s="5" t="str">
        <f ca="1">IFERROR(__xludf.DUMMYFUNCTION("""COMPUTED_VALUE"""),"3564.52")</f>
        <v>3564.52</v>
      </c>
      <c r="J204" s="5">
        <f ca="1">IFERROR(__xludf.DUMMYFUNCTION("VALUE(REGEXREPLACE(G204,""\."","",""))"),712904)</f>
        <v>712904</v>
      </c>
      <c r="K204" s="5" t="e">
        <f t="shared" ca="1" si="5"/>
        <v>#NAME?</v>
      </c>
      <c r="L204" s="25"/>
    </row>
    <row r="205" spans="6:12" ht="12.5">
      <c r="F205" s="34">
        <f ca="1">IFERROR(__xludf.DUMMYFUNCTION("""COMPUTED_VALUE"""),29860)</f>
        <v>29860</v>
      </c>
      <c r="G205" s="5" t="str">
        <f ca="1">IFERROR(__xludf.DUMMYFUNCTION("""COMPUTED_VALUE"""),"891130.0")</f>
        <v>891130.0</v>
      </c>
      <c r="H205" s="5" t="str">
        <f ca="1">IFERROR(__xludf.DUMMYFUNCTION("""COMPUTED_VALUE"""),"35645.2")</f>
        <v>35645.2</v>
      </c>
      <c r="I205" s="5" t="str">
        <f ca="1">IFERROR(__xludf.DUMMYFUNCTION("""COMPUTED_VALUE"""),"4455.65")</f>
        <v>4455.65</v>
      </c>
      <c r="J205" s="5">
        <f ca="1">IFERROR(__xludf.DUMMYFUNCTION("VALUE(REGEXREPLACE(G205,""\."","",""))"),891130)</f>
        <v>891130</v>
      </c>
      <c r="K205" s="5" t="e">
        <f t="shared" ca="1" si="5"/>
        <v>#NAME?</v>
      </c>
      <c r="L205" s="25"/>
    </row>
    <row r="206" spans="6:12" ht="12.5">
      <c r="F206" s="34">
        <f ca="1">IFERROR(__xludf.DUMMYFUNCTION("""COMPUTED_VALUE"""),29891)</f>
        <v>29891</v>
      </c>
      <c r="G206" s="5" t="str">
        <f ca="1">IFERROR(__xludf.DUMMYFUNCTION("""COMPUTED_VALUE"""),"935687.0")</f>
        <v>935687.0</v>
      </c>
      <c r="H206" s="5" t="str">
        <f ca="1">IFERROR(__xludf.DUMMYFUNCTION("""COMPUTED_VALUE"""),"37427.48")</f>
        <v>37427.48</v>
      </c>
      <c r="I206" s="5">
        <f ca="1">IFERROR(__xludf.DUMMYFUNCTION("""COMPUTED_VALUE"""),4678435)</f>
        <v>4678435</v>
      </c>
      <c r="J206" s="5">
        <f ca="1">IFERROR(__xludf.DUMMYFUNCTION("VALUE(REGEXREPLACE(G206,""\."","",""))"),935687)</f>
        <v>935687</v>
      </c>
      <c r="K206" s="5" t="e">
        <f t="shared" ca="1" si="5"/>
        <v>#NAME?</v>
      </c>
      <c r="L206" s="25"/>
    </row>
    <row r="207" spans="6:12" ht="12.5">
      <c r="F207" s="34">
        <f ca="1">IFERROR(__xludf.DUMMYFUNCTION("""COMPUTED_VALUE"""),29921)</f>
        <v>29921</v>
      </c>
      <c r="G207" s="5" t="str">
        <f ca="1">IFERROR(__xludf.DUMMYFUNCTION("""COMPUTED_VALUE"""),"982471.0")</f>
        <v>982471.0</v>
      </c>
      <c r="H207" s="5" t="str">
        <f ca="1">IFERROR(__xludf.DUMMYFUNCTION("""COMPUTED_VALUE"""),"39298.84")</f>
        <v>39298.84</v>
      </c>
      <c r="I207" s="5">
        <f ca="1">IFERROR(__xludf.DUMMYFUNCTION("""COMPUTED_VALUE"""),4912355)</f>
        <v>4912355</v>
      </c>
      <c r="J207" s="5">
        <f ca="1">IFERROR(__xludf.DUMMYFUNCTION("VALUE(REGEXREPLACE(G207,""\."","",""))"),982471)</f>
        <v>982471</v>
      </c>
      <c r="K207" s="5" t="e">
        <f t="shared" ca="1" si="5"/>
        <v>#NAME?</v>
      </c>
      <c r="L207" s="25"/>
    </row>
    <row r="208" spans="6:12" ht="12.5">
      <c r="F208" s="34">
        <f ca="1">IFERROR(__xludf.DUMMYFUNCTION("""COMPUTED_VALUE"""),29952)</f>
        <v>29952</v>
      </c>
      <c r="G208" s="5" t="str">
        <f ca="1">IFERROR(__xludf.DUMMYFUNCTION("""COMPUTED_VALUE"""),"982471.0")</f>
        <v>982471.0</v>
      </c>
      <c r="H208" s="5" t="str">
        <f ca="1">IFERROR(__xludf.DUMMYFUNCTION("""COMPUTED_VALUE"""),"39298.84")</f>
        <v>39298.84</v>
      </c>
      <c r="I208" s="5">
        <f ca="1">IFERROR(__xludf.DUMMYFUNCTION("""COMPUTED_VALUE"""),4912355)</f>
        <v>4912355</v>
      </c>
      <c r="J208" s="5">
        <f ca="1">IFERROR(__xludf.DUMMYFUNCTION("VALUE(REGEXREPLACE(G208,""\."","",""))"),982471)</f>
        <v>982471</v>
      </c>
      <c r="K208" s="5" t="e">
        <f t="shared" ca="1" si="5"/>
        <v>#NAME?</v>
      </c>
      <c r="L208" s="25"/>
    </row>
    <row r="209" spans="6:12" ht="12.5">
      <c r="F209" s="34">
        <f ca="1">IFERROR(__xludf.DUMMYFUNCTION("""COMPUTED_VALUE"""),29983)</f>
        <v>29983</v>
      </c>
      <c r="G209" s="5" t="str">
        <f ca="1">IFERROR(__xludf.DUMMYFUNCTION("""COMPUTED_VALUE"""),"982471.0")</f>
        <v>982471.0</v>
      </c>
      <c r="H209" s="5" t="str">
        <f ca="1">IFERROR(__xludf.DUMMYFUNCTION("""COMPUTED_VALUE"""),"39298.84")</f>
        <v>39298.84</v>
      </c>
      <c r="I209" s="5">
        <f ca="1">IFERROR(__xludf.DUMMYFUNCTION("""COMPUTED_VALUE"""),4912355)</f>
        <v>4912355</v>
      </c>
      <c r="J209" s="5">
        <f ca="1">IFERROR(__xludf.DUMMYFUNCTION("VALUE(REGEXREPLACE(G209,""\."","",""))"),982471)</f>
        <v>982471</v>
      </c>
      <c r="K209" s="5" t="e">
        <f t="shared" ca="1" si="5"/>
        <v>#NAME?</v>
      </c>
      <c r="L209" s="25"/>
    </row>
    <row r="210" spans="6:12" ht="12.5">
      <c r="F210" s="34">
        <f ca="1">IFERROR(__xludf.DUMMYFUNCTION("""COMPUTED_VALUE"""),30011)</f>
        <v>30011</v>
      </c>
      <c r="G210" s="5" t="str">
        <f ca="1">IFERROR(__xludf.DUMMYFUNCTION("""COMPUTED_VALUE"""),"982471.0")</f>
        <v>982471.0</v>
      </c>
      <c r="H210" s="5" t="str">
        <f ca="1">IFERROR(__xludf.DUMMYFUNCTION("""COMPUTED_VALUE"""),"39298.84")</f>
        <v>39298.84</v>
      </c>
      <c r="I210" s="5">
        <f ca="1">IFERROR(__xludf.DUMMYFUNCTION("""COMPUTED_VALUE"""),4912355)</f>
        <v>4912355</v>
      </c>
      <c r="J210" s="5">
        <f ca="1">IFERROR(__xludf.DUMMYFUNCTION("VALUE(REGEXREPLACE(G210,""\."","",""))"),982471)</f>
        <v>982471</v>
      </c>
      <c r="K210" s="5" t="e">
        <f t="shared" ca="1" si="5"/>
        <v>#NAME?</v>
      </c>
      <c r="L210" s="25"/>
    </row>
    <row r="211" spans="6:12" ht="12.5">
      <c r="F211" s="34">
        <f ca="1">IFERROR(__xludf.DUMMYFUNCTION("""COMPUTED_VALUE"""),30042)</f>
        <v>30042</v>
      </c>
      <c r="G211" s="5" t="str">
        <f ca="1">IFERROR(__xludf.DUMMYFUNCTION("""COMPUTED_VALUE"""),"982471.0")</f>
        <v>982471.0</v>
      </c>
      <c r="H211" s="5" t="str">
        <f ca="1">IFERROR(__xludf.DUMMYFUNCTION("""COMPUTED_VALUE"""),"39298.84")</f>
        <v>39298.84</v>
      </c>
      <c r="I211" s="5">
        <f ca="1">IFERROR(__xludf.DUMMYFUNCTION("""COMPUTED_VALUE"""),4912355)</f>
        <v>4912355</v>
      </c>
      <c r="J211" s="5">
        <f ca="1">IFERROR(__xludf.DUMMYFUNCTION("VALUE(REGEXREPLACE(G211,""\."","",""))"),982471)</f>
        <v>982471</v>
      </c>
      <c r="K211" s="5" t="e">
        <f t="shared" ca="1" si="5"/>
        <v>#NAME?</v>
      </c>
      <c r="L211" s="25"/>
    </row>
    <row r="212" spans="6:12" ht="12.5">
      <c r="F212" s="34">
        <f ca="1">IFERROR(__xludf.DUMMYFUNCTION("""COMPUTED_VALUE"""),30072)</f>
        <v>30072</v>
      </c>
      <c r="G212" s="5" t="str">
        <f ca="1">IFERROR(__xludf.DUMMYFUNCTION("""COMPUTED_VALUE"""),"982471.0")</f>
        <v>982471.0</v>
      </c>
      <c r="H212" s="5" t="str">
        <f ca="1">IFERROR(__xludf.DUMMYFUNCTION("""COMPUTED_VALUE"""),"39298.84")</f>
        <v>39298.84</v>
      </c>
      <c r="I212" s="5">
        <f ca="1">IFERROR(__xludf.DUMMYFUNCTION("""COMPUTED_VALUE"""),4912355)</f>
        <v>4912355</v>
      </c>
      <c r="J212" s="5">
        <f ca="1">IFERROR(__xludf.DUMMYFUNCTION("VALUE(REGEXREPLACE(G212,""\."","",""))"),982471)</f>
        <v>982471</v>
      </c>
      <c r="K212" s="5" t="e">
        <f t="shared" ca="1" si="5"/>
        <v>#NAME?</v>
      </c>
      <c r="L212" s="25"/>
    </row>
    <row r="213" spans="6:12" ht="12.5">
      <c r="F213" s="34">
        <f ca="1">IFERROR(__xludf.DUMMYFUNCTION("""COMPUTED_VALUE"""),30103)</f>
        <v>30103</v>
      </c>
      <c r="G213" s="5" t="str">
        <f ca="1">IFERROR(__xludf.DUMMYFUNCTION("""COMPUTED_VALUE"""),"982471.0")</f>
        <v>982471.0</v>
      </c>
      <c r="H213" s="5" t="str">
        <f ca="1">IFERROR(__xludf.DUMMYFUNCTION("""COMPUTED_VALUE"""),"39298.84")</f>
        <v>39298.84</v>
      </c>
      <c r="I213" s="5">
        <f ca="1">IFERROR(__xludf.DUMMYFUNCTION("""COMPUTED_VALUE"""),4912355)</f>
        <v>4912355</v>
      </c>
      <c r="J213" s="5">
        <f ca="1">IFERROR(__xludf.DUMMYFUNCTION("VALUE(REGEXREPLACE(G213,""\."","",""))"),982471)</f>
        <v>982471</v>
      </c>
      <c r="K213" s="5" t="e">
        <f t="shared" ca="1" si="5"/>
        <v>#NAME?</v>
      </c>
      <c r="L213" s="25"/>
    </row>
    <row r="214" spans="6:12" ht="12.5">
      <c r="F214" s="34">
        <f ca="1">IFERROR(__xludf.DUMMYFUNCTION("""COMPUTED_VALUE"""),30133)</f>
        <v>30133</v>
      </c>
      <c r="G214" s="5" t="str">
        <f ca="1">IFERROR(__xludf.DUMMYFUNCTION("""COMPUTED_VALUE"""),"1382500.0")</f>
        <v>1382500.0</v>
      </c>
      <c r="H214" s="5" t="str">
        <f ca="1">IFERROR(__xludf.DUMMYFUNCTION("""COMPUTED_VALUE"""),"55300.0")</f>
        <v>55300.0</v>
      </c>
      <c r="I214" s="5">
        <f ca="1">IFERROR(__xludf.DUMMYFUNCTION("""COMPUTED_VALUE"""),1830718)</f>
        <v>1830718</v>
      </c>
      <c r="J214" s="5">
        <f ca="1">IFERROR(__xludf.DUMMYFUNCTION("VALUE(REGEXREPLACE(G214,""\."","",""))"),1382500)</f>
        <v>1382500</v>
      </c>
      <c r="K214" s="5" t="e">
        <f t="shared" ca="1" si="5"/>
        <v>#NAME?</v>
      </c>
      <c r="L214" s="25"/>
    </row>
    <row r="215" spans="6:12" ht="12.5">
      <c r="F215" s="34">
        <f ca="1">IFERROR(__xludf.DUMMYFUNCTION("""COMPUTED_VALUE"""),30164)</f>
        <v>30164</v>
      </c>
      <c r="G215" s="5" t="str">
        <f ca="1">IFERROR(__xludf.DUMMYFUNCTION("""COMPUTED_VALUE"""),"1382500.0")</f>
        <v>1382500.0</v>
      </c>
      <c r="H215" s="5" t="str">
        <f ca="1">IFERROR(__xludf.DUMMYFUNCTION("""COMPUTED_VALUE"""),"55300.0")</f>
        <v>55300.0</v>
      </c>
      <c r="I215" s="5">
        <f ca="1">IFERROR(__xludf.DUMMYFUNCTION("""COMPUTED_VALUE"""),1830718)</f>
        <v>1830718</v>
      </c>
      <c r="J215" s="5">
        <f ca="1">IFERROR(__xludf.DUMMYFUNCTION("VALUE(REGEXREPLACE(G215,""\."","",""))"),1382500)</f>
        <v>1382500</v>
      </c>
      <c r="K215" s="5" t="e">
        <f t="shared" ca="1" si="5"/>
        <v>#NAME?</v>
      </c>
      <c r="L215" s="25"/>
    </row>
    <row r="216" spans="6:12" ht="12.5">
      <c r="F216" s="34">
        <f ca="1">IFERROR(__xludf.DUMMYFUNCTION("""COMPUTED_VALUE"""),30195)</f>
        <v>30195</v>
      </c>
      <c r="G216" s="5" t="str">
        <f ca="1">IFERROR(__xludf.DUMMYFUNCTION("""COMPUTED_VALUE"""),"2800000.0")</f>
        <v>2800000.0</v>
      </c>
      <c r="H216" s="5" t="str">
        <f ca="1">IFERROR(__xludf.DUMMYFUNCTION("""COMPUTED_VALUE"""),"112000.0")</f>
        <v>112000.0</v>
      </c>
      <c r="I216" s="5" t="str">
        <f ca="1">IFERROR(__xludf.DUMMYFUNCTION("""COMPUTED_VALUE"""),"14000.0")</f>
        <v>14000.0</v>
      </c>
      <c r="J216" s="5">
        <f ca="1">IFERROR(__xludf.DUMMYFUNCTION("VALUE(REGEXREPLACE(G216,""\."","",""))"),2800000)</f>
        <v>2800000</v>
      </c>
      <c r="K216" s="5" t="e">
        <f t="shared" ca="1" si="5"/>
        <v>#NAME?</v>
      </c>
      <c r="L216" s="25"/>
    </row>
    <row r="217" spans="6:12" ht="12.5">
      <c r="F217" s="34">
        <f ca="1">IFERROR(__xludf.DUMMYFUNCTION("""COMPUTED_VALUE"""),30225)</f>
        <v>30225</v>
      </c>
      <c r="G217" s="5" t="str">
        <f ca="1">IFERROR(__xludf.DUMMYFUNCTION("""COMPUTED_VALUE"""),"2800000.0")</f>
        <v>2800000.0</v>
      </c>
      <c r="H217" s="5" t="str">
        <f ca="1">IFERROR(__xludf.DUMMYFUNCTION("""COMPUTED_VALUE"""),"112000.0")</f>
        <v>112000.0</v>
      </c>
      <c r="I217" s="5" t="str">
        <f ca="1">IFERROR(__xludf.DUMMYFUNCTION("""COMPUTED_VALUE"""),"14000.0")</f>
        <v>14000.0</v>
      </c>
      <c r="J217" s="5">
        <f ca="1">IFERROR(__xludf.DUMMYFUNCTION("VALUE(REGEXREPLACE(G217,""\."","",""))"),2800000)</f>
        <v>2800000</v>
      </c>
      <c r="K217" s="5" t="e">
        <f t="shared" ca="1" si="5"/>
        <v>#NAME?</v>
      </c>
      <c r="L217" s="25"/>
    </row>
    <row r="218" spans="6:12" ht="12.5">
      <c r="F218" s="34">
        <f ca="1">IFERROR(__xludf.DUMMYFUNCTION("""COMPUTED_VALUE"""),30256)</f>
        <v>30256</v>
      </c>
      <c r="G218" s="5" t="str">
        <f ca="1">IFERROR(__xludf.DUMMYFUNCTION("""COMPUTED_VALUE"""),"2800000.0")</f>
        <v>2800000.0</v>
      </c>
      <c r="H218" s="5" t="str">
        <f ca="1">IFERROR(__xludf.DUMMYFUNCTION("""COMPUTED_VALUE"""),"112000.0")</f>
        <v>112000.0</v>
      </c>
      <c r="I218" s="5" t="str">
        <f ca="1">IFERROR(__xludf.DUMMYFUNCTION("""COMPUTED_VALUE"""),"14000.0")</f>
        <v>14000.0</v>
      </c>
      <c r="J218" s="5">
        <f ca="1">IFERROR(__xludf.DUMMYFUNCTION("VALUE(REGEXREPLACE(G218,""\."","",""))"),2800000)</f>
        <v>2800000</v>
      </c>
      <c r="K218" s="5" t="e">
        <f t="shared" ca="1" si="5"/>
        <v>#NAME?</v>
      </c>
      <c r="L218" s="25"/>
    </row>
    <row r="219" spans="6:12" ht="12.5">
      <c r="F219" s="34">
        <f ca="1">IFERROR(__xludf.DUMMYFUNCTION("""COMPUTED_VALUE"""),30286)</f>
        <v>30286</v>
      </c>
      <c r="G219" s="5" t="str">
        <f ca="1">IFERROR(__xludf.DUMMYFUNCTION("""COMPUTED_VALUE"""),"4000000.0")</f>
        <v>4000000.0</v>
      </c>
      <c r="H219" s="5" t="str">
        <f ca="1">IFERROR(__xludf.DUMMYFUNCTION("""COMPUTED_VALUE"""),"160000.0")</f>
        <v>160000.0</v>
      </c>
      <c r="I219" s="5" t="str">
        <f ca="1">IFERROR(__xludf.DUMMYFUNCTION("""COMPUTED_VALUE"""),"20000.0")</f>
        <v>20000.0</v>
      </c>
      <c r="J219" s="5">
        <f ca="1">IFERROR(__xludf.DUMMYFUNCTION("VALUE(REGEXREPLACE(G219,""\."","",""))"),4000000)</f>
        <v>4000000</v>
      </c>
      <c r="K219" s="5" t="e">
        <f t="shared" ca="1" si="5"/>
        <v>#NAME?</v>
      </c>
      <c r="L219" s="25"/>
    </row>
    <row r="220" spans="6:12" ht="12.5">
      <c r="F220" s="34">
        <f ca="1">IFERROR(__xludf.DUMMYFUNCTION("""COMPUTED_VALUE"""),30317)</f>
        <v>30317</v>
      </c>
      <c r="G220" s="5" t="str">
        <f ca="1">IFERROR(__xludf.DUMMYFUNCTION("""COMPUTED_VALUE"""),"5000000.0")</f>
        <v>5000000.0</v>
      </c>
      <c r="H220" s="5" t="str">
        <f ca="1">IFERROR(__xludf.DUMMYFUNCTION("""COMPUTED_VALUE"""),"200000.0")</f>
        <v>200000.0</v>
      </c>
      <c r="I220" s="5" t="str">
        <f ca="1">IFERROR(__xludf.DUMMYFUNCTION("""COMPUTED_VALUE"""),"25000.0")</f>
        <v>25000.0</v>
      </c>
      <c r="J220" s="5">
        <f ca="1">IFERROR(__xludf.DUMMYFUNCTION("VALUE(REGEXREPLACE(G220,""\."","",""))"),5000000)</f>
        <v>5000000</v>
      </c>
      <c r="K220" s="5" t="e">
        <f t="shared" ca="1" si="5"/>
        <v>#NAME?</v>
      </c>
      <c r="L220" s="25"/>
    </row>
    <row r="221" spans="6:12" ht="12.5">
      <c r="F221" s="34">
        <f ca="1">IFERROR(__xludf.DUMMYFUNCTION("""COMPUTED_VALUE"""),30348)</f>
        <v>30348</v>
      </c>
      <c r="G221" s="5" t="str">
        <f ca="1">IFERROR(__xludf.DUMMYFUNCTION("""COMPUTED_VALUE"""),"5000000.0")</f>
        <v>5000000.0</v>
      </c>
      <c r="H221" s="5" t="str">
        <f ca="1">IFERROR(__xludf.DUMMYFUNCTION("""COMPUTED_VALUE"""),"200000.0")</f>
        <v>200000.0</v>
      </c>
      <c r="I221" s="5" t="str">
        <f ca="1">IFERROR(__xludf.DUMMYFUNCTION("""COMPUTED_VALUE"""),"25000.0")</f>
        <v>25000.0</v>
      </c>
      <c r="J221" s="5">
        <f ca="1">IFERROR(__xludf.DUMMYFUNCTION("VALUE(REGEXREPLACE(G221,""\."","",""))"),5000000)</f>
        <v>5000000</v>
      </c>
      <c r="K221" s="5" t="e">
        <f t="shared" ca="1" si="5"/>
        <v>#NAME?</v>
      </c>
      <c r="L221" s="25"/>
    </row>
    <row r="222" spans="6:12" ht="12.5">
      <c r="F222" s="34">
        <f ca="1">IFERROR(__xludf.DUMMYFUNCTION("""COMPUTED_VALUE"""),30376)</f>
        <v>30376</v>
      </c>
      <c r="G222" s="5" t="str">
        <f ca="1">IFERROR(__xludf.DUMMYFUNCTION("""COMPUTED_VALUE"""),"5000000.0")</f>
        <v>5000000.0</v>
      </c>
      <c r="H222" s="5" t="str">
        <f ca="1">IFERROR(__xludf.DUMMYFUNCTION("""COMPUTED_VALUE"""),"200000.0")</f>
        <v>200000.0</v>
      </c>
      <c r="I222" s="5" t="str">
        <f ca="1">IFERROR(__xludf.DUMMYFUNCTION("""COMPUTED_VALUE"""),"25000.0")</f>
        <v>25000.0</v>
      </c>
      <c r="J222" s="5">
        <f ca="1">IFERROR(__xludf.DUMMYFUNCTION("VALUE(REGEXREPLACE(G222,""\."","",""))"),5000000)</f>
        <v>5000000</v>
      </c>
      <c r="K222" s="5" t="e">
        <f t="shared" ca="1" si="5"/>
        <v>#NAME?</v>
      </c>
      <c r="L222" s="25"/>
    </row>
    <row r="223" spans="6:12" ht="12.5">
      <c r="F223" s="34">
        <f ca="1">IFERROR(__xludf.DUMMYFUNCTION("""COMPUTED_VALUE"""),30407)</f>
        <v>30407</v>
      </c>
      <c r="G223" s="5" t="str">
        <f ca="1">IFERROR(__xludf.DUMMYFUNCTION("""COMPUTED_VALUE"""),"7000000.0")</f>
        <v>7000000.0</v>
      </c>
      <c r="H223" s="5" t="str">
        <f ca="1">IFERROR(__xludf.DUMMYFUNCTION("""COMPUTED_VALUE"""),"280000.0")</f>
        <v>280000.0</v>
      </c>
      <c r="I223" s="5" t="str">
        <f ca="1">IFERROR(__xludf.DUMMYFUNCTION("""COMPUTED_VALUE"""),"35000.0")</f>
        <v>35000.0</v>
      </c>
      <c r="J223" s="5">
        <f ca="1">IFERROR(__xludf.DUMMYFUNCTION("VALUE(REGEXREPLACE(G223,""\."","",""))"),7000000)</f>
        <v>7000000</v>
      </c>
      <c r="K223" s="5" t="e">
        <f t="shared" ca="1" si="5"/>
        <v>#NAME?</v>
      </c>
      <c r="L223" s="25"/>
    </row>
    <row r="224" spans="6:12" ht="12.5">
      <c r="F224" s="34">
        <f ca="1">IFERROR(__xludf.DUMMYFUNCTION("""COMPUTED_VALUE"""),30437)</f>
        <v>30437</v>
      </c>
      <c r="G224" s="5" t="str">
        <f ca="1">IFERROR(__xludf.DUMMYFUNCTION("""COMPUTED_VALUE"""),"7000000.0")</f>
        <v>7000000.0</v>
      </c>
      <c r="H224" s="5" t="str">
        <f ca="1">IFERROR(__xludf.DUMMYFUNCTION("""COMPUTED_VALUE"""),"280000.0")</f>
        <v>280000.0</v>
      </c>
      <c r="I224" s="5" t="str">
        <f ca="1">IFERROR(__xludf.DUMMYFUNCTION("""COMPUTED_VALUE"""),"35000.0")</f>
        <v>35000.0</v>
      </c>
      <c r="J224" s="5">
        <f ca="1">IFERROR(__xludf.DUMMYFUNCTION("VALUE(REGEXREPLACE(G224,""\."","",""))"),7000000)</f>
        <v>7000000</v>
      </c>
      <c r="K224" s="5" t="e">
        <f t="shared" ca="1" si="5"/>
        <v>#NAME?</v>
      </c>
      <c r="L224" s="25"/>
    </row>
    <row r="225" spans="6:12" ht="12.5">
      <c r="F225" s="34">
        <f ca="1">IFERROR(__xludf.DUMMYFUNCTION("""COMPUTED_VALUE"""),30468)</f>
        <v>30468</v>
      </c>
      <c r="G225" s="5" t="str">
        <f ca="1">IFERROR(__xludf.DUMMYFUNCTION("""COMPUTED_VALUE"""),"700.0")</f>
        <v>700.0</v>
      </c>
      <c r="H225" s="5" t="str">
        <f ca="1">IFERROR(__xludf.DUMMYFUNCTION("""COMPUTED_VALUE"""),"28.0")</f>
        <v>28.0</v>
      </c>
      <c r="I225" s="5">
        <f ca="1">IFERROR(__xludf.DUMMYFUNCTION("""COMPUTED_VALUE"""),45415)</f>
        <v>45415</v>
      </c>
      <c r="J225" s="5">
        <f ca="1">IFERROR(__xludf.DUMMYFUNCTION("VALUE(REGEXREPLACE(G225,""\."","",""))"),700)</f>
        <v>700</v>
      </c>
      <c r="K225" s="5" t="e">
        <f t="shared" ca="1" si="5"/>
        <v>#NAME?</v>
      </c>
      <c r="L225" s="25"/>
    </row>
    <row r="226" spans="6:12" ht="12.5">
      <c r="F226" s="34">
        <f ca="1">IFERROR(__xludf.DUMMYFUNCTION("""COMPUTED_VALUE"""),30498)</f>
        <v>30498</v>
      </c>
      <c r="G226" s="5" t="str">
        <f ca="1">IFERROR(__xludf.DUMMYFUNCTION("""COMPUTED_VALUE"""),"1100.0")</f>
        <v>1100.0</v>
      </c>
      <c r="H226" s="5" t="str">
        <f ca="1">IFERROR(__xludf.DUMMYFUNCTION("""COMPUTED_VALUE"""),"44.0")</f>
        <v>44.0</v>
      </c>
      <c r="I226" s="5">
        <f ca="1">IFERROR(__xludf.DUMMYFUNCTION("""COMPUTED_VALUE"""),45417)</f>
        <v>45417</v>
      </c>
      <c r="J226" s="5">
        <f ca="1">IFERROR(__xludf.DUMMYFUNCTION("VALUE(REGEXREPLACE(G226,""\."","",""))"),1100)</f>
        <v>1100</v>
      </c>
      <c r="K226" s="5" t="e">
        <f t="shared" ca="1" si="5"/>
        <v>#NAME?</v>
      </c>
      <c r="L226" s="25"/>
    </row>
    <row r="227" spans="6:12" ht="12.5">
      <c r="F227" s="34">
        <f ca="1">IFERROR(__xludf.DUMMYFUNCTION("""COMPUTED_VALUE"""),30529)</f>
        <v>30529</v>
      </c>
      <c r="G227" s="5" t="str">
        <f ca="1">IFERROR(__xludf.DUMMYFUNCTION("""COMPUTED_VALUE"""),"1100.0")</f>
        <v>1100.0</v>
      </c>
      <c r="H227" s="5" t="str">
        <f ca="1">IFERROR(__xludf.DUMMYFUNCTION("""COMPUTED_VALUE"""),"44.0")</f>
        <v>44.0</v>
      </c>
      <c r="I227" s="5">
        <f ca="1">IFERROR(__xludf.DUMMYFUNCTION("""COMPUTED_VALUE"""),45417)</f>
        <v>45417</v>
      </c>
      <c r="J227" s="5">
        <f ca="1">IFERROR(__xludf.DUMMYFUNCTION("VALUE(REGEXREPLACE(G227,""\."","",""))"),1100)</f>
        <v>1100</v>
      </c>
      <c r="K227" s="5" t="e">
        <f t="shared" ca="1" si="5"/>
        <v>#NAME?</v>
      </c>
      <c r="L227" s="25"/>
    </row>
    <row r="228" spans="6:12" ht="12.5">
      <c r="F228" s="34">
        <f ca="1">IFERROR(__xludf.DUMMYFUNCTION("""COMPUTED_VALUE"""),30560)</f>
        <v>30560</v>
      </c>
      <c r="G228" s="5" t="str">
        <f ca="1">IFERROR(__xludf.DUMMYFUNCTION("""COMPUTED_VALUE"""),"1600.0")</f>
        <v>1600.0</v>
      </c>
      <c r="H228" s="5" t="str">
        <f ca="1">IFERROR(__xludf.DUMMYFUNCTION("""COMPUTED_VALUE"""),"64.0")</f>
        <v>64.0</v>
      </c>
      <c r="I228" s="5" t="str">
        <f ca="1">IFERROR(__xludf.DUMMYFUNCTION("""COMPUTED_VALUE"""),"8.0")</f>
        <v>8.0</v>
      </c>
      <c r="J228" s="5">
        <f ca="1">IFERROR(__xludf.DUMMYFUNCTION("VALUE(REGEXREPLACE(G228,""\."","",""))"),1600)</f>
        <v>1600</v>
      </c>
      <c r="K228" s="5" t="e">
        <f t="shared" ca="1" si="5"/>
        <v>#NAME?</v>
      </c>
      <c r="L228" s="25"/>
    </row>
    <row r="229" spans="6:12" ht="12.5">
      <c r="F229" s="34">
        <f ca="1">IFERROR(__xludf.DUMMYFUNCTION("""COMPUTED_VALUE"""),30590)</f>
        <v>30590</v>
      </c>
      <c r="G229" s="5" t="str">
        <f ca="1">IFERROR(__xludf.DUMMYFUNCTION("""COMPUTED_VALUE"""),"1800.0")</f>
        <v>1800.0</v>
      </c>
      <c r="H229" s="5" t="str">
        <f ca="1">IFERROR(__xludf.DUMMYFUNCTION("""COMPUTED_VALUE"""),"72.0")</f>
        <v>72.0</v>
      </c>
      <c r="I229" s="5" t="str">
        <f ca="1">IFERROR(__xludf.DUMMYFUNCTION("""COMPUTED_VALUE"""),"9.0")</f>
        <v>9.0</v>
      </c>
      <c r="J229" s="5">
        <f ca="1">IFERROR(__xludf.DUMMYFUNCTION("VALUE(REGEXREPLACE(G229,""\."","",""))"),1800)</f>
        <v>1800</v>
      </c>
      <c r="K229" s="5" t="e">
        <f t="shared" ca="1" si="5"/>
        <v>#NAME?</v>
      </c>
      <c r="L229" s="25"/>
    </row>
    <row r="230" spans="6:12" ht="12.5">
      <c r="F230" s="34">
        <f ca="1">IFERROR(__xludf.DUMMYFUNCTION("""COMPUTED_VALUE"""),30621)</f>
        <v>30621</v>
      </c>
      <c r="G230" s="5" t="str">
        <f ca="1">IFERROR(__xludf.DUMMYFUNCTION("""COMPUTED_VALUE"""),"1800.0")</f>
        <v>1800.0</v>
      </c>
      <c r="H230" s="5" t="str">
        <f ca="1">IFERROR(__xludf.DUMMYFUNCTION("""COMPUTED_VALUE"""),"72.0")</f>
        <v>72.0</v>
      </c>
      <c r="I230" s="5" t="str">
        <f ca="1">IFERROR(__xludf.DUMMYFUNCTION("""COMPUTED_VALUE"""),"9.0")</f>
        <v>9.0</v>
      </c>
      <c r="J230" s="5">
        <f ca="1">IFERROR(__xludf.DUMMYFUNCTION("VALUE(REGEXREPLACE(G230,""\."","",""))"),1800)</f>
        <v>1800</v>
      </c>
      <c r="K230" s="5" t="e">
        <f t="shared" ca="1" si="5"/>
        <v>#NAME?</v>
      </c>
      <c r="L230" s="25"/>
    </row>
    <row r="231" spans="6:12" ht="12.5">
      <c r="F231" s="34">
        <f ca="1">IFERROR(__xludf.DUMMYFUNCTION("""COMPUTED_VALUE"""),30651)</f>
        <v>30651</v>
      </c>
      <c r="G231" s="5" t="str">
        <f ca="1">IFERROR(__xludf.DUMMYFUNCTION("""COMPUTED_VALUE"""),"2800.0")</f>
        <v>2800.0</v>
      </c>
      <c r="H231" s="5" t="str">
        <f ca="1">IFERROR(__xludf.DUMMYFUNCTION("""COMPUTED_VALUE"""),"112.0")</f>
        <v>112.0</v>
      </c>
      <c r="I231" s="5" t="str">
        <f ca="1">IFERROR(__xludf.DUMMYFUNCTION("""COMPUTED_VALUE"""),"14.0")</f>
        <v>14.0</v>
      </c>
      <c r="J231" s="5">
        <f ca="1">IFERROR(__xludf.DUMMYFUNCTION("VALUE(REGEXREPLACE(G231,""\."","",""))"),2800)</f>
        <v>2800</v>
      </c>
      <c r="K231" s="5" t="e">
        <f t="shared" ca="1" si="5"/>
        <v>#NAME?</v>
      </c>
      <c r="L231" s="25"/>
    </row>
    <row r="232" spans="6:12" ht="12.5">
      <c r="F232" s="34">
        <f ca="1">IFERROR(__xludf.DUMMYFUNCTION("""COMPUTED_VALUE"""),30682)</f>
        <v>30682</v>
      </c>
      <c r="G232" s="5" t="str">
        <f ca="1">IFERROR(__xludf.DUMMYFUNCTION("""COMPUTED_VALUE"""),"3136.0")</f>
        <v>3136.0</v>
      </c>
      <c r="H232" s="5" t="str">
        <f ca="1">IFERROR(__xludf.DUMMYFUNCTION("""COMPUTED_VALUE"""),"125.44")</f>
        <v>125.44</v>
      </c>
      <c r="I232" s="5" t="str">
        <f ca="1">IFERROR(__xludf.DUMMYFUNCTION("""COMPUTED_VALUE"""),"15.68")</f>
        <v>15.68</v>
      </c>
      <c r="J232" s="5">
        <f ca="1">IFERROR(__xludf.DUMMYFUNCTION("VALUE(REGEXREPLACE(G232,""\."","",""))"),3136)</f>
        <v>3136</v>
      </c>
      <c r="K232" s="5" t="e">
        <f t="shared" ca="1" si="5"/>
        <v>#NAME?</v>
      </c>
      <c r="L232" s="25"/>
    </row>
    <row r="233" spans="6:12" ht="12.5">
      <c r="F233" s="34">
        <f ca="1">IFERROR(__xludf.DUMMYFUNCTION("""COMPUTED_VALUE"""),30713)</f>
        <v>30713</v>
      </c>
      <c r="G233" s="5" t="str">
        <f ca="1">IFERROR(__xludf.DUMMYFUNCTION("""COMPUTED_VALUE"""),"3700.0")</f>
        <v>3700.0</v>
      </c>
      <c r="H233" s="5" t="str">
        <f ca="1">IFERROR(__xludf.DUMMYFUNCTION("""COMPUTED_VALUE"""),"148.0")</f>
        <v>148.0</v>
      </c>
      <c r="I233" s="5">
        <f ca="1">IFERROR(__xludf.DUMMYFUNCTION("""COMPUTED_VALUE"""),45430)</f>
        <v>45430</v>
      </c>
      <c r="J233" s="5">
        <f ca="1">IFERROR(__xludf.DUMMYFUNCTION("VALUE(REGEXREPLACE(G233,""\."","",""))"),3700)</f>
        <v>3700</v>
      </c>
      <c r="K233" s="5" t="e">
        <f t="shared" ca="1" si="5"/>
        <v>#NAME?</v>
      </c>
      <c r="L233" s="25"/>
    </row>
    <row r="234" spans="6:12" ht="12.5">
      <c r="F234" s="34">
        <f ca="1">IFERROR(__xludf.DUMMYFUNCTION("""COMPUTED_VALUE"""),30742)</f>
        <v>30742</v>
      </c>
      <c r="G234" s="5" t="str">
        <f ca="1">IFERROR(__xludf.DUMMYFUNCTION("""COMPUTED_VALUE"""),"4451.0")</f>
        <v>4451.0</v>
      </c>
      <c r="H234" s="5" t="str">
        <f ca="1">IFERROR(__xludf.DUMMYFUNCTION("""COMPUTED_VALUE"""),"178.04")</f>
        <v>178.04</v>
      </c>
      <c r="I234" s="5">
        <f ca="1">IFERROR(__xludf.DUMMYFUNCTION("""COMPUTED_VALUE"""),22255)</f>
        <v>22255</v>
      </c>
      <c r="J234" s="5">
        <f ca="1">IFERROR(__xludf.DUMMYFUNCTION("VALUE(REGEXREPLACE(G234,""\."","",""))"),4451)</f>
        <v>4451</v>
      </c>
      <c r="K234" s="5" t="e">
        <f t="shared" ca="1" si="5"/>
        <v>#NAME?</v>
      </c>
      <c r="L234" s="25"/>
    </row>
    <row r="235" spans="6:12" ht="12.5">
      <c r="F235" s="34">
        <f ca="1">IFERROR(__xludf.DUMMYFUNCTION("""COMPUTED_VALUE"""),30773)</f>
        <v>30773</v>
      </c>
      <c r="G235" s="5" t="str">
        <f ca="1">IFERROR(__xludf.DUMMYFUNCTION("""COMPUTED_VALUE"""),"5030.0")</f>
        <v>5030.0</v>
      </c>
      <c r="H235" s="5" t="str">
        <f ca="1">IFERROR(__xludf.DUMMYFUNCTION("""COMPUTED_VALUE"""),"201.2")</f>
        <v>201.2</v>
      </c>
      <c r="I235" s="5" t="str">
        <f ca="1">IFERROR(__xludf.DUMMYFUNCTION("""COMPUTED_VALUE"""),"25.15")</f>
        <v>25.15</v>
      </c>
      <c r="J235" s="5">
        <f ca="1">IFERROR(__xludf.DUMMYFUNCTION("VALUE(REGEXREPLACE(G235,""\."","",""))"),5030)</f>
        <v>5030</v>
      </c>
      <c r="K235" s="5" t="e">
        <f t="shared" ca="1" si="5"/>
        <v>#NAME?</v>
      </c>
      <c r="L235" s="25"/>
    </row>
    <row r="236" spans="6:12" ht="12.5">
      <c r="F236" s="34">
        <f ca="1">IFERROR(__xludf.DUMMYFUNCTION("""COMPUTED_VALUE"""),30803)</f>
        <v>30803</v>
      </c>
      <c r="G236" s="5" t="str">
        <f ca="1">IFERROR(__xludf.DUMMYFUNCTION("""COMPUTED_VALUE"""),"5483.0")</f>
        <v>5483.0</v>
      </c>
      <c r="H236" s="5" t="str">
        <f ca="1">IFERROR(__xludf.DUMMYFUNCTION("""COMPUTED_VALUE"""),"219.32")</f>
        <v>219.32</v>
      </c>
      <c r="I236" s="5">
        <f ca="1">IFERROR(__xludf.DUMMYFUNCTION("""COMPUTED_VALUE"""),27415)</f>
        <v>27415</v>
      </c>
      <c r="J236" s="5">
        <f ca="1">IFERROR(__xludf.DUMMYFUNCTION("VALUE(REGEXREPLACE(G236,""\."","",""))"),5483)</f>
        <v>5483</v>
      </c>
      <c r="K236" s="5" t="e">
        <f t="shared" ca="1" si="5"/>
        <v>#NAME?</v>
      </c>
      <c r="L236" s="25"/>
    </row>
    <row r="237" spans="6:12" ht="12.5">
      <c r="F237" s="34">
        <f ca="1">IFERROR(__xludf.DUMMYFUNCTION("""COMPUTED_VALUE"""),30834)</f>
        <v>30834</v>
      </c>
      <c r="G237" s="5" t="str">
        <f ca="1">IFERROR(__xludf.DUMMYFUNCTION("""COMPUTED_VALUE"""),"6251.0")</f>
        <v>6251.0</v>
      </c>
      <c r="H237" s="5" t="str">
        <f ca="1">IFERROR(__xludf.DUMMYFUNCTION("""COMPUTED_VALUE"""),"250.04")</f>
        <v>250.04</v>
      </c>
      <c r="I237" s="5">
        <f ca="1">IFERROR(__xludf.DUMMYFUNCTION("""COMPUTED_VALUE"""),31255)</f>
        <v>31255</v>
      </c>
      <c r="J237" s="5">
        <f ca="1">IFERROR(__xludf.DUMMYFUNCTION("VALUE(REGEXREPLACE(G237,""\."","",""))"),6251)</f>
        <v>6251</v>
      </c>
      <c r="K237" s="5" t="e">
        <f t="shared" ca="1" si="5"/>
        <v>#NAME?</v>
      </c>
      <c r="L237" s="25"/>
    </row>
    <row r="238" spans="6:12" ht="12.5">
      <c r="F238" s="34">
        <f ca="1">IFERROR(__xludf.DUMMYFUNCTION("""COMPUTED_VALUE"""),30864)</f>
        <v>30864</v>
      </c>
      <c r="G238" s="5" t="str">
        <f ca="1">IFERROR(__xludf.DUMMYFUNCTION("""COMPUTED_VALUE"""),"8500.0")</f>
        <v>8500.0</v>
      </c>
      <c r="H238" s="5" t="str">
        <f ca="1">IFERROR(__xludf.DUMMYFUNCTION("""COMPUTED_VALUE"""),"340.0")</f>
        <v>340.0</v>
      </c>
      <c r="I238" s="5" t="str">
        <f ca="1">IFERROR(__xludf.DUMMYFUNCTION("""COMPUTED_VALUE"""),"42.5")</f>
        <v>42.5</v>
      </c>
      <c r="J238" s="5">
        <f ca="1">IFERROR(__xludf.DUMMYFUNCTION("VALUE(REGEXREPLACE(G238,""\."","",""))"),8500)</f>
        <v>8500</v>
      </c>
      <c r="K238" s="5" t="e">
        <f t="shared" ca="1" si="5"/>
        <v>#NAME?</v>
      </c>
      <c r="L238" s="25"/>
    </row>
    <row r="239" spans="6:12" ht="12.5">
      <c r="F239" s="34">
        <f ca="1">IFERROR(__xludf.DUMMYFUNCTION("""COMPUTED_VALUE"""),30895)</f>
        <v>30895</v>
      </c>
      <c r="G239" s="5" t="str">
        <f ca="1">IFERROR(__xludf.DUMMYFUNCTION("""COMPUTED_VALUE"""),"13000.0")</f>
        <v>13000.0</v>
      </c>
      <c r="H239" s="5" t="str">
        <f ca="1">IFERROR(__xludf.DUMMYFUNCTION("""COMPUTED_VALUE"""),"520.0")</f>
        <v>520.0</v>
      </c>
      <c r="I239" s="5" t="str">
        <f ca="1">IFERROR(__xludf.DUMMYFUNCTION("""COMPUTED_VALUE"""),"65.0")</f>
        <v>65.0</v>
      </c>
      <c r="J239" s="5">
        <f ca="1">IFERROR(__xludf.DUMMYFUNCTION("VALUE(REGEXREPLACE(G239,""\."","",""))"),13000)</f>
        <v>13000</v>
      </c>
      <c r="K239" s="5" t="e">
        <f t="shared" ca="1" si="5"/>
        <v>#NAME?</v>
      </c>
      <c r="L239" s="25"/>
    </row>
    <row r="240" spans="6:12" ht="12.5">
      <c r="F240" s="34">
        <f ca="1">IFERROR(__xludf.DUMMYFUNCTION("""COMPUTED_VALUE"""),30926)</f>
        <v>30926</v>
      </c>
      <c r="G240" s="5" t="str">
        <f ca="1">IFERROR(__xludf.DUMMYFUNCTION("""COMPUTED_VALUE"""),"15080.0")</f>
        <v>15080.0</v>
      </c>
      <c r="H240" s="5" t="str">
        <f ca="1">IFERROR(__xludf.DUMMYFUNCTION("""COMPUTED_VALUE"""),"603.2")</f>
        <v>603.2</v>
      </c>
      <c r="I240" s="5" t="str">
        <f ca="1">IFERROR(__xludf.DUMMYFUNCTION("""COMPUTED_VALUE"""),"75.4")</f>
        <v>75.4</v>
      </c>
      <c r="J240" s="5">
        <f ca="1">IFERROR(__xludf.DUMMYFUNCTION("VALUE(REGEXREPLACE(G240,""\."","",""))"),15080)</f>
        <v>15080</v>
      </c>
      <c r="K240" s="5" t="e">
        <f t="shared" ca="1" si="5"/>
        <v>#NAME?</v>
      </c>
      <c r="L240" s="25"/>
    </row>
    <row r="241" spans="6:12" ht="12.5">
      <c r="F241" s="34">
        <f ca="1">IFERROR(__xludf.DUMMYFUNCTION("""COMPUTED_VALUE"""),30956)</f>
        <v>30956</v>
      </c>
      <c r="G241" s="5" t="str">
        <f ca="1">IFERROR(__xludf.DUMMYFUNCTION("""COMPUTED_VALUE"""),"15080.0")</f>
        <v>15080.0</v>
      </c>
      <c r="H241" s="5" t="str">
        <f ca="1">IFERROR(__xludf.DUMMYFUNCTION("""COMPUTED_VALUE"""),"603.2")</f>
        <v>603.2</v>
      </c>
      <c r="I241" s="5" t="str">
        <f ca="1">IFERROR(__xludf.DUMMYFUNCTION("""COMPUTED_VALUE"""),"75.4")</f>
        <v>75.4</v>
      </c>
      <c r="J241" s="5">
        <f ca="1">IFERROR(__xludf.DUMMYFUNCTION("VALUE(REGEXREPLACE(G241,""\."","",""))"),15080)</f>
        <v>15080</v>
      </c>
      <c r="K241" s="5" t="e">
        <f t="shared" ca="1" si="5"/>
        <v>#NAME?</v>
      </c>
      <c r="L241" s="25"/>
    </row>
    <row r="242" spans="6:12" ht="12.5">
      <c r="F242" s="34">
        <f ca="1">IFERROR(__xludf.DUMMYFUNCTION("""COMPUTED_VALUE"""),30987)</f>
        <v>30987</v>
      </c>
      <c r="G242" s="5" t="str">
        <f ca="1">IFERROR(__xludf.DUMMYFUNCTION("""COMPUTED_VALUE"""),"15080.0")</f>
        <v>15080.0</v>
      </c>
      <c r="H242" s="5" t="str">
        <f ca="1">IFERROR(__xludf.DUMMYFUNCTION("""COMPUTED_VALUE"""),"603.2")</f>
        <v>603.2</v>
      </c>
      <c r="I242" s="5" t="str">
        <f ca="1">IFERROR(__xludf.DUMMYFUNCTION("""COMPUTED_VALUE"""),"75.4")</f>
        <v>75.4</v>
      </c>
      <c r="J242" s="5">
        <f ca="1">IFERROR(__xludf.DUMMYFUNCTION("VALUE(REGEXREPLACE(G242,""\."","",""))"),15080)</f>
        <v>15080</v>
      </c>
      <c r="K242" s="5" t="e">
        <f t="shared" ca="1" si="5"/>
        <v>#NAME?</v>
      </c>
      <c r="L242" s="25"/>
    </row>
    <row r="243" spans="6:12" ht="12.5">
      <c r="F243" s="34">
        <f ca="1">IFERROR(__xludf.DUMMYFUNCTION("""COMPUTED_VALUE"""),31017)</f>
        <v>31017</v>
      </c>
      <c r="G243" s="5" t="str">
        <f ca="1">IFERROR(__xludf.DUMMYFUNCTION("""COMPUTED_VALUE"""),"15080.0")</f>
        <v>15080.0</v>
      </c>
      <c r="H243" s="5" t="str">
        <f ca="1">IFERROR(__xludf.DUMMYFUNCTION("""COMPUTED_VALUE"""),"603.2")</f>
        <v>603.2</v>
      </c>
      <c r="I243" s="5" t="str">
        <f ca="1">IFERROR(__xludf.DUMMYFUNCTION("""COMPUTED_VALUE"""),"75.4")</f>
        <v>75.4</v>
      </c>
      <c r="J243" s="5">
        <f ca="1">IFERROR(__xludf.DUMMYFUNCTION("VALUE(REGEXREPLACE(G243,""\."","",""))"),15080)</f>
        <v>15080</v>
      </c>
      <c r="K243" s="5" t="e">
        <f t="shared" ca="1" si="5"/>
        <v>#NAME?</v>
      </c>
      <c r="L243" s="25"/>
    </row>
    <row r="244" spans="6:12" ht="12.5">
      <c r="F244" s="34">
        <f ca="1">IFERROR(__xludf.DUMMYFUNCTION("""COMPUTED_VALUE"""),31048)</f>
        <v>31048</v>
      </c>
      <c r="G244" s="5" t="str">
        <f ca="1">IFERROR(__xludf.DUMMYFUNCTION("""COMPUTED_VALUE"""),"20000.0")</f>
        <v>20000.0</v>
      </c>
      <c r="H244" s="5" t="str">
        <f ca="1">IFERROR(__xludf.DUMMYFUNCTION("""COMPUTED_VALUE"""),"800.0")</f>
        <v>800.0</v>
      </c>
      <c r="I244" s="5" t="str">
        <f ca="1">IFERROR(__xludf.DUMMYFUNCTION("""COMPUTED_VALUE"""),"100.0")</f>
        <v>100.0</v>
      </c>
      <c r="J244" s="5">
        <f ca="1">IFERROR(__xludf.DUMMYFUNCTION("VALUE(REGEXREPLACE(G244,""\."","",""))"),20000)</f>
        <v>20000</v>
      </c>
      <c r="K244" s="5" t="e">
        <f t="shared" ca="1" si="5"/>
        <v>#NAME?</v>
      </c>
      <c r="L244" s="25"/>
    </row>
    <row r="245" spans="6:12" ht="12.5">
      <c r="F245" s="34">
        <f ca="1">IFERROR(__xludf.DUMMYFUNCTION("""COMPUTED_VALUE"""),31079)</f>
        <v>31079</v>
      </c>
      <c r="G245" s="5" t="str">
        <f ca="1">IFERROR(__xludf.DUMMYFUNCTION("""COMPUTED_VALUE"""),"24000.0")</f>
        <v>24000.0</v>
      </c>
      <c r="H245" s="5" t="str">
        <f ca="1">IFERROR(__xludf.DUMMYFUNCTION("""COMPUTED_VALUE"""),"960.0")</f>
        <v>960.0</v>
      </c>
      <c r="I245" s="5" t="str">
        <f ca="1">IFERROR(__xludf.DUMMYFUNCTION("""COMPUTED_VALUE"""),"120.0")</f>
        <v>120.0</v>
      </c>
      <c r="J245" s="5">
        <f ca="1">IFERROR(__xludf.DUMMYFUNCTION("VALUE(REGEXREPLACE(G245,""\."","",""))"),24000)</f>
        <v>24000</v>
      </c>
      <c r="K245" s="5" t="e">
        <f t="shared" ca="1" si="5"/>
        <v>#NAME?</v>
      </c>
      <c r="L245" s="25"/>
    </row>
    <row r="246" spans="6:12" ht="12.5">
      <c r="F246" s="34">
        <f ca="1">IFERROR(__xludf.DUMMYFUNCTION("""COMPUTED_VALUE"""),31107)</f>
        <v>31107</v>
      </c>
      <c r="G246" s="5" t="str">
        <f ca="1">IFERROR(__xludf.DUMMYFUNCTION("""COMPUTED_VALUE"""),"28968.0")</f>
        <v>28968.0</v>
      </c>
      <c r="H246" s="5" t="str">
        <f ca="1">IFERROR(__xludf.DUMMYFUNCTION("""COMPUTED_VALUE"""),"1158.72")</f>
        <v>1158.72</v>
      </c>
      <c r="I246" s="5" t="str">
        <f ca="1">IFERROR(__xludf.DUMMYFUNCTION("""COMPUTED_VALUE"""),"144.84")</f>
        <v>144.84</v>
      </c>
      <c r="J246" s="5">
        <f ca="1">IFERROR(__xludf.DUMMYFUNCTION("VALUE(REGEXREPLACE(G246,""\."","",""))"),28968)</f>
        <v>28968</v>
      </c>
      <c r="K246" s="5" t="e">
        <f t="shared" ca="1" si="5"/>
        <v>#NAME?</v>
      </c>
      <c r="L246" s="25"/>
    </row>
    <row r="247" spans="6:12" ht="12.5">
      <c r="F247" s="34">
        <f ca="1">IFERROR(__xludf.DUMMYFUNCTION("""COMPUTED_VALUE"""),31138)</f>
        <v>31138</v>
      </c>
      <c r="G247" s="5" t="str">
        <f ca="1">IFERROR(__xludf.DUMMYFUNCTION("""COMPUTED_VALUE"""),"36644.0")</f>
        <v>36644.0</v>
      </c>
      <c r="H247" s="5" t="str">
        <f ca="1">IFERROR(__xludf.DUMMYFUNCTION("""COMPUTED_VALUE"""),"1465.76")</f>
        <v>1465.76</v>
      </c>
      <c r="I247" s="5" t="str">
        <f ca="1">IFERROR(__xludf.DUMMYFUNCTION("""COMPUTED_VALUE"""),"183.22")</f>
        <v>183.22</v>
      </c>
      <c r="J247" s="5">
        <f ca="1">IFERROR(__xludf.DUMMYFUNCTION("VALUE(REGEXREPLACE(G247,""\."","",""))"),36644)</f>
        <v>36644</v>
      </c>
      <c r="K247" s="5" t="e">
        <f t="shared" ca="1" si="5"/>
        <v>#NAME?</v>
      </c>
      <c r="L247" s="25"/>
    </row>
    <row r="248" spans="6:12" ht="12.5">
      <c r="F248" s="34">
        <f ca="1">IFERROR(__xludf.DUMMYFUNCTION("""COMPUTED_VALUE"""),31168)</f>
        <v>31168</v>
      </c>
      <c r="G248" s="5" t="str">
        <f ca="1">IFERROR(__xludf.DUMMYFUNCTION("""COMPUTED_VALUE"""),"47454.0")</f>
        <v>47454.0</v>
      </c>
      <c r="H248" s="5" t="str">
        <f ca="1">IFERROR(__xludf.DUMMYFUNCTION("""COMPUTED_VALUE"""),"1898.16")</f>
        <v>1898.16</v>
      </c>
      <c r="I248" s="5" t="str">
        <f ca="1">IFERROR(__xludf.DUMMYFUNCTION("""COMPUTED_VALUE"""),"237.27")</f>
        <v>237.27</v>
      </c>
      <c r="J248" s="5">
        <f ca="1">IFERROR(__xludf.DUMMYFUNCTION("VALUE(REGEXREPLACE(G248,""\."","",""))"),47454)</f>
        <v>47454</v>
      </c>
      <c r="K248" s="5" t="e">
        <f t="shared" ca="1" si="5"/>
        <v>#NAME?</v>
      </c>
      <c r="L248" s="25"/>
    </row>
    <row r="249" spans="6:12" ht="12.5">
      <c r="F249" s="34">
        <f ca="1">IFERROR(__xludf.DUMMYFUNCTION("""COMPUTED_VALUE"""),31199)</f>
        <v>31199</v>
      </c>
      <c r="G249" s="5" t="str">
        <f ca="1">IFERROR(__xludf.DUMMYFUNCTION("""COMPUTED_VALUE"""),"59365.0")</f>
        <v>59365.0</v>
      </c>
      <c r="H249" s="5">
        <f ca="1">IFERROR(__xludf.DUMMYFUNCTION("""COMPUTED_VALUE"""),173278)</f>
        <v>173278</v>
      </c>
      <c r="I249" s="5">
        <f ca="1">IFERROR(__xludf.DUMMYFUNCTION("""COMPUTED_VALUE"""),296825)</f>
        <v>296825</v>
      </c>
      <c r="J249" s="5">
        <f ca="1">IFERROR(__xludf.DUMMYFUNCTION("VALUE(REGEXREPLACE(G249,""\."","",""))"),59365)</f>
        <v>59365</v>
      </c>
      <c r="K249" s="5" t="e">
        <f t="shared" ca="1" si="5"/>
        <v>#NAME?</v>
      </c>
      <c r="L249" s="25"/>
    </row>
    <row r="250" spans="6:12" ht="12.5">
      <c r="F250" s="34">
        <f ca="1">IFERROR(__xludf.DUMMYFUNCTION("""COMPUTED_VALUE"""),31229)</f>
        <v>31229</v>
      </c>
      <c r="G250" s="5" t="str">
        <f ca="1">IFERROR(__xludf.DUMMYFUNCTION("""COMPUTED_VALUE"""),"59.37")</f>
        <v>59.37</v>
      </c>
      <c r="H250" s="5">
        <f ca="1">IFERROR(__xludf.DUMMYFUNCTION("""COMPUTED_VALUE"""),675001)</f>
        <v>675001</v>
      </c>
      <c r="I250" s="5">
        <f ca="1">IFERROR(__xludf.DUMMYFUNCTION("""COMPUTED_VALUE"""),29685)</f>
        <v>29685</v>
      </c>
      <c r="J250" s="5">
        <f ca="1">IFERROR(__xludf.DUMMYFUNCTION("VALUE(REGEXREPLACE(G250,""\."","",""))"),59.37)</f>
        <v>59.37</v>
      </c>
      <c r="K250" s="5" t="e">
        <f t="shared" ca="1" si="5"/>
        <v>#NAME?</v>
      </c>
      <c r="L250" s="25"/>
    </row>
    <row r="251" spans="6:12" ht="12.5">
      <c r="F251" s="34">
        <f ca="1">IFERROR(__xludf.DUMMYFUNCTION("""COMPUTED_VALUE"""),31260)</f>
        <v>31260</v>
      </c>
      <c r="G251" s="5" t="str">
        <f ca="1">IFERROR(__xludf.DUMMYFUNCTION("""COMPUTED_VALUE"""),"59.37")</f>
        <v>59.37</v>
      </c>
      <c r="H251" s="5">
        <f ca="1">IFERROR(__xludf.DUMMYFUNCTION("""COMPUTED_VALUE"""),675001)</f>
        <v>675001</v>
      </c>
      <c r="I251" s="5">
        <f ca="1">IFERROR(__xludf.DUMMYFUNCTION("""COMPUTED_VALUE"""),29685)</f>
        <v>29685</v>
      </c>
      <c r="J251" s="5">
        <f ca="1">IFERROR(__xludf.DUMMYFUNCTION("VALUE(REGEXREPLACE(G251,""\."","",""))"),59.37)</f>
        <v>59.37</v>
      </c>
      <c r="K251" s="5" t="e">
        <f t="shared" ca="1" si="5"/>
        <v>#NAME?</v>
      </c>
      <c r="L251" s="25"/>
    </row>
    <row r="252" spans="6:12" ht="12.5">
      <c r="F252" s="34">
        <f ca="1">IFERROR(__xludf.DUMMYFUNCTION("""COMPUTED_VALUE"""),31291)</f>
        <v>31291</v>
      </c>
      <c r="G252" s="5" t="str">
        <f ca="1">IFERROR(__xludf.DUMMYFUNCTION("""COMPUTED_VALUE"""),"59.37")</f>
        <v>59.37</v>
      </c>
      <c r="H252" s="5">
        <f ca="1">IFERROR(__xludf.DUMMYFUNCTION("""COMPUTED_VALUE"""),675001)</f>
        <v>675001</v>
      </c>
      <c r="I252" s="5">
        <f ca="1">IFERROR(__xludf.DUMMYFUNCTION("""COMPUTED_VALUE"""),29685)</f>
        <v>29685</v>
      </c>
      <c r="J252" s="5">
        <f ca="1">IFERROR(__xludf.DUMMYFUNCTION("VALUE(REGEXREPLACE(G252,""\."","",""))"),59.37)</f>
        <v>59.37</v>
      </c>
      <c r="K252" s="5" t="e">
        <f t="shared" ca="1" si="5"/>
        <v>#NAME?</v>
      </c>
      <c r="L252" s="25"/>
    </row>
    <row r="253" spans="6:12" ht="12.5">
      <c r="F253" s="34">
        <f ca="1">IFERROR(__xludf.DUMMYFUNCTION("""COMPUTED_VALUE"""),31321)</f>
        <v>31321</v>
      </c>
      <c r="G253" s="5" t="str">
        <f ca="1">IFERROR(__xludf.DUMMYFUNCTION("""COMPUTED_VALUE"""),"59.37")</f>
        <v>59.37</v>
      </c>
      <c r="H253" s="5">
        <f ca="1">IFERROR(__xludf.DUMMYFUNCTION("""COMPUTED_VALUE"""),675001)</f>
        <v>675001</v>
      </c>
      <c r="I253" s="5">
        <f ca="1">IFERROR(__xludf.DUMMYFUNCTION("""COMPUTED_VALUE"""),29685)</f>
        <v>29685</v>
      </c>
      <c r="J253" s="5">
        <f ca="1">IFERROR(__xludf.DUMMYFUNCTION("VALUE(REGEXREPLACE(G253,""\."","",""))"),59.37)</f>
        <v>59.37</v>
      </c>
      <c r="K253" s="5" t="e">
        <f t="shared" ca="1" si="5"/>
        <v>#NAME?</v>
      </c>
      <c r="L253" s="25"/>
    </row>
    <row r="254" spans="6:12" ht="12.5">
      <c r="F254" s="34">
        <f ca="1">IFERROR(__xludf.DUMMYFUNCTION("""COMPUTED_VALUE"""),31352)</f>
        <v>31352</v>
      </c>
      <c r="G254" s="5" t="str">
        <f ca="1">IFERROR(__xludf.DUMMYFUNCTION("""COMPUTED_VALUE"""),"59.37")</f>
        <v>59.37</v>
      </c>
      <c r="H254" s="5">
        <f ca="1">IFERROR(__xludf.DUMMYFUNCTION("""COMPUTED_VALUE"""),675001)</f>
        <v>675001</v>
      </c>
      <c r="I254" s="5">
        <f ca="1">IFERROR(__xludf.DUMMYFUNCTION("""COMPUTED_VALUE"""),29685)</f>
        <v>29685</v>
      </c>
      <c r="J254" s="5">
        <f ca="1">IFERROR(__xludf.DUMMYFUNCTION("VALUE(REGEXREPLACE(G254,""\."","",""))"),59.37)</f>
        <v>59.37</v>
      </c>
      <c r="K254" s="5" t="e">
        <f t="shared" ca="1" si="5"/>
        <v>#NAME?</v>
      </c>
      <c r="L254" s="25"/>
    </row>
    <row r="255" spans="6:12" ht="12.5">
      <c r="F255" s="34">
        <f ca="1">IFERROR(__xludf.DUMMYFUNCTION("""COMPUTED_VALUE"""),31382)</f>
        <v>31382</v>
      </c>
      <c r="G255" s="5" t="str">
        <f ca="1">IFERROR(__xludf.DUMMYFUNCTION("""COMPUTED_VALUE"""),"59.37")</f>
        <v>59.37</v>
      </c>
      <c r="H255" s="5">
        <f ca="1">IFERROR(__xludf.DUMMYFUNCTION("""COMPUTED_VALUE"""),675001)</f>
        <v>675001</v>
      </c>
      <c r="I255" s="5">
        <f ca="1">IFERROR(__xludf.DUMMYFUNCTION("""COMPUTED_VALUE"""),29685)</f>
        <v>29685</v>
      </c>
      <c r="J255" s="5">
        <f ca="1">IFERROR(__xludf.DUMMYFUNCTION("VALUE(REGEXREPLACE(G255,""\."","",""))"),59.37)</f>
        <v>59.37</v>
      </c>
      <c r="K255" s="5" t="e">
        <f t="shared" ca="1" si="5"/>
        <v>#NAME?</v>
      </c>
      <c r="L255" s="25"/>
    </row>
    <row r="256" spans="6:12" ht="12.5">
      <c r="F256" s="34">
        <f ca="1">IFERROR(__xludf.DUMMYFUNCTION("""COMPUTED_VALUE"""),31413)</f>
        <v>31413</v>
      </c>
      <c r="G256" s="5" t="str">
        <f ca="1">IFERROR(__xludf.DUMMYFUNCTION("""COMPUTED_VALUE"""),"70.0")</f>
        <v>70.0</v>
      </c>
      <c r="H256" s="5">
        <f ca="1">IFERROR(__xludf.DUMMYFUNCTION("""COMPUTED_VALUE"""),45506)</f>
        <v>45506</v>
      </c>
      <c r="I256" s="5" t="str">
        <f ca="1">IFERROR(__xludf.DUMMYFUNCTION("""COMPUTED_VALUE"""),"0.35")</f>
        <v>0.35</v>
      </c>
      <c r="J256" s="5">
        <f ca="1">IFERROR(__xludf.DUMMYFUNCTION("VALUE(REGEXREPLACE(G256,""\."","",""))"),70)</f>
        <v>70</v>
      </c>
      <c r="K256" s="5" t="e">
        <f t="shared" ca="1" si="5"/>
        <v>#NAME?</v>
      </c>
      <c r="L256" s="25"/>
    </row>
    <row r="257" spans="6:12" ht="12.5">
      <c r="F257" s="34">
        <f ca="1">IFERROR(__xludf.DUMMYFUNCTION("""COMPUTED_VALUE"""),31444)</f>
        <v>31444</v>
      </c>
      <c r="G257" s="5" t="str">
        <f ca="1">IFERROR(__xludf.DUMMYFUNCTION("""COMPUTED_VALUE"""),"70.0")</f>
        <v>70.0</v>
      </c>
      <c r="H257" s="5">
        <f ca="1">IFERROR(__xludf.DUMMYFUNCTION("""COMPUTED_VALUE"""),45506)</f>
        <v>45506</v>
      </c>
      <c r="I257" s="5" t="str">
        <f ca="1">IFERROR(__xludf.DUMMYFUNCTION("""COMPUTED_VALUE"""),"0.35")</f>
        <v>0.35</v>
      </c>
      <c r="J257" s="5">
        <f ca="1">IFERROR(__xludf.DUMMYFUNCTION("VALUE(REGEXREPLACE(G257,""\."","",""))"),70)</f>
        <v>70</v>
      </c>
      <c r="K257" s="5" t="e">
        <f t="shared" ca="1" si="5"/>
        <v>#NAME?</v>
      </c>
      <c r="L257" s="25"/>
    </row>
    <row r="258" spans="6:12" ht="12.5">
      <c r="F258" s="34">
        <f ca="1">IFERROR(__xludf.DUMMYFUNCTION("""COMPUTED_VALUE"""),31472)</f>
        <v>31472</v>
      </c>
      <c r="G258" s="5" t="str">
        <f ca="1">IFERROR(__xludf.DUMMYFUNCTION("""COMPUTED_VALUE"""),"70.0")</f>
        <v>70.0</v>
      </c>
      <c r="H258" s="5">
        <f ca="1">IFERROR(__xludf.DUMMYFUNCTION("""COMPUTED_VALUE"""),45506)</f>
        <v>45506</v>
      </c>
      <c r="I258" s="5" t="str">
        <f ca="1">IFERROR(__xludf.DUMMYFUNCTION("""COMPUTED_VALUE"""),"0.35")</f>
        <v>0.35</v>
      </c>
      <c r="J258" s="5">
        <f ca="1">IFERROR(__xludf.DUMMYFUNCTION("VALUE(REGEXREPLACE(G258,""\."","",""))"),70)</f>
        <v>70</v>
      </c>
      <c r="K258" s="5" t="e">
        <f t="shared" ca="1" si="5"/>
        <v>#NAME?</v>
      </c>
      <c r="L258" s="25"/>
    </row>
    <row r="259" spans="6:12" ht="12.5">
      <c r="F259" s="34">
        <f ca="1">IFERROR(__xludf.DUMMYFUNCTION("""COMPUTED_VALUE"""),31503)</f>
        <v>31503</v>
      </c>
      <c r="G259" s="5" t="str">
        <f ca="1">IFERROR(__xludf.DUMMYFUNCTION("""COMPUTED_VALUE"""),"80.0")</f>
        <v>80.0</v>
      </c>
      <c r="H259" s="5">
        <f ca="1">IFERROR(__xludf.DUMMYFUNCTION("""COMPUTED_VALUE"""),45325)</f>
        <v>45325</v>
      </c>
      <c r="I259" s="5" t="str">
        <f ca="1">IFERROR(__xludf.DUMMYFUNCTION("""COMPUTED_VALUE"""),"0.4")</f>
        <v>0.4</v>
      </c>
      <c r="J259" s="5">
        <f ca="1">IFERROR(__xludf.DUMMYFUNCTION("VALUE(REGEXREPLACE(G259,""\."","",""))"),80)</f>
        <v>80</v>
      </c>
      <c r="K259" s="5" t="e">
        <f t="shared" ca="1" si="5"/>
        <v>#NAME?</v>
      </c>
      <c r="L259" s="25"/>
    </row>
    <row r="260" spans="6:12" ht="12.5">
      <c r="F260" s="34">
        <f ca="1">IFERROR(__xludf.DUMMYFUNCTION("""COMPUTED_VALUE"""),31533)</f>
        <v>31533</v>
      </c>
      <c r="G260" s="5" t="str">
        <f ca="1">IFERROR(__xludf.DUMMYFUNCTION("""COMPUTED_VALUE"""),"80.0")</f>
        <v>80.0</v>
      </c>
      <c r="H260" s="5">
        <f ca="1">IFERROR(__xludf.DUMMYFUNCTION("""COMPUTED_VALUE"""),45325)</f>
        <v>45325</v>
      </c>
      <c r="I260" s="5" t="str">
        <f ca="1">IFERROR(__xludf.DUMMYFUNCTION("""COMPUTED_VALUE"""),"0.4")</f>
        <v>0.4</v>
      </c>
      <c r="J260" s="5">
        <f ca="1">IFERROR(__xludf.DUMMYFUNCTION("VALUE(REGEXREPLACE(G260,""\."","",""))"),80)</f>
        <v>80</v>
      </c>
      <c r="K260" s="5" t="e">
        <f t="shared" ca="1" si="5"/>
        <v>#NAME?</v>
      </c>
      <c r="L260" s="25"/>
    </row>
    <row r="261" spans="6:12" ht="12.5">
      <c r="F261" s="34">
        <f ca="1">IFERROR(__xludf.DUMMYFUNCTION("""COMPUTED_VALUE"""),31564)</f>
        <v>31564</v>
      </c>
      <c r="G261" s="5" t="str">
        <f ca="1">IFERROR(__xludf.DUMMYFUNCTION("""COMPUTED_VALUE"""),"80.0")</f>
        <v>80.0</v>
      </c>
      <c r="H261" s="5">
        <f ca="1">IFERROR(__xludf.DUMMYFUNCTION("""COMPUTED_VALUE"""),45325)</f>
        <v>45325</v>
      </c>
      <c r="I261" s="5" t="str">
        <f ca="1">IFERROR(__xludf.DUMMYFUNCTION("""COMPUTED_VALUE"""),"0.4")</f>
        <v>0.4</v>
      </c>
      <c r="J261" s="5">
        <f ca="1">IFERROR(__xludf.DUMMYFUNCTION("VALUE(REGEXREPLACE(G261,""\."","",""))"),80)</f>
        <v>80</v>
      </c>
      <c r="K261" s="5" t="e">
        <f t="shared" ca="1" si="5"/>
        <v>#NAME?</v>
      </c>
      <c r="L261" s="25"/>
    </row>
    <row r="262" spans="6:12" ht="12.5">
      <c r="F262" s="34">
        <f ca="1">IFERROR(__xludf.DUMMYFUNCTION("""COMPUTED_VALUE"""),31594)</f>
        <v>31594</v>
      </c>
      <c r="G262" s="5" t="str">
        <f ca="1">IFERROR(__xludf.DUMMYFUNCTION("""COMPUTED_VALUE"""),"93.0")</f>
        <v>93.0</v>
      </c>
      <c r="H262" s="5" t="str">
        <f ca="1">IFERROR(__xludf.DUMMYFUNCTION("""COMPUTED_VALUE"""),"3.72")</f>
        <v>3.72</v>
      </c>
      <c r="I262" s="5">
        <f ca="1">IFERROR(__xludf.DUMMYFUNCTION("""COMPUTED_VALUE"""),465)</f>
        <v>465</v>
      </c>
      <c r="J262" s="5">
        <f ca="1">IFERROR(__xludf.DUMMYFUNCTION("VALUE(REGEXREPLACE(G262,""\."","",""))"),93)</f>
        <v>93</v>
      </c>
      <c r="K262" s="5" t="e">
        <f t="shared" ca="1" si="5"/>
        <v>#NAME?</v>
      </c>
      <c r="L262" s="25"/>
    </row>
    <row r="263" spans="6:12" ht="12.5">
      <c r="F263" s="34">
        <f ca="1">IFERROR(__xludf.DUMMYFUNCTION("""COMPUTED_VALUE"""),31625)</f>
        <v>31625</v>
      </c>
      <c r="G263" s="5" t="str">
        <f ca="1">IFERROR(__xludf.DUMMYFUNCTION("""COMPUTED_VALUE"""),"93.0")</f>
        <v>93.0</v>
      </c>
      <c r="H263" s="5" t="str">
        <f ca="1">IFERROR(__xludf.DUMMYFUNCTION("""COMPUTED_VALUE"""),"3.72")</f>
        <v>3.72</v>
      </c>
      <c r="I263" s="5">
        <f ca="1">IFERROR(__xludf.DUMMYFUNCTION("""COMPUTED_VALUE"""),465)</f>
        <v>465</v>
      </c>
      <c r="J263" s="5">
        <f ca="1">IFERROR(__xludf.DUMMYFUNCTION("VALUE(REGEXREPLACE(G263,""\."","",""))"),93)</f>
        <v>93</v>
      </c>
      <c r="K263" s="5" t="e">
        <f t="shared" ca="1" si="5"/>
        <v>#NAME?</v>
      </c>
      <c r="L263" s="25"/>
    </row>
    <row r="264" spans="6:12" ht="12.5">
      <c r="F264" s="34">
        <f ca="1">IFERROR(__xludf.DUMMYFUNCTION("""COMPUTED_VALUE"""),31656)</f>
        <v>31656</v>
      </c>
      <c r="G264" s="5" t="str">
        <f ca="1">IFERROR(__xludf.DUMMYFUNCTION("""COMPUTED_VALUE"""),"93.0")</f>
        <v>93.0</v>
      </c>
      <c r="H264" s="5" t="str">
        <f ca="1">IFERROR(__xludf.DUMMYFUNCTION("""COMPUTED_VALUE"""),"3.72")</f>
        <v>3.72</v>
      </c>
      <c r="I264" s="5">
        <f ca="1">IFERROR(__xludf.DUMMYFUNCTION("""COMPUTED_VALUE"""),465)</f>
        <v>465</v>
      </c>
      <c r="J264" s="5">
        <f ca="1">IFERROR(__xludf.DUMMYFUNCTION("VALUE(REGEXREPLACE(G264,""\."","",""))"),93)</f>
        <v>93</v>
      </c>
      <c r="K264" s="5" t="e">
        <f t="shared" ca="1" si="5"/>
        <v>#NAME?</v>
      </c>
      <c r="L264" s="25"/>
    </row>
    <row r="265" spans="6:12" ht="12.5">
      <c r="F265" s="34">
        <f ca="1">IFERROR(__xludf.DUMMYFUNCTION("""COMPUTED_VALUE"""),31686)</f>
        <v>31686</v>
      </c>
      <c r="G265" s="5" t="str">
        <f ca="1">IFERROR(__xludf.DUMMYFUNCTION("""COMPUTED_VALUE"""),"110.0")</f>
        <v>110.0</v>
      </c>
      <c r="H265" s="5">
        <f ca="1">IFERROR(__xludf.DUMMYFUNCTION("""COMPUTED_VALUE"""),45386)</f>
        <v>45386</v>
      </c>
      <c r="I265" s="5" t="str">
        <f ca="1">IFERROR(__xludf.DUMMYFUNCTION("""COMPUTED_VALUE"""),"0.55")</f>
        <v>0.55</v>
      </c>
      <c r="J265" s="5">
        <f ca="1">IFERROR(__xludf.DUMMYFUNCTION("VALUE(REGEXREPLACE(G265,""\."","",""))"),110)</f>
        <v>110</v>
      </c>
      <c r="K265" s="5" t="e">
        <f t="shared" ca="1" si="5"/>
        <v>#NAME?</v>
      </c>
      <c r="L265" s="25"/>
    </row>
    <row r="266" spans="6:12" ht="12.5">
      <c r="F266" s="34">
        <f ca="1">IFERROR(__xludf.DUMMYFUNCTION("""COMPUTED_VALUE"""),31717)</f>
        <v>31717</v>
      </c>
      <c r="G266" s="5" t="str">
        <f ca="1">IFERROR(__xludf.DUMMYFUNCTION("""COMPUTED_VALUE"""),"110.0")</f>
        <v>110.0</v>
      </c>
      <c r="H266" s="5">
        <f ca="1">IFERROR(__xludf.DUMMYFUNCTION("""COMPUTED_VALUE"""),45386)</f>
        <v>45386</v>
      </c>
      <c r="I266" s="5" t="str">
        <f ca="1">IFERROR(__xludf.DUMMYFUNCTION("""COMPUTED_VALUE"""),"0.55")</f>
        <v>0.55</v>
      </c>
      <c r="J266" s="5">
        <f ca="1">IFERROR(__xludf.DUMMYFUNCTION("VALUE(REGEXREPLACE(G266,""\."","",""))"),110)</f>
        <v>110</v>
      </c>
      <c r="K266" s="5" t="e">
        <f t="shared" ca="1" si="5"/>
        <v>#NAME?</v>
      </c>
      <c r="L266" s="25"/>
    </row>
    <row r="267" spans="6:12" ht="12.5">
      <c r="F267" s="34">
        <f ca="1">IFERROR(__xludf.DUMMYFUNCTION("""COMPUTED_VALUE"""),31747)</f>
        <v>31747</v>
      </c>
      <c r="G267" s="5" t="str">
        <f ca="1">IFERROR(__xludf.DUMMYFUNCTION("""COMPUTED_VALUE"""),"110.0")</f>
        <v>110.0</v>
      </c>
      <c r="H267" s="5">
        <f ca="1">IFERROR(__xludf.DUMMYFUNCTION("""COMPUTED_VALUE"""),45386)</f>
        <v>45386</v>
      </c>
      <c r="I267" s="5" t="str">
        <f ca="1">IFERROR(__xludf.DUMMYFUNCTION("""COMPUTED_VALUE"""),"0.55")</f>
        <v>0.55</v>
      </c>
      <c r="J267" s="5">
        <f ca="1">IFERROR(__xludf.DUMMYFUNCTION("VALUE(REGEXREPLACE(G267,""\."","",""))"),110)</f>
        <v>110</v>
      </c>
      <c r="K267" s="5" t="e">
        <f t="shared" ca="1" si="5"/>
        <v>#NAME?</v>
      </c>
      <c r="L267" s="25"/>
    </row>
    <row r="268" spans="6:12" ht="12.5">
      <c r="F268" s="34">
        <f ca="1">IFERROR(__xludf.DUMMYFUNCTION("""COMPUTED_VALUE"""),31778)</f>
        <v>31778</v>
      </c>
      <c r="G268" s="5" t="str">
        <f ca="1">IFERROR(__xludf.DUMMYFUNCTION("""COMPUTED_VALUE"""),"150.0")</f>
        <v>150.0</v>
      </c>
      <c r="H268" s="5" t="str">
        <f ca="1">IFERROR(__xludf.DUMMYFUNCTION("""COMPUTED_VALUE"""),"6.0")</f>
        <v>6.0</v>
      </c>
      <c r="I268" s="5" t="str">
        <f ca="1">IFERROR(__xludf.DUMMYFUNCTION("""COMPUTED_VALUE"""),"0.75")</f>
        <v>0.75</v>
      </c>
      <c r="J268" s="5">
        <f ca="1">IFERROR(__xludf.DUMMYFUNCTION("VALUE(REGEXREPLACE(G268,""\."","",""))"),150)</f>
        <v>150</v>
      </c>
      <c r="K268" s="5" t="e">
        <f t="shared" ca="1" si="5"/>
        <v>#NAME?</v>
      </c>
      <c r="L268" s="25"/>
    </row>
    <row r="269" spans="6:12" ht="12.5">
      <c r="F269" s="34">
        <f ca="1">IFERROR(__xludf.DUMMYFUNCTION("""COMPUTED_VALUE"""),31809)</f>
        <v>31809</v>
      </c>
      <c r="G269" s="5" t="str">
        <f ca="1">IFERROR(__xludf.DUMMYFUNCTION("""COMPUTED_VALUE"""),"150.0")</f>
        <v>150.0</v>
      </c>
      <c r="H269" s="5" t="str">
        <f ca="1">IFERROR(__xludf.DUMMYFUNCTION("""COMPUTED_VALUE"""),"6.0")</f>
        <v>6.0</v>
      </c>
      <c r="I269" s="5" t="str">
        <f ca="1">IFERROR(__xludf.DUMMYFUNCTION("""COMPUTED_VALUE"""),"0.75")</f>
        <v>0.75</v>
      </c>
      <c r="J269" s="5">
        <f ca="1">IFERROR(__xludf.DUMMYFUNCTION("VALUE(REGEXREPLACE(G269,""\."","",""))"),150)</f>
        <v>150</v>
      </c>
      <c r="K269" s="5" t="e">
        <f t="shared" ca="1" si="5"/>
        <v>#NAME?</v>
      </c>
      <c r="L269" s="25"/>
    </row>
    <row r="270" spans="6:12" ht="12.5">
      <c r="F270" s="34">
        <f ca="1">IFERROR(__xludf.DUMMYFUNCTION("""COMPUTED_VALUE"""),31837)</f>
        <v>31837</v>
      </c>
      <c r="G270" s="5" t="str">
        <f ca="1">IFERROR(__xludf.DUMMYFUNCTION("""COMPUTED_VALUE"""),"170.0")</f>
        <v>170.0</v>
      </c>
      <c r="H270" s="5">
        <f ca="1">IFERROR(__xludf.DUMMYFUNCTION("""COMPUTED_VALUE"""),45510)</f>
        <v>45510</v>
      </c>
      <c r="I270" s="5" t="str">
        <f ca="1">IFERROR(__xludf.DUMMYFUNCTION("""COMPUTED_VALUE"""),"0.85")</f>
        <v>0.85</v>
      </c>
      <c r="J270" s="5">
        <f ca="1">IFERROR(__xludf.DUMMYFUNCTION("VALUE(REGEXREPLACE(G270,""\."","",""))"),170)</f>
        <v>170</v>
      </c>
      <c r="K270" s="5" t="e">
        <f t="shared" ca="1" si="5"/>
        <v>#NAME?</v>
      </c>
      <c r="L270" s="25"/>
    </row>
    <row r="271" spans="6:12" ht="12.5">
      <c r="F271" s="34">
        <f ca="1">IFERROR(__xludf.DUMMYFUNCTION("""COMPUTED_VALUE"""),31868)</f>
        <v>31868</v>
      </c>
      <c r="G271" s="5" t="str">
        <f ca="1">IFERROR(__xludf.DUMMYFUNCTION("""COMPUTED_VALUE"""),"170.0")</f>
        <v>170.0</v>
      </c>
      <c r="H271" s="5">
        <f ca="1">IFERROR(__xludf.DUMMYFUNCTION("""COMPUTED_VALUE"""),45510)</f>
        <v>45510</v>
      </c>
      <c r="I271" s="5" t="str">
        <f ca="1">IFERROR(__xludf.DUMMYFUNCTION("""COMPUTED_VALUE"""),"0.85")</f>
        <v>0.85</v>
      </c>
      <c r="J271" s="5">
        <f ca="1">IFERROR(__xludf.DUMMYFUNCTION("VALUE(REGEXREPLACE(G271,""\."","",""))"),170)</f>
        <v>170</v>
      </c>
      <c r="K271" s="5" t="e">
        <f t="shared" ca="1" si="5"/>
        <v>#NAME?</v>
      </c>
      <c r="L271" s="25"/>
    </row>
    <row r="272" spans="6:12" ht="12.5">
      <c r="F272" s="34">
        <f ca="1">IFERROR(__xludf.DUMMYFUNCTION("""COMPUTED_VALUE"""),31898)</f>
        <v>31898</v>
      </c>
      <c r="G272" s="5" t="str">
        <f ca="1">IFERROR(__xludf.DUMMYFUNCTION("""COMPUTED_VALUE"""),"200.0")</f>
        <v>200.0</v>
      </c>
      <c r="H272" s="5" t="str">
        <f ca="1">IFERROR(__xludf.DUMMYFUNCTION("""COMPUTED_VALUE"""),"8.0")</f>
        <v>8.0</v>
      </c>
      <c r="I272" s="5" t="str">
        <f ca="1">IFERROR(__xludf.DUMMYFUNCTION("""COMPUTED_VALUE"""),"1.0")</f>
        <v>1.0</v>
      </c>
      <c r="J272" s="5">
        <f ca="1">IFERROR(__xludf.DUMMYFUNCTION("VALUE(REGEXREPLACE(G272,""\."","",""))"),200)</f>
        <v>200</v>
      </c>
      <c r="K272" s="5" t="e">
        <f t="shared" ca="1" si="5"/>
        <v>#NAME?</v>
      </c>
      <c r="L272" s="25"/>
    </row>
    <row r="273" spans="6:12" ht="12.5">
      <c r="F273" s="34">
        <f ca="1">IFERROR(__xludf.DUMMYFUNCTION("""COMPUTED_VALUE"""),31929)</f>
        <v>31929</v>
      </c>
      <c r="G273" s="5" t="str">
        <f ca="1">IFERROR(__xludf.DUMMYFUNCTION("""COMPUTED_VALUE"""),"200.0")</f>
        <v>200.0</v>
      </c>
      <c r="H273" s="5" t="str">
        <f ca="1">IFERROR(__xludf.DUMMYFUNCTION("""COMPUTED_VALUE"""),"8.0")</f>
        <v>8.0</v>
      </c>
      <c r="I273" s="5" t="str">
        <f ca="1">IFERROR(__xludf.DUMMYFUNCTION("""COMPUTED_VALUE"""),"1.0")</f>
        <v>1.0</v>
      </c>
      <c r="J273" s="5">
        <f ca="1">IFERROR(__xludf.DUMMYFUNCTION("VALUE(REGEXREPLACE(G273,""\."","",""))"),200)</f>
        <v>200</v>
      </c>
      <c r="K273" s="5" t="e">
        <f t="shared" ca="1" si="5"/>
        <v>#NAME?</v>
      </c>
      <c r="L273" s="25"/>
    </row>
    <row r="274" spans="6:12" ht="12.5">
      <c r="F274" s="34">
        <f ca="1">IFERROR(__xludf.DUMMYFUNCTION("""COMPUTED_VALUE"""),31959)</f>
        <v>31959</v>
      </c>
      <c r="G274" s="5" t="str">
        <f ca="1">IFERROR(__xludf.DUMMYFUNCTION("""COMPUTED_VALUE"""),"200.0")</f>
        <v>200.0</v>
      </c>
      <c r="H274" s="5" t="str">
        <f ca="1">IFERROR(__xludf.DUMMYFUNCTION("""COMPUTED_VALUE"""),"8.0")</f>
        <v>8.0</v>
      </c>
      <c r="I274" s="5" t="str">
        <f ca="1">IFERROR(__xludf.DUMMYFUNCTION("""COMPUTED_VALUE"""),"1.0")</f>
        <v>1.0</v>
      </c>
      <c r="J274" s="5">
        <f ca="1">IFERROR(__xludf.DUMMYFUNCTION("VALUE(REGEXREPLACE(G274,""\."","",""))"),200)</f>
        <v>200</v>
      </c>
      <c r="K274" s="5" t="e">
        <f t="shared" ca="1" si="5"/>
        <v>#NAME?</v>
      </c>
      <c r="L274" s="25"/>
    </row>
    <row r="275" spans="6:12" ht="12.5">
      <c r="F275" s="34">
        <f ca="1">IFERROR(__xludf.DUMMYFUNCTION("""COMPUTED_VALUE"""),31990)</f>
        <v>31990</v>
      </c>
      <c r="G275" s="5" t="str">
        <f ca="1">IFERROR(__xludf.DUMMYFUNCTION("""COMPUTED_VALUE"""),"200.0")</f>
        <v>200.0</v>
      </c>
      <c r="H275" s="5" t="str">
        <f ca="1">IFERROR(__xludf.DUMMYFUNCTION("""COMPUTED_VALUE"""),"8.0")</f>
        <v>8.0</v>
      </c>
      <c r="I275" s="5" t="str">
        <f ca="1">IFERROR(__xludf.DUMMYFUNCTION("""COMPUTED_VALUE"""),"1.0")</f>
        <v>1.0</v>
      </c>
      <c r="J275" s="5">
        <f ca="1">IFERROR(__xludf.DUMMYFUNCTION("VALUE(REGEXREPLACE(G275,""\."","",""))"),200)</f>
        <v>200</v>
      </c>
      <c r="K275" s="5" t="e">
        <f t="shared" ca="1" si="5"/>
        <v>#NAME?</v>
      </c>
      <c r="L275" s="25"/>
    </row>
    <row r="276" spans="6:12" ht="12.5">
      <c r="F276" s="34">
        <f ca="1">IFERROR(__xludf.DUMMYFUNCTION("""COMPUTED_VALUE"""),32021)</f>
        <v>32021</v>
      </c>
      <c r="G276" s="5" t="str">
        <f ca="1">IFERROR(__xludf.DUMMYFUNCTION("""COMPUTED_VALUE"""),"200.0")</f>
        <v>200.0</v>
      </c>
      <c r="H276" s="5" t="str">
        <f ca="1">IFERROR(__xludf.DUMMYFUNCTION("""COMPUTED_VALUE"""),"8.0")</f>
        <v>8.0</v>
      </c>
      <c r="I276" s="5" t="str">
        <f ca="1">IFERROR(__xludf.DUMMYFUNCTION("""COMPUTED_VALUE"""),"1.0")</f>
        <v>1.0</v>
      </c>
      <c r="J276" s="5">
        <f ca="1">IFERROR(__xludf.DUMMYFUNCTION("VALUE(REGEXREPLACE(G276,""\."","",""))"),200)</f>
        <v>200</v>
      </c>
      <c r="K276" s="5" t="e">
        <f t="shared" ca="1" si="5"/>
        <v>#NAME?</v>
      </c>
      <c r="L276" s="25"/>
    </row>
    <row r="277" spans="6:12" ht="12.5">
      <c r="F277" s="34">
        <f ca="1">IFERROR(__xludf.DUMMYFUNCTION("""COMPUTED_VALUE"""),32051)</f>
        <v>32051</v>
      </c>
      <c r="G277" s="5" t="str">
        <f ca="1">IFERROR(__xludf.DUMMYFUNCTION("""COMPUTED_VALUE"""),"350.0")</f>
        <v>350.0</v>
      </c>
      <c r="H277" s="5" t="str">
        <f ca="1">IFERROR(__xludf.DUMMYFUNCTION("""COMPUTED_VALUE"""),"14.0")</f>
        <v>14.0</v>
      </c>
      <c r="I277" s="5" t="str">
        <f ca="1">IFERROR(__xludf.DUMMYFUNCTION("""COMPUTED_VALUE"""),"1.75")</f>
        <v>1.75</v>
      </c>
      <c r="J277" s="5">
        <f ca="1">IFERROR(__xludf.DUMMYFUNCTION("VALUE(REGEXREPLACE(G277,""\."","",""))"),350)</f>
        <v>350</v>
      </c>
      <c r="K277" s="5" t="e">
        <f t="shared" ca="1" si="5"/>
        <v>#NAME?</v>
      </c>
      <c r="L277" s="25"/>
    </row>
    <row r="278" spans="6:12" ht="12.5">
      <c r="F278" s="34">
        <f ca="1">IFERROR(__xludf.DUMMYFUNCTION("""COMPUTED_VALUE"""),32082)</f>
        <v>32082</v>
      </c>
      <c r="G278" s="5" t="str">
        <f ca="1">IFERROR(__xludf.DUMMYFUNCTION("""COMPUTED_VALUE"""),"350.0")</f>
        <v>350.0</v>
      </c>
      <c r="H278" s="5" t="str">
        <f ca="1">IFERROR(__xludf.DUMMYFUNCTION("""COMPUTED_VALUE"""),"14.0")</f>
        <v>14.0</v>
      </c>
      <c r="I278" s="5" t="str">
        <f ca="1">IFERROR(__xludf.DUMMYFUNCTION("""COMPUTED_VALUE"""),"1.75")</f>
        <v>1.75</v>
      </c>
      <c r="J278" s="5">
        <f ca="1">IFERROR(__xludf.DUMMYFUNCTION("VALUE(REGEXREPLACE(G278,""\."","",""))"),350)</f>
        <v>350</v>
      </c>
      <c r="K278" s="5" t="e">
        <f t="shared" ca="1" si="5"/>
        <v>#NAME?</v>
      </c>
      <c r="L278" s="25"/>
    </row>
    <row r="279" spans="6:12" ht="12.5">
      <c r="F279" s="34">
        <f ca="1">IFERROR(__xludf.DUMMYFUNCTION("""COMPUTED_VALUE"""),32112)</f>
        <v>32112</v>
      </c>
      <c r="G279" s="5" t="str">
        <f ca="1">IFERROR(__xludf.DUMMYFUNCTION("""COMPUTED_VALUE"""),"350.0")</f>
        <v>350.0</v>
      </c>
      <c r="H279" s="5" t="str">
        <f ca="1">IFERROR(__xludf.DUMMYFUNCTION("""COMPUTED_VALUE"""),"14.0")</f>
        <v>14.0</v>
      </c>
      <c r="I279" s="5" t="str">
        <f ca="1">IFERROR(__xludf.DUMMYFUNCTION("""COMPUTED_VALUE"""),"1.75")</f>
        <v>1.75</v>
      </c>
      <c r="J279" s="5">
        <f ca="1">IFERROR(__xludf.DUMMYFUNCTION("VALUE(REGEXREPLACE(G279,""\."","",""))"),350)</f>
        <v>350</v>
      </c>
      <c r="K279" s="5" t="e">
        <f t="shared" ca="1" si="5"/>
        <v>#NAME?</v>
      </c>
      <c r="L279" s="25"/>
    </row>
    <row r="280" spans="6:12" ht="12.5">
      <c r="F280" s="34">
        <f ca="1">IFERROR(__xludf.DUMMYFUNCTION("""COMPUTED_VALUE"""),32143)</f>
        <v>32143</v>
      </c>
      <c r="G280" s="5" t="str">
        <f ca="1">IFERROR(__xludf.DUMMYFUNCTION("""COMPUTED_VALUE"""),"350.0")</f>
        <v>350.0</v>
      </c>
      <c r="H280" s="5" t="str">
        <f ca="1">IFERROR(__xludf.DUMMYFUNCTION("""COMPUTED_VALUE"""),"14.0")</f>
        <v>14.0</v>
      </c>
      <c r="I280" s="5" t="str">
        <f ca="1">IFERROR(__xludf.DUMMYFUNCTION("""COMPUTED_VALUE"""),"1.75")</f>
        <v>1.75</v>
      </c>
      <c r="J280" s="5">
        <f ca="1">IFERROR(__xludf.DUMMYFUNCTION("VALUE(REGEXREPLACE(G280,""\."","",""))"),350)</f>
        <v>350</v>
      </c>
      <c r="K280" s="5" t="e">
        <f t="shared" ca="1" si="5"/>
        <v>#NAME?</v>
      </c>
      <c r="L280" s="25"/>
    </row>
    <row r="281" spans="6:12" ht="12.5">
      <c r="F281" s="34">
        <f ca="1">IFERROR(__xludf.DUMMYFUNCTION("""COMPUTED_VALUE"""),32174)</f>
        <v>32174</v>
      </c>
      <c r="G281" s="5" t="str">
        <f ca="1">IFERROR(__xludf.DUMMYFUNCTION("""COMPUTED_VALUE"""),"350.0")</f>
        <v>350.0</v>
      </c>
      <c r="H281" s="5" t="str">
        <f ca="1">IFERROR(__xludf.DUMMYFUNCTION("""COMPUTED_VALUE"""),"14.0")</f>
        <v>14.0</v>
      </c>
      <c r="I281" s="5" t="str">
        <f ca="1">IFERROR(__xludf.DUMMYFUNCTION("""COMPUTED_VALUE"""),"1.75")</f>
        <v>1.75</v>
      </c>
      <c r="J281" s="5">
        <f ca="1">IFERROR(__xludf.DUMMYFUNCTION("VALUE(REGEXREPLACE(G281,""\."","",""))"),350)</f>
        <v>350</v>
      </c>
      <c r="K281" s="5" t="e">
        <f t="shared" ca="1" si="5"/>
        <v>#NAME?</v>
      </c>
      <c r="L281" s="25"/>
    </row>
    <row r="282" spans="6:12" ht="12.5">
      <c r="F282" s="34">
        <f ca="1">IFERROR(__xludf.DUMMYFUNCTION("""COMPUTED_VALUE"""),32203)</f>
        <v>32203</v>
      </c>
      <c r="G282" s="5" t="str">
        <f ca="1">IFERROR(__xludf.DUMMYFUNCTION("""COMPUTED_VALUE"""),"350.0")</f>
        <v>350.0</v>
      </c>
      <c r="H282" s="5" t="str">
        <f ca="1">IFERROR(__xludf.DUMMYFUNCTION("""COMPUTED_VALUE"""),"14.0")</f>
        <v>14.0</v>
      </c>
      <c r="I282" s="5" t="str">
        <f ca="1">IFERROR(__xludf.DUMMYFUNCTION("""COMPUTED_VALUE"""),"1.75")</f>
        <v>1.75</v>
      </c>
      <c r="J282" s="5">
        <f ca="1">IFERROR(__xludf.DUMMYFUNCTION("VALUE(REGEXREPLACE(G282,""\."","",""))"),350)</f>
        <v>350</v>
      </c>
      <c r="K282" s="5" t="e">
        <f t="shared" ca="1" si="5"/>
        <v>#NAME?</v>
      </c>
      <c r="L282" s="25"/>
    </row>
    <row r="283" spans="6:12" ht="12.5">
      <c r="F283" s="34">
        <f ca="1">IFERROR(__xludf.DUMMYFUNCTION("""COMPUTED_VALUE"""),32234)</f>
        <v>32234</v>
      </c>
      <c r="G283" s="5" t="str">
        <f ca="1">IFERROR(__xludf.DUMMYFUNCTION("""COMPUTED_VALUE"""),"520.0")</f>
        <v>520.0</v>
      </c>
      <c r="H283" s="5">
        <f ca="1">IFERROR(__xludf.DUMMYFUNCTION("""COMPUTED_VALUE"""),45524)</f>
        <v>45524</v>
      </c>
      <c r="I283" s="5">
        <f ca="1">IFERROR(__xludf.DUMMYFUNCTION("""COMPUTED_VALUE"""),45445)</f>
        <v>45445</v>
      </c>
      <c r="J283" s="5">
        <f ca="1">IFERROR(__xludf.DUMMYFUNCTION("VALUE(REGEXREPLACE(G283,""\."","",""))"),520)</f>
        <v>520</v>
      </c>
      <c r="K283" s="5" t="e">
        <f t="shared" ca="1" si="5"/>
        <v>#NAME?</v>
      </c>
      <c r="L283" s="25"/>
    </row>
    <row r="284" spans="6:12" ht="12.5">
      <c r="F284" s="34">
        <f ca="1">IFERROR(__xludf.DUMMYFUNCTION("""COMPUTED_VALUE"""),32264)</f>
        <v>32264</v>
      </c>
      <c r="G284" s="5" t="str">
        <f ca="1">IFERROR(__xludf.DUMMYFUNCTION("""COMPUTED_VALUE"""),"520.0")</f>
        <v>520.0</v>
      </c>
      <c r="H284" s="5">
        <f ca="1">IFERROR(__xludf.DUMMYFUNCTION("""COMPUTED_VALUE"""),45524)</f>
        <v>45524</v>
      </c>
      <c r="I284" s="5">
        <f ca="1">IFERROR(__xludf.DUMMYFUNCTION("""COMPUTED_VALUE"""),45445)</f>
        <v>45445</v>
      </c>
      <c r="J284" s="5">
        <f ca="1">IFERROR(__xludf.DUMMYFUNCTION("VALUE(REGEXREPLACE(G284,""\."","",""))"),520)</f>
        <v>520</v>
      </c>
      <c r="K284" s="5" t="e">
        <f t="shared" ca="1" si="5"/>
        <v>#NAME?</v>
      </c>
      <c r="L284" s="25"/>
    </row>
    <row r="285" spans="6:12" ht="12.5">
      <c r="F285" s="34">
        <f ca="1">IFERROR(__xludf.DUMMYFUNCTION("""COMPUTED_VALUE"""),32295)</f>
        <v>32295</v>
      </c>
      <c r="G285" s="5" t="str">
        <f ca="1">IFERROR(__xludf.DUMMYFUNCTION("""COMPUTED_VALUE"""),"680.0")</f>
        <v>680.0</v>
      </c>
      <c r="H285" s="5">
        <f ca="1">IFERROR(__xludf.DUMMYFUNCTION("""COMPUTED_VALUE"""),45349)</f>
        <v>45349</v>
      </c>
      <c r="I285" s="5">
        <f ca="1">IFERROR(__xludf.DUMMYFUNCTION("""COMPUTED_VALUE"""),45385)</f>
        <v>45385</v>
      </c>
      <c r="J285" s="5">
        <f ca="1">IFERROR(__xludf.DUMMYFUNCTION("VALUE(REGEXREPLACE(G285,""\."","",""))"),680)</f>
        <v>680</v>
      </c>
      <c r="K285" s="5" t="e">
        <f t="shared" ca="1" si="5"/>
        <v>#NAME?</v>
      </c>
      <c r="L285" s="25"/>
    </row>
    <row r="286" spans="6:12" ht="12.5">
      <c r="F286" s="34">
        <f ca="1">IFERROR(__xludf.DUMMYFUNCTION("""COMPUTED_VALUE"""),32325)</f>
        <v>32325</v>
      </c>
      <c r="G286" s="5" t="str">
        <f ca="1">IFERROR(__xludf.DUMMYFUNCTION("""COMPUTED_VALUE"""),"680.0")</f>
        <v>680.0</v>
      </c>
      <c r="H286" s="5">
        <f ca="1">IFERROR(__xludf.DUMMYFUNCTION("""COMPUTED_VALUE"""),45349)</f>
        <v>45349</v>
      </c>
      <c r="I286" s="5">
        <f ca="1">IFERROR(__xludf.DUMMYFUNCTION("""COMPUTED_VALUE"""),45385)</f>
        <v>45385</v>
      </c>
      <c r="J286" s="5">
        <f ca="1">IFERROR(__xludf.DUMMYFUNCTION("VALUE(REGEXREPLACE(G286,""\."","",""))"),680)</f>
        <v>680</v>
      </c>
      <c r="K286" s="5" t="e">
        <f t="shared" ca="1" si="5"/>
        <v>#NAME?</v>
      </c>
      <c r="L286" s="25"/>
    </row>
    <row r="287" spans="6:12" ht="12.5">
      <c r="F287" s="34">
        <f ca="1">IFERROR(__xludf.DUMMYFUNCTION("""COMPUTED_VALUE"""),32356)</f>
        <v>32356</v>
      </c>
      <c r="G287" s="5" t="str">
        <f ca="1">IFERROR(__xludf.DUMMYFUNCTION("""COMPUTED_VALUE"""),"924.0")</f>
        <v>924.0</v>
      </c>
      <c r="H287" s="5" t="str">
        <f ca="1">IFERROR(__xludf.DUMMYFUNCTION("""COMPUTED_VALUE"""),"36.96")</f>
        <v>36.96</v>
      </c>
      <c r="I287" s="5" t="str">
        <f ca="1">IFERROR(__xludf.DUMMYFUNCTION("""COMPUTED_VALUE"""),"4.62")</f>
        <v>4.62</v>
      </c>
      <c r="J287" s="5">
        <f ca="1">IFERROR(__xludf.DUMMYFUNCTION("VALUE(REGEXREPLACE(G287,""\."","",""))"),924)</f>
        <v>924</v>
      </c>
      <c r="K287" s="5" t="e">
        <f t="shared" ca="1" si="5"/>
        <v>#NAME?</v>
      </c>
      <c r="L287" s="25"/>
    </row>
    <row r="288" spans="6:12" ht="12.5">
      <c r="F288" s="34">
        <f ca="1">IFERROR(__xludf.DUMMYFUNCTION("""COMPUTED_VALUE"""),32387)</f>
        <v>32387</v>
      </c>
      <c r="G288" s="5" t="str">
        <f ca="1">IFERROR(__xludf.DUMMYFUNCTION("""COMPUTED_VALUE"""),"924.0")</f>
        <v>924.0</v>
      </c>
      <c r="H288" s="5" t="str">
        <f ca="1">IFERROR(__xludf.DUMMYFUNCTION("""COMPUTED_VALUE"""),"36.96")</f>
        <v>36.96</v>
      </c>
      <c r="I288" s="5" t="str">
        <f ca="1">IFERROR(__xludf.DUMMYFUNCTION("""COMPUTED_VALUE"""),"4.62")</f>
        <v>4.62</v>
      </c>
      <c r="J288" s="5">
        <f ca="1">IFERROR(__xludf.DUMMYFUNCTION("VALUE(REGEXREPLACE(G288,""\."","",""))"),924)</f>
        <v>924</v>
      </c>
      <c r="K288" s="5" t="e">
        <f t="shared" ca="1" si="5"/>
        <v>#NAME?</v>
      </c>
      <c r="L288" s="25"/>
    </row>
    <row r="289" spans="6:12" ht="12.5">
      <c r="F289" s="34">
        <f ca="1">IFERROR(__xludf.DUMMYFUNCTION("""COMPUTED_VALUE"""),32417)</f>
        <v>32417</v>
      </c>
      <c r="G289" s="5" t="str">
        <f ca="1">IFERROR(__xludf.DUMMYFUNCTION("""COMPUTED_VALUE"""),"1310.0")</f>
        <v>1310.0</v>
      </c>
      <c r="H289" s="5" t="str">
        <f ca="1">IFERROR(__xludf.DUMMYFUNCTION("""COMPUTED_VALUE"""),"52.4")</f>
        <v>52.4</v>
      </c>
      <c r="I289" s="5" t="str">
        <f ca="1">IFERROR(__xludf.DUMMYFUNCTION("""COMPUTED_VALUE"""),"6.55")</f>
        <v>6.55</v>
      </c>
      <c r="J289" s="5">
        <f ca="1">IFERROR(__xludf.DUMMYFUNCTION("VALUE(REGEXREPLACE(G289,""\."","",""))"),1310)</f>
        <v>1310</v>
      </c>
      <c r="K289" s="5" t="e">
        <f t="shared" ca="1" si="5"/>
        <v>#NAME?</v>
      </c>
      <c r="L289" s="25"/>
    </row>
    <row r="290" spans="6:12" ht="12.5">
      <c r="F290" s="34">
        <f ca="1">IFERROR(__xludf.DUMMYFUNCTION("""COMPUTED_VALUE"""),32448)</f>
        <v>32448</v>
      </c>
      <c r="G290" s="5" t="str">
        <f ca="1">IFERROR(__xludf.DUMMYFUNCTION("""COMPUTED_VALUE"""),"1310.0")</f>
        <v>1310.0</v>
      </c>
      <c r="H290" s="5" t="str">
        <f ca="1">IFERROR(__xludf.DUMMYFUNCTION("""COMPUTED_VALUE"""),"52.4")</f>
        <v>52.4</v>
      </c>
      <c r="I290" s="5" t="str">
        <f ca="1">IFERROR(__xludf.DUMMYFUNCTION("""COMPUTED_VALUE"""),"6.55")</f>
        <v>6.55</v>
      </c>
      <c r="J290" s="5">
        <f ca="1">IFERROR(__xludf.DUMMYFUNCTION("VALUE(REGEXREPLACE(G290,""\."","",""))"),1310)</f>
        <v>1310</v>
      </c>
      <c r="K290" s="5" t="e">
        <f t="shared" ca="1" si="5"/>
        <v>#NAME?</v>
      </c>
      <c r="L290" s="25"/>
    </row>
    <row r="291" spans="6:12" ht="12.5">
      <c r="F291" s="34">
        <f ca="1">IFERROR(__xludf.DUMMYFUNCTION("""COMPUTED_VALUE"""),32478)</f>
        <v>32478</v>
      </c>
      <c r="G291" s="5" t="str">
        <f ca="1">IFERROR(__xludf.DUMMYFUNCTION("""COMPUTED_VALUE"""),"1310.0")</f>
        <v>1310.0</v>
      </c>
      <c r="H291" s="5" t="str">
        <f ca="1">IFERROR(__xludf.DUMMYFUNCTION("""COMPUTED_VALUE"""),"52.4")</f>
        <v>52.4</v>
      </c>
      <c r="I291" s="5" t="str">
        <f ca="1">IFERROR(__xludf.DUMMYFUNCTION("""COMPUTED_VALUE"""),"6.55")</f>
        <v>6.55</v>
      </c>
      <c r="J291" s="5">
        <f ca="1">IFERROR(__xludf.DUMMYFUNCTION("VALUE(REGEXREPLACE(G291,""\."","",""))"),1310)</f>
        <v>1310</v>
      </c>
      <c r="K291" s="5" t="e">
        <f t="shared" ca="1" si="5"/>
        <v>#NAME?</v>
      </c>
      <c r="L291" s="25"/>
    </row>
    <row r="292" spans="6:12" ht="12.5">
      <c r="F292" s="34">
        <f ca="1">IFERROR(__xludf.DUMMYFUNCTION("""COMPUTED_VALUE"""),32509)</f>
        <v>32509</v>
      </c>
      <c r="G292" s="5" t="str">
        <f ca="1">IFERROR(__xludf.DUMMYFUNCTION("""COMPUTED_VALUE"""),"1700.0")</f>
        <v>1700.0</v>
      </c>
      <c r="H292" s="5" t="str">
        <f ca="1">IFERROR(__xludf.DUMMYFUNCTION("""COMPUTED_VALUE"""),"68.0")</f>
        <v>68.0</v>
      </c>
      <c r="I292" s="5">
        <f ca="1">IFERROR(__xludf.DUMMYFUNCTION("""COMPUTED_VALUE"""),45420)</f>
        <v>45420</v>
      </c>
      <c r="J292" s="5">
        <f ca="1">IFERROR(__xludf.DUMMYFUNCTION("VALUE(REGEXREPLACE(G292,""\."","",""))"),1700)</f>
        <v>1700</v>
      </c>
      <c r="K292" s="5" t="e">
        <f t="shared" ca="1" si="5"/>
        <v>#NAME?</v>
      </c>
      <c r="L292" s="25"/>
    </row>
    <row r="293" spans="6:12" ht="12.5">
      <c r="F293" s="34">
        <f ca="1">IFERROR(__xludf.DUMMYFUNCTION("""COMPUTED_VALUE"""),32540)</f>
        <v>32540</v>
      </c>
      <c r="G293" s="5" t="str">
        <f ca="1">IFERROR(__xludf.DUMMYFUNCTION("""COMPUTED_VALUE"""),"1700.0")</f>
        <v>1700.0</v>
      </c>
      <c r="H293" s="5" t="str">
        <f ca="1">IFERROR(__xludf.DUMMYFUNCTION("""COMPUTED_VALUE"""),"68.0")</f>
        <v>68.0</v>
      </c>
      <c r="I293" s="5">
        <f ca="1">IFERROR(__xludf.DUMMYFUNCTION("""COMPUTED_VALUE"""),45420)</f>
        <v>45420</v>
      </c>
      <c r="J293" s="5">
        <f ca="1">IFERROR(__xludf.DUMMYFUNCTION("VALUE(REGEXREPLACE(G293,""\."","",""))"),1700)</f>
        <v>1700</v>
      </c>
      <c r="K293" s="5" t="e">
        <f t="shared" ca="1" si="5"/>
        <v>#NAME?</v>
      </c>
      <c r="L293" s="25"/>
    </row>
    <row r="294" spans="6:12" ht="12.5">
      <c r="F294" s="34">
        <f ca="1">IFERROR(__xludf.DUMMYFUNCTION("""COMPUTED_VALUE"""),32568)</f>
        <v>32568</v>
      </c>
      <c r="G294" s="5" t="str">
        <f ca="1">IFERROR(__xludf.DUMMYFUNCTION("""COMPUTED_VALUE"""),"2100.0")</f>
        <v>2100.0</v>
      </c>
      <c r="H294" s="5" t="str">
        <f ca="1">IFERROR(__xludf.DUMMYFUNCTION("""COMPUTED_VALUE"""),"84.0")</f>
        <v>84.0</v>
      </c>
      <c r="I294" s="5">
        <f ca="1">IFERROR(__xludf.DUMMYFUNCTION("""COMPUTED_VALUE"""),45422)</f>
        <v>45422</v>
      </c>
      <c r="J294" s="5">
        <f ca="1">IFERROR(__xludf.DUMMYFUNCTION("VALUE(REGEXREPLACE(G294,""\."","",""))"),2100)</f>
        <v>2100</v>
      </c>
      <c r="K294" s="5" t="e">
        <f t="shared" ca="1" si="5"/>
        <v>#NAME?</v>
      </c>
      <c r="L294" s="25"/>
    </row>
    <row r="295" spans="6:12" ht="12.5">
      <c r="F295" s="34">
        <f ca="1">IFERROR(__xludf.DUMMYFUNCTION("""COMPUTED_VALUE"""),32599)</f>
        <v>32599</v>
      </c>
      <c r="G295" s="5" t="str">
        <f ca="1">IFERROR(__xludf.DUMMYFUNCTION("""COMPUTED_VALUE"""),"2400.0")</f>
        <v>2400.0</v>
      </c>
      <c r="H295" s="5" t="str">
        <f ca="1">IFERROR(__xludf.DUMMYFUNCTION("""COMPUTED_VALUE"""),"96.0")</f>
        <v>96.0</v>
      </c>
      <c r="I295" s="5" t="str">
        <f ca="1">IFERROR(__xludf.DUMMYFUNCTION("""COMPUTED_VALUE"""),"12.0")</f>
        <v>12.0</v>
      </c>
      <c r="J295" s="5">
        <f ca="1">IFERROR(__xludf.DUMMYFUNCTION("VALUE(REGEXREPLACE(G295,""\."","",""))"),2400)</f>
        <v>2400</v>
      </c>
      <c r="K295" s="5" t="e">
        <f t="shared" ca="1" si="5"/>
        <v>#NAME?</v>
      </c>
      <c r="L295" s="25"/>
    </row>
    <row r="296" spans="6:12" ht="12.5">
      <c r="F296" s="34">
        <f ca="1">IFERROR(__xludf.DUMMYFUNCTION("""COMPUTED_VALUE"""),32629)</f>
        <v>32629</v>
      </c>
      <c r="G296" s="5" t="str">
        <f ca="1">IFERROR(__xludf.DUMMYFUNCTION("""COMPUTED_VALUE"""),"4000.0")</f>
        <v>4000.0</v>
      </c>
      <c r="H296" s="5" t="str">
        <f ca="1">IFERROR(__xludf.DUMMYFUNCTION("""COMPUTED_VALUE"""),"160.0")</f>
        <v>160.0</v>
      </c>
      <c r="I296" s="5" t="str">
        <f ca="1">IFERROR(__xludf.DUMMYFUNCTION("""COMPUTED_VALUE"""),"20.0")</f>
        <v>20.0</v>
      </c>
      <c r="J296" s="5">
        <f ca="1">IFERROR(__xludf.DUMMYFUNCTION("VALUE(REGEXREPLACE(G296,""\."","",""))"),4000)</f>
        <v>4000</v>
      </c>
      <c r="K296" s="5" t="e">
        <f t="shared" ca="1" si="5"/>
        <v>#NAME?</v>
      </c>
      <c r="L296" s="25"/>
    </row>
    <row r="297" spans="6:12" ht="12.5">
      <c r="F297" s="34">
        <f ca="1">IFERROR(__xludf.DUMMYFUNCTION("""COMPUTED_VALUE"""),32660)</f>
        <v>32660</v>
      </c>
      <c r="G297" s="5" t="str">
        <f ca="1">IFERROR(__xludf.DUMMYFUNCTION("""COMPUTED_VALUE"""),"8700.0")</f>
        <v>8700.0</v>
      </c>
      <c r="H297" s="5" t="str">
        <f ca="1">IFERROR(__xludf.DUMMYFUNCTION("""COMPUTED_VALUE"""),"348.0")</f>
        <v>348.0</v>
      </c>
      <c r="I297" s="5" t="str">
        <f ca="1">IFERROR(__xludf.DUMMYFUNCTION("""COMPUTED_VALUE"""),"43.5")</f>
        <v>43.5</v>
      </c>
      <c r="J297" s="5">
        <f ca="1">IFERROR(__xludf.DUMMYFUNCTION("VALUE(REGEXREPLACE(G297,""\."","",""))"),8700)</f>
        <v>8700</v>
      </c>
      <c r="K297" s="5" t="e">
        <f t="shared" ca="1" si="5"/>
        <v>#NAME?</v>
      </c>
      <c r="L297" s="25"/>
    </row>
    <row r="298" spans="6:12" ht="12.5">
      <c r="F298" s="34">
        <f ca="1">IFERROR(__xludf.DUMMYFUNCTION("""COMPUTED_VALUE"""),32690)</f>
        <v>32690</v>
      </c>
      <c r="G298" s="5" t="str">
        <f ca="1">IFERROR(__xludf.DUMMYFUNCTION("""COMPUTED_VALUE"""),"20000.0")</f>
        <v>20000.0</v>
      </c>
      <c r="H298" s="5" t="str">
        <f ca="1">IFERROR(__xludf.DUMMYFUNCTION("""COMPUTED_VALUE"""),"800.0")</f>
        <v>800.0</v>
      </c>
      <c r="I298" s="5" t="str">
        <f ca="1">IFERROR(__xludf.DUMMYFUNCTION("""COMPUTED_VALUE"""),"100.0")</f>
        <v>100.0</v>
      </c>
      <c r="J298" s="5">
        <f ca="1">IFERROR(__xludf.DUMMYFUNCTION("VALUE(REGEXREPLACE(G298,""\."","",""))"),20000)</f>
        <v>20000</v>
      </c>
      <c r="K298" s="5" t="e">
        <f t="shared" ca="1" si="5"/>
        <v>#NAME?</v>
      </c>
      <c r="L298" s="25"/>
    </row>
    <row r="299" spans="6:12" ht="12.5">
      <c r="F299" s="34">
        <f ca="1">IFERROR(__xludf.DUMMYFUNCTION("""COMPUTED_VALUE"""),32721)</f>
        <v>32721</v>
      </c>
      <c r="G299" s="5" t="str">
        <f ca="1">IFERROR(__xludf.DUMMYFUNCTION("""COMPUTED_VALUE"""),"20000.0")</f>
        <v>20000.0</v>
      </c>
      <c r="H299" s="5" t="str">
        <f ca="1">IFERROR(__xludf.DUMMYFUNCTION("""COMPUTED_VALUE"""),"800.0")</f>
        <v>800.0</v>
      </c>
      <c r="I299" s="5" t="str">
        <f ca="1">IFERROR(__xludf.DUMMYFUNCTION("""COMPUTED_VALUE"""),"100.0")</f>
        <v>100.0</v>
      </c>
      <c r="J299" s="5">
        <f ca="1">IFERROR(__xludf.DUMMYFUNCTION("VALUE(REGEXREPLACE(G299,""\."","",""))"),20000)</f>
        <v>20000</v>
      </c>
      <c r="K299" s="5" t="e">
        <f t="shared" ca="1" si="5"/>
        <v>#NAME?</v>
      </c>
      <c r="L299" s="25"/>
    </row>
    <row r="300" spans="6:12" ht="12.5">
      <c r="F300" s="34">
        <f ca="1">IFERROR(__xludf.DUMMYFUNCTION("""COMPUTED_VALUE"""),32752)</f>
        <v>32752</v>
      </c>
      <c r="G300" s="5" t="str">
        <f ca="1">IFERROR(__xludf.DUMMYFUNCTION("""COMPUTED_VALUE"""),"20000.0")</f>
        <v>20000.0</v>
      </c>
      <c r="H300" s="5" t="str">
        <f ca="1">IFERROR(__xludf.DUMMYFUNCTION("""COMPUTED_VALUE"""),"800.0")</f>
        <v>800.0</v>
      </c>
      <c r="I300" s="5" t="str">
        <f ca="1">IFERROR(__xludf.DUMMYFUNCTION("""COMPUTED_VALUE"""),"100.0")</f>
        <v>100.0</v>
      </c>
      <c r="J300" s="5">
        <f ca="1">IFERROR(__xludf.DUMMYFUNCTION("VALUE(REGEXREPLACE(G300,""\."","",""))"),20000)</f>
        <v>20000</v>
      </c>
      <c r="K300" s="5" t="e">
        <f t="shared" ca="1" si="5"/>
        <v>#NAME?</v>
      </c>
      <c r="L300" s="25"/>
    </row>
    <row r="301" spans="6:12" ht="12.5">
      <c r="F301" s="34">
        <f ca="1">IFERROR(__xludf.DUMMYFUNCTION("""COMPUTED_VALUE"""),32782)</f>
        <v>32782</v>
      </c>
      <c r="G301" s="5" t="str">
        <f ca="1">IFERROR(__xludf.DUMMYFUNCTION("""COMPUTED_VALUE"""),"20000.0")</f>
        <v>20000.0</v>
      </c>
      <c r="H301" s="5" t="str">
        <f ca="1">IFERROR(__xludf.DUMMYFUNCTION("""COMPUTED_VALUE"""),"800.0")</f>
        <v>800.0</v>
      </c>
      <c r="I301" s="5" t="str">
        <f ca="1">IFERROR(__xludf.DUMMYFUNCTION("""COMPUTED_VALUE"""),"100.0")</f>
        <v>100.0</v>
      </c>
      <c r="J301" s="5">
        <f ca="1">IFERROR(__xludf.DUMMYFUNCTION("VALUE(REGEXREPLACE(G301,""\."","",""))"),20000)</f>
        <v>20000</v>
      </c>
      <c r="K301" s="5" t="e">
        <f t="shared" ca="1" si="5"/>
        <v>#NAME?</v>
      </c>
      <c r="L301" s="25"/>
    </row>
    <row r="302" spans="6:12" ht="12.5">
      <c r="F302" s="34">
        <f ca="1">IFERROR(__xludf.DUMMYFUNCTION("""COMPUTED_VALUE"""),32813)</f>
        <v>32813</v>
      </c>
      <c r="G302" s="5" t="str">
        <f ca="1">IFERROR(__xludf.DUMMYFUNCTION("""COMPUTED_VALUE"""),"20000.0")</f>
        <v>20000.0</v>
      </c>
      <c r="H302" s="5" t="str">
        <f ca="1">IFERROR(__xludf.DUMMYFUNCTION("""COMPUTED_VALUE"""),"800.0")</f>
        <v>800.0</v>
      </c>
      <c r="I302" s="5" t="str">
        <f ca="1">IFERROR(__xludf.DUMMYFUNCTION("""COMPUTED_VALUE"""),"100.0")</f>
        <v>100.0</v>
      </c>
      <c r="J302" s="5">
        <f ca="1">IFERROR(__xludf.DUMMYFUNCTION("VALUE(REGEXREPLACE(G302,""\."","",""))"),20000)</f>
        <v>20000</v>
      </c>
      <c r="K302" s="5" t="e">
        <f t="shared" ca="1" si="5"/>
        <v>#NAME?</v>
      </c>
      <c r="L302" s="25"/>
    </row>
    <row r="303" spans="6:12" ht="12.5">
      <c r="F303" s="34">
        <f ca="1">IFERROR(__xludf.DUMMYFUNCTION("""COMPUTED_VALUE"""),32843)</f>
        <v>32843</v>
      </c>
      <c r="G303" s="5" t="str">
        <f ca="1">IFERROR(__xludf.DUMMYFUNCTION("""COMPUTED_VALUE"""),"20000.0")</f>
        <v>20000.0</v>
      </c>
      <c r="H303" s="5" t="str">
        <f ca="1">IFERROR(__xludf.DUMMYFUNCTION("""COMPUTED_VALUE"""),"800.0")</f>
        <v>800.0</v>
      </c>
      <c r="I303" s="5" t="str">
        <f ca="1">IFERROR(__xludf.DUMMYFUNCTION("""COMPUTED_VALUE"""),"100.0")</f>
        <v>100.0</v>
      </c>
      <c r="J303" s="5">
        <f ca="1">IFERROR(__xludf.DUMMYFUNCTION("VALUE(REGEXREPLACE(G303,""\."","",""))"),20000)</f>
        <v>20000</v>
      </c>
      <c r="K303" s="5" t="e">
        <f t="shared" ca="1" si="5"/>
        <v>#NAME?</v>
      </c>
      <c r="L303" s="25"/>
    </row>
    <row r="304" spans="6:12" ht="12.5">
      <c r="F304" s="34">
        <f ca="1">IFERROR(__xludf.DUMMYFUNCTION("""COMPUTED_VALUE"""),32874)</f>
        <v>32874</v>
      </c>
      <c r="G304" s="5" t="str">
        <f ca="1">IFERROR(__xludf.DUMMYFUNCTION("""COMPUTED_VALUE"""),"20000.0")</f>
        <v>20000.0</v>
      </c>
      <c r="H304" s="5" t="str">
        <f ca="1">IFERROR(__xludf.DUMMYFUNCTION("""COMPUTED_VALUE"""),"800.0")</f>
        <v>800.0</v>
      </c>
      <c r="I304" s="5" t="str">
        <f ca="1">IFERROR(__xludf.DUMMYFUNCTION("""COMPUTED_VALUE"""),"100.0")</f>
        <v>100.0</v>
      </c>
      <c r="J304" s="5">
        <f ca="1">IFERROR(__xludf.DUMMYFUNCTION("VALUE(REGEXREPLACE(G304,""\."","",""))"),20000)</f>
        <v>20000</v>
      </c>
      <c r="K304" s="5" t="e">
        <f t="shared" ca="1" si="5"/>
        <v>#NAME?</v>
      </c>
      <c r="L304" s="25"/>
    </row>
    <row r="305" spans="6:12" ht="12.5">
      <c r="F305" s="34">
        <f ca="1">IFERROR(__xludf.DUMMYFUNCTION("""COMPUTED_VALUE"""),32905)</f>
        <v>32905</v>
      </c>
      <c r="G305" s="5" t="str">
        <f ca="1">IFERROR(__xludf.DUMMYFUNCTION("""COMPUTED_VALUE"""),"20000.0")</f>
        <v>20000.0</v>
      </c>
      <c r="H305" s="5" t="str">
        <f ca="1">IFERROR(__xludf.DUMMYFUNCTION("""COMPUTED_VALUE"""),"800.0")</f>
        <v>800.0</v>
      </c>
      <c r="I305" s="5" t="str">
        <f ca="1">IFERROR(__xludf.DUMMYFUNCTION("""COMPUTED_VALUE"""),"100.0")</f>
        <v>100.0</v>
      </c>
      <c r="J305" s="5">
        <f ca="1">IFERROR(__xludf.DUMMYFUNCTION("VALUE(REGEXREPLACE(G305,""\."","",""))"),20000)</f>
        <v>20000</v>
      </c>
      <c r="K305" s="5" t="e">
        <f t="shared" ca="1" si="5"/>
        <v>#NAME?</v>
      </c>
      <c r="L305" s="25"/>
    </row>
    <row r="306" spans="6:12" ht="12.5">
      <c r="F306" s="34">
        <f ca="1">IFERROR(__xludf.DUMMYFUNCTION("""COMPUTED_VALUE"""),32933)</f>
        <v>32933</v>
      </c>
      <c r="G306" s="5" t="str">
        <f ca="1">IFERROR(__xludf.DUMMYFUNCTION("""COMPUTED_VALUE"""),"20000.0")</f>
        <v>20000.0</v>
      </c>
      <c r="H306" s="5" t="str">
        <f ca="1">IFERROR(__xludf.DUMMYFUNCTION("""COMPUTED_VALUE"""),"800.0")</f>
        <v>800.0</v>
      </c>
      <c r="I306" s="5" t="str">
        <f ca="1">IFERROR(__xludf.DUMMYFUNCTION("""COMPUTED_VALUE"""),"100.0")</f>
        <v>100.0</v>
      </c>
      <c r="J306" s="5">
        <f ca="1">IFERROR(__xludf.DUMMYFUNCTION("VALUE(REGEXREPLACE(G306,""\."","",""))"),20000)</f>
        <v>20000</v>
      </c>
      <c r="K306" s="5" t="e">
        <f t="shared" ca="1" si="5"/>
        <v>#NAME?</v>
      </c>
      <c r="L306" s="25"/>
    </row>
    <row r="307" spans="6:12" ht="12.5">
      <c r="F307" s="34">
        <f ca="1">IFERROR(__xludf.DUMMYFUNCTION("""COMPUTED_VALUE"""),32964)</f>
        <v>32964</v>
      </c>
      <c r="G307" s="5" t="str">
        <f ca="1">IFERROR(__xludf.DUMMYFUNCTION("""COMPUTED_VALUE"""),"20000.0")</f>
        <v>20000.0</v>
      </c>
      <c r="H307" s="5" t="str">
        <f ca="1">IFERROR(__xludf.DUMMYFUNCTION("""COMPUTED_VALUE"""),"800.0")</f>
        <v>800.0</v>
      </c>
      <c r="I307" s="5" t="str">
        <f ca="1">IFERROR(__xludf.DUMMYFUNCTION("""COMPUTED_VALUE"""),"100.0")</f>
        <v>100.0</v>
      </c>
      <c r="J307" s="5">
        <f ca="1">IFERROR(__xludf.DUMMYFUNCTION("VALUE(REGEXREPLACE(G307,""\."","",""))"),20000)</f>
        <v>20000</v>
      </c>
      <c r="K307" s="5" t="e">
        <f t="shared" ca="1" si="5"/>
        <v>#NAME?</v>
      </c>
      <c r="L307" s="25"/>
    </row>
    <row r="308" spans="6:12" ht="12.5">
      <c r="F308" s="34">
        <f ca="1">IFERROR(__xludf.DUMMYFUNCTION("""COMPUTED_VALUE"""),32994)</f>
        <v>32994</v>
      </c>
      <c r="G308" s="5" t="str">
        <f ca="1">IFERROR(__xludf.DUMMYFUNCTION("""COMPUTED_VALUE"""),"20000.0")</f>
        <v>20000.0</v>
      </c>
      <c r="H308" s="5" t="str">
        <f ca="1">IFERROR(__xludf.DUMMYFUNCTION("""COMPUTED_VALUE"""),"800.0")</f>
        <v>800.0</v>
      </c>
      <c r="I308" s="5" t="str">
        <f ca="1">IFERROR(__xludf.DUMMYFUNCTION("""COMPUTED_VALUE"""),"100.0")</f>
        <v>100.0</v>
      </c>
      <c r="J308" s="5">
        <f ca="1">IFERROR(__xludf.DUMMYFUNCTION("VALUE(REGEXREPLACE(G308,""\."","",""))"),20000)</f>
        <v>20000</v>
      </c>
      <c r="K308" s="5" t="e">
        <f t="shared" ca="1" si="5"/>
        <v>#NAME?</v>
      </c>
      <c r="L308" s="25"/>
    </row>
    <row r="309" spans="6:12" ht="12.5">
      <c r="F309" s="34">
        <f ca="1">IFERROR(__xludf.DUMMYFUNCTION("""COMPUTED_VALUE"""),33025)</f>
        <v>33025</v>
      </c>
      <c r="G309" s="5" t="str">
        <f ca="1">IFERROR(__xludf.DUMMYFUNCTION("""COMPUTED_VALUE"""),"20000.0")</f>
        <v>20000.0</v>
      </c>
      <c r="H309" s="5" t="str">
        <f ca="1">IFERROR(__xludf.DUMMYFUNCTION("""COMPUTED_VALUE"""),"800.0")</f>
        <v>800.0</v>
      </c>
      <c r="I309" s="5" t="str">
        <f ca="1">IFERROR(__xludf.DUMMYFUNCTION("""COMPUTED_VALUE"""),"100.0")</f>
        <v>100.0</v>
      </c>
      <c r="J309" s="5">
        <f ca="1">IFERROR(__xludf.DUMMYFUNCTION("VALUE(REGEXREPLACE(G309,""\."","",""))"),20000)</f>
        <v>20000</v>
      </c>
      <c r="K309" s="5" t="e">
        <f t="shared" ca="1" si="5"/>
        <v>#NAME?</v>
      </c>
      <c r="L309" s="25"/>
    </row>
    <row r="310" spans="6:12" ht="12.5">
      <c r="F310" s="34">
        <f ca="1">IFERROR(__xludf.DUMMYFUNCTION("""COMPUTED_VALUE"""),33055)</f>
        <v>33055</v>
      </c>
      <c r="G310" s="5" t="str">
        <f ca="1">IFERROR(__xludf.DUMMYFUNCTION("""COMPUTED_VALUE"""),"20000.0")</f>
        <v>20000.0</v>
      </c>
      <c r="H310" s="5" t="str">
        <f ca="1">IFERROR(__xludf.DUMMYFUNCTION("""COMPUTED_VALUE"""),"800.0")</f>
        <v>800.0</v>
      </c>
      <c r="I310" s="5" t="str">
        <f ca="1">IFERROR(__xludf.DUMMYFUNCTION("""COMPUTED_VALUE"""),"100.0")</f>
        <v>100.0</v>
      </c>
      <c r="J310" s="5">
        <f ca="1">IFERROR(__xludf.DUMMYFUNCTION("VALUE(REGEXREPLACE(G310,""\."","",""))"),20000)</f>
        <v>20000</v>
      </c>
      <c r="K310" s="5" t="e">
        <f t="shared" ca="1" si="5"/>
        <v>#NAME?</v>
      </c>
      <c r="L310" s="25"/>
    </row>
    <row r="311" spans="6:12" ht="12.5">
      <c r="F311" s="34">
        <f ca="1">IFERROR(__xludf.DUMMYFUNCTION("""COMPUTED_VALUE"""),33086)</f>
        <v>33086</v>
      </c>
      <c r="G311" s="5" t="str">
        <f ca="1">IFERROR(__xludf.DUMMYFUNCTION("""COMPUTED_VALUE"""),"20000.0")</f>
        <v>20000.0</v>
      </c>
      <c r="H311" s="5" t="str">
        <f ca="1">IFERROR(__xludf.DUMMYFUNCTION("""COMPUTED_VALUE"""),"800.0")</f>
        <v>800.0</v>
      </c>
      <c r="I311" s="5" t="str">
        <f ca="1">IFERROR(__xludf.DUMMYFUNCTION("""COMPUTED_VALUE"""),"100.0")</f>
        <v>100.0</v>
      </c>
      <c r="J311" s="5">
        <f ca="1">IFERROR(__xludf.DUMMYFUNCTION("VALUE(REGEXREPLACE(G311,""\."","",""))"),20000)</f>
        <v>20000</v>
      </c>
      <c r="K311" s="5" t="e">
        <f t="shared" ca="1" si="5"/>
        <v>#NAME?</v>
      </c>
      <c r="L311" s="25"/>
    </row>
    <row r="312" spans="6:12" ht="12.5">
      <c r="F312" s="34">
        <f ca="1">IFERROR(__xludf.DUMMYFUNCTION("""COMPUTED_VALUE"""),33117)</f>
        <v>33117</v>
      </c>
      <c r="G312" s="5" t="str">
        <f ca="1">IFERROR(__xludf.DUMMYFUNCTION("""COMPUTED_VALUE"""),"720000.0")</f>
        <v>720000.0</v>
      </c>
      <c r="H312" s="5" t="str">
        <f ca="1">IFERROR(__xludf.DUMMYFUNCTION("""COMPUTED_VALUE"""),"28800.0")</f>
        <v>28800.0</v>
      </c>
      <c r="I312" s="5" t="str">
        <f ca="1">IFERROR(__xludf.DUMMYFUNCTION("""COMPUTED_VALUE"""),"3600.0")</f>
        <v>3600.0</v>
      </c>
      <c r="J312" s="5">
        <f ca="1">IFERROR(__xludf.DUMMYFUNCTION("VALUE(REGEXREPLACE(G312,""\."","",""))"),720000)</f>
        <v>720000</v>
      </c>
      <c r="K312" s="5" t="e">
        <f t="shared" ca="1" si="5"/>
        <v>#NAME?</v>
      </c>
      <c r="L312" s="25"/>
    </row>
    <row r="313" spans="6:12" ht="12.5">
      <c r="F313" s="34">
        <f ca="1">IFERROR(__xludf.DUMMYFUNCTION("""COMPUTED_VALUE"""),33147)</f>
        <v>33147</v>
      </c>
      <c r="G313" s="5" t="str">
        <f ca="1">IFERROR(__xludf.DUMMYFUNCTION("""COMPUTED_VALUE"""),"720000.0")</f>
        <v>720000.0</v>
      </c>
      <c r="H313" s="5" t="str">
        <f ca="1">IFERROR(__xludf.DUMMYFUNCTION("""COMPUTED_VALUE"""),"28800.0")</f>
        <v>28800.0</v>
      </c>
      <c r="I313" s="5" t="str">
        <f ca="1">IFERROR(__xludf.DUMMYFUNCTION("""COMPUTED_VALUE"""),"3600.0")</f>
        <v>3600.0</v>
      </c>
      <c r="J313" s="5">
        <f ca="1">IFERROR(__xludf.DUMMYFUNCTION("VALUE(REGEXREPLACE(G313,""\."","",""))"),720000)</f>
        <v>720000</v>
      </c>
      <c r="K313" s="5" t="e">
        <f t="shared" ca="1" si="5"/>
        <v>#NAME?</v>
      </c>
      <c r="L313" s="25"/>
    </row>
    <row r="314" spans="6:12" ht="12.5">
      <c r="F314" s="34">
        <f ca="1">IFERROR(__xludf.DUMMYFUNCTION("""COMPUTED_VALUE"""),33178)</f>
        <v>33178</v>
      </c>
      <c r="G314" s="5" t="str">
        <f ca="1">IFERROR(__xludf.DUMMYFUNCTION("""COMPUTED_VALUE"""),"720000.0")</f>
        <v>720000.0</v>
      </c>
      <c r="H314" s="5" t="str">
        <f ca="1">IFERROR(__xludf.DUMMYFUNCTION("""COMPUTED_VALUE"""),"28800.0")</f>
        <v>28800.0</v>
      </c>
      <c r="I314" s="5" t="str">
        <f ca="1">IFERROR(__xludf.DUMMYFUNCTION("""COMPUTED_VALUE"""),"3600.0")</f>
        <v>3600.0</v>
      </c>
      <c r="J314" s="5">
        <f ca="1">IFERROR(__xludf.DUMMYFUNCTION("VALUE(REGEXREPLACE(G314,""\."","",""))"),720000)</f>
        <v>720000</v>
      </c>
      <c r="K314" s="5" t="e">
        <f t="shared" ca="1" si="5"/>
        <v>#NAME?</v>
      </c>
      <c r="L314" s="25"/>
    </row>
    <row r="315" spans="6:12" ht="12.5">
      <c r="F315" s="34">
        <f ca="1">IFERROR(__xludf.DUMMYFUNCTION("""COMPUTED_VALUE"""),33208)</f>
        <v>33208</v>
      </c>
      <c r="G315" s="5" t="str">
        <f ca="1">IFERROR(__xludf.DUMMYFUNCTION("""COMPUTED_VALUE"""),"720000.0")</f>
        <v>720000.0</v>
      </c>
      <c r="H315" s="5" t="str">
        <f ca="1">IFERROR(__xludf.DUMMYFUNCTION("""COMPUTED_VALUE"""),"28800.0")</f>
        <v>28800.0</v>
      </c>
      <c r="I315" s="5" t="str">
        <f ca="1">IFERROR(__xludf.DUMMYFUNCTION("""COMPUTED_VALUE"""),"3600.0")</f>
        <v>3600.0</v>
      </c>
      <c r="J315" s="5">
        <f ca="1">IFERROR(__xludf.DUMMYFUNCTION("VALUE(REGEXREPLACE(G315,""\."","",""))"),720000)</f>
        <v>720000</v>
      </c>
      <c r="K315" s="5" t="e">
        <f t="shared" ca="1" si="5"/>
        <v>#NAME?</v>
      </c>
      <c r="L315" s="25"/>
    </row>
    <row r="316" spans="6:12" ht="12.5">
      <c r="F316" s="34">
        <f ca="1">IFERROR(__xludf.DUMMYFUNCTION("""COMPUTED_VALUE"""),33239)</f>
        <v>33239</v>
      </c>
      <c r="G316" s="5" t="str">
        <f ca="1">IFERROR(__xludf.DUMMYFUNCTION("""COMPUTED_VALUE"""),"720000.0")</f>
        <v>720000.0</v>
      </c>
      <c r="H316" s="5" t="str">
        <f ca="1">IFERROR(__xludf.DUMMYFUNCTION("""COMPUTED_VALUE"""),"28800.0")</f>
        <v>28800.0</v>
      </c>
      <c r="I316" s="5" t="str">
        <f ca="1">IFERROR(__xludf.DUMMYFUNCTION("""COMPUTED_VALUE"""),"3600.0")</f>
        <v>3600.0</v>
      </c>
      <c r="J316" s="5">
        <f ca="1">IFERROR(__xludf.DUMMYFUNCTION("VALUE(REGEXREPLACE(G316,""\."","",""))"),720000)</f>
        <v>720000</v>
      </c>
      <c r="K316" s="5" t="e">
        <f t="shared" ca="1" si="5"/>
        <v>#NAME?</v>
      </c>
      <c r="L316" s="25"/>
    </row>
    <row r="317" spans="6:12" ht="12.5">
      <c r="F317" s="34">
        <f ca="1">IFERROR(__xludf.DUMMYFUNCTION("""COMPUTED_VALUE"""),33270)</f>
        <v>33270</v>
      </c>
      <c r="G317" s="5" t="str">
        <f ca="1">IFERROR(__xludf.DUMMYFUNCTION("""COMPUTED_VALUE"""),"720000.0")</f>
        <v>720000.0</v>
      </c>
      <c r="H317" s="5" t="str">
        <f ca="1">IFERROR(__xludf.DUMMYFUNCTION("""COMPUTED_VALUE"""),"28800.0")</f>
        <v>28800.0</v>
      </c>
      <c r="I317" s="5" t="str">
        <f ca="1">IFERROR(__xludf.DUMMYFUNCTION("""COMPUTED_VALUE"""),"3600.0")</f>
        <v>3600.0</v>
      </c>
      <c r="J317" s="5">
        <f ca="1">IFERROR(__xludf.DUMMYFUNCTION("VALUE(REGEXREPLACE(G317,""\."","",""))"),720000)</f>
        <v>720000</v>
      </c>
      <c r="K317" s="5" t="e">
        <f t="shared" ca="1" si="5"/>
        <v>#NAME?</v>
      </c>
      <c r="L317" s="25"/>
    </row>
    <row r="318" spans="6:12" ht="12.5">
      <c r="F318" s="34">
        <f ca="1">IFERROR(__xludf.DUMMYFUNCTION("""COMPUTED_VALUE"""),33298)</f>
        <v>33298</v>
      </c>
      <c r="G318" s="5" t="str">
        <f ca="1">IFERROR(__xludf.DUMMYFUNCTION("""COMPUTED_VALUE"""),"970000.0")</f>
        <v>970000.0</v>
      </c>
      <c r="H318" s="5" t="str">
        <f ca="1">IFERROR(__xludf.DUMMYFUNCTION("""COMPUTED_VALUE"""),"38800.0")</f>
        <v>38800.0</v>
      </c>
      <c r="I318" s="5" t="str">
        <f ca="1">IFERROR(__xludf.DUMMYFUNCTION("""COMPUTED_VALUE"""),"4850.0")</f>
        <v>4850.0</v>
      </c>
      <c r="J318" s="5">
        <f ca="1">IFERROR(__xludf.DUMMYFUNCTION("VALUE(REGEXREPLACE(G318,""\."","",""))"),970000)</f>
        <v>970000</v>
      </c>
      <c r="K318" s="5" t="e">
        <f t="shared" ca="1" si="5"/>
        <v>#NAME?</v>
      </c>
      <c r="L318" s="25"/>
    </row>
    <row r="319" spans="6:12" ht="12.5">
      <c r="F319" s="34">
        <f ca="1">IFERROR(__xludf.DUMMYFUNCTION("""COMPUTED_VALUE"""),33329)</f>
        <v>33329</v>
      </c>
      <c r="G319" s="5" t="str">
        <f ca="1">IFERROR(__xludf.DUMMYFUNCTION("""COMPUTED_VALUE"""),"970000.0")</f>
        <v>970000.0</v>
      </c>
      <c r="H319" s="5" t="str">
        <f ca="1">IFERROR(__xludf.DUMMYFUNCTION("""COMPUTED_VALUE"""),"38800.0")</f>
        <v>38800.0</v>
      </c>
      <c r="I319" s="5" t="str">
        <f ca="1">IFERROR(__xludf.DUMMYFUNCTION("""COMPUTED_VALUE"""),"4850.0")</f>
        <v>4850.0</v>
      </c>
      <c r="J319" s="5">
        <f ca="1">IFERROR(__xludf.DUMMYFUNCTION("VALUE(REGEXREPLACE(G319,""\."","",""))"),970000)</f>
        <v>970000</v>
      </c>
      <c r="K319" s="5" t="e">
        <f t="shared" ca="1" si="5"/>
        <v>#NAME?</v>
      </c>
      <c r="L319" s="25"/>
    </row>
    <row r="320" spans="6:12" ht="12.5">
      <c r="F320" s="34">
        <f ca="1">IFERROR(__xludf.DUMMYFUNCTION("""COMPUTED_VALUE"""),33359)</f>
        <v>33359</v>
      </c>
      <c r="G320" s="5" t="str">
        <f ca="1">IFERROR(__xludf.DUMMYFUNCTION("""COMPUTED_VALUE"""),"970000.0")</f>
        <v>970000.0</v>
      </c>
      <c r="H320" s="5" t="str">
        <f ca="1">IFERROR(__xludf.DUMMYFUNCTION("""COMPUTED_VALUE"""),"38800.0")</f>
        <v>38800.0</v>
      </c>
      <c r="I320" s="5" t="str">
        <f ca="1">IFERROR(__xludf.DUMMYFUNCTION("""COMPUTED_VALUE"""),"4850.0")</f>
        <v>4850.0</v>
      </c>
      <c r="J320" s="5">
        <f ca="1">IFERROR(__xludf.DUMMYFUNCTION("VALUE(REGEXREPLACE(G320,""\."","",""))"),970000)</f>
        <v>970000</v>
      </c>
      <c r="K320" s="5" t="e">
        <f t="shared" ca="1" si="5"/>
        <v>#NAME?</v>
      </c>
      <c r="L320" s="25"/>
    </row>
    <row r="321" spans="6:12" ht="12.5">
      <c r="F321" s="34">
        <f ca="1">IFERROR(__xludf.DUMMYFUNCTION("""COMPUTED_VALUE"""),33390)</f>
        <v>33390</v>
      </c>
      <c r="G321" s="5" t="str">
        <f ca="1">IFERROR(__xludf.DUMMYFUNCTION("""COMPUTED_VALUE"""),"970000.0")</f>
        <v>970000.0</v>
      </c>
      <c r="H321" s="5" t="str">
        <f ca="1">IFERROR(__xludf.DUMMYFUNCTION("""COMPUTED_VALUE"""),"38800.0")</f>
        <v>38800.0</v>
      </c>
      <c r="I321" s="5" t="str">
        <f ca="1">IFERROR(__xludf.DUMMYFUNCTION("""COMPUTED_VALUE"""),"4850.0")</f>
        <v>4850.0</v>
      </c>
      <c r="J321" s="5">
        <f ca="1">IFERROR(__xludf.DUMMYFUNCTION("VALUE(REGEXREPLACE(G321,""\."","",""))"),970000)</f>
        <v>970000</v>
      </c>
      <c r="K321" s="5" t="e">
        <f t="shared" ca="1" si="5"/>
        <v>#NAME?</v>
      </c>
      <c r="L321" s="25"/>
    </row>
    <row r="322" spans="6:12" ht="12.5">
      <c r="F322" s="34">
        <f ca="1">IFERROR(__xludf.DUMMYFUNCTION("""COMPUTED_VALUE"""),33420)</f>
        <v>33420</v>
      </c>
      <c r="G322" s="5" t="str">
        <f ca="1">IFERROR(__xludf.DUMMYFUNCTION("""COMPUTED_VALUE"""),"970000.0")</f>
        <v>970000.0</v>
      </c>
      <c r="H322" s="5" t="str">
        <f ca="1">IFERROR(__xludf.DUMMYFUNCTION("""COMPUTED_VALUE"""),"38800.0")</f>
        <v>38800.0</v>
      </c>
      <c r="I322" s="5" t="str">
        <f ca="1">IFERROR(__xludf.DUMMYFUNCTION("""COMPUTED_VALUE"""),"4850.0")</f>
        <v>4850.0</v>
      </c>
      <c r="J322" s="5">
        <f ca="1">IFERROR(__xludf.DUMMYFUNCTION("VALUE(REGEXREPLACE(G322,""\."","",""))"),970000)</f>
        <v>970000</v>
      </c>
      <c r="K322" s="5" t="e">
        <f t="shared" ca="1" si="5"/>
        <v>#NAME?</v>
      </c>
      <c r="L322" s="25"/>
    </row>
    <row r="323" spans="6:12" ht="12.5">
      <c r="F323" s="34">
        <f ca="1">IFERROR(__xludf.DUMMYFUNCTION("""COMPUTED_VALUE"""),33451)</f>
        <v>33451</v>
      </c>
      <c r="G323" s="5" t="str">
        <f ca="1">IFERROR(__xludf.DUMMYFUNCTION("""COMPUTED_VALUE"""),"970000.0")</f>
        <v>970000.0</v>
      </c>
      <c r="H323" s="5" t="str">
        <f ca="1">IFERROR(__xludf.DUMMYFUNCTION("""COMPUTED_VALUE"""),"38800.0")</f>
        <v>38800.0</v>
      </c>
      <c r="I323" s="5" t="str">
        <f ca="1">IFERROR(__xludf.DUMMYFUNCTION("""COMPUTED_VALUE"""),"4850.0")</f>
        <v>4850.0</v>
      </c>
      <c r="J323" s="5">
        <f ca="1">IFERROR(__xludf.DUMMYFUNCTION("VALUE(REGEXREPLACE(G323,""\."","",""))"),970000)</f>
        <v>970000</v>
      </c>
      <c r="K323" s="5" t="e">
        <f t="shared" ca="1" si="5"/>
        <v>#NAME?</v>
      </c>
      <c r="L323" s="25"/>
    </row>
    <row r="324" spans="6:12" ht="12.5">
      <c r="F324" s="34">
        <f ca="1">IFERROR(__xludf.DUMMYFUNCTION("""COMPUTED_VALUE"""),33482)</f>
        <v>33482</v>
      </c>
      <c r="G324" s="5" t="str">
        <f ca="1">IFERROR(__xludf.DUMMYFUNCTION("""COMPUTED_VALUE"""),"970000.0")</f>
        <v>970000.0</v>
      </c>
      <c r="H324" s="5" t="str">
        <f ca="1">IFERROR(__xludf.DUMMYFUNCTION("""COMPUTED_VALUE"""),"38800.0")</f>
        <v>38800.0</v>
      </c>
      <c r="I324" s="5" t="str">
        <f ca="1">IFERROR(__xludf.DUMMYFUNCTION("""COMPUTED_VALUE"""),"4850.0")</f>
        <v>4850.0</v>
      </c>
      <c r="J324" s="5">
        <f ca="1">IFERROR(__xludf.DUMMYFUNCTION("VALUE(REGEXREPLACE(G324,""\."","",""))"),970000)</f>
        <v>970000</v>
      </c>
      <c r="K324" s="5" t="e">
        <f t="shared" ca="1" si="5"/>
        <v>#NAME?</v>
      </c>
      <c r="L324" s="25"/>
    </row>
    <row r="325" spans="6:12" ht="12.5">
      <c r="F325" s="34">
        <f ca="1">IFERROR(__xludf.DUMMYFUNCTION("""COMPUTED_VALUE"""),33512)</f>
        <v>33512</v>
      </c>
      <c r="G325" s="5" t="str">
        <f ca="1">IFERROR(__xludf.DUMMYFUNCTION("""COMPUTED_VALUE"""),"970000.0")</f>
        <v>970000.0</v>
      </c>
      <c r="H325" s="5" t="str">
        <f ca="1">IFERROR(__xludf.DUMMYFUNCTION("""COMPUTED_VALUE"""),"38800.0")</f>
        <v>38800.0</v>
      </c>
      <c r="I325" s="5" t="str">
        <f ca="1">IFERROR(__xludf.DUMMYFUNCTION("""COMPUTED_VALUE"""),"4850.0")</f>
        <v>4850.0</v>
      </c>
      <c r="J325" s="5">
        <f ca="1">IFERROR(__xludf.DUMMYFUNCTION("VALUE(REGEXREPLACE(G325,""\."","",""))"),970000)</f>
        <v>970000</v>
      </c>
      <c r="K325" s="5" t="e">
        <f t="shared" ca="1" si="5"/>
        <v>#NAME?</v>
      </c>
      <c r="L325" s="25"/>
    </row>
    <row r="326" spans="6:12" ht="12.5">
      <c r="F326" s="34">
        <f ca="1">IFERROR(__xludf.DUMMYFUNCTION("""COMPUTED_VALUE"""),33543)</f>
        <v>33543</v>
      </c>
      <c r="G326" s="5" t="str">
        <f ca="1">IFERROR(__xludf.DUMMYFUNCTION("""COMPUTED_VALUE"""),"970000.0")</f>
        <v>970000.0</v>
      </c>
      <c r="H326" s="5" t="str">
        <f ca="1">IFERROR(__xludf.DUMMYFUNCTION("""COMPUTED_VALUE"""),"38800.0")</f>
        <v>38800.0</v>
      </c>
      <c r="I326" s="5" t="str">
        <f ca="1">IFERROR(__xludf.DUMMYFUNCTION("""COMPUTED_VALUE"""),"4850.0")</f>
        <v>4850.0</v>
      </c>
      <c r="J326" s="5">
        <f ca="1">IFERROR(__xludf.DUMMYFUNCTION("VALUE(REGEXREPLACE(G326,""\."","",""))"),970000)</f>
        <v>970000</v>
      </c>
      <c r="K326" s="5" t="e">
        <f t="shared" ca="1" si="5"/>
        <v>#NAME?</v>
      </c>
      <c r="L326" s="25"/>
    </row>
    <row r="327" spans="6:12" ht="12.5">
      <c r="F327" s="34">
        <f ca="1">IFERROR(__xludf.DUMMYFUNCTION("""COMPUTED_VALUE"""),33573)</f>
        <v>33573</v>
      </c>
      <c r="G327" s="5" t="str">
        <f ca="1">IFERROR(__xludf.DUMMYFUNCTION("""COMPUTED_VALUE"""),"970000.0")</f>
        <v>970000.0</v>
      </c>
      <c r="H327" s="5" t="str">
        <f ca="1">IFERROR(__xludf.DUMMYFUNCTION("""COMPUTED_VALUE"""),"38800.0")</f>
        <v>38800.0</v>
      </c>
      <c r="I327" s="5" t="str">
        <f ca="1">IFERROR(__xludf.DUMMYFUNCTION("""COMPUTED_VALUE"""),"4850.0")</f>
        <v>4850.0</v>
      </c>
      <c r="J327" s="5">
        <f ca="1">IFERROR(__xludf.DUMMYFUNCTION("VALUE(REGEXREPLACE(G327,""\."","",""))"),970000)</f>
        <v>970000</v>
      </c>
      <c r="K327" s="5" t="e">
        <f t="shared" ca="1" si="5"/>
        <v>#NAME?</v>
      </c>
      <c r="L327" s="25"/>
    </row>
    <row r="328" spans="6:12" ht="12.5">
      <c r="F328" s="34">
        <f ca="1">IFERROR(__xludf.DUMMYFUNCTION("""COMPUTED_VALUE"""),33604)</f>
        <v>33604</v>
      </c>
      <c r="G328" s="5" t="str">
        <f ca="1">IFERROR(__xludf.DUMMYFUNCTION("""COMPUTED_VALUE"""),"97.0")</f>
        <v>97.0</v>
      </c>
      <c r="H328" s="5" t="str">
        <f ca="1">IFERROR(__xludf.DUMMYFUNCTION("""COMPUTED_VALUE"""),"3.88")</f>
        <v>3.88</v>
      </c>
      <c r="I328" s="5">
        <f ca="1">IFERROR(__xludf.DUMMYFUNCTION("""COMPUTED_VALUE"""),485)</f>
        <v>485</v>
      </c>
      <c r="J328" s="5">
        <f ca="1">IFERROR(__xludf.DUMMYFUNCTION("VALUE(REGEXREPLACE(G328,""\."","",""))"),97)</f>
        <v>97</v>
      </c>
      <c r="K328" s="5" t="e">
        <f t="shared" ca="1" si="5"/>
        <v>#NAME?</v>
      </c>
      <c r="L328" s="25"/>
    </row>
    <row r="329" spans="6:12" ht="12.5">
      <c r="F329" s="34">
        <f ca="1">IFERROR(__xludf.DUMMYFUNCTION("""COMPUTED_VALUE"""),33635)</f>
        <v>33635</v>
      </c>
      <c r="G329" s="5" t="str">
        <f ca="1">IFERROR(__xludf.DUMMYFUNCTION("""COMPUTED_VALUE"""),"97.0")</f>
        <v>97.0</v>
      </c>
      <c r="H329" s="5" t="str">
        <f ca="1">IFERROR(__xludf.DUMMYFUNCTION("""COMPUTED_VALUE"""),"3.88")</f>
        <v>3.88</v>
      </c>
      <c r="I329" s="5">
        <f ca="1">IFERROR(__xludf.DUMMYFUNCTION("""COMPUTED_VALUE"""),485)</f>
        <v>485</v>
      </c>
      <c r="J329" s="5">
        <f ca="1">IFERROR(__xludf.DUMMYFUNCTION("VALUE(REGEXREPLACE(G329,""\."","",""))"),97)</f>
        <v>97</v>
      </c>
      <c r="K329" s="5" t="e">
        <f t="shared" ca="1" si="5"/>
        <v>#NAME?</v>
      </c>
      <c r="L329" s="25"/>
    </row>
    <row r="330" spans="6:12" ht="12.5">
      <c r="F330" s="34">
        <f ca="1">IFERROR(__xludf.DUMMYFUNCTION("""COMPUTED_VALUE"""),33664)</f>
        <v>33664</v>
      </c>
      <c r="G330" s="5" t="str">
        <f ca="1">IFERROR(__xludf.DUMMYFUNCTION("""COMPUTED_VALUE"""),"97.0")</f>
        <v>97.0</v>
      </c>
      <c r="H330" s="5" t="str">
        <f ca="1">IFERROR(__xludf.DUMMYFUNCTION("""COMPUTED_VALUE"""),"3.88")</f>
        <v>3.88</v>
      </c>
      <c r="I330" s="5">
        <f ca="1">IFERROR(__xludf.DUMMYFUNCTION("""COMPUTED_VALUE"""),485)</f>
        <v>485</v>
      </c>
      <c r="J330" s="5">
        <f ca="1">IFERROR(__xludf.DUMMYFUNCTION("VALUE(REGEXREPLACE(G330,""\."","",""))"),97)</f>
        <v>97</v>
      </c>
      <c r="K330" s="5" t="e">
        <f t="shared" ca="1" si="5"/>
        <v>#NAME?</v>
      </c>
      <c r="L330" s="25"/>
    </row>
    <row r="331" spans="6:12" ht="12.5">
      <c r="F331" s="34">
        <f ca="1">IFERROR(__xludf.DUMMYFUNCTION("""COMPUTED_VALUE"""),33695)</f>
        <v>33695</v>
      </c>
      <c r="G331" s="5" t="str">
        <f ca="1">IFERROR(__xludf.DUMMYFUNCTION("""COMPUTED_VALUE"""),"97.0")</f>
        <v>97.0</v>
      </c>
      <c r="H331" s="5" t="str">
        <f ca="1">IFERROR(__xludf.DUMMYFUNCTION("""COMPUTED_VALUE"""),"3.88")</f>
        <v>3.88</v>
      </c>
      <c r="I331" s="5">
        <f ca="1">IFERROR(__xludf.DUMMYFUNCTION("""COMPUTED_VALUE"""),485)</f>
        <v>485</v>
      </c>
      <c r="J331" s="5">
        <f ca="1">IFERROR(__xludf.DUMMYFUNCTION("VALUE(REGEXREPLACE(G331,""\."","",""))"),97)</f>
        <v>97</v>
      </c>
      <c r="K331" s="5" t="e">
        <f t="shared" ca="1" si="5"/>
        <v>#NAME?</v>
      </c>
      <c r="L331" s="25"/>
    </row>
    <row r="332" spans="6:12" ht="12.5">
      <c r="F332" s="34">
        <f ca="1">IFERROR(__xludf.DUMMYFUNCTION("""COMPUTED_VALUE"""),33725)</f>
        <v>33725</v>
      </c>
      <c r="G332" s="5" t="str">
        <f ca="1">IFERROR(__xludf.DUMMYFUNCTION("""COMPUTED_VALUE"""),"97.0")</f>
        <v>97.0</v>
      </c>
      <c r="H332" s="5" t="str">
        <f ca="1">IFERROR(__xludf.DUMMYFUNCTION("""COMPUTED_VALUE"""),"3.88")</f>
        <v>3.88</v>
      </c>
      <c r="I332" s="5">
        <f ca="1">IFERROR(__xludf.DUMMYFUNCTION("""COMPUTED_VALUE"""),485)</f>
        <v>485</v>
      </c>
      <c r="J332" s="5">
        <f ca="1">IFERROR(__xludf.DUMMYFUNCTION("VALUE(REGEXREPLACE(G332,""\."","",""))"),97)</f>
        <v>97</v>
      </c>
      <c r="K332" s="5" t="e">
        <f t="shared" ca="1" si="5"/>
        <v>#NAME?</v>
      </c>
      <c r="L332" s="25"/>
    </row>
    <row r="333" spans="6:12" ht="12.5">
      <c r="F333" s="34">
        <f ca="1">IFERROR(__xludf.DUMMYFUNCTION("""COMPUTED_VALUE"""),33756)</f>
        <v>33756</v>
      </c>
      <c r="G333" s="5" t="str">
        <f ca="1">IFERROR(__xludf.DUMMYFUNCTION("""COMPUTED_VALUE"""),"97.0")</f>
        <v>97.0</v>
      </c>
      <c r="H333" s="5" t="str">
        <f ca="1">IFERROR(__xludf.DUMMYFUNCTION("""COMPUTED_VALUE"""),"3.88")</f>
        <v>3.88</v>
      </c>
      <c r="I333" s="5">
        <f ca="1">IFERROR(__xludf.DUMMYFUNCTION("""COMPUTED_VALUE"""),485)</f>
        <v>485</v>
      </c>
      <c r="J333" s="5">
        <f ca="1">IFERROR(__xludf.DUMMYFUNCTION("VALUE(REGEXREPLACE(G333,""\."","",""))"),97)</f>
        <v>97</v>
      </c>
      <c r="K333" s="5" t="e">
        <f t="shared" ca="1" si="5"/>
        <v>#NAME?</v>
      </c>
      <c r="L333" s="25"/>
    </row>
    <row r="334" spans="6:12" ht="12.5">
      <c r="F334" s="34">
        <f ca="1">IFERROR(__xludf.DUMMYFUNCTION("""COMPUTED_VALUE"""),33786)</f>
        <v>33786</v>
      </c>
      <c r="G334" s="5" t="str">
        <f ca="1">IFERROR(__xludf.DUMMYFUNCTION("""COMPUTED_VALUE"""),"97.0")</f>
        <v>97.0</v>
      </c>
      <c r="H334" s="5" t="str">
        <f ca="1">IFERROR(__xludf.DUMMYFUNCTION("""COMPUTED_VALUE"""),"3.88")</f>
        <v>3.88</v>
      </c>
      <c r="I334" s="5">
        <f ca="1">IFERROR(__xludf.DUMMYFUNCTION("""COMPUTED_VALUE"""),485)</f>
        <v>485</v>
      </c>
      <c r="J334" s="5">
        <f ca="1">IFERROR(__xludf.DUMMYFUNCTION("VALUE(REGEXREPLACE(G334,""\."","",""))"),97)</f>
        <v>97</v>
      </c>
      <c r="K334" s="5" t="e">
        <f t="shared" ca="1" si="5"/>
        <v>#NAME?</v>
      </c>
      <c r="L334" s="25"/>
    </row>
    <row r="335" spans="6:12" ht="12.5">
      <c r="F335" s="34">
        <f ca="1">IFERROR(__xludf.DUMMYFUNCTION("""COMPUTED_VALUE"""),33817)</f>
        <v>33817</v>
      </c>
      <c r="G335" s="5" t="str">
        <f ca="1">IFERROR(__xludf.DUMMYFUNCTION("""COMPUTED_VALUE"""),"97.0")</f>
        <v>97.0</v>
      </c>
      <c r="H335" s="5" t="str">
        <f ca="1">IFERROR(__xludf.DUMMYFUNCTION("""COMPUTED_VALUE"""),"3.88")</f>
        <v>3.88</v>
      </c>
      <c r="I335" s="5">
        <f ca="1">IFERROR(__xludf.DUMMYFUNCTION("""COMPUTED_VALUE"""),485)</f>
        <v>485</v>
      </c>
      <c r="J335" s="5">
        <f ca="1">IFERROR(__xludf.DUMMYFUNCTION("VALUE(REGEXREPLACE(G335,""\."","",""))"),97)</f>
        <v>97</v>
      </c>
      <c r="K335" s="5" t="e">
        <f t="shared" ca="1" si="5"/>
        <v>#NAME?</v>
      </c>
      <c r="L335" s="25"/>
    </row>
    <row r="336" spans="6:12" ht="12.5">
      <c r="F336" s="34">
        <f ca="1">IFERROR(__xludf.DUMMYFUNCTION("""COMPUTED_VALUE"""),33848)</f>
        <v>33848</v>
      </c>
      <c r="G336" s="5" t="str">
        <f ca="1">IFERROR(__xludf.DUMMYFUNCTION("""COMPUTED_VALUE"""),"97.0")</f>
        <v>97.0</v>
      </c>
      <c r="H336" s="5" t="str">
        <f ca="1">IFERROR(__xludf.DUMMYFUNCTION("""COMPUTED_VALUE"""),"3.88")</f>
        <v>3.88</v>
      </c>
      <c r="I336" s="5">
        <f ca="1">IFERROR(__xludf.DUMMYFUNCTION("""COMPUTED_VALUE"""),485)</f>
        <v>485</v>
      </c>
      <c r="J336" s="5">
        <f ca="1">IFERROR(__xludf.DUMMYFUNCTION("VALUE(REGEXREPLACE(G336,""\."","",""))"),97)</f>
        <v>97</v>
      </c>
      <c r="K336" s="5" t="e">
        <f t="shared" ca="1" si="5"/>
        <v>#NAME?</v>
      </c>
      <c r="L336" s="25"/>
    </row>
    <row r="337" spans="6:12" ht="12.5">
      <c r="F337" s="34">
        <f ca="1">IFERROR(__xludf.DUMMYFUNCTION("""COMPUTED_VALUE"""),33878)</f>
        <v>33878</v>
      </c>
      <c r="G337" s="5" t="str">
        <f ca="1">IFERROR(__xludf.DUMMYFUNCTION("""COMPUTED_VALUE"""),"97.0")</f>
        <v>97.0</v>
      </c>
      <c r="H337" s="5" t="str">
        <f ca="1">IFERROR(__xludf.DUMMYFUNCTION("""COMPUTED_VALUE"""),"3.88")</f>
        <v>3.88</v>
      </c>
      <c r="I337" s="5">
        <f ca="1">IFERROR(__xludf.DUMMYFUNCTION("""COMPUTED_VALUE"""),485)</f>
        <v>485</v>
      </c>
      <c r="J337" s="5">
        <f ca="1">IFERROR(__xludf.DUMMYFUNCTION("VALUE(REGEXREPLACE(G337,""\."","",""))"),97)</f>
        <v>97</v>
      </c>
      <c r="K337" s="5" t="e">
        <f t="shared" ca="1" si="5"/>
        <v>#NAME?</v>
      </c>
      <c r="L337" s="25"/>
    </row>
    <row r="338" spans="6:12" ht="12.5">
      <c r="F338" s="34">
        <f ca="1">IFERROR(__xludf.DUMMYFUNCTION("""COMPUTED_VALUE"""),33909)</f>
        <v>33909</v>
      </c>
      <c r="G338" s="5" t="str">
        <f ca="1">IFERROR(__xludf.DUMMYFUNCTION("""COMPUTED_VALUE"""),"97.0")</f>
        <v>97.0</v>
      </c>
      <c r="H338" s="5" t="str">
        <f ca="1">IFERROR(__xludf.DUMMYFUNCTION("""COMPUTED_VALUE"""),"3.88")</f>
        <v>3.88</v>
      </c>
      <c r="I338" s="5">
        <f ca="1">IFERROR(__xludf.DUMMYFUNCTION("""COMPUTED_VALUE"""),485)</f>
        <v>485</v>
      </c>
      <c r="J338" s="5">
        <f ca="1">IFERROR(__xludf.DUMMYFUNCTION("VALUE(REGEXREPLACE(G338,""\."","",""))"),97)</f>
        <v>97</v>
      </c>
      <c r="K338" s="5" t="e">
        <f t="shared" ca="1" si="5"/>
        <v>#NAME?</v>
      </c>
      <c r="L338" s="25"/>
    </row>
    <row r="339" spans="6:12" ht="12.5">
      <c r="F339" s="34">
        <f ca="1">IFERROR(__xludf.DUMMYFUNCTION("""COMPUTED_VALUE"""),33939)</f>
        <v>33939</v>
      </c>
      <c r="G339" s="5" t="str">
        <f ca="1">IFERROR(__xludf.DUMMYFUNCTION("""COMPUTED_VALUE"""),"97.0")</f>
        <v>97.0</v>
      </c>
      <c r="H339" s="5" t="str">
        <f ca="1">IFERROR(__xludf.DUMMYFUNCTION("""COMPUTED_VALUE"""),"3.88")</f>
        <v>3.88</v>
      </c>
      <c r="I339" s="5">
        <f ca="1">IFERROR(__xludf.DUMMYFUNCTION("""COMPUTED_VALUE"""),485)</f>
        <v>485</v>
      </c>
      <c r="J339" s="5">
        <f ca="1">IFERROR(__xludf.DUMMYFUNCTION("VALUE(REGEXREPLACE(G339,""\."","",""))"),97)</f>
        <v>97</v>
      </c>
      <c r="K339" s="5" t="e">
        <f t="shared" ca="1" si="5"/>
        <v>#NAME?</v>
      </c>
      <c r="L339" s="25"/>
    </row>
    <row r="340" spans="6:12" ht="12.5">
      <c r="F340" s="34">
        <f ca="1">IFERROR(__xludf.DUMMYFUNCTION("""COMPUTED_VALUE"""),33970)</f>
        <v>33970</v>
      </c>
      <c r="G340" s="5" t="str">
        <f ca="1">IFERROR(__xludf.DUMMYFUNCTION("""COMPUTED_VALUE"""),"97.0")</f>
        <v>97.0</v>
      </c>
      <c r="H340" s="5" t="str">
        <f ca="1">IFERROR(__xludf.DUMMYFUNCTION("""COMPUTED_VALUE"""),"3.88")</f>
        <v>3.88</v>
      </c>
      <c r="I340" s="5">
        <f ca="1">IFERROR(__xludf.DUMMYFUNCTION("""COMPUTED_VALUE"""),485)</f>
        <v>485</v>
      </c>
      <c r="J340" s="5">
        <f ca="1">IFERROR(__xludf.DUMMYFUNCTION("VALUE(REGEXREPLACE(G340,""\."","",""))"),97)</f>
        <v>97</v>
      </c>
      <c r="K340" s="5" t="e">
        <f t="shared" ca="1" si="5"/>
        <v>#NAME?</v>
      </c>
      <c r="L340" s="25"/>
    </row>
    <row r="341" spans="6:12" ht="12.5">
      <c r="F341" s="34">
        <f ca="1">IFERROR(__xludf.DUMMYFUNCTION("""COMPUTED_VALUE"""),34001)</f>
        <v>34001</v>
      </c>
      <c r="G341" s="5" t="str">
        <f ca="1">IFERROR(__xludf.DUMMYFUNCTION("""COMPUTED_VALUE"""),"97.0")</f>
        <v>97.0</v>
      </c>
      <c r="H341" s="5" t="str">
        <f ca="1">IFERROR(__xludf.DUMMYFUNCTION("""COMPUTED_VALUE"""),"3.88")</f>
        <v>3.88</v>
      </c>
      <c r="I341" s="5">
        <f ca="1">IFERROR(__xludf.DUMMYFUNCTION("""COMPUTED_VALUE"""),485)</f>
        <v>485</v>
      </c>
      <c r="J341" s="5">
        <f ca="1">IFERROR(__xludf.DUMMYFUNCTION("VALUE(REGEXREPLACE(G341,""\."","",""))"),97)</f>
        <v>97</v>
      </c>
      <c r="K341" s="5" t="e">
        <f t="shared" ca="1" si="5"/>
        <v>#NAME?</v>
      </c>
      <c r="L341" s="25"/>
    </row>
    <row r="342" spans="6:12" ht="12.5">
      <c r="F342" s="34">
        <f ca="1">IFERROR(__xludf.DUMMYFUNCTION("""COMPUTED_VALUE"""),34029)</f>
        <v>34029</v>
      </c>
      <c r="G342" s="5" t="str">
        <f ca="1">IFERROR(__xludf.DUMMYFUNCTION("""COMPUTED_VALUE"""),"97.0")</f>
        <v>97.0</v>
      </c>
      <c r="H342" s="5" t="str">
        <f ca="1">IFERROR(__xludf.DUMMYFUNCTION("""COMPUTED_VALUE"""),"3.88")</f>
        <v>3.88</v>
      </c>
      <c r="I342" s="5">
        <f ca="1">IFERROR(__xludf.DUMMYFUNCTION("""COMPUTED_VALUE"""),485)</f>
        <v>485</v>
      </c>
      <c r="J342" s="5">
        <f ca="1">IFERROR(__xludf.DUMMYFUNCTION("VALUE(REGEXREPLACE(G342,""\."","",""))"),97)</f>
        <v>97</v>
      </c>
      <c r="K342" s="5" t="e">
        <f t="shared" ca="1" si="5"/>
        <v>#NAME?</v>
      </c>
      <c r="L342" s="25"/>
    </row>
    <row r="343" spans="6:12" ht="12.5">
      <c r="F343" s="34">
        <f ca="1">IFERROR(__xludf.DUMMYFUNCTION("""COMPUTED_VALUE"""),34060)</f>
        <v>34060</v>
      </c>
      <c r="G343" s="5" t="str">
        <f ca="1">IFERROR(__xludf.DUMMYFUNCTION("""COMPUTED_VALUE"""),"97.0")</f>
        <v>97.0</v>
      </c>
      <c r="H343" s="5" t="str">
        <f ca="1">IFERROR(__xludf.DUMMYFUNCTION("""COMPUTED_VALUE"""),"3.88")</f>
        <v>3.88</v>
      </c>
      <c r="I343" s="5">
        <f ca="1">IFERROR(__xludf.DUMMYFUNCTION("""COMPUTED_VALUE"""),485)</f>
        <v>485</v>
      </c>
      <c r="J343" s="5">
        <f ca="1">IFERROR(__xludf.DUMMYFUNCTION("VALUE(REGEXREPLACE(G343,""\."","",""))"),97)</f>
        <v>97</v>
      </c>
      <c r="K343" s="5" t="e">
        <f t="shared" ca="1" si="5"/>
        <v>#NAME?</v>
      </c>
      <c r="L343" s="25"/>
    </row>
    <row r="344" spans="6:12" ht="12.5">
      <c r="F344" s="34">
        <f ca="1">IFERROR(__xludf.DUMMYFUNCTION("""COMPUTED_VALUE"""),34090)</f>
        <v>34090</v>
      </c>
      <c r="G344" s="5" t="str">
        <f ca="1">IFERROR(__xludf.DUMMYFUNCTION("""COMPUTED_VALUE"""),"97.0")</f>
        <v>97.0</v>
      </c>
      <c r="H344" s="5" t="str">
        <f ca="1">IFERROR(__xludf.DUMMYFUNCTION("""COMPUTED_VALUE"""),"3.88")</f>
        <v>3.88</v>
      </c>
      <c r="I344" s="5">
        <f ca="1">IFERROR(__xludf.DUMMYFUNCTION("""COMPUTED_VALUE"""),485)</f>
        <v>485</v>
      </c>
      <c r="J344" s="5">
        <f ca="1">IFERROR(__xludf.DUMMYFUNCTION("VALUE(REGEXREPLACE(G344,""\."","",""))"),97)</f>
        <v>97</v>
      </c>
      <c r="K344" s="5" t="e">
        <f t="shared" ca="1" si="5"/>
        <v>#NAME?</v>
      </c>
      <c r="L344" s="25"/>
    </row>
    <row r="345" spans="6:12" ht="12.5">
      <c r="F345" s="34">
        <f ca="1">IFERROR(__xludf.DUMMYFUNCTION("""COMPUTED_VALUE"""),34121)</f>
        <v>34121</v>
      </c>
      <c r="G345" s="5" t="str">
        <f ca="1">IFERROR(__xludf.DUMMYFUNCTION("""COMPUTED_VALUE"""),"97.0")</f>
        <v>97.0</v>
      </c>
      <c r="H345" s="5" t="str">
        <f ca="1">IFERROR(__xludf.DUMMYFUNCTION("""COMPUTED_VALUE"""),"3.88")</f>
        <v>3.88</v>
      </c>
      <c r="I345" s="5">
        <f ca="1">IFERROR(__xludf.DUMMYFUNCTION("""COMPUTED_VALUE"""),485)</f>
        <v>485</v>
      </c>
      <c r="J345" s="5">
        <f ca="1">IFERROR(__xludf.DUMMYFUNCTION("VALUE(REGEXREPLACE(G345,""\."","",""))"),97)</f>
        <v>97</v>
      </c>
      <c r="K345" s="5" t="e">
        <f t="shared" ca="1" si="5"/>
        <v>#NAME?</v>
      </c>
      <c r="L345" s="25"/>
    </row>
    <row r="346" spans="6:12" ht="12.5">
      <c r="F346" s="34">
        <f ca="1">IFERROR(__xludf.DUMMYFUNCTION("""COMPUTED_VALUE"""),34151)</f>
        <v>34151</v>
      </c>
      <c r="G346" s="5" t="str">
        <f ca="1">IFERROR(__xludf.DUMMYFUNCTION("""COMPUTED_VALUE"""),"200.0")</f>
        <v>200.0</v>
      </c>
      <c r="H346" s="5" t="str">
        <f ca="1">IFERROR(__xludf.DUMMYFUNCTION("""COMPUTED_VALUE"""),"8.0")</f>
        <v>8.0</v>
      </c>
      <c r="I346" s="5" t="str">
        <f ca="1">IFERROR(__xludf.DUMMYFUNCTION("""COMPUTED_VALUE"""),"1.0")</f>
        <v>1.0</v>
      </c>
      <c r="J346" s="5">
        <f ca="1">IFERROR(__xludf.DUMMYFUNCTION("VALUE(REGEXREPLACE(G346,""\."","",""))"),200)</f>
        <v>200</v>
      </c>
      <c r="K346" s="5" t="e">
        <f t="shared" ref="K346:K472" ca="1" si="6">DEFLACTAR(J346,F1047,F346)</f>
        <v>#NAME?</v>
      </c>
      <c r="L346" s="25"/>
    </row>
    <row r="347" spans="6:12" ht="12.5">
      <c r="F347" s="34">
        <f ca="1">IFERROR(__xludf.DUMMYFUNCTION("""COMPUTED_VALUE"""),34182)</f>
        <v>34182</v>
      </c>
      <c r="G347" s="5" t="str">
        <f ca="1">IFERROR(__xludf.DUMMYFUNCTION("""COMPUTED_VALUE"""),"200.0")</f>
        <v>200.0</v>
      </c>
      <c r="H347" s="5" t="str">
        <f ca="1">IFERROR(__xludf.DUMMYFUNCTION("""COMPUTED_VALUE"""),"8.0")</f>
        <v>8.0</v>
      </c>
      <c r="I347" s="5" t="str">
        <f ca="1">IFERROR(__xludf.DUMMYFUNCTION("""COMPUTED_VALUE"""),"1.0")</f>
        <v>1.0</v>
      </c>
      <c r="J347" s="5">
        <f ca="1">IFERROR(__xludf.DUMMYFUNCTION("VALUE(REGEXREPLACE(G347,""\."","",""))"),200)</f>
        <v>200</v>
      </c>
      <c r="K347" s="5" t="e">
        <f t="shared" ca="1" si="6"/>
        <v>#NAME?</v>
      </c>
      <c r="L347" s="25"/>
    </row>
    <row r="348" spans="6:12" ht="12.5">
      <c r="F348" s="34">
        <f ca="1">IFERROR(__xludf.DUMMYFUNCTION("""COMPUTED_VALUE"""),34213)</f>
        <v>34213</v>
      </c>
      <c r="G348" s="5" t="str">
        <f ca="1">IFERROR(__xludf.DUMMYFUNCTION("""COMPUTED_VALUE"""),"200.0")</f>
        <v>200.0</v>
      </c>
      <c r="H348" s="5" t="str">
        <f ca="1">IFERROR(__xludf.DUMMYFUNCTION("""COMPUTED_VALUE"""),"8.0")</f>
        <v>8.0</v>
      </c>
      <c r="I348" s="5" t="str">
        <f ca="1">IFERROR(__xludf.DUMMYFUNCTION("""COMPUTED_VALUE"""),"1.0")</f>
        <v>1.0</v>
      </c>
      <c r="J348" s="5">
        <f ca="1">IFERROR(__xludf.DUMMYFUNCTION("VALUE(REGEXREPLACE(G348,""\."","",""))"),200)</f>
        <v>200</v>
      </c>
      <c r="K348" s="5" t="e">
        <f t="shared" ca="1" si="6"/>
        <v>#NAME?</v>
      </c>
      <c r="L348" s="25"/>
    </row>
    <row r="349" spans="6:12" ht="12.5">
      <c r="F349" s="34">
        <f ca="1">IFERROR(__xludf.DUMMYFUNCTION("""COMPUTED_VALUE"""),34243)</f>
        <v>34243</v>
      </c>
      <c r="G349" s="5" t="str">
        <f ca="1">IFERROR(__xludf.DUMMYFUNCTION("""COMPUTED_VALUE"""),"200.0")</f>
        <v>200.0</v>
      </c>
      <c r="H349" s="5" t="str">
        <f ca="1">IFERROR(__xludf.DUMMYFUNCTION("""COMPUTED_VALUE"""),"8.0")</f>
        <v>8.0</v>
      </c>
      <c r="I349" s="5" t="str">
        <f ca="1">IFERROR(__xludf.DUMMYFUNCTION("""COMPUTED_VALUE"""),"1.0")</f>
        <v>1.0</v>
      </c>
      <c r="J349" s="5">
        <f ca="1">IFERROR(__xludf.DUMMYFUNCTION("VALUE(REGEXREPLACE(G349,""\."","",""))"),200)</f>
        <v>200</v>
      </c>
      <c r="K349" s="5" t="e">
        <f t="shared" ca="1" si="6"/>
        <v>#NAME?</v>
      </c>
      <c r="L349" s="25"/>
    </row>
    <row r="350" spans="6:12" ht="12.5">
      <c r="F350" s="34">
        <f ca="1">IFERROR(__xludf.DUMMYFUNCTION("""COMPUTED_VALUE"""),34274)</f>
        <v>34274</v>
      </c>
      <c r="G350" s="5" t="str">
        <f ca="1">IFERROR(__xludf.DUMMYFUNCTION("""COMPUTED_VALUE"""),"200.0")</f>
        <v>200.0</v>
      </c>
      <c r="H350" s="5" t="str">
        <f ca="1">IFERROR(__xludf.DUMMYFUNCTION("""COMPUTED_VALUE"""),"8.0")</f>
        <v>8.0</v>
      </c>
      <c r="I350" s="5" t="str">
        <f ca="1">IFERROR(__xludf.DUMMYFUNCTION("""COMPUTED_VALUE"""),"1.0")</f>
        <v>1.0</v>
      </c>
      <c r="J350" s="5">
        <f ca="1">IFERROR(__xludf.DUMMYFUNCTION("VALUE(REGEXREPLACE(G350,""\."","",""))"),200)</f>
        <v>200</v>
      </c>
      <c r="K350" s="5" t="e">
        <f t="shared" ca="1" si="6"/>
        <v>#NAME?</v>
      </c>
      <c r="L350" s="25"/>
    </row>
    <row r="351" spans="6:12" ht="12.5">
      <c r="F351" s="34">
        <f ca="1">IFERROR(__xludf.DUMMYFUNCTION("""COMPUTED_VALUE"""),34304)</f>
        <v>34304</v>
      </c>
      <c r="G351" s="5" t="str">
        <f ca="1">IFERROR(__xludf.DUMMYFUNCTION("""COMPUTED_VALUE"""),"200.0")</f>
        <v>200.0</v>
      </c>
      <c r="H351" s="5" t="str">
        <f ca="1">IFERROR(__xludf.DUMMYFUNCTION("""COMPUTED_VALUE"""),"8.0")</f>
        <v>8.0</v>
      </c>
      <c r="I351" s="5" t="str">
        <f ca="1">IFERROR(__xludf.DUMMYFUNCTION("""COMPUTED_VALUE"""),"1.0")</f>
        <v>1.0</v>
      </c>
      <c r="J351" s="5">
        <f ca="1">IFERROR(__xludf.DUMMYFUNCTION("VALUE(REGEXREPLACE(G351,""\."","",""))"),200)</f>
        <v>200</v>
      </c>
      <c r="K351" s="5" t="e">
        <f t="shared" ca="1" si="6"/>
        <v>#NAME?</v>
      </c>
      <c r="L351" s="25"/>
    </row>
    <row r="352" spans="6:12" ht="12.5">
      <c r="F352" s="34">
        <f ca="1">IFERROR(__xludf.DUMMYFUNCTION("""COMPUTED_VALUE"""),34335)</f>
        <v>34335</v>
      </c>
      <c r="G352" s="5" t="str">
        <f ca="1">IFERROR(__xludf.DUMMYFUNCTION("""COMPUTED_VALUE"""),"200.0")</f>
        <v>200.0</v>
      </c>
      <c r="H352" s="5" t="str">
        <f ca="1">IFERROR(__xludf.DUMMYFUNCTION("""COMPUTED_VALUE"""),"8.0")</f>
        <v>8.0</v>
      </c>
      <c r="I352" s="5" t="str">
        <f ca="1">IFERROR(__xludf.DUMMYFUNCTION("""COMPUTED_VALUE"""),"1.0")</f>
        <v>1.0</v>
      </c>
      <c r="J352" s="5">
        <f ca="1">IFERROR(__xludf.DUMMYFUNCTION("VALUE(REGEXREPLACE(G352,""\."","",""))"),200)</f>
        <v>200</v>
      </c>
      <c r="K352" s="5" t="e">
        <f t="shared" ca="1" si="6"/>
        <v>#NAME?</v>
      </c>
      <c r="L352" s="25"/>
    </row>
    <row r="353" spans="6:12" ht="12.5">
      <c r="F353" s="34">
        <f ca="1">IFERROR(__xludf.DUMMYFUNCTION("""COMPUTED_VALUE"""),34366)</f>
        <v>34366</v>
      </c>
      <c r="G353" s="5" t="str">
        <f ca="1">IFERROR(__xludf.DUMMYFUNCTION("""COMPUTED_VALUE"""),"200.0")</f>
        <v>200.0</v>
      </c>
      <c r="H353" s="5" t="str">
        <f ca="1">IFERROR(__xludf.DUMMYFUNCTION("""COMPUTED_VALUE"""),"8.0")</f>
        <v>8.0</v>
      </c>
      <c r="I353" s="5" t="str">
        <f ca="1">IFERROR(__xludf.DUMMYFUNCTION("""COMPUTED_VALUE"""),"1.0")</f>
        <v>1.0</v>
      </c>
      <c r="J353" s="5">
        <f ca="1">IFERROR(__xludf.DUMMYFUNCTION("VALUE(REGEXREPLACE(G353,""\."","",""))"),200)</f>
        <v>200</v>
      </c>
      <c r="K353" s="5" t="e">
        <f t="shared" ca="1" si="6"/>
        <v>#NAME?</v>
      </c>
      <c r="L353" s="25"/>
    </row>
    <row r="354" spans="6:12" ht="12.5">
      <c r="F354" s="34">
        <f ca="1">IFERROR(__xludf.DUMMYFUNCTION("""COMPUTED_VALUE"""),34394)</f>
        <v>34394</v>
      </c>
      <c r="G354" s="5" t="str">
        <f ca="1">IFERROR(__xludf.DUMMYFUNCTION("""COMPUTED_VALUE"""),"200.0")</f>
        <v>200.0</v>
      </c>
      <c r="H354" s="5" t="str">
        <f ca="1">IFERROR(__xludf.DUMMYFUNCTION("""COMPUTED_VALUE"""),"8.0")</f>
        <v>8.0</v>
      </c>
      <c r="I354" s="5" t="str">
        <f ca="1">IFERROR(__xludf.DUMMYFUNCTION("""COMPUTED_VALUE"""),"1.0")</f>
        <v>1.0</v>
      </c>
      <c r="J354" s="5">
        <f ca="1">IFERROR(__xludf.DUMMYFUNCTION("VALUE(REGEXREPLACE(G354,""\."","",""))"),200)</f>
        <v>200</v>
      </c>
      <c r="K354" s="5" t="e">
        <f t="shared" ca="1" si="6"/>
        <v>#NAME?</v>
      </c>
      <c r="L354" s="25"/>
    </row>
    <row r="355" spans="6:12" ht="12.5">
      <c r="F355" s="34">
        <f ca="1">IFERROR(__xludf.DUMMYFUNCTION("""COMPUTED_VALUE"""),34425)</f>
        <v>34425</v>
      </c>
      <c r="G355" s="5" t="str">
        <f ca="1">IFERROR(__xludf.DUMMYFUNCTION("""COMPUTED_VALUE"""),"200.0")</f>
        <v>200.0</v>
      </c>
      <c r="H355" s="5" t="str">
        <f ca="1">IFERROR(__xludf.DUMMYFUNCTION("""COMPUTED_VALUE"""),"8.0")</f>
        <v>8.0</v>
      </c>
      <c r="I355" s="5" t="str">
        <f ca="1">IFERROR(__xludf.DUMMYFUNCTION("""COMPUTED_VALUE"""),"1.0")</f>
        <v>1.0</v>
      </c>
      <c r="J355" s="5">
        <f ca="1">IFERROR(__xludf.DUMMYFUNCTION("VALUE(REGEXREPLACE(G355,""\."","",""))"),200)</f>
        <v>200</v>
      </c>
      <c r="K355" s="5" t="e">
        <f t="shared" ca="1" si="6"/>
        <v>#NAME?</v>
      </c>
      <c r="L355" s="25"/>
    </row>
    <row r="356" spans="6:12" ht="12.5">
      <c r="F356" s="34">
        <f ca="1">IFERROR(__xludf.DUMMYFUNCTION("""COMPUTED_VALUE"""),34455)</f>
        <v>34455</v>
      </c>
      <c r="G356" s="5" t="str">
        <f ca="1">IFERROR(__xludf.DUMMYFUNCTION("""COMPUTED_VALUE"""),"200.0")</f>
        <v>200.0</v>
      </c>
      <c r="H356" s="5" t="str">
        <f ca="1">IFERROR(__xludf.DUMMYFUNCTION("""COMPUTED_VALUE"""),"8.0")</f>
        <v>8.0</v>
      </c>
      <c r="I356" s="5" t="str">
        <f ca="1">IFERROR(__xludf.DUMMYFUNCTION("""COMPUTED_VALUE"""),"1.0")</f>
        <v>1.0</v>
      </c>
      <c r="J356" s="5">
        <f ca="1">IFERROR(__xludf.DUMMYFUNCTION("VALUE(REGEXREPLACE(G356,""\."","",""))"),200)</f>
        <v>200</v>
      </c>
      <c r="K356" s="5" t="e">
        <f t="shared" ca="1" si="6"/>
        <v>#NAME?</v>
      </c>
      <c r="L356" s="25"/>
    </row>
    <row r="357" spans="6:12" ht="12.5">
      <c r="F357" s="34">
        <f ca="1">IFERROR(__xludf.DUMMYFUNCTION("""COMPUTED_VALUE"""),34486)</f>
        <v>34486</v>
      </c>
      <c r="G357" s="5" t="str">
        <f ca="1">IFERROR(__xludf.DUMMYFUNCTION("""COMPUTED_VALUE"""),"200.0")</f>
        <v>200.0</v>
      </c>
      <c r="H357" s="5" t="str">
        <f ca="1">IFERROR(__xludf.DUMMYFUNCTION("""COMPUTED_VALUE"""),"8.0")</f>
        <v>8.0</v>
      </c>
      <c r="I357" s="5" t="str">
        <f ca="1">IFERROR(__xludf.DUMMYFUNCTION("""COMPUTED_VALUE"""),"1.0")</f>
        <v>1.0</v>
      </c>
      <c r="J357" s="5">
        <f ca="1">IFERROR(__xludf.DUMMYFUNCTION("VALUE(REGEXREPLACE(G357,""\."","",""))"),200)</f>
        <v>200</v>
      </c>
      <c r="K357" s="5" t="e">
        <f t="shared" ca="1" si="6"/>
        <v>#NAME?</v>
      </c>
      <c r="L357" s="25"/>
    </row>
    <row r="358" spans="6:12" ht="12.5">
      <c r="F358" s="34">
        <f ca="1">IFERROR(__xludf.DUMMYFUNCTION("""COMPUTED_VALUE"""),34516)</f>
        <v>34516</v>
      </c>
      <c r="G358" s="5" t="str">
        <f ca="1">IFERROR(__xludf.DUMMYFUNCTION("""COMPUTED_VALUE"""),"200.0")</f>
        <v>200.0</v>
      </c>
      <c r="H358" s="5" t="str">
        <f ca="1">IFERROR(__xludf.DUMMYFUNCTION("""COMPUTED_VALUE"""),"8.0")</f>
        <v>8.0</v>
      </c>
      <c r="I358" s="5" t="str">
        <f ca="1">IFERROR(__xludf.DUMMYFUNCTION("""COMPUTED_VALUE"""),"1.0")</f>
        <v>1.0</v>
      </c>
      <c r="J358" s="5">
        <f ca="1">IFERROR(__xludf.DUMMYFUNCTION("VALUE(REGEXREPLACE(G358,""\."","",""))"),200)</f>
        <v>200</v>
      </c>
      <c r="K358" s="5" t="e">
        <f t="shared" ca="1" si="6"/>
        <v>#NAME?</v>
      </c>
      <c r="L358" s="25"/>
    </row>
    <row r="359" spans="6:12" ht="12.5">
      <c r="F359" s="34">
        <f ca="1">IFERROR(__xludf.DUMMYFUNCTION("""COMPUTED_VALUE"""),34547)</f>
        <v>34547</v>
      </c>
      <c r="G359" s="5" t="str">
        <f ca="1">IFERROR(__xludf.DUMMYFUNCTION("""COMPUTED_VALUE"""),"200.0")</f>
        <v>200.0</v>
      </c>
      <c r="H359" s="5" t="str">
        <f ca="1">IFERROR(__xludf.DUMMYFUNCTION("""COMPUTED_VALUE"""),"8.0")</f>
        <v>8.0</v>
      </c>
      <c r="I359" s="5" t="str">
        <f ca="1">IFERROR(__xludf.DUMMYFUNCTION("""COMPUTED_VALUE"""),"1.0")</f>
        <v>1.0</v>
      </c>
      <c r="J359" s="5">
        <f ca="1">IFERROR(__xludf.DUMMYFUNCTION("VALUE(REGEXREPLACE(G359,""\."","",""))"),200)</f>
        <v>200</v>
      </c>
      <c r="K359" s="5" t="e">
        <f t="shared" ca="1" si="6"/>
        <v>#NAME?</v>
      </c>
      <c r="L359" s="25"/>
    </row>
    <row r="360" spans="6:12" ht="12.5">
      <c r="F360" s="34">
        <f ca="1">IFERROR(__xludf.DUMMYFUNCTION("""COMPUTED_VALUE"""),34578)</f>
        <v>34578</v>
      </c>
      <c r="G360" s="5" t="str">
        <f ca="1">IFERROR(__xludf.DUMMYFUNCTION("""COMPUTED_VALUE"""),"200.0")</f>
        <v>200.0</v>
      </c>
      <c r="H360" s="5" t="str">
        <f ca="1">IFERROR(__xludf.DUMMYFUNCTION("""COMPUTED_VALUE"""),"8.0")</f>
        <v>8.0</v>
      </c>
      <c r="I360" s="5" t="str">
        <f ca="1">IFERROR(__xludf.DUMMYFUNCTION("""COMPUTED_VALUE"""),"1.0")</f>
        <v>1.0</v>
      </c>
      <c r="J360" s="5">
        <f ca="1">IFERROR(__xludf.DUMMYFUNCTION("VALUE(REGEXREPLACE(G360,""\."","",""))"),200)</f>
        <v>200</v>
      </c>
      <c r="K360" s="5" t="e">
        <f t="shared" ca="1" si="6"/>
        <v>#NAME?</v>
      </c>
      <c r="L360" s="25"/>
    </row>
    <row r="361" spans="6:12" ht="12.5">
      <c r="F361" s="34">
        <f ca="1">IFERROR(__xludf.DUMMYFUNCTION("""COMPUTED_VALUE"""),34608)</f>
        <v>34608</v>
      </c>
      <c r="G361" s="5" t="str">
        <f ca="1">IFERROR(__xludf.DUMMYFUNCTION("""COMPUTED_VALUE"""),"200.0")</f>
        <v>200.0</v>
      </c>
      <c r="H361" s="5" t="str">
        <f ca="1">IFERROR(__xludf.DUMMYFUNCTION("""COMPUTED_VALUE"""),"8.0")</f>
        <v>8.0</v>
      </c>
      <c r="I361" s="5" t="str">
        <f ca="1">IFERROR(__xludf.DUMMYFUNCTION("""COMPUTED_VALUE"""),"1.0")</f>
        <v>1.0</v>
      </c>
      <c r="J361" s="5">
        <f ca="1">IFERROR(__xludf.DUMMYFUNCTION("VALUE(REGEXREPLACE(G361,""\."","",""))"),200)</f>
        <v>200</v>
      </c>
      <c r="K361" s="5" t="e">
        <f t="shared" ca="1" si="6"/>
        <v>#NAME?</v>
      </c>
      <c r="L361" s="25"/>
    </row>
    <row r="362" spans="6:12" ht="12.5">
      <c r="F362" s="34">
        <f ca="1">IFERROR(__xludf.DUMMYFUNCTION("""COMPUTED_VALUE"""),34639)</f>
        <v>34639</v>
      </c>
      <c r="G362" s="5" t="str">
        <f ca="1">IFERROR(__xludf.DUMMYFUNCTION("""COMPUTED_VALUE"""),"200.0")</f>
        <v>200.0</v>
      </c>
      <c r="H362" s="5" t="str">
        <f ca="1">IFERROR(__xludf.DUMMYFUNCTION("""COMPUTED_VALUE"""),"8.0")</f>
        <v>8.0</v>
      </c>
      <c r="I362" s="5" t="str">
        <f ca="1">IFERROR(__xludf.DUMMYFUNCTION("""COMPUTED_VALUE"""),"1.0")</f>
        <v>1.0</v>
      </c>
      <c r="J362" s="5">
        <f ca="1">IFERROR(__xludf.DUMMYFUNCTION("VALUE(REGEXREPLACE(G362,""\."","",""))"),200)</f>
        <v>200</v>
      </c>
      <c r="K362" s="5" t="e">
        <f t="shared" ca="1" si="6"/>
        <v>#NAME?</v>
      </c>
      <c r="L362" s="25"/>
    </row>
    <row r="363" spans="6:12" ht="12.5">
      <c r="F363" s="34">
        <f ca="1">IFERROR(__xludf.DUMMYFUNCTION("""COMPUTED_VALUE"""),34669)</f>
        <v>34669</v>
      </c>
      <c r="G363" s="5" t="str">
        <f ca="1">IFERROR(__xludf.DUMMYFUNCTION("""COMPUTED_VALUE"""),"200.0")</f>
        <v>200.0</v>
      </c>
      <c r="H363" s="5" t="str">
        <f ca="1">IFERROR(__xludf.DUMMYFUNCTION("""COMPUTED_VALUE"""),"8.0")</f>
        <v>8.0</v>
      </c>
      <c r="I363" s="5" t="str">
        <f ca="1">IFERROR(__xludf.DUMMYFUNCTION("""COMPUTED_VALUE"""),"1.0")</f>
        <v>1.0</v>
      </c>
      <c r="J363" s="5">
        <f ca="1">IFERROR(__xludf.DUMMYFUNCTION("VALUE(REGEXREPLACE(G363,""\."","",""))"),200)</f>
        <v>200</v>
      </c>
      <c r="K363" s="5" t="e">
        <f t="shared" ca="1" si="6"/>
        <v>#NAME?</v>
      </c>
      <c r="L363" s="25"/>
    </row>
    <row r="364" spans="6:12" ht="12.5">
      <c r="F364" s="34">
        <f ca="1">IFERROR(__xludf.DUMMYFUNCTION("""COMPUTED_VALUE"""),34700)</f>
        <v>34700</v>
      </c>
      <c r="G364" s="5" t="str">
        <f ca="1">IFERROR(__xludf.DUMMYFUNCTION("""COMPUTED_VALUE"""),"200.0")</f>
        <v>200.0</v>
      </c>
      <c r="H364" s="5" t="str">
        <f ca="1">IFERROR(__xludf.DUMMYFUNCTION("""COMPUTED_VALUE"""),"8.0")</f>
        <v>8.0</v>
      </c>
      <c r="I364" s="5" t="str">
        <f ca="1">IFERROR(__xludf.DUMMYFUNCTION("""COMPUTED_VALUE"""),"1.0")</f>
        <v>1.0</v>
      </c>
      <c r="J364" s="5">
        <f ca="1">IFERROR(__xludf.DUMMYFUNCTION("VALUE(REGEXREPLACE(G364,""\."","",""))"),200)</f>
        <v>200</v>
      </c>
      <c r="K364" s="5" t="e">
        <f t="shared" ca="1" si="6"/>
        <v>#NAME?</v>
      </c>
      <c r="L364" s="25" t="e">
        <f t="shared" ref="L364:L618" ca="1" si="7">DEFLACTAR(J364,MAX(F:F),F364)</f>
        <v>#NAME?</v>
      </c>
    </row>
    <row r="365" spans="6:12" ht="12.5">
      <c r="F365" s="34">
        <f ca="1">IFERROR(__xludf.DUMMYFUNCTION("""COMPUTED_VALUE"""),34731)</f>
        <v>34731</v>
      </c>
      <c r="G365" s="5" t="str">
        <f ca="1">IFERROR(__xludf.DUMMYFUNCTION("""COMPUTED_VALUE"""),"200.0")</f>
        <v>200.0</v>
      </c>
      <c r="H365" s="5" t="str">
        <f ca="1">IFERROR(__xludf.DUMMYFUNCTION("""COMPUTED_VALUE"""),"8.0")</f>
        <v>8.0</v>
      </c>
      <c r="I365" s="5" t="str">
        <f ca="1">IFERROR(__xludf.DUMMYFUNCTION("""COMPUTED_VALUE"""),"1.0")</f>
        <v>1.0</v>
      </c>
      <c r="J365" s="5">
        <f ca="1">IFERROR(__xludf.DUMMYFUNCTION("VALUE(REGEXREPLACE(G365,""\."","",""))"),200)</f>
        <v>200</v>
      </c>
      <c r="K365" s="5" t="e">
        <f t="shared" ca="1" si="6"/>
        <v>#NAME?</v>
      </c>
      <c r="L365" s="25" t="e">
        <f t="shared" ca="1" si="7"/>
        <v>#NAME?</v>
      </c>
    </row>
    <row r="366" spans="6:12" ht="12.5">
      <c r="F366" s="34">
        <f ca="1">IFERROR(__xludf.DUMMYFUNCTION("""COMPUTED_VALUE"""),34759)</f>
        <v>34759</v>
      </c>
      <c r="G366" s="5" t="str">
        <f ca="1">IFERROR(__xludf.DUMMYFUNCTION("""COMPUTED_VALUE"""),"200.0")</f>
        <v>200.0</v>
      </c>
      <c r="H366" s="5" t="str">
        <f ca="1">IFERROR(__xludf.DUMMYFUNCTION("""COMPUTED_VALUE"""),"8.0")</f>
        <v>8.0</v>
      </c>
      <c r="I366" s="5" t="str">
        <f ca="1">IFERROR(__xludf.DUMMYFUNCTION("""COMPUTED_VALUE"""),"1.0")</f>
        <v>1.0</v>
      </c>
      <c r="J366" s="5">
        <f ca="1">IFERROR(__xludf.DUMMYFUNCTION("VALUE(REGEXREPLACE(G366,""\."","",""))"),200)</f>
        <v>200</v>
      </c>
      <c r="K366" s="5" t="e">
        <f t="shared" ca="1" si="6"/>
        <v>#NAME?</v>
      </c>
      <c r="L366" s="25" t="e">
        <f t="shared" ca="1" si="7"/>
        <v>#NAME?</v>
      </c>
    </row>
    <row r="367" spans="6:12" ht="12.5">
      <c r="F367" s="34">
        <f ca="1">IFERROR(__xludf.DUMMYFUNCTION("""COMPUTED_VALUE"""),34790)</f>
        <v>34790</v>
      </c>
      <c r="G367" s="5" t="str">
        <f ca="1">IFERROR(__xludf.DUMMYFUNCTION("""COMPUTED_VALUE"""),"200.0")</f>
        <v>200.0</v>
      </c>
      <c r="H367" s="5" t="str">
        <f ca="1">IFERROR(__xludf.DUMMYFUNCTION("""COMPUTED_VALUE"""),"8.0")</f>
        <v>8.0</v>
      </c>
      <c r="I367" s="5" t="str">
        <f ca="1">IFERROR(__xludf.DUMMYFUNCTION("""COMPUTED_VALUE"""),"1.0")</f>
        <v>1.0</v>
      </c>
      <c r="J367" s="5">
        <f ca="1">IFERROR(__xludf.DUMMYFUNCTION("VALUE(REGEXREPLACE(G367,""\."","",""))"),200)</f>
        <v>200</v>
      </c>
      <c r="K367" s="5" t="e">
        <f t="shared" ca="1" si="6"/>
        <v>#NAME?</v>
      </c>
      <c r="L367" s="25" t="e">
        <f t="shared" ca="1" si="7"/>
        <v>#NAME?</v>
      </c>
    </row>
    <row r="368" spans="6:12" ht="12.5">
      <c r="F368" s="34">
        <f ca="1">IFERROR(__xludf.DUMMYFUNCTION("""COMPUTED_VALUE"""),34820)</f>
        <v>34820</v>
      </c>
      <c r="G368" s="5" t="str">
        <f ca="1">IFERROR(__xludf.DUMMYFUNCTION("""COMPUTED_VALUE"""),"200.0")</f>
        <v>200.0</v>
      </c>
      <c r="H368" s="5" t="str">
        <f ca="1">IFERROR(__xludf.DUMMYFUNCTION("""COMPUTED_VALUE"""),"8.0")</f>
        <v>8.0</v>
      </c>
      <c r="I368" s="5" t="str">
        <f ca="1">IFERROR(__xludf.DUMMYFUNCTION("""COMPUTED_VALUE"""),"1.0")</f>
        <v>1.0</v>
      </c>
      <c r="J368" s="5">
        <f ca="1">IFERROR(__xludf.DUMMYFUNCTION("VALUE(REGEXREPLACE(G368,""\."","",""))"),200)</f>
        <v>200</v>
      </c>
      <c r="K368" s="5" t="e">
        <f t="shared" ca="1" si="6"/>
        <v>#NAME?</v>
      </c>
      <c r="L368" s="25" t="e">
        <f t="shared" ca="1" si="7"/>
        <v>#NAME?</v>
      </c>
    </row>
    <row r="369" spans="6:12" ht="12.5">
      <c r="F369" s="34">
        <f ca="1">IFERROR(__xludf.DUMMYFUNCTION("""COMPUTED_VALUE"""),34851)</f>
        <v>34851</v>
      </c>
      <c r="G369" s="5" t="str">
        <f ca="1">IFERROR(__xludf.DUMMYFUNCTION("""COMPUTED_VALUE"""),"200.0")</f>
        <v>200.0</v>
      </c>
      <c r="H369" s="5" t="str">
        <f ca="1">IFERROR(__xludf.DUMMYFUNCTION("""COMPUTED_VALUE"""),"8.0")</f>
        <v>8.0</v>
      </c>
      <c r="I369" s="5" t="str">
        <f ca="1">IFERROR(__xludf.DUMMYFUNCTION("""COMPUTED_VALUE"""),"1.0")</f>
        <v>1.0</v>
      </c>
      <c r="J369" s="5">
        <f ca="1">IFERROR(__xludf.DUMMYFUNCTION("VALUE(REGEXREPLACE(G369,""\."","",""))"),200)</f>
        <v>200</v>
      </c>
      <c r="K369" s="5" t="e">
        <f t="shared" ca="1" si="6"/>
        <v>#NAME?</v>
      </c>
      <c r="L369" s="25" t="e">
        <f t="shared" ca="1" si="7"/>
        <v>#NAME?</v>
      </c>
    </row>
    <row r="370" spans="6:12" ht="12.5">
      <c r="F370" s="34">
        <f ca="1">IFERROR(__xludf.DUMMYFUNCTION("""COMPUTED_VALUE"""),34881)</f>
        <v>34881</v>
      </c>
      <c r="G370" s="5" t="str">
        <f ca="1">IFERROR(__xludf.DUMMYFUNCTION("""COMPUTED_VALUE"""),"200.0")</f>
        <v>200.0</v>
      </c>
      <c r="H370" s="5" t="str">
        <f ca="1">IFERROR(__xludf.DUMMYFUNCTION("""COMPUTED_VALUE"""),"8.0")</f>
        <v>8.0</v>
      </c>
      <c r="I370" s="5" t="str">
        <f ca="1">IFERROR(__xludf.DUMMYFUNCTION("""COMPUTED_VALUE"""),"1.0")</f>
        <v>1.0</v>
      </c>
      <c r="J370" s="5">
        <f ca="1">IFERROR(__xludf.DUMMYFUNCTION("VALUE(REGEXREPLACE(G370,""\."","",""))"),200)</f>
        <v>200</v>
      </c>
      <c r="K370" s="5" t="e">
        <f t="shared" ca="1" si="6"/>
        <v>#NAME?</v>
      </c>
      <c r="L370" s="25" t="e">
        <f t="shared" ca="1" si="7"/>
        <v>#NAME?</v>
      </c>
    </row>
    <row r="371" spans="6:12" ht="12.5">
      <c r="F371" s="34">
        <f ca="1">IFERROR(__xludf.DUMMYFUNCTION("""COMPUTED_VALUE"""),34912)</f>
        <v>34912</v>
      </c>
      <c r="G371" s="5" t="str">
        <f ca="1">IFERROR(__xludf.DUMMYFUNCTION("""COMPUTED_VALUE"""),"200.0")</f>
        <v>200.0</v>
      </c>
      <c r="H371" s="5" t="str">
        <f ca="1">IFERROR(__xludf.DUMMYFUNCTION("""COMPUTED_VALUE"""),"8.0")</f>
        <v>8.0</v>
      </c>
      <c r="I371" s="5" t="str">
        <f ca="1">IFERROR(__xludf.DUMMYFUNCTION("""COMPUTED_VALUE"""),"1.0")</f>
        <v>1.0</v>
      </c>
      <c r="J371" s="5">
        <f ca="1">IFERROR(__xludf.DUMMYFUNCTION("VALUE(REGEXREPLACE(G371,""\."","",""))"),200)</f>
        <v>200</v>
      </c>
      <c r="K371" s="5" t="e">
        <f t="shared" ca="1" si="6"/>
        <v>#NAME?</v>
      </c>
      <c r="L371" s="25" t="e">
        <f t="shared" ca="1" si="7"/>
        <v>#NAME?</v>
      </c>
    </row>
    <row r="372" spans="6:12" ht="12.5">
      <c r="F372" s="34">
        <f ca="1">IFERROR(__xludf.DUMMYFUNCTION("""COMPUTED_VALUE"""),34943)</f>
        <v>34943</v>
      </c>
      <c r="G372" s="5" t="str">
        <f ca="1">IFERROR(__xludf.DUMMYFUNCTION("""COMPUTED_VALUE"""),"200.0")</f>
        <v>200.0</v>
      </c>
      <c r="H372" s="5" t="str">
        <f ca="1">IFERROR(__xludf.DUMMYFUNCTION("""COMPUTED_VALUE"""),"8.0")</f>
        <v>8.0</v>
      </c>
      <c r="I372" s="5" t="str">
        <f ca="1">IFERROR(__xludf.DUMMYFUNCTION("""COMPUTED_VALUE"""),"1.0")</f>
        <v>1.0</v>
      </c>
      <c r="J372" s="5">
        <f ca="1">IFERROR(__xludf.DUMMYFUNCTION("VALUE(REGEXREPLACE(G372,""\."","",""))"),200)</f>
        <v>200</v>
      </c>
      <c r="K372" s="5" t="e">
        <f t="shared" ca="1" si="6"/>
        <v>#NAME?</v>
      </c>
      <c r="L372" s="25" t="e">
        <f t="shared" ca="1" si="7"/>
        <v>#NAME?</v>
      </c>
    </row>
    <row r="373" spans="6:12" ht="12.5">
      <c r="F373" s="34">
        <f ca="1">IFERROR(__xludf.DUMMYFUNCTION("""COMPUTED_VALUE"""),34973)</f>
        <v>34973</v>
      </c>
      <c r="G373" s="5" t="str">
        <f ca="1">IFERROR(__xludf.DUMMYFUNCTION("""COMPUTED_VALUE"""),"200.0")</f>
        <v>200.0</v>
      </c>
      <c r="H373" s="5" t="str">
        <f ca="1">IFERROR(__xludf.DUMMYFUNCTION("""COMPUTED_VALUE"""),"8.0")</f>
        <v>8.0</v>
      </c>
      <c r="I373" s="5" t="str">
        <f ca="1">IFERROR(__xludf.DUMMYFUNCTION("""COMPUTED_VALUE"""),"1.0")</f>
        <v>1.0</v>
      </c>
      <c r="J373" s="5">
        <f ca="1">IFERROR(__xludf.DUMMYFUNCTION("VALUE(REGEXREPLACE(G373,""\."","",""))"),200)</f>
        <v>200</v>
      </c>
      <c r="K373" s="5" t="e">
        <f t="shared" ca="1" si="6"/>
        <v>#NAME?</v>
      </c>
      <c r="L373" s="25" t="e">
        <f t="shared" ca="1" si="7"/>
        <v>#NAME?</v>
      </c>
    </row>
    <row r="374" spans="6:12" ht="12.5">
      <c r="F374" s="34">
        <f ca="1">IFERROR(__xludf.DUMMYFUNCTION("""COMPUTED_VALUE"""),35004)</f>
        <v>35004</v>
      </c>
      <c r="G374" s="5" t="str">
        <f ca="1">IFERROR(__xludf.DUMMYFUNCTION("""COMPUTED_VALUE"""),"200.0")</f>
        <v>200.0</v>
      </c>
      <c r="H374" s="5" t="str">
        <f ca="1">IFERROR(__xludf.DUMMYFUNCTION("""COMPUTED_VALUE"""),"8.0")</f>
        <v>8.0</v>
      </c>
      <c r="I374" s="5" t="str">
        <f ca="1">IFERROR(__xludf.DUMMYFUNCTION("""COMPUTED_VALUE"""),"1.0")</f>
        <v>1.0</v>
      </c>
      <c r="J374" s="5">
        <f ca="1">IFERROR(__xludf.DUMMYFUNCTION("VALUE(REGEXREPLACE(G374,""\."","",""))"),200)</f>
        <v>200</v>
      </c>
      <c r="K374" s="5" t="e">
        <f t="shared" ca="1" si="6"/>
        <v>#NAME?</v>
      </c>
      <c r="L374" s="25" t="e">
        <f t="shared" ca="1" si="7"/>
        <v>#NAME?</v>
      </c>
    </row>
    <row r="375" spans="6:12" ht="12.5">
      <c r="F375" s="34">
        <f ca="1">IFERROR(__xludf.DUMMYFUNCTION("""COMPUTED_VALUE"""),35034)</f>
        <v>35034</v>
      </c>
      <c r="G375" s="5" t="str">
        <f ca="1">IFERROR(__xludf.DUMMYFUNCTION("""COMPUTED_VALUE"""),"200.0")</f>
        <v>200.0</v>
      </c>
      <c r="H375" s="5" t="str">
        <f ca="1">IFERROR(__xludf.DUMMYFUNCTION("""COMPUTED_VALUE"""),"8.0")</f>
        <v>8.0</v>
      </c>
      <c r="I375" s="5" t="str">
        <f ca="1">IFERROR(__xludf.DUMMYFUNCTION("""COMPUTED_VALUE"""),"1.0")</f>
        <v>1.0</v>
      </c>
      <c r="J375" s="5">
        <f ca="1">IFERROR(__xludf.DUMMYFUNCTION("VALUE(REGEXREPLACE(G375,""\."","",""))"),200)</f>
        <v>200</v>
      </c>
      <c r="K375" s="5" t="e">
        <f t="shared" ca="1" si="6"/>
        <v>#NAME?</v>
      </c>
      <c r="L375" s="25" t="e">
        <f t="shared" ca="1" si="7"/>
        <v>#NAME?</v>
      </c>
    </row>
    <row r="376" spans="6:12" ht="12.5">
      <c r="F376" s="34">
        <f ca="1">IFERROR(__xludf.DUMMYFUNCTION("""COMPUTED_VALUE"""),35065)</f>
        <v>35065</v>
      </c>
      <c r="G376" s="5" t="str">
        <f ca="1">IFERROR(__xludf.DUMMYFUNCTION("""COMPUTED_VALUE"""),"200.0")</f>
        <v>200.0</v>
      </c>
      <c r="H376" s="5" t="str">
        <f ca="1">IFERROR(__xludf.DUMMYFUNCTION("""COMPUTED_VALUE"""),"8.0")</f>
        <v>8.0</v>
      </c>
      <c r="I376" s="5" t="str">
        <f ca="1">IFERROR(__xludf.DUMMYFUNCTION("""COMPUTED_VALUE"""),"1.0")</f>
        <v>1.0</v>
      </c>
      <c r="J376" s="5">
        <f ca="1">IFERROR(__xludf.DUMMYFUNCTION("VALUE(REGEXREPLACE(G376,""\."","",""))"),200)</f>
        <v>200</v>
      </c>
      <c r="K376" s="5" t="e">
        <f t="shared" ca="1" si="6"/>
        <v>#NAME?</v>
      </c>
      <c r="L376" s="25" t="e">
        <f t="shared" ca="1" si="7"/>
        <v>#NAME?</v>
      </c>
    </row>
    <row r="377" spans="6:12" ht="12.5">
      <c r="F377" s="34">
        <f ca="1">IFERROR(__xludf.DUMMYFUNCTION("""COMPUTED_VALUE"""),35096)</f>
        <v>35096</v>
      </c>
      <c r="G377" s="5" t="str">
        <f ca="1">IFERROR(__xludf.DUMMYFUNCTION("""COMPUTED_VALUE"""),"200.0")</f>
        <v>200.0</v>
      </c>
      <c r="H377" s="5" t="str">
        <f ca="1">IFERROR(__xludf.DUMMYFUNCTION("""COMPUTED_VALUE"""),"8.0")</f>
        <v>8.0</v>
      </c>
      <c r="I377" s="5" t="str">
        <f ca="1">IFERROR(__xludf.DUMMYFUNCTION("""COMPUTED_VALUE"""),"1.0")</f>
        <v>1.0</v>
      </c>
      <c r="J377" s="5">
        <f ca="1">IFERROR(__xludf.DUMMYFUNCTION("VALUE(REGEXREPLACE(G377,""\."","",""))"),200)</f>
        <v>200</v>
      </c>
      <c r="K377" s="5" t="e">
        <f t="shared" ca="1" si="6"/>
        <v>#NAME?</v>
      </c>
      <c r="L377" s="25" t="e">
        <f t="shared" ca="1" si="7"/>
        <v>#NAME?</v>
      </c>
    </row>
    <row r="378" spans="6:12" ht="12.5">
      <c r="F378" s="34">
        <f ca="1">IFERROR(__xludf.DUMMYFUNCTION("""COMPUTED_VALUE"""),35125)</f>
        <v>35125</v>
      </c>
      <c r="G378" s="5" t="str">
        <f ca="1">IFERROR(__xludf.DUMMYFUNCTION("""COMPUTED_VALUE"""),"200.0")</f>
        <v>200.0</v>
      </c>
      <c r="H378" s="5" t="str">
        <f ca="1">IFERROR(__xludf.DUMMYFUNCTION("""COMPUTED_VALUE"""),"8.0")</f>
        <v>8.0</v>
      </c>
      <c r="I378" s="5" t="str">
        <f ca="1">IFERROR(__xludf.DUMMYFUNCTION("""COMPUTED_VALUE"""),"1.0")</f>
        <v>1.0</v>
      </c>
      <c r="J378" s="5">
        <f ca="1">IFERROR(__xludf.DUMMYFUNCTION("VALUE(REGEXREPLACE(G378,""\."","",""))"),200)</f>
        <v>200</v>
      </c>
      <c r="K378" s="5" t="e">
        <f t="shared" ca="1" si="6"/>
        <v>#NAME?</v>
      </c>
      <c r="L378" s="25" t="e">
        <f t="shared" ca="1" si="7"/>
        <v>#NAME?</v>
      </c>
    </row>
    <row r="379" spans="6:12" ht="12.5">
      <c r="F379" s="34">
        <f ca="1">IFERROR(__xludf.DUMMYFUNCTION("""COMPUTED_VALUE"""),35156)</f>
        <v>35156</v>
      </c>
      <c r="G379" s="5" t="str">
        <f ca="1">IFERROR(__xludf.DUMMYFUNCTION("""COMPUTED_VALUE"""),"200.0")</f>
        <v>200.0</v>
      </c>
      <c r="H379" s="5" t="str">
        <f ca="1">IFERROR(__xludf.DUMMYFUNCTION("""COMPUTED_VALUE"""),"8.0")</f>
        <v>8.0</v>
      </c>
      <c r="I379" s="5" t="str">
        <f ca="1">IFERROR(__xludf.DUMMYFUNCTION("""COMPUTED_VALUE"""),"1.0")</f>
        <v>1.0</v>
      </c>
      <c r="J379" s="5">
        <f ca="1">IFERROR(__xludf.DUMMYFUNCTION("VALUE(REGEXREPLACE(G379,""\."","",""))"),200)</f>
        <v>200</v>
      </c>
      <c r="K379" s="5" t="e">
        <f t="shared" ca="1" si="6"/>
        <v>#NAME?</v>
      </c>
      <c r="L379" s="25" t="e">
        <f t="shared" ca="1" si="7"/>
        <v>#NAME?</v>
      </c>
    </row>
    <row r="380" spans="6:12" ht="12.5">
      <c r="F380" s="34">
        <f ca="1">IFERROR(__xludf.DUMMYFUNCTION("""COMPUTED_VALUE"""),35186)</f>
        <v>35186</v>
      </c>
      <c r="G380" s="5" t="str">
        <f ca="1">IFERROR(__xludf.DUMMYFUNCTION("""COMPUTED_VALUE"""),"200.0")</f>
        <v>200.0</v>
      </c>
      <c r="H380" s="5" t="str">
        <f ca="1">IFERROR(__xludf.DUMMYFUNCTION("""COMPUTED_VALUE"""),"8.0")</f>
        <v>8.0</v>
      </c>
      <c r="I380" s="5" t="str">
        <f ca="1">IFERROR(__xludf.DUMMYFUNCTION("""COMPUTED_VALUE"""),"1.0")</f>
        <v>1.0</v>
      </c>
      <c r="J380" s="5">
        <f ca="1">IFERROR(__xludf.DUMMYFUNCTION("VALUE(REGEXREPLACE(G380,""\."","",""))"),200)</f>
        <v>200</v>
      </c>
      <c r="K380" s="5" t="e">
        <f t="shared" ca="1" si="6"/>
        <v>#NAME?</v>
      </c>
      <c r="L380" s="25" t="e">
        <f t="shared" ca="1" si="7"/>
        <v>#NAME?</v>
      </c>
    </row>
    <row r="381" spans="6:12" ht="12.5">
      <c r="F381" s="34">
        <f ca="1">IFERROR(__xludf.DUMMYFUNCTION("""COMPUTED_VALUE"""),35217)</f>
        <v>35217</v>
      </c>
      <c r="G381" s="5" t="str">
        <f ca="1">IFERROR(__xludf.DUMMYFUNCTION("""COMPUTED_VALUE"""),"200.0")</f>
        <v>200.0</v>
      </c>
      <c r="H381" s="5" t="str">
        <f ca="1">IFERROR(__xludf.DUMMYFUNCTION("""COMPUTED_VALUE"""),"8.0")</f>
        <v>8.0</v>
      </c>
      <c r="I381" s="5" t="str">
        <f ca="1">IFERROR(__xludf.DUMMYFUNCTION("""COMPUTED_VALUE"""),"1.0")</f>
        <v>1.0</v>
      </c>
      <c r="J381" s="5">
        <f ca="1">IFERROR(__xludf.DUMMYFUNCTION("VALUE(REGEXREPLACE(G381,""\."","",""))"),200)</f>
        <v>200</v>
      </c>
      <c r="K381" s="5" t="e">
        <f t="shared" ca="1" si="6"/>
        <v>#NAME?</v>
      </c>
      <c r="L381" s="25" t="e">
        <f t="shared" ca="1" si="7"/>
        <v>#NAME?</v>
      </c>
    </row>
    <row r="382" spans="6:12" ht="12.5">
      <c r="F382" s="34">
        <f ca="1">IFERROR(__xludf.DUMMYFUNCTION("""COMPUTED_VALUE"""),35247)</f>
        <v>35247</v>
      </c>
      <c r="G382" s="5" t="str">
        <f ca="1">IFERROR(__xludf.DUMMYFUNCTION("""COMPUTED_VALUE"""),"200.0")</f>
        <v>200.0</v>
      </c>
      <c r="H382" s="5" t="str">
        <f ca="1">IFERROR(__xludf.DUMMYFUNCTION("""COMPUTED_VALUE"""),"8.0")</f>
        <v>8.0</v>
      </c>
      <c r="I382" s="5" t="str">
        <f ca="1">IFERROR(__xludf.DUMMYFUNCTION("""COMPUTED_VALUE"""),"1.0")</f>
        <v>1.0</v>
      </c>
      <c r="J382" s="5">
        <f ca="1">IFERROR(__xludf.DUMMYFUNCTION("VALUE(REGEXREPLACE(G382,""\."","",""))"),200)</f>
        <v>200</v>
      </c>
      <c r="K382" s="5" t="e">
        <f t="shared" ca="1" si="6"/>
        <v>#NAME?</v>
      </c>
      <c r="L382" s="25" t="e">
        <f t="shared" ca="1" si="7"/>
        <v>#NAME?</v>
      </c>
    </row>
    <row r="383" spans="6:12" ht="12.5">
      <c r="F383" s="34">
        <f ca="1">IFERROR(__xludf.DUMMYFUNCTION("""COMPUTED_VALUE"""),35278)</f>
        <v>35278</v>
      </c>
      <c r="G383" s="5" t="str">
        <f ca="1">IFERROR(__xludf.DUMMYFUNCTION("""COMPUTED_VALUE"""),"200.0")</f>
        <v>200.0</v>
      </c>
      <c r="H383" s="5" t="str">
        <f ca="1">IFERROR(__xludf.DUMMYFUNCTION("""COMPUTED_VALUE"""),"8.0")</f>
        <v>8.0</v>
      </c>
      <c r="I383" s="5" t="str">
        <f ca="1">IFERROR(__xludf.DUMMYFUNCTION("""COMPUTED_VALUE"""),"1.0")</f>
        <v>1.0</v>
      </c>
      <c r="J383" s="5">
        <f ca="1">IFERROR(__xludf.DUMMYFUNCTION("VALUE(REGEXREPLACE(G383,""\."","",""))"),200)</f>
        <v>200</v>
      </c>
      <c r="K383" s="5" t="e">
        <f t="shared" ca="1" si="6"/>
        <v>#NAME?</v>
      </c>
      <c r="L383" s="25" t="e">
        <f t="shared" ca="1" si="7"/>
        <v>#NAME?</v>
      </c>
    </row>
    <row r="384" spans="6:12" ht="12.5">
      <c r="F384" s="34">
        <f ca="1">IFERROR(__xludf.DUMMYFUNCTION("""COMPUTED_VALUE"""),35309)</f>
        <v>35309</v>
      </c>
      <c r="G384" s="5" t="str">
        <f ca="1">IFERROR(__xludf.DUMMYFUNCTION("""COMPUTED_VALUE"""),"200.0")</f>
        <v>200.0</v>
      </c>
      <c r="H384" s="5" t="str">
        <f ca="1">IFERROR(__xludf.DUMMYFUNCTION("""COMPUTED_VALUE"""),"8.0")</f>
        <v>8.0</v>
      </c>
      <c r="I384" s="5" t="str">
        <f ca="1">IFERROR(__xludf.DUMMYFUNCTION("""COMPUTED_VALUE"""),"1.0")</f>
        <v>1.0</v>
      </c>
      <c r="J384" s="5">
        <f ca="1">IFERROR(__xludf.DUMMYFUNCTION("VALUE(REGEXREPLACE(G384,""\."","",""))"),200)</f>
        <v>200</v>
      </c>
      <c r="K384" s="5" t="e">
        <f t="shared" ca="1" si="6"/>
        <v>#NAME?</v>
      </c>
      <c r="L384" s="25" t="e">
        <f t="shared" ca="1" si="7"/>
        <v>#NAME?</v>
      </c>
    </row>
    <row r="385" spans="6:12" ht="12.5">
      <c r="F385" s="34">
        <f ca="1">IFERROR(__xludf.DUMMYFUNCTION("""COMPUTED_VALUE"""),35339)</f>
        <v>35339</v>
      </c>
      <c r="G385" s="5" t="str">
        <f ca="1">IFERROR(__xludf.DUMMYFUNCTION("""COMPUTED_VALUE"""),"200.0")</f>
        <v>200.0</v>
      </c>
      <c r="H385" s="5" t="str">
        <f ca="1">IFERROR(__xludf.DUMMYFUNCTION("""COMPUTED_VALUE"""),"8.0")</f>
        <v>8.0</v>
      </c>
      <c r="I385" s="5" t="str">
        <f ca="1">IFERROR(__xludf.DUMMYFUNCTION("""COMPUTED_VALUE"""),"1.0")</f>
        <v>1.0</v>
      </c>
      <c r="J385" s="5">
        <f ca="1">IFERROR(__xludf.DUMMYFUNCTION("VALUE(REGEXREPLACE(G385,""\."","",""))"),200)</f>
        <v>200</v>
      </c>
      <c r="K385" s="5" t="e">
        <f t="shared" ca="1" si="6"/>
        <v>#NAME?</v>
      </c>
      <c r="L385" s="25" t="e">
        <f t="shared" ca="1" si="7"/>
        <v>#NAME?</v>
      </c>
    </row>
    <row r="386" spans="6:12" ht="12.5">
      <c r="F386" s="34">
        <f ca="1">IFERROR(__xludf.DUMMYFUNCTION("""COMPUTED_VALUE"""),35370)</f>
        <v>35370</v>
      </c>
      <c r="G386" s="5" t="str">
        <f ca="1">IFERROR(__xludf.DUMMYFUNCTION("""COMPUTED_VALUE"""),"200.0")</f>
        <v>200.0</v>
      </c>
      <c r="H386" s="5" t="str">
        <f ca="1">IFERROR(__xludf.DUMMYFUNCTION("""COMPUTED_VALUE"""),"8.0")</f>
        <v>8.0</v>
      </c>
      <c r="I386" s="5" t="str">
        <f ca="1">IFERROR(__xludf.DUMMYFUNCTION("""COMPUTED_VALUE"""),"1.0")</f>
        <v>1.0</v>
      </c>
      <c r="J386" s="5">
        <f ca="1">IFERROR(__xludf.DUMMYFUNCTION("VALUE(REGEXREPLACE(G386,""\."","",""))"),200)</f>
        <v>200</v>
      </c>
      <c r="K386" s="5" t="e">
        <f t="shared" ca="1" si="6"/>
        <v>#NAME?</v>
      </c>
      <c r="L386" s="25" t="e">
        <f t="shared" ca="1" si="7"/>
        <v>#NAME?</v>
      </c>
    </row>
    <row r="387" spans="6:12" ht="12.5">
      <c r="F387" s="34">
        <f ca="1">IFERROR(__xludf.DUMMYFUNCTION("""COMPUTED_VALUE"""),35400)</f>
        <v>35400</v>
      </c>
      <c r="G387" s="5" t="str">
        <f ca="1">IFERROR(__xludf.DUMMYFUNCTION("""COMPUTED_VALUE"""),"200.0")</f>
        <v>200.0</v>
      </c>
      <c r="H387" s="5" t="str">
        <f ca="1">IFERROR(__xludf.DUMMYFUNCTION("""COMPUTED_VALUE"""),"8.0")</f>
        <v>8.0</v>
      </c>
      <c r="I387" s="5" t="str">
        <f ca="1">IFERROR(__xludf.DUMMYFUNCTION("""COMPUTED_VALUE"""),"1.0")</f>
        <v>1.0</v>
      </c>
      <c r="J387" s="5">
        <f ca="1">IFERROR(__xludf.DUMMYFUNCTION("VALUE(REGEXREPLACE(G387,""\."","",""))"),200)</f>
        <v>200</v>
      </c>
      <c r="K387" s="5" t="e">
        <f t="shared" ca="1" si="6"/>
        <v>#NAME?</v>
      </c>
      <c r="L387" s="25" t="e">
        <f t="shared" ca="1" si="7"/>
        <v>#NAME?</v>
      </c>
    </row>
    <row r="388" spans="6:12" ht="12.5">
      <c r="F388" s="34">
        <f ca="1">IFERROR(__xludf.DUMMYFUNCTION("""COMPUTED_VALUE"""),35431)</f>
        <v>35431</v>
      </c>
      <c r="G388" s="5" t="str">
        <f ca="1">IFERROR(__xludf.DUMMYFUNCTION("""COMPUTED_VALUE"""),"200.0")</f>
        <v>200.0</v>
      </c>
      <c r="H388" s="5" t="str">
        <f ca="1">IFERROR(__xludf.DUMMYFUNCTION("""COMPUTED_VALUE"""),"8.0")</f>
        <v>8.0</v>
      </c>
      <c r="I388" s="5" t="str">
        <f ca="1">IFERROR(__xludf.DUMMYFUNCTION("""COMPUTED_VALUE"""),"1.0")</f>
        <v>1.0</v>
      </c>
      <c r="J388" s="5">
        <f ca="1">IFERROR(__xludf.DUMMYFUNCTION("VALUE(REGEXREPLACE(G388,""\."","",""))"),200)</f>
        <v>200</v>
      </c>
      <c r="K388" s="5" t="e">
        <f t="shared" ca="1" si="6"/>
        <v>#NAME?</v>
      </c>
      <c r="L388" s="25" t="e">
        <f t="shared" ca="1" si="7"/>
        <v>#NAME?</v>
      </c>
    </row>
    <row r="389" spans="6:12" ht="12.5">
      <c r="F389" s="34">
        <f ca="1">IFERROR(__xludf.DUMMYFUNCTION("""COMPUTED_VALUE"""),35462)</f>
        <v>35462</v>
      </c>
      <c r="G389" s="5" t="str">
        <f ca="1">IFERROR(__xludf.DUMMYFUNCTION("""COMPUTED_VALUE"""),"200.0")</f>
        <v>200.0</v>
      </c>
      <c r="H389" s="5" t="str">
        <f ca="1">IFERROR(__xludf.DUMMYFUNCTION("""COMPUTED_VALUE"""),"8.0")</f>
        <v>8.0</v>
      </c>
      <c r="I389" s="5" t="str">
        <f ca="1">IFERROR(__xludf.DUMMYFUNCTION("""COMPUTED_VALUE"""),"1.0")</f>
        <v>1.0</v>
      </c>
      <c r="J389" s="5">
        <f ca="1">IFERROR(__xludf.DUMMYFUNCTION("VALUE(REGEXREPLACE(G389,""\."","",""))"),200)</f>
        <v>200</v>
      </c>
      <c r="K389" s="5" t="e">
        <f t="shared" ca="1" si="6"/>
        <v>#NAME?</v>
      </c>
      <c r="L389" s="25" t="e">
        <f t="shared" ca="1" si="7"/>
        <v>#NAME?</v>
      </c>
    </row>
    <row r="390" spans="6:12" ht="12.5">
      <c r="F390" s="34">
        <f ca="1">IFERROR(__xludf.DUMMYFUNCTION("""COMPUTED_VALUE"""),35490)</f>
        <v>35490</v>
      </c>
      <c r="G390" s="5" t="str">
        <f ca="1">IFERROR(__xludf.DUMMYFUNCTION("""COMPUTED_VALUE"""),"200.0")</f>
        <v>200.0</v>
      </c>
      <c r="H390" s="5" t="str">
        <f ca="1">IFERROR(__xludf.DUMMYFUNCTION("""COMPUTED_VALUE"""),"8.0")</f>
        <v>8.0</v>
      </c>
      <c r="I390" s="5" t="str">
        <f ca="1">IFERROR(__xludf.DUMMYFUNCTION("""COMPUTED_VALUE"""),"1.0")</f>
        <v>1.0</v>
      </c>
      <c r="J390" s="5">
        <f ca="1">IFERROR(__xludf.DUMMYFUNCTION("VALUE(REGEXREPLACE(G390,""\."","",""))"),200)</f>
        <v>200</v>
      </c>
      <c r="K390" s="5" t="e">
        <f t="shared" ca="1" si="6"/>
        <v>#NAME?</v>
      </c>
      <c r="L390" s="25" t="e">
        <f t="shared" ca="1" si="7"/>
        <v>#NAME?</v>
      </c>
    </row>
    <row r="391" spans="6:12" ht="12.5">
      <c r="F391" s="34">
        <f ca="1">IFERROR(__xludf.DUMMYFUNCTION("""COMPUTED_VALUE"""),35521)</f>
        <v>35521</v>
      </c>
      <c r="G391" s="5" t="str">
        <f ca="1">IFERROR(__xludf.DUMMYFUNCTION("""COMPUTED_VALUE"""),"200.0")</f>
        <v>200.0</v>
      </c>
      <c r="H391" s="5" t="str">
        <f ca="1">IFERROR(__xludf.DUMMYFUNCTION("""COMPUTED_VALUE"""),"8.0")</f>
        <v>8.0</v>
      </c>
      <c r="I391" s="5" t="str">
        <f ca="1">IFERROR(__xludf.DUMMYFUNCTION("""COMPUTED_VALUE"""),"1.0")</f>
        <v>1.0</v>
      </c>
      <c r="J391" s="5">
        <f ca="1">IFERROR(__xludf.DUMMYFUNCTION("VALUE(REGEXREPLACE(G391,""\."","",""))"),200)</f>
        <v>200</v>
      </c>
      <c r="K391" s="5" t="e">
        <f t="shared" ca="1" si="6"/>
        <v>#NAME?</v>
      </c>
      <c r="L391" s="25" t="e">
        <f t="shared" ca="1" si="7"/>
        <v>#NAME?</v>
      </c>
    </row>
    <row r="392" spans="6:12" ht="12.5">
      <c r="F392" s="34">
        <f ca="1">IFERROR(__xludf.DUMMYFUNCTION("""COMPUTED_VALUE"""),35551)</f>
        <v>35551</v>
      </c>
      <c r="G392" s="5" t="str">
        <f ca="1">IFERROR(__xludf.DUMMYFUNCTION("""COMPUTED_VALUE"""),"200.0")</f>
        <v>200.0</v>
      </c>
      <c r="H392" s="5" t="str">
        <f ca="1">IFERROR(__xludf.DUMMYFUNCTION("""COMPUTED_VALUE"""),"8.0")</f>
        <v>8.0</v>
      </c>
      <c r="I392" s="5" t="str">
        <f ca="1">IFERROR(__xludf.DUMMYFUNCTION("""COMPUTED_VALUE"""),"1.0")</f>
        <v>1.0</v>
      </c>
      <c r="J392" s="5">
        <f ca="1">IFERROR(__xludf.DUMMYFUNCTION("VALUE(REGEXREPLACE(G392,""\."","",""))"),200)</f>
        <v>200</v>
      </c>
      <c r="K392" s="5" t="e">
        <f t="shared" ca="1" si="6"/>
        <v>#NAME?</v>
      </c>
      <c r="L392" s="25" t="e">
        <f t="shared" ca="1" si="7"/>
        <v>#NAME?</v>
      </c>
    </row>
    <row r="393" spans="6:12" ht="12.5">
      <c r="F393" s="34">
        <f ca="1">IFERROR(__xludf.DUMMYFUNCTION("""COMPUTED_VALUE"""),35582)</f>
        <v>35582</v>
      </c>
      <c r="G393" s="5" t="str">
        <f ca="1">IFERROR(__xludf.DUMMYFUNCTION("""COMPUTED_VALUE"""),"200.0")</f>
        <v>200.0</v>
      </c>
      <c r="H393" s="5" t="str">
        <f ca="1">IFERROR(__xludf.DUMMYFUNCTION("""COMPUTED_VALUE"""),"8.0")</f>
        <v>8.0</v>
      </c>
      <c r="I393" s="5" t="str">
        <f ca="1">IFERROR(__xludf.DUMMYFUNCTION("""COMPUTED_VALUE"""),"1.0")</f>
        <v>1.0</v>
      </c>
      <c r="J393" s="5">
        <f ca="1">IFERROR(__xludf.DUMMYFUNCTION("VALUE(REGEXREPLACE(G393,""\."","",""))"),200)</f>
        <v>200</v>
      </c>
      <c r="K393" s="5" t="e">
        <f t="shared" ca="1" si="6"/>
        <v>#NAME?</v>
      </c>
      <c r="L393" s="25" t="e">
        <f t="shared" ca="1" si="7"/>
        <v>#NAME?</v>
      </c>
    </row>
    <row r="394" spans="6:12" ht="12.5">
      <c r="F394" s="34">
        <f ca="1">IFERROR(__xludf.DUMMYFUNCTION("""COMPUTED_VALUE"""),35612)</f>
        <v>35612</v>
      </c>
      <c r="G394" s="5" t="str">
        <f ca="1">IFERROR(__xludf.DUMMYFUNCTION("""COMPUTED_VALUE"""),"200.0")</f>
        <v>200.0</v>
      </c>
      <c r="H394" s="5" t="str">
        <f ca="1">IFERROR(__xludf.DUMMYFUNCTION("""COMPUTED_VALUE"""),"8.0")</f>
        <v>8.0</v>
      </c>
      <c r="I394" s="5" t="str">
        <f ca="1">IFERROR(__xludf.DUMMYFUNCTION("""COMPUTED_VALUE"""),"1.0")</f>
        <v>1.0</v>
      </c>
      <c r="J394" s="5">
        <f ca="1">IFERROR(__xludf.DUMMYFUNCTION("VALUE(REGEXREPLACE(G394,""\."","",""))"),200)</f>
        <v>200</v>
      </c>
      <c r="K394" s="5" t="e">
        <f t="shared" ca="1" si="6"/>
        <v>#NAME?</v>
      </c>
      <c r="L394" s="25" t="e">
        <f t="shared" ca="1" si="7"/>
        <v>#NAME?</v>
      </c>
    </row>
    <row r="395" spans="6:12" ht="12.5">
      <c r="F395" s="34">
        <f ca="1">IFERROR(__xludf.DUMMYFUNCTION("""COMPUTED_VALUE"""),35643)</f>
        <v>35643</v>
      </c>
      <c r="G395" s="5" t="str">
        <f ca="1">IFERROR(__xludf.DUMMYFUNCTION("""COMPUTED_VALUE"""),"200.0")</f>
        <v>200.0</v>
      </c>
      <c r="H395" s="5" t="str">
        <f ca="1">IFERROR(__xludf.DUMMYFUNCTION("""COMPUTED_VALUE"""),"8.0")</f>
        <v>8.0</v>
      </c>
      <c r="I395" s="5" t="str">
        <f ca="1">IFERROR(__xludf.DUMMYFUNCTION("""COMPUTED_VALUE"""),"1.0")</f>
        <v>1.0</v>
      </c>
      <c r="J395" s="5">
        <f ca="1">IFERROR(__xludf.DUMMYFUNCTION("VALUE(REGEXREPLACE(G395,""\."","",""))"),200)</f>
        <v>200</v>
      </c>
      <c r="K395" s="5" t="e">
        <f t="shared" ca="1" si="6"/>
        <v>#NAME?</v>
      </c>
      <c r="L395" s="25" t="e">
        <f t="shared" ca="1" si="7"/>
        <v>#NAME?</v>
      </c>
    </row>
    <row r="396" spans="6:12" ht="12.5">
      <c r="F396" s="34">
        <f ca="1">IFERROR(__xludf.DUMMYFUNCTION("""COMPUTED_VALUE"""),35674)</f>
        <v>35674</v>
      </c>
      <c r="G396" s="5" t="str">
        <f ca="1">IFERROR(__xludf.DUMMYFUNCTION("""COMPUTED_VALUE"""),"200.0")</f>
        <v>200.0</v>
      </c>
      <c r="H396" s="5" t="str">
        <f ca="1">IFERROR(__xludf.DUMMYFUNCTION("""COMPUTED_VALUE"""),"8.0")</f>
        <v>8.0</v>
      </c>
      <c r="I396" s="5" t="str">
        <f ca="1">IFERROR(__xludf.DUMMYFUNCTION("""COMPUTED_VALUE"""),"1.0")</f>
        <v>1.0</v>
      </c>
      <c r="J396" s="5">
        <f ca="1">IFERROR(__xludf.DUMMYFUNCTION("VALUE(REGEXREPLACE(G396,""\."","",""))"),200)</f>
        <v>200</v>
      </c>
      <c r="K396" s="5" t="e">
        <f t="shared" ca="1" si="6"/>
        <v>#NAME?</v>
      </c>
      <c r="L396" s="25" t="e">
        <f t="shared" ca="1" si="7"/>
        <v>#NAME?</v>
      </c>
    </row>
    <row r="397" spans="6:12" ht="12.5">
      <c r="F397" s="34">
        <f ca="1">IFERROR(__xludf.DUMMYFUNCTION("""COMPUTED_VALUE"""),35704)</f>
        <v>35704</v>
      </c>
      <c r="G397" s="5" t="str">
        <f ca="1">IFERROR(__xludf.DUMMYFUNCTION("""COMPUTED_VALUE"""),"200.0")</f>
        <v>200.0</v>
      </c>
      <c r="H397" s="5" t="str">
        <f ca="1">IFERROR(__xludf.DUMMYFUNCTION("""COMPUTED_VALUE"""),"8.0")</f>
        <v>8.0</v>
      </c>
      <c r="I397" s="5" t="str">
        <f ca="1">IFERROR(__xludf.DUMMYFUNCTION("""COMPUTED_VALUE"""),"1.0")</f>
        <v>1.0</v>
      </c>
      <c r="J397" s="5">
        <f ca="1">IFERROR(__xludf.DUMMYFUNCTION("VALUE(REGEXREPLACE(G397,""\."","",""))"),200)</f>
        <v>200</v>
      </c>
      <c r="K397" s="5" t="e">
        <f t="shared" ca="1" si="6"/>
        <v>#NAME?</v>
      </c>
      <c r="L397" s="25" t="e">
        <f t="shared" ca="1" si="7"/>
        <v>#NAME?</v>
      </c>
    </row>
    <row r="398" spans="6:12" ht="12.5">
      <c r="F398" s="34">
        <f ca="1">IFERROR(__xludf.DUMMYFUNCTION("""COMPUTED_VALUE"""),35735)</f>
        <v>35735</v>
      </c>
      <c r="G398" s="5" t="str">
        <f ca="1">IFERROR(__xludf.DUMMYFUNCTION("""COMPUTED_VALUE"""),"200.0")</f>
        <v>200.0</v>
      </c>
      <c r="H398" s="5" t="str">
        <f ca="1">IFERROR(__xludf.DUMMYFUNCTION("""COMPUTED_VALUE"""),"8.0")</f>
        <v>8.0</v>
      </c>
      <c r="I398" s="5" t="str">
        <f ca="1">IFERROR(__xludf.DUMMYFUNCTION("""COMPUTED_VALUE"""),"1.0")</f>
        <v>1.0</v>
      </c>
      <c r="J398" s="5">
        <f ca="1">IFERROR(__xludf.DUMMYFUNCTION("VALUE(REGEXREPLACE(G398,""\."","",""))"),200)</f>
        <v>200</v>
      </c>
      <c r="K398" s="5" t="e">
        <f t="shared" ca="1" si="6"/>
        <v>#NAME?</v>
      </c>
      <c r="L398" s="25" t="e">
        <f t="shared" ca="1" si="7"/>
        <v>#NAME?</v>
      </c>
    </row>
    <row r="399" spans="6:12" ht="12.5">
      <c r="F399" s="34">
        <f ca="1">IFERROR(__xludf.DUMMYFUNCTION("""COMPUTED_VALUE"""),35765)</f>
        <v>35765</v>
      </c>
      <c r="G399" s="5" t="str">
        <f ca="1">IFERROR(__xludf.DUMMYFUNCTION("""COMPUTED_VALUE"""),"200.0")</f>
        <v>200.0</v>
      </c>
      <c r="H399" s="5" t="str">
        <f ca="1">IFERROR(__xludf.DUMMYFUNCTION("""COMPUTED_VALUE"""),"8.0")</f>
        <v>8.0</v>
      </c>
      <c r="I399" s="5" t="str">
        <f ca="1">IFERROR(__xludf.DUMMYFUNCTION("""COMPUTED_VALUE"""),"1.0")</f>
        <v>1.0</v>
      </c>
      <c r="J399" s="5">
        <f ca="1">IFERROR(__xludf.DUMMYFUNCTION("VALUE(REGEXREPLACE(G399,""\."","",""))"),200)</f>
        <v>200</v>
      </c>
      <c r="K399" s="5" t="e">
        <f t="shared" ca="1" si="6"/>
        <v>#NAME?</v>
      </c>
      <c r="L399" s="25" t="e">
        <f t="shared" ca="1" si="7"/>
        <v>#NAME?</v>
      </c>
    </row>
    <row r="400" spans="6:12" ht="12.5">
      <c r="F400" s="34">
        <f ca="1">IFERROR(__xludf.DUMMYFUNCTION("""COMPUTED_VALUE"""),35796)</f>
        <v>35796</v>
      </c>
      <c r="G400" s="5" t="str">
        <f ca="1">IFERROR(__xludf.DUMMYFUNCTION("""COMPUTED_VALUE"""),"200.0")</f>
        <v>200.0</v>
      </c>
      <c r="H400" s="5" t="str">
        <f ca="1">IFERROR(__xludf.DUMMYFUNCTION("""COMPUTED_VALUE"""),"8.0")</f>
        <v>8.0</v>
      </c>
      <c r="I400" s="5" t="str">
        <f ca="1">IFERROR(__xludf.DUMMYFUNCTION("""COMPUTED_VALUE"""),"1.0")</f>
        <v>1.0</v>
      </c>
      <c r="J400" s="5">
        <f ca="1">IFERROR(__xludf.DUMMYFUNCTION("VALUE(REGEXREPLACE(G400,""\."","",""))"),200)</f>
        <v>200</v>
      </c>
      <c r="K400" s="5" t="e">
        <f t="shared" ca="1" si="6"/>
        <v>#NAME?</v>
      </c>
      <c r="L400" s="25" t="e">
        <f t="shared" ca="1" si="7"/>
        <v>#NAME?</v>
      </c>
    </row>
    <row r="401" spans="6:12" ht="12.5">
      <c r="F401" s="34">
        <f ca="1">IFERROR(__xludf.DUMMYFUNCTION("""COMPUTED_VALUE"""),35827)</f>
        <v>35827</v>
      </c>
      <c r="G401" s="5" t="str">
        <f ca="1">IFERROR(__xludf.DUMMYFUNCTION("""COMPUTED_VALUE"""),"200.0")</f>
        <v>200.0</v>
      </c>
      <c r="H401" s="5" t="str">
        <f ca="1">IFERROR(__xludf.DUMMYFUNCTION("""COMPUTED_VALUE"""),"8.0")</f>
        <v>8.0</v>
      </c>
      <c r="I401" s="5" t="str">
        <f ca="1">IFERROR(__xludf.DUMMYFUNCTION("""COMPUTED_VALUE"""),"1.0")</f>
        <v>1.0</v>
      </c>
      <c r="J401" s="5">
        <f ca="1">IFERROR(__xludf.DUMMYFUNCTION("VALUE(REGEXREPLACE(G401,""\."","",""))"),200)</f>
        <v>200</v>
      </c>
      <c r="K401" s="5" t="e">
        <f t="shared" ca="1" si="6"/>
        <v>#NAME?</v>
      </c>
      <c r="L401" s="25" t="e">
        <f t="shared" ca="1" si="7"/>
        <v>#NAME?</v>
      </c>
    </row>
    <row r="402" spans="6:12" ht="12.5">
      <c r="F402" s="34">
        <f ca="1">IFERROR(__xludf.DUMMYFUNCTION("""COMPUTED_VALUE"""),35855)</f>
        <v>35855</v>
      </c>
      <c r="G402" s="5" t="str">
        <f ca="1">IFERROR(__xludf.DUMMYFUNCTION("""COMPUTED_VALUE"""),"200.0")</f>
        <v>200.0</v>
      </c>
      <c r="H402" s="5" t="str">
        <f ca="1">IFERROR(__xludf.DUMMYFUNCTION("""COMPUTED_VALUE"""),"8.0")</f>
        <v>8.0</v>
      </c>
      <c r="I402" s="5" t="str">
        <f ca="1">IFERROR(__xludf.DUMMYFUNCTION("""COMPUTED_VALUE"""),"1.0")</f>
        <v>1.0</v>
      </c>
      <c r="J402" s="5">
        <f ca="1">IFERROR(__xludf.DUMMYFUNCTION("VALUE(REGEXREPLACE(G402,""\."","",""))"),200)</f>
        <v>200</v>
      </c>
      <c r="K402" s="5" t="e">
        <f t="shared" ca="1" si="6"/>
        <v>#NAME?</v>
      </c>
      <c r="L402" s="25" t="e">
        <f t="shared" ca="1" si="7"/>
        <v>#NAME?</v>
      </c>
    </row>
    <row r="403" spans="6:12" ht="12.5">
      <c r="F403" s="34">
        <f ca="1">IFERROR(__xludf.DUMMYFUNCTION("""COMPUTED_VALUE"""),35886)</f>
        <v>35886</v>
      </c>
      <c r="G403" s="5" t="str">
        <f ca="1">IFERROR(__xludf.DUMMYFUNCTION("""COMPUTED_VALUE"""),"200.0")</f>
        <v>200.0</v>
      </c>
      <c r="H403" s="5" t="str">
        <f ca="1">IFERROR(__xludf.DUMMYFUNCTION("""COMPUTED_VALUE"""),"8.0")</f>
        <v>8.0</v>
      </c>
      <c r="I403" s="5" t="str">
        <f ca="1">IFERROR(__xludf.DUMMYFUNCTION("""COMPUTED_VALUE"""),"1.0")</f>
        <v>1.0</v>
      </c>
      <c r="J403" s="5">
        <f ca="1">IFERROR(__xludf.DUMMYFUNCTION("VALUE(REGEXREPLACE(G403,""\."","",""))"),200)</f>
        <v>200</v>
      </c>
      <c r="K403" s="5" t="e">
        <f t="shared" ca="1" si="6"/>
        <v>#NAME?</v>
      </c>
      <c r="L403" s="25" t="e">
        <f t="shared" ca="1" si="7"/>
        <v>#NAME?</v>
      </c>
    </row>
    <row r="404" spans="6:12" ht="12.5">
      <c r="F404" s="34">
        <f ca="1">IFERROR(__xludf.DUMMYFUNCTION("""COMPUTED_VALUE"""),35916)</f>
        <v>35916</v>
      </c>
      <c r="G404" s="5" t="str">
        <f ca="1">IFERROR(__xludf.DUMMYFUNCTION("""COMPUTED_VALUE"""),"200.0")</f>
        <v>200.0</v>
      </c>
      <c r="H404" s="5" t="str">
        <f ca="1">IFERROR(__xludf.DUMMYFUNCTION("""COMPUTED_VALUE"""),"8.0")</f>
        <v>8.0</v>
      </c>
      <c r="I404" s="5" t="str">
        <f ca="1">IFERROR(__xludf.DUMMYFUNCTION("""COMPUTED_VALUE"""),"1.0")</f>
        <v>1.0</v>
      </c>
      <c r="J404" s="5">
        <f ca="1">IFERROR(__xludf.DUMMYFUNCTION("VALUE(REGEXREPLACE(G404,""\."","",""))"),200)</f>
        <v>200</v>
      </c>
      <c r="K404" s="5" t="e">
        <f t="shared" ca="1" si="6"/>
        <v>#NAME?</v>
      </c>
      <c r="L404" s="25" t="e">
        <f t="shared" ca="1" si="7"/>
        <v>#NAME?</v>
      </c>
    </row>
    <row r="405" spans="6:12" ht="12.5">
      <c r="F405" s="34">
        <f ca="1">IFERROR(__xludf.DUMMYFUNCTION("""COMPUTED_VALUE"""),35947)</f>
        <v>35947</v>
      </c>
      <c r="G405" s="5" t="str">
        <f ca="1">IFERROR(__xludf.DUMMYFUNCTION("""COMPUTED_VALUE"""),"200.0")</f>
        <v>200.0</v>
      </c>
      <c r="H405" s="5" t="str">
        <f ca="1">IFERROR(__xludf.DUMMYFUNCTION("""COMPUTED_VALUE"""),"8.0")</f>
        <v>8.0</v>
      </c>
      <c r="I405" s="5" t="str">
        <f ca="1">IFERROR(__xludf.DUMMYFUNCTION("""COMPUTED_VALUE"""),"1.0")</f>
        <v>1.0</v>
      </c>
      <c r="J405" s="5">
        <f ca="1">IFERROR(__xludf.DUMMYFUNCTION("VALUE(REGEXREPLACE(G405,""\."","",""))"),200)</f>
        <v>200</v>
      </c>
      <c r="K405" s="5" t="e">
        <f t="shared" ca="1" si="6"/>
        <v>#NAME?</v>
      </c>
      <c r="L405" s="25" t="e">
        <f t="shared" ca="1" si="7"/>
        <v>#NAME?</v>
      </c>
    </row>
    <row r="406" spans="6:12" ht="12.5">
      <c r="F406" s="34">
        <f ca="1">IFERROR(__xludf.DUMMYFUNCTION("""COMPUTED_VALUE"""),35977)</f>
        <v>35977</v>
      </c>
      <c r="G406" s="5" t="str">
        <f ca="1">IFERROR(__xludf.DUMMYFUNCTION("""COMPUTED_VALUE"""),"200.0")</f>
        <v>200.0</v>
      </c>
      <c r="H406" s="5" t="str">
        <f ca="1">IFERROR(__xludf.DUMMYFUNCTION("""COMPUTED_VALUE"""),"8.0")</f>
        <v>8.0</v>
      </c>
      <c r="I406" s="5" t="str">
        <f ca="1">IFERROR(__xludf.DUMMYFUNCTION("""COMPUTED_VALUE"""),"1.0")</f>
        <v>1.0</v>
      </c>
      <c r="J406" s="5">
        <f ca="1">IFERROR(__xludf.DUMMYFUNCTION("VALUE(REGEXREPLACE(G406,""\."","",""))"),200)</f>
        <v>200</v>
      </c>
      <c r="K406" s="5" t="e">
        <f t="shared" ca="1" si="6"/>
        <v>#NAME?</v>
      </c>
      <c r="L406" s="25" t="e">
        <f t="shared" ca="1" si="7"/>
        <v>#NAME?</v>
      </c>
    </row>
    <row r="407" spans="6:12" ht="12.5">
      <c r="F407" s="34">
        <f ca="1">IFERROR(__xludf.DUMMYFUNCTION("""COMPUTED_VALUE"""),36008)</f>
        <v>36008</v>
      </c>
      <c r="G407" s="5" t="str">
        <f ca="1">IFERROR(__xludf.DUMMYFUNCTION("""COMPUTED_VALUE"""),"200.0")</f>
        <v>200.0</v>
      </c>
      <c r="H407" s="5" t="str">
        <f ca="1">IFERROR(__xludf.DUMMYFUNCTION("""COMPUTED_VALUE"""),"8.0")</f>
        <v>8.0</v>
      </c>
      <c r="I407" s="5" t="str">
        <f ca="1">IFERROR(__xludf.DUMMYFUNCTION("""COMPUTED_VALUE"""),"1.0")</f>
        <v>1.0</v>
      </c>
      <c r="J407" s="5">
        <f ca="1">IFERROR(__xludf.DUMMYFUNCTION("VALUE(REGEXREPLACE(G407,""\."","",""))"),200)</f>
        <v>200</v>
      </c>
      <c r="K407" s="5" t="e">
        <f t="shared" ca="1" si="6"/>
        <v>#NAME?</v>
      </c>
      <c r="L407" s="25" t="e">
        <f t="shared" ca="1" si="7"/>
        <v>#NAME?</v>
      </c>
    </row>
    <row r="408" spans="6:12" ht="12.5">
      <c r="F408" s="34">
        <f ca="1">IFERROR(__xludf.DUMMYFUNCTION("""COMPUTED_VALUE"""),36039)</f>
        <v>36039</v>
      </c>
      <c r="G408" s="5" t="str">
        <f ca="1">IFERROR(__xludf.DUMMYFUNCTION("""COMPUTED_VALUE"""),"200.0")</f>
        <v>200.0</v>
      </c>
      <c r="H408" s="5" t="str">
        <f ca="1">IFERROR(__xludf.DUMMYFUNCTION("""COMPUTED_VALUE"""),"8.0")</f>
        <v>8.0</v>
      </c>
      <c r="I408" s="5" t="str">
        <f ca="1">IFERROR(__xludf.DUMMYFUNCTION("""COMPUTED_VALUE"""),"1.0")</f>
        <v>1.0</v>
      </c>
      <c r="J408" s="5">
        <f ca="1">IFERROR(__xludf.DUMMYFUNCTION("VALUE(REGEXREPLACE(G408,""\."","",""))"),200)</f>
        <v>200</v>
      </c>
      <c r="K408" s="5" t="e">
        <f t="shared" ca="1" si="6"/>
        <v>#NAME?</v>
      </c>
      <c r="L408" s="25" t="e">
        <f t="shared" ca="1" si="7"/>
        <v>#NAME?</v>
      </c>
    </row>
    <row r="409" spans="6:12" ht="12.5">
      <c r="F409" s="34">
        <f ca="1">IFERROR(__xludf.DUMMYFUNCTION("""COMPUTED_VALUE"""),36069)</f>
        <v>36069</v>
      </c>
      <c r="G409" s="5" t="str">
        <f ca="1">IFERROR(__xludf.DUMMYFUNCTION("""COMPUTED_VALUE"""),"200.0")</f>
        <v>200.0</v>
      </c>
      <c r="H409" s="5" t="str">
        <f ca="1">IFERROR(__xludf.DUMMYFUNCTION("""COMPUTED_VALUE"""),"8.0")</f>
        <v>8.0</v>
      </c>
      <c r="I409" s="5" t="str">
        <f ca="1">IFERROR(__xludf.DUMMYFUNCTION("""COMPUTED_VALUE"""),"1.0")</f>
        <v>1.0</v>
      </c>
      <c r="J409" s="5">
        <f ca="1">IFERROR(__xludf.DUMMYFUNCTION("VALUE(REGEXREPLACE(G409,""\."","",""))"),200)</f>
        <v>200</v>
      </c>
      <c r="K409" s="5" t="e">
        <f t="shared" ca="1" si="6"/>
        <v>#NAME?</v>
      </c>
      <c r="L409" s="25" t="e">
        <f t="shared" ca="1" si="7"/>
        <v>#NAME?</v>
      </c>
    </row>
    <row r="410" spans="6:12" ht="12.5">
      <c r="F410" s="34">
        <f ca="1">IFERROR(__xludf.DUMMYFUNCTION("""COMPUTED_VALUE"""),36100)</f>
        <v>36100</v>
      </c>
      <c r="G410" s="5" t="str">
        <f ca="1">IFERROR(__xludf.DUMMYFUNCTION("""COMPUTED_VALUE"""),"200.0")</f>
        <v>200.0</v>
      </c>
      <c r="H410" s="5" t="str">
        <f ca="1">IFERROR(__xludf.DUMMYFUNCTION("""COMPUTED_VALUE"""),"8.0")</f>
        <v>8.0</v>
      </c>
      <c r="I410" s="5" t="str">
        <f ca="1">IFERROR(__xludf.DUMMYFUNCTION("""COMPUTED_VALUE"""),"1.0")</f>
        <v>1.0</v>
      </c>
      <c r="J410" s="5">
        <f ca="1">IFERROR(__xludf.DUMMYFUNCTION("VALUE(REGEXREPLACE(G410,""\."","",""))"),200)</f>
        <v>200</v>
      </c>
      <c r="K410" s="5" t="e">
        <f t="shared" ca="1" si="6"/>
        <v>#NAME?</v>
      </c>
      <c r="L410" s="25" t="e">
        <f t="shared" ca="1" si="7"/>
        <v>#NAME?</v>
      </c>
    </row>
    <row r="411" spans="6:12" ht="12.5">
      <c r="F411" s="34">
        <f ca="1">IFERROR(__xludf.DUMMYFUNCTION("""COMPUTED_VALUE"""),36130)</f>
        <v>36130</v>
      </c>
      <c r="G411" s="5" t="str">
        <f ca="1">IFERROR(__xludf.DUMMYFUNCTION("""COMPUTED_VALUE"""),"200.0")</f>
        <v>200.0</v>
      </c>
      <c r="H411" s="5" t="str">
        <f ca="1">IFERROR(__xludf.DUMMYFUNCTION("""COMPUTED_VALUE"""),"8.0")</f>
        <v>8.0</v>
      </c>
      <c r="I411" s="5" t="str">
        <f ca="1">IFERROR(__xludf.DUMMYFUNCTION("""COMPUTED_VALUE"""),"1.0")</f>
        <v>1.0</v>
      </c>
      <c r="J411" s="5">
        <f ca="1">IFERROR(__xludf.DUMMYFUNCTION("VALUE(REGEXREPLACE(G411,""\."","",""))"),200)</f>
        <v>200</v>
      </c>
      <c r="K411" s="5" t="e">
        <f t="shared" ca="1" si="6"/>
        <v>#NAME?</v>
      </c>
      <c r="L411" s="25" t="e">
        <f t="shared" ca="1" si="7"/>
        <v>#NAME?</v>
      </c>
    </row>
    <row r="412" spans="6:12" ht="12.5">
      <c r="F412" s="34">
        <f ca="1">IFERROR(__xludf.DUMMYFUNCTION("""COMPUTED_VALUE"""),36161)</f>
        <v>36161</v>
      </c>
      <c r="G412" s="5" t="str">
        <f ca="1">IFERROR(__xludf.DUMMYFUNCTION("""COMPUTED_VALUE"""),"200.0")</f>
        <v>200.0</v>
      </c>
      <c r="H412" s="5" t="str">
        <f ca="1">IFERROR(__xludf.DUMMYFUNCTION("""COMPUTED_VALUE"""),"8.0")</f>
        <v>8.0</v>
      </c>
      <c r="I412" s="5" t="str">
        <f ca="1">IFERROR(__xludf.DUMMYFUNCTION("""COMPUTED_VALUE"""),"1.0")</f>
        <v>1.0</v>
      </c>
      <c r="J412" s="5">
        <f ca="1">IFERROR(__xludf.DUMMYFUNCTION("VALUE(REGEXREPLACE(G412,""\."","",""))"),200)</f>
        <v>200</v>
      </c>
      <c r="K412" s="5" t="e">
        <f t="shared" ca="1" si="6"/>
        <v>#NAME?</v>
      </c>
      <c r="L412" s="25" t="e">
        <f t="shared" ca="1" si="7"/>
        <v>#NAME?</v>
      </c>
    </row>
    <row r="413" spans="6:12" ht="12.5">
      <c r="F413" s="34">
        <f ca="1">IFERROR(__xludf.DUMMYFUNCTION("""COMPUTED_VALUE"""),36192)</f>
        <v>36192</v>
      </c>
      <c r="G413" s="5" t="str">
        <f ca="1">IFERROR(__xludf.DUMMYFUNCTION("""COMPUTED_VALUE"""),"200.0")</f>
        <v>200.0</v>
      </c>
      <c r="H413" s="5" t="str">
        <f ca="1">IFERROR(__xludf.DUMMYFUNCTION("""COMPUTED_VALUE"""),"8.0")</f>
        <v>8.0</v>
      </c>
      <c r="I413" s="5" t="str">
        <f ca="1">IFERROR(__xludf.DUMMYFUNCTION("""COMPUTED_VALUE"""),"1.0")</f>
        <v>1.0</v>
      </c>
      <c r="J413" s="5">
        <f ca="1">IFERROR(__xludf.DUMMYFUNCTION("VALUE(REGEXREPLACE(G413,""\."","",""))"),200)</f>
        <v>200</v>
      </c>
      <c r="K413" s="5" t="e">
        <f t="shared" ca="1" si="6"/>
        <v>#NAME?</v>
      </c>
      <c r="L413" s="25" t="e">
        <f t="shared" ca="1" si="7"/>
        <v>#NAME?</v>
      </c>
    </row>
    <row r="414" spans="6:12" ht="12.5">
      <c r="F414" s="34">
        <f ca="1">IFERROR(__xludf.DUMMYFUNCTION("""COMPUTED_VALUE"""),36220)</f>
        <v>36220</v>
      </c>
      <c r="G414" s="5" t="str">
        <f ca="1">IFERROR(__xludf.DUMMYFUNCTION("""COMPUTED_VALUE"""),"200.0")</f>
        <v>200.0</v>
      </c>
      <c r="H414" s="5" t="str">
        <f ca="1">IFERROR(__xludf.DUMMYFUNCTION("""COMPUTED_VALUE"""),"8.0")</f>
        <v>8.0</v>
      </c>
      <c r="I414" s="5" t="str">
        <f ca="1">IFERROR(__xludf.DUMMYFUNCTION("""COMPUTED_VALUE"""),"1.0")</f>
        <v>1.0</v>
      </c>
      <c r="J414" s="5">
        <f ca="1">IFERROR(__xludf.DUMMYFUNCTION("VALUE(REGEXREPLACE(G414,""\."","",""))"),200)</f>
        <v>200</v>
      </c>
      <c r="K414" s="5" t="e">
        <f t="shared" ca="1" si="6"/>
        <v>#NAME?</v>
      </c>
      <c r="L414" s="25" t="e">
        <f t="shared" ca="1" si="7"/>
        <v>#NAME?</v>
      </c>
    </row>
    <row r="415" spans="6:12" ht="12.5">
      <c r="F415" s="34">
        <f ca="1">IFERROR(__xludf.DUMMYFUNCTION("""COMPUTED_VALUE"""),36251)</f>
        <v>36251</v>
      </c>
      <c r="G415" s="5" t="str">
        <f ca="1">IFERROR(__xludf.DUMMYFUNCTION("""COMPUTED_VALUE"""),"200.0")</f>
        <v>200.0</v>
      </c>
      <c r="H415" s="5" t="str">
        <f ca="1">IFERROR(__xludf.DUMMYFUNCTION("""COMPUTED_VALUE"""),"8.0")</f>
        <v>8.0</v>
      </c>
      <c r="I415" s="5" t="str">
        <f ca="1">IFERROR(__xludf.DUMMYFUNCTION("""COMPUTED_VALUE"""),"1.0")</f>
        <v>1.0</v>
      </c>
      <c r="J415" s="5">
        <f ca="1">IFERROR(__xludf.DUMMYFUNCTION("VALUE(REGEXREPLACE(G415,""\."","",""))"),200)</f>
        <v>200</v>
      </c>
      <c r="K415" s="5" t="e">
        <f t="shared" ca="1" si="6"/>
        <v>#NAME?</v>
      </c>
      <c r="L415" s="25" t="e">
        <f t="shared" ca="1" si="7"/>
        <v>#NAME?</v>
      </c>
    </row>
    <row r="416" spans="6:12" ht="12.5">
      <c r="F416" s="34">
        <f ca="1">IFERROR(__xludf.DUMMYFUNCTION("""COMPUTED_VALUE"""),36281)</f>
        <v>36281</v>
      </c>
      <c r="G416" s="5" t="str">
        <f ca="1">IFERROR(__xludf.DUMMYFUNCTION("""COMPUTED_VALUE"""),"200.0")</f>
        <v>200.0</v>
      </c>
      <c r="H416" s="5" t="str">
        <f ca="1">IFERROR(__xludf.DUMMYFUNCTION("""COMPUTED_VALUE"""),"8.0")</f>
        <v>8.0</v>
      </c>
      <c r="I416" s="5" t="str">
        <f ca="1">IFERROR(__xludf.DUMMYFUNCTION("""COMPUTED_VALUE"""),"1.0")</f>
        <v>1.0</v>
      </c>
      <c r="J416" s="5">
        <f ca="1">IFERROR(__xludf.DUMMYFUNCTION("VALUE(REGEXREPLACE(G416,""\."","",""))"),200)</f>
        <v>200</v>
      </c>
      <c r="K416" s="5" t="e">
        <f t="shared" ca="1" si="6"/>
        <v>#NAME?</v>
      </c>
      <c r="L416" s="25" t="e">
        <f t="shared" ca="1" si="7"/>
        <v>#NAME?</v>
      </c>
    </row>
    <row r="417" spans="6:12" ht="12.5">
      <c r="F417" s="34">
        <f ca="1">IFERROR(__xludf.DUMMYFUNCTION("""COMPUTED_VALUE"""),36312)</f>
        <v>36312</v>
      </c>
      <c r="G417" s="5" t="str">
        <f ca="1">IFERROR(__xludf.DUMMYFUNCTION("""COMPUTED_VALUE"""),"200.0")</f>
        <v>200.0</v>
      </c>
      <c r="H417" s="5" t="str">
        <f ca="1">IFERROR(__xludf.DUMMYFUNCTION("""COMPUTED_VALUE"""),"8.0")</f>
        <v>8.0</v>
      </c>
      <c r="I417" s="5" t="str">
        <f ca="1">IFERROR(__xludf.DUMMYFUNCTION("""COMPUTED_VALUE"""),"1.0")</f>
        <v>1.0</v>
      </c>
      <c r="J417" s="5">
        <f ca="1">IFERROR(__xludf.DUMMYFUNCTION("VALUE(REGEXREPLACE(G417,""\."","",""))"),200)</f>
        <v>200</v>
      </c>
      <c r="K417" s="5" t="e">
        <f t="shared" ca="1" si="6"/>
        <v>#NAME?</v>
      </c>
      <c r="L417" s="25" t="e">
        <f t="shared" ca="1" si="7"/>
        <v>#NAME?</v>
      </c>
    </row>
    <row r="418" spans="6:12" ht="12.5">
      <c r="F418" s="34">
        <f ca="1">IFERROR(__xludf.DUMMYFUNCTION("""COMPUTED_VALUE"""),36342)</f>
        <v>36342</v>
      </c>
      <c r="G418" s="5" t="str">
        <f ca="1">IFERROR(__xludf.DUMMYFUNCTION("""COMPUTED_VALUE"""),"200.0")</f>
        <v>200.0</v>
      </c>
      <c r="H418" s="5" t="str">
        <f ca="1">IFERROR(__xludf.DUMMYFUNCTION("""COMPUTED_VALUE"""),"8.0")</f>
        <v>8.0</v>
      </c>
      <c r="I418" s="5" t="str">
        <f ca="1">IFERROR(__xludf.DUMMYFUNCTION("""COMPUTED_VALUE"""),"1.0")</f>
        <v>1.0</v>
      </c>
      <c r="J418" s="5">
        <f ca="1">IFERROR(__xludf.DUMMYFUNCTION("VALUE(REGEXREPLACE(G418,""\."","",""))"),200)</f>
        <v>200</v>
      </c>
      <c r="K418" s="5" t="e">
        <f t="shared" ca="1" si="6"/>
        <v>#NAME?</v>
      </c>
      <c r="L418" s="25" t="e">
        <f t="shared" ca="1" si="7"/>
        <v>#NAME?</v>
      </c>
    </row>
    <row r="419" spans="6:12" ht="12.5">
      <c r="F419" s="34">
        <f ca="1">IFERROR(__xludf.DUMMYFUNCTION("""COMPUTED_VALUE"""),36373)</f>
        <v>36373</v>
      </c>
      <c r="G419" s="5" t="str">
        <f ca="1">IFERROR(__xludf.DUMMYFUNCTION("""COMPUTED_VALUE"""),"200.0")</f>
        <v>200.0</v>
      </c>
      <c r="H419" s="5" t="str">
        <f ca="1">IFERROR(__xludf.DUMMYFUNCTION("""COMPUTED_VALUE"""),"8.0")</f>
        <v>8.0</v>
      </c>
      <c r="I419" s="5" t="str">
        <f ca="1">IFERROR(__xludf.DUMMYFUNCTION("""COMPUTED_VALUE"""),"1.0")</f>
        <v>1.0</v>
      </c>
      <c r="J419" s="5">
        <f ca="1">IFERROR(__xludf.DUMMYFUNCTION("VALUE(REGEXREPLACE(G419,""\."","",""))"),200)</f>
        <v>200</v>
      </c>
      <c r="K419" s="5" t="e">
        <f t="shared" ca="1" si="6"/>
        <v>#NAME?</v>
      </c>
      <c r="L419" s="25" t="e">
        <f t="shared" ca="1" si="7"/>
        <v>#NAME?</v>
      </c>
    </row>
    <row r="420" spans="6:12" ht="12.5">
      <c r="F420" s="34">
        <f ca="1">IFERROR(__xludf.DUMMYFUNCTION("""COMPUTED_VALUE"""),36404)</f>
        <v>36404</v>
      </c>
      <c r="G420" s="5" t="str">
        <f ca="1">IFERROR(__xludf.DUMMYFUNCTION("""COMPUTED_VALUE"""),"200.0")</f>
        <v>200.0</v>
      </c>
      <c r="H420" s="5" t="str">
        <f ca="1">IFERROR(__xludf.DUMMYFUNCTION("""COMPUTED_VALUE"""),"8.0")</f>
        <v>8.0</v>
      </c>
      <c r="I420" s="5" t="str">
        <f ca="1">IFERROR(__xludf.DUMMYFUNCTION("""COMPUTED_VALUE"""),"1.0")</f>
        <v>1.0</v>
      </c>
      <c r="J420" s="5">
        <f ca="1">IFERROR(__xludf.DUMMYFUNCTION("VALUE(REGEXREPLACE(G420,""\."","",""))"),200)</f>
        <v>200</v>
      </c>
      <c r="K420" s="5" t="e">
        <f t="shared" ca="1" si="6"/>
        <v>#NAME?</v>
      </c>
      <c r="L420" s="25" t="e">
        <f t="shared" ca="1" si="7"/>
        <v>#NAME?</v>
      </c>
    </row>
    <row r="421" spans="6:12" ht="12.5">
      <c r="F421" s="34">
        <f ca="1">IFERROR(__xludf.DUMMYFUNCTION("""COMPUTED_VALUE"""),36434)</f>
        <v>36434</v>
      </c>
      <c r="G421" s="5" t="str">
        <f ca="1">IFERROR(__xludf.DUMMYFUNCTION("""COMPUTED_VALUE"""),"200.0")</f>
        <v>200.0</v>
      </c>
      <c r="H421" s="5" t="str">
        <f ca="1">IFERROR(__xludf.DUMMYFUNCTION("""COMPUTED_VALUE"""),"8.0")</f>
        <v>8.0</v>
      </c>
      <c r="I421" s="5" t="str">
        <f ca="1">IFERROR(__xludf.DUMMYFUNCTION("""COMPUTED_VALUE"""),"1.0")</f>
        <v>1.0</v>
      </c>
      <c r="J421" s="5">
        <f ca="1">IFERROR(__xludf.DUMMYFUNCTION("VALUE(REGEXREPLACE(G421,""\."","",""))"),200)</f>
        <v>200</v>
      </c>
      <c r="K421" s="5" t="e">
        <f t="shared" ca="1" si="6"/>
        <v>#NAME?</v>
      </c>
      <c r="L421" s="25" t="e">
        <f t="shared" ca="1" si="7"/>
        <v>#NAME?</v>
      </c>
    </row>
    <row r="422" spans="6:12" ht="12.5">
      <c r="F422" s="34">
        <f ca="1">IFERROR(__xludf.DUMMYFUNCTION("""COMPUTED_VALUE"""),36465)</f>
        <v>36465</v>
      </c>
      <c r="G422" s="5" t="str">
        <f ca="1">IFERROR(__xludf.DUMMYFUNCTION("""COMPUTED_VALUE"""),"200.0")</f>
        <v>200.0</v>
      </c>
      <c r="H422" s="5" t="str">
        <f ca="1">IFERROR(__xludf.DUMMYFUNCTION("""COMPUTED_VALUE"""),"8.0")</f>
        <v>8.0</v>
      </c>
      <c r="I422" s="5" t="str">
        <f ca="1">IFERROR(__xludf.DUMMYFUNCTION("""COMPUTED_VALUE"""),"1.0")</f>
        <v>1.0</v>
      </c>
      <c r="J422" s="5">
        <f ca="1">IFERROR(__xludf.DUMMYFUNCTION("VALUE(REGEXREPLACE(G422,""\."","",""))"),200)</f>
        <v>200</v>
      </c>
      <c r="K422" s="5" t="e">
        <f t="shared" ca="1" si="6"/>
        <v>#NAME?</v>
      </c>
      <c r="L422" s="25" t="e">
        <f t="shared" ca="1" si="7"/>
        <v>#NAME?</v>
      </c>
    </row>
    <row r="423" spans="6:12" ht="12.5">
      <c r="F423" s="34">
        <f ca="1">IFERROR(__xludf.DUMMYFUNCTION("""COMPUTED_VALUE"""),36495)</f>
        <v>36495</v>
      </c>
      <c r="G423" s="5" t="str">
        <f ca="1">IFERROR(__xludf.DUMMYFUNCTION("""COMPUTED_VALUE"""),"200.0")</f>
        <v>200.0</v>
      </c>
      <c r="H423" s="5" t="str">
        <f ca="1">IFERROR(__xludf.DUMMYFUNCTION("""COMPUTED_VALUE"""),"8.0")</f>
        <v>8.0</v>
      </c>
      <c r="I423" s="5" t="str">
        <f ca="1">IFERROR(__xludf.DUMMYFUNCTION("""COMPUTED_VALUE"""),"1.0")</f>
        <v>1.0</v>
      </c>
      <c r="J423" s="5">
        <f ca="1">IFERROR(__xludf.DUMMYFUNCTION("VALUE(REGEXREPLACE(G423,""\."","",""))"),200)</f>
        <v>200</v>
      </c>
      <c r="K423" s="5" t="e">
        <f t="shared" ca="1" si="6"/>
        <v>#NAME?</v>
      </c>
      <c r="L423" s="25" t="e">
        <f t="shared" ca="1" si="7"/>
        <v>#NAME?</v>
      </c>
    </row>
    <row r="424" spans="6:12" ht="12.5">
      <c r="F424" s="34">
        <f ca="1">IFERROR(__xludf.DUMMYFUNCTION("""COMPUTED_VALUE"""),36526)</f>
        <v>36526</v>
      </c>
      <c r="G424" s="5" t="str">
        <f ca="1">IFERROR(__xludf.DUMMYFUNCTION("""COMPUTED_VALUE"""),"200.0")</f>
        <v>200.0</v>
      </c>
      <c r="H424" s="5" t="str">
        <f ca="1">IFERROR(__xludf.DUMMYFUNCTION("""COMPUTED_VALUE"""),"8.0")</f>
        <v>8.0</v>
      </c>
      <c r="I424" s="5" t="str">
        <f ca="1">IFERROR(__xludf.DUMMYFUNCTION("""COMPUTED_VALUE"""),"1.0")</f>
        <v>1.0</v>
      </c>
      <c r="J424" s="5">
        <f ca="1">IFERROR(__xludf.DUMMYFUNCTION("VALUE(REGEXREPLACE(G424,""\."","",""))"),200)</f>
        <v>200</v>
      </c>
      <c r="K424" s="5" t="e">
        <f t="shared" ca="1" si="6"/>
        <v>#NAME?</v>
      </c>
      <c r="L424" s="25" t="e">
        <f t="shared" ca="1" si="7"/>
        <v>#NAME?</v>
      </c>
    </row>
    <row r="425" spans="6:12" ht="12.5">
      <c r="F425" s="34">
        <f ca="1">IFERROR(__xludf.DUMMYFUNCTION("""COMPUTED_VALUE"""),36557)</f>
        <v>36557</v>
      </c>
      <c r="G425" s="5" t="str">
        <f ca="1">IFERROR(__xludf.DUMMYFUNCTION("""COMPUTED_VALUE"""),"200.0")</f>
        <v>200.0</v>
      </c>
      <c r="H425" s="5" t="str">
        <f ca="1">IFERROR(__xludf.DUMMYFUNCTION("""COMPUTED_VALUE"""),"8.0")</f>
        <v>8.0</v>
      </c>
      <c r="I425" s="5" t="str">
        <f ca="1">IFERROR(__xludf.DUMMYFUNCTION("""COMPUTED_VALUE"""),"1.0")</f>
        <v>1.0</v>
      </c>
      <c r="J425" s="5">
        <f ca="1">IFERROR(__xludf.DUMMYFUNCTION("VALUE(REGEXREPLACE(G425,""\."","",""))"),200)</f>
        <v>200</v>
      </c>
      <c r="K425" s="5" t="e">
        <f t="shared" ca="1" si="6"/>
        <v>#NAME?</v>
      </c>
      <c r="L425" s="25" t="e">
        <f t="shared" ca="1" si="7"/>
        <v>#NAME?</v>
      </c>
    </row>
    <row r="426" spans="6:12" ht="12.5">
      <c r="F426" s="34">
        <f ca="1">IFERROR(__xludf.DUMMYFUNCTION("""COMPUTED_VALUE"""),36586)</f>
        <v>36586</v>
      </c>
      <c r="G426" s="5" t="str">
        <f ca="1">IFERROR(__xludf.DUMMYFUNCTION("""COMPUTED_VALUE"""),"200.0")</f>
        <v>200.0</v>
      </c>
      <c r="H426" s="5" t="str">
        <f ca="1">IFERROR(__xludf.DUMMYFUNCTION("""COMPUTED_VALUE"""),"8.0")</f>
        <v>8.0</v>
      </c>
      <c r="I426" s="5" t="str">
        <f ca="1">IFERROR(__xludf.DUMMYFUNCTION("""COMPUTED_VALUE"""),"1.0")</f>
        <v>1.0</v>
      </c>
      <c r="J426" s="5">
        <f ca="1">IFERROR(__xludf.DUMMYFUNCTION("VALUE(REGEXREPLACE(G426,""\."","",""))"),200)</f>
        <v>200</v>
      </c>
      <c r="K426" s="5" t="e">
        <f t="shared" ca="1" si="6"/>
        <v>#NAME?</v>
      </c>
      <c r="L426" s="25" t="e">
        <f t="shared" ca="1" si="7"/>
        <v>#NAME?</v>
      </c>
    </row>
    <row r="427" spans="6:12" ht="12.5">
      <c r="F427" s="34">
        <f ca="1">IFERROR(__xludf.DUMMYFUNCTION("""COMPUTED_VALUE"""),36617)</f>
        <v>36617</v>
      </c>
      <c r="G427" s="5" t="str">
        <f ca="1">IFERROR(__xludf.DUMMYFUNCTION("""COMPUTED_VALUE"""),"200.0")</f>
        <v>200.0</v>
      </c>
      <c r="H427" s="5" t="str">
        <f ca="1">IFERROR(__xludf.DUMMYFUNCTION("""COMPUTED_VALUE"""),"8.0")</f>
        <v>8.0</v>
      </c>
      <c r="I427" s="5" t="str">
        <f ca="1">IFERROR(__xludf.DUMMYFUNCTION("""COMPUTED_VALUE"""),"1.0")</f>
        <v>1.0</v>
      </c>
      <c r="J427" s="5">
        <f ca="1">IFERROR(__xludf.DUMMYFUNCTION("VALUE(REGEXREPLACE(G427,""\."","",""))"),200)</f>
        <v>200</v>
      </c>
      <c r="K427" s="5" t="e">
        <f t="shared" ca="1" si="6"/>
        <v>#NAME?</v>
      </c>
      <c r="L427" s="25" t="e">
        <f t="shared" ca="1" si="7"/>
        <v>#NAME?</v>
      </c>
    </row>
    <row r="428" spans="6:12" ht="12.5">
      <c r="F428" s="34">
        <f ca="1">IFERROR(__xludf.DUMMYFUNCTION("""COMPUTED_VALUE"""),36647)</f>
        <v>36647</v>
      </c>
      <c r="G428" s="5" t="str">
        <f ca="1">IFERROR(__xludf.DUMMYFUNCTION("""COMPUTED_VALUE"""),"200.0")</f>
        <v>200.0</v>
      </c>
      <c r="H428" s="5" t="str">
        <f ca="1">IFERROR(__xludf.DUMMYFUNCTION("""COMPUTED_VALUE"""),"8.0")</f>
        <v>8.0</v>
      </c>
      <c r="I428" s="5" t="str">
        <f ca="1">IFERROR(__xludf.DUMMYFUNCTION("""COMPUTED_VALUE"""),"1.0")</f>
        <v>1.0</v>
      </c>
      <c r="J428" s="5">
        <f ca="1">IFERROR(__xludf.DUMMYFUNCTION("VALUE(REGEXREPLACE(G428,""\."","",""))"),200)</f>
        <v>200</v>
      </c>
      <c r="K428" s="5" t="e">
        <f t="shared" ca="1" si="6"/>
        <v>#NAME?</v>
      </c>
      <c r="L428" s="25" t="e">
        <f t="shared" ca="1" si="7"/>
        <v>#NAME?</v>
      </c>
    </row>
    <row r="429" spans="6:12" ht="12.5">
      <c r="F429" s="34">
        <f ca="1">IFERROR(__xludf.DUMMYFUNCTION("""COMPUTED_VALUE"""),36678)</f>
        <v>36678</v>
      </c>
      <c r="G429" s="5" t="str">
        <f ca="1">IFERROR(__xludf.DUMMYFUNCTION("""COMPUTED_VALUE"""),"200.0")</f>
        <v>200.0</v>
      </c>
      <c r="H429" s="5" t="str">
        <f ca="1">IFERROR(__xludf.DUMMYFUNCTION("""COMPUTED_VALUE"""),"8.0")</f>
        <v>8.0</v>
      </c>
      <c r="I429" s="5" t="str">
        <f ca="1">IFERROR(__xludf.DUMMYFUNCTION("""COMPUTED_VALUE"""),"1.0")</f>
        <v>1.0</v>
      </c>
      <c r="J429" s="5">
        <f ca="1">IFERROR(__xludf.DUMMYFUNCTION("VALUE(REGEXREPLACE(G429,""\."","",""))"),200)</f>
        <v>200</v>
      </c>
      <c r="K429" s="5" t="e">
        <f t="shared" ca="1" si="6"/>
        <v>#NAME?</v>
      </c>
      <c r="L429" s="25" t="e">
        <f t="shared" ca="1" si="7"/>
        <v>#NAME?</v>
      </c>
    </row>
    <row r="430" spans="6:12" ht="12.5">
      <c r="F430" s="34">
        <f ca="1">IFERROR(__xludf.DUMMYFUNCTION("""COMPUTED_VALUE"""),36708)</f>
        <v>36708</v>
      </c>
      <c r="G430" s="5" t="str">
        <f ca="1">IFERROR(__xludf.DUMMYFUNCTION("""COMPUTED_VALUE"""),"200.0")</f>
        <v>200.0</v>
      </c>
      <c r="H430" s="5" t="str">
        <f ca="1">IFERROR(__xludf.DUMMYFUNCTION("""COMPUTED_VALUE"""),"8.0")</f>
        <v>8.0</v>
      </c>
      <c r="I430" s="5" t="str">
        <f ca="1">IFERROR(__xludf.DUMMYFUNCTION("""COMPUTED_VALUE"""),"1.0")</f>
        <v>1.0</v>
      </c>
      <c r="J430" s="5">
        <f ca="1">IFERROR(__xludf.DUMMYFUNCTION("VALUE(REGEXREPLACE(G430,""\."","",""))"),200)</f>
        <v>200</v>
      </c>
      <c r="K430" s="5" t="e">
        <f t="shared" ca="1" si="6"/>
        <v>#NAME?</v>
      </c>
      <c r="L430" s="25" t="e">
        <f t="shared" ca="1" si="7"/>
        <v>#NAME?</v>
      </c>
    </row>
    <row r="431" spans="6:12" ht="12.5">
      <c r="F431" s="34">
        <f ca="1">IFERROR(__xludf.DUMMYFUNCTION("""COMPUTED_VALUE"""),36739)</f>
        <v>36739</v>
      </c>
      <c r="G431" s="5" t="str">
        <f ca="1">IFERROR(__xludf.DUMMYFUNCTION("""COMPUTED_VALUE"""),"200.0")</f>
        <v>200.0</v>
      </c>
      <c r="H431" s="5" t="str">
        <f ca="1">IFERROR(__xludf.DUMMYFUNCTION("""COMPUTED_VALUE"""),"8.0")</f>
        <v>8.0</v>
      </c>
      <c r="I431" s="5" t="str">
        <f ca="1">IFERROR(__xludf.DUMMYFUNCTION("""COMPUTED_VALUE"""),"1.0")</f>
        <v>1.0</v>
      </c>
      <c r="J431" s="5">
        <f ca="1">IFERROR(__xludf.DUMMYFUNCTION("VALUE(REGEXREPLACE(G431,""\."","",""))"),200)</f>
        <v>200</v>
      </c>
      <c r="K431" s="5" t="e">
        <f t="shared" ca="1" si="6"/>
        <v>#NAME?</v>
      </c>
      <c r="L431" s="25" t="e">
        <f t="shared" ca="1" si="7"/>
        <v>#NAME?</v>
      </c>
    </row>
    <row r="432" spans="6:12" ht="12.5">
      <c r="F432" s="34">
        <f ca="1">IFERROR(__xludf.DUMMYFUNCTION("""COMPUTED_VALUE"""),36770)</f>
        <v>36770</v>
      </c>
      <c r="G432" s="5" t="str">
        <f ca="1">IFERROR(__xludf.DUMMYFUNCTION("""COMPUTED_VALUE"""),"200.0")</f>
        <v>200.0</v>
      </c>
      <c r="H432" s="5" t="str">
        <f ca="1">IFERROR(__xludf.DUMMYFUNCTION("""COMPUTED_VALUE"""),"8.0")</f>
        <v>8.0</v>
      </c>
      <c r="I432" s="5" t="str">
        <f ca="1">IFERROR(__xludf.DUMMYFUNCTION("""COMPUTED_VALUE"""),"1.0")</f>
        <v>1.0</v>
      </c>
      <c r="J432" s="5">
        <f ca="1">IFERROR(__xludf.DUMMYFUNCTION("VALUE(REGEXREPLACE(G432,""\."","",""))"),200)</f>
        <v>200</v>
      </c>
      <c r="K432" s="5" t="e">
        <f t="shared" ca="1" si="6"/>
        <v>#NAME?</v>
      </c>
      <c r="L432" s="25" t="e">
        <f t="shared" ca="1" si="7"/>
        <v>#NAME?</v>
      </c>
    </row>
    <row r="433" spans="6:12" ht="12.5">
      <c r="F433" s="34">
        <f ca="1">IFERROR(__xludf.DUMMYFUNCTION("""COMPUTED_VALUE"""),36800)</f>
        <v>36800</v>
      </c>
      <c r="G433" s="5" t="str">
        <f ca="1">IFERROR(__xludf.DUMMYFUNCTION("""COMPUTED_VALUE"""),"200.0")</f>
        <v>200.0</v>
      </c>
      <c r="H433" s="5" t="str">
        <f ca="1">IFERROR(__xludf.DUMMYFUNCTION("""COMPUTED_VALUE"""),"8.0")</f>
        <v>8.0</v>
      </c>
      <c r="I433" s="5" t="str">
        <f ca="1">IFERROR(__xludf.DUMMYFUNCTION("""COMPUTED_VALUE"""),"1.0")</f>
        <v>1.0</v>
      </c>
      <c r="J433" s="5">
        <f ca="1">IFERROR(__xludf.DUMMYFUNCTION("VALUE(REGEXREPLACE(G433,""\."","",""))"),200)</f>
        <v>200</v>
      </c>
      <c r="K433" s="5" t="e">
        <f t="shared" ca="1" si="6"/>
        <v>#NAME?</v>
      </c>
      <c r="L433" s="25" t="e">
        <f t="shared" ca="1" si="7"/>
        <v>#NAME?</v>
      </c>
    </row>
    <row r="434" spans="6:12" ht="12.5">
      <c r="F434" s="34">
        <f ca="1">IFERROR(__xludf.DUMMYFUNCTION("""COMPUTED_VALUE"""),36831)</f>
        <v>36831</v>
      </c>
      <c r="G434" s="5" t="str">
        <f ca="1">IFERROR(__xludf.DUMMYFUNCTION("""COMPUTED_VALUE"""),"200.0")</f>
        <v>200.0</v>
      </c>
      <c r="H434" s="5" t="str">
        <f ca="1">IFERROR(__xludf.DUMMYFUNCTION("""COMPUTED_VALUE"""),"8.0")</f>
        <v>8.0</v>
      </c>
      <c r="I434" s="5" t="str">
        <f ca="1">IFERROR(__xludf.DUMMYFUNCTION("""COMPUTED_VALUE"""),"1.0")</f>
        <v>1.0</v>
      </c>
      <c r="J434" s="5">
        <f ca="1">IFERROR(__xludf.DUMMYFUNCTION("VALUE(REGEXREPLACE(G434,""\."","",""))"),200)</f>
        <v>200</v>
      </c>
      <c r="K434" s="5" t="e">
        <f t="shared" ca="1" si="6"/>
        <v>#NAME?</v>
      </c>
      <c r="L434" s="25" t="e">
        <f t="shared" ca="1" si="7"/>
        <v>#NAME?</v>
      </c>
    </row>
    <row r="435" spans="6:12" ht="12.5">
      <c r="F435" s="34">
        <f ca="1">IFERROR(__xludf.DUMMYFUNCTION("""COMPUTED_VALUE"""),36861)</f>
        <v>36861</v>
      </c>
      <c r="G435" s="5" t="str">
        <f ca="1">IFERROR(__xludf.DUMMYFUNCTION("""COMPUTED_VALUE"""),"200.0")</f>
        <v>200.0</v>
      </c>
      <c r="H435" s="5" t="str">
        <f ca="1">IFERROR(__xludf.DUMMYFUNCTION("""COMPUTED_VALUE"""),"8.0")</f>
        <v>8.0</v>
      </c>
      <c r="I435" s="5" t="str">
        <f ca="1">IFERROR(__xludf.DUMMYFUNCTION("""COMPUTED_VALUE"""),"1.0")</f>
        <v>1.0</v>
      </c>
      <c r="J435" s="5">
        <f ca="1">IFERROR(__xludf.DUMMYFUNCTION("VALUE(REGEXREPLACE(G435,""\."","",""))"),200)</f>
        <v>200</v>
      </c>
      <c r="K435" s="5" t="e">
        <f t="shared" ca="1" si="6"/>
        <v>#NAME?</v>
      </c>
      <c r="L435" s="25" t="e">
        <f t="shared" ca="1" si="7"/>
        <v>#NAME?</v>
      </c>
    </row>
    <row r="436" spans="6:12" ht="12.5">
      <c r="F436" s="34">
        <f ca="1">IFERROR(__xludf.DUMMYFUNCTION("""COMPUTED_VALUE"""),36892)</f>
        <v>36892</v>
      </c>
      <c r="G436" s="5" t="str">
        <f ca="1">IFERROR(__xludf.DUMMYFUNCTION("""COMPUTED_VALUE"""),"200.0")</f>
        <v>200.0</v>
      </c>
      <c r="H436" s="5" t="str">
        <f ca="1">IFERROR(__xludf.DUMMYFUNCTION("""COMPUTED_VALUE"""),"8.0")</f>
        <v>8.0</v>
      </c>
      <c r="I436" s="5" t="str">
        <f ca="1">IFERROR(__xludf.DUMMYFUNCTION("""COMPUTED_VALUE"""),"1.0")</f>
        <v>1.0</v>
      </c>
      <c r="J436" s="5">
        <f ca="1">IFERROR(__xludf.DUMMYFUNCTION("VALUE(REGEXREPLACE(G436,""\."","",""))"),200)</f>
        <v>200</v>
      </c>
      <c r="K436" s="5" t="e">
        <f t="shared" ca="1" si="6"/>
        <v>#NAME?</v>
      </c>
      <c r="L436" s="25" t="e">
        <f t="shared" ca="1" si="7"/>
        <v>#NAME?</v>
      </c>
    </row>
    <row r="437" spans="6:12" ht="12.5">
      <c r="F437" s="34">
        <f ca="1">IFERROR(__xludf.DUMMYFUNCTION("""COMPUTED_VALUE"""),36923)</f>
        <v>36923</v>
      </c>
      <c r="G437" s="5" t="str">
        <f ca="1">IFERROR(__xludf.DUMMYFUNCTION("""COMPUTED_VALUE"""),"200.0")</f>
        <v>200.0</v>
      </c>
      <c r="H437" s="5" t="str">
        <f ca="1">IFERROR(__xludf.DUMMYFUNCTION("""COMPUTED_VALUE"""),"8.0")</f>
        <v>8.0</v>
      </c>
      <c r="I437" s="5" t="str">
        <f ca="1">IFERROR(__xludf.DUMMYFUNCTION("""COMPUTED_VALUE"""),"1.0")</f>
        <v>1.0</v>
      </c>
      <c r="J437" s="5">
        <f ca="1">IFERROR(__xludf.DUMMYFUNCTION("VALUE(REGEXREPLACE(G437,""\."","",""))"),200)</f>
        <v>200</v>
      </c>
      <c r="K437" s="5" t="e">
        <f t="shared" ca="1" si="6"/>
        <v>#NAME?</v>
      </c>
      <c r="L437" s="25" t="e">
        <f t="shared" ca="1" si="7"/>
        <v>#NAME?</v>
      </c>
    </row>
    <row r="438" spans="6:12" ht="12.5">
      <c r="F438" s="34">
        <f ca="1">IFERROR(__xludf.DUMMYFUNCTION("""COMPUTED_VALUE"""),36951)</f>
        <v>36951</v>
      </c>
      <c r="G438" s="5" t="str">
        <f ca="1">IFERROR(__xludf.DUMMYFUNCTION("""COMPUTED_VALUE"""),"200.0")</f>
        <v>200.0</v>
      </c>
      <c r="H438" s="5" t="str">
        <f ca="1">IFERROR(__xludf.DUMMYFUNCTION("""COMPUTED_VALUE"""),"8.0")</f>
        <v>8.0</v>
      </c>
      <c r="I438" s="5" t="str">
        <f ca="1">IFERROR(__xludf.DUMMYFUNCTION("""COMPUTED_VALUE"""),"1.0")</f>
        <v>1.0</v>
      </c>
      <c r="J438" s="5">
        <f ca="1">IFERROR(__xludf.DUMMYFUNCTION("VALUE(REGEXREPLACE(G438,""\."","",""))"),200)</f>
        <v>200</v>
      </c>
      <c r="K438" s="5" t="e">
        <f t="shared" ca="1" si="6"/>
        <v>#NAME?</v>
      </c>
      <c r="L438" s="25" t="e">
        <f t="shared" ca="1" si="7"/>
        <v>#NAME?</v>
      </c>
    </row>
    <row r="439" spans="6:12" ht="12.5">
      <c r="F439" s="34">
        <f ca="1">IFERROR(__xludf.DUMMYFUNCTION("""COMPUTED_VALUE"""),36982)</f>
        <v>36982</v>
      </c>
      <c r="G439" s="5" t="str">
        <f ca="1">IFERROR(__xludf.DUMMYFUNCTION("""COMPUTED_VALUE"""),"200.0")</f>
        <v>200.0</v>
      </c>
      <c r="H439" s="5" t="str">
        <f ca="1">IFERROR(__xludf.DUMMYFUNCTION("""COMPUTED_VALUE"""),"8.0")</f>
        <v>8.0</v>
      </c>
      <c r="I439" s="5" t="str">
        <f ca="1">IFERROR(__xludf.DUMMYFUNCTION("""COMPUTED_VALUE"""),"1.0")</f>
        <v>1.0</v>
      </c>
      <c r="J439" s="5">
        <f ca="1">IFERROR(__xludf.DUMMYFUNCTION("VALUE(REGEXREPLACE(G439,""\."","",""))"),200)</f>
        <v>200</v>
      </c>
      <c r="K439" s="5" t="e">
        <f t="shared" ca="1" si="6"/>
        <v>#NAME?</v>
      </c>
      <c r="L439" s="25" t="e">
        <f t="shared" ca="1" si="7"/>
        <v>#NAME?</v>
      </c>
    </row>
    <row r="440" spans="6:12" ht="12.5">
      <c r="F440" s="34">
        <f ca="1">IFERROR(__xludf.DUMMYFUNCTION("""COMPUTED_VALUE"""),37012)</f>
        <v>37012</v>
      </c>
      <c r="G440" s="5" t="str">
        <f ca="1">IFERROR(__xludf.DUMMYFUNCTION("""COMPUTED_VALUE"""),"200.0")</f>
        <v>200.0</v>
      </c>
      <c r="H440" s="5" t="str">
        <f ca="1">IFERROR(__xludf.DUMMYFUNCTION("""COMPUTED_VALUE"""),"8.0")</f>
        <v>8.0</v>
      </c>
      <c r="I440" s="5" t="str">
        <f ca="1">IFERROR(__xludf.DUMMYFUNCTION("""COMPUTED_VALUE"""),"1.0")</f>
        <v>1.0</v>
      </c>
      <c r="J440" s="5">
        <f ca="1">IFERROR(__xludf.DUMMYFUNCTION("VALUE(REGEXREPLACE(G440,""\."","",""))"),200)</f>
        <v>200</v>
      </c>
      <c r="K440" s="5" t="e">
        <f t="shared" ca="1" si="6"/>
        <v>#NAME?</v>
      </c>
      <c r="L440" s="25" t="e">
        <f t="shared" ca="1" si="7"/>
        <v>#NAME?</v>
      </c>
    </row>
    <row r="441" spans="6:12" ht="12.5">
      <c r="F441" s="34">
        <f ca="1">IFERROR(__xludf.DUMMYFUNCTION("""COMPUTED_VALUE"""),37043)</f>
        <v>37043</v>
      </c>
      <c r="G441" s="5" t="str">
        <f ca="1">IFERROR(__xludf.DUMMYFUNCTION("""COMPUTED_VALUE"""),"200.0")</f>
        <v>200.0</v>
      </c>
      <c r="H441" s="5" t="str">
        <f ca="1">IFERROR(__xludf.DUMMYFUNCTION("""COMPUTED_VALUE"""),"8.0")</f>
        <v>8.0</v>
      </c>
      <c r="I441" s="5" t="str">
        <f ca="1">IFERROR(__xludf.DUMMYFUNCTION("""COMPUTED_VALUE"""),"1.0")</f>
        <v>1.0</v>
      </c>
      <c r="J441" s="5">
        <f ca="1">IFERROR(__xludf.DUMMYFUNCTION("VALUE(REGEXREPLACE(G441,""\."","",""))"),200)</f>
        <v>200</v>
      </c>
      <c r="K441" s="5" t="e">
        <f t="shared" ca="1" si="6"/>
        <v>#NAME?</v>
      </c>
      <c r="L441" s="25" t="e">
        <f t="shared" ca="1" si="7"/>
        <v>#NAME?</v>
      </c>
    </row>
    <row r="442" spans="6:12" ht="12.5">
      <c r="F442" s="34">
        <f ca="1">IFERROR(__xludf.DUMMYFUNCTION("""COMPUTED_VALUE"""),37073)</f>
        <v>37073</v>
      </c>
      <c r="G442" s="5" t="str">
        <f ca="1">IFERROR(__xludf.DUMMYFUNCTION("""COMPUTED_VALUE"""),"200.0")</f>
        <v>200.0</v>
      </c>
      <c r="H442" s="5" t="str">
        <f ca="1">IFERROR(__xludf.DUMMYFUNCTION("""COMPUTED_VALUE"""),"8.0")</f>
        <v>8.0</v>
      </c>
      <c r="I442" s="5" t="str">
        <f ca="1">IFERROR(__xludf.DUMMYFUNCTION("""COMPUTED_VALUE"""),"1.0")</f>
        <v>1.0</v>
      </c>
      <c r="J442" s="5">
        <f ca="1">IFERROR(__xludf.DUMMYFUNCTION("VALUE(REGEXREPLACE(G442,""\."","",""))"),200)</f>
        <v>200</v>
      </c>
      <c r="K442" s="5" t="e">
        <f t="shared" ca="1" si="6"/>
        <v>#NAME?</v>
      </c>
      <c r="L442" s="25" t="e">
        <f t="shared" ca="1" si="7"/>
        <v>#NAME?</v>
      </c>
    </row>
    <row r="443" spans="6:12" ht="12.5">
      <c r="F443" s="34">
        <f ca="1">IFERROR(__xludf.DUMMYFUNCTION("""COMPUTED_VALUE"""),37104)</f>
        <v>37104</v>
      </c>
      <c r="G443" s="5" t="str">
        <f ca="1">IFERROR(__xludf.DUMMYFUNCTION("""COMPUTED_VALUE"""),"200.0")</f>
        <v>200.0</v>
      </c>
      <c r="H443" s="5" t="str">
        <f ca="1">IFERROR(__xludf.DUMMYFUNCTION("""COMPUTED_VALUE"""),"8.0")</f>
        <v>8.0</v>
      </c>
      <c r="I443" s="5" t="str">
        <f ca="1">IFERROR(__xludf.DUMMYFUNCTION("""COMPUTED_VALUE"""),"1.0")</f>
        <v>1.0</v>
      </c>
      <c r="J443" s="5">
        <f ca="1">IFERROR(__xludf.DUMMYFUNCTION("VALUE(REGEXREPLACE(G443,""\."","",""))"),200)</f>
        <v>200</v>
      </c>
      <c r="K443" s="5" t="e">
        <f t="shared" ca="1" si="6"/>
        <v>#NAME?</v>
      </c>
      <c r="L443" s="25" t="e">
        <f t="shared" ca="1" si="7"/>
        <v>#NAME?</v>
      </c>
    </row>
    <row r="444" spans="6:12" ht="12.5">
      <c r="F444" s="34">
        <f ca="1">IFERROR(__xludf.DUMMYFUNCTION("""COMPUTED_VALUE"""),37135)</f>
        <v>37135</v>
      </c>
      <c r="G444" s="5" t="str">
        <f ca="1">IFERROR(__xludf.DUMMYFUNCTION("""COMPUTED_VALUE"""),"200.0")</f>
        <v>200.0</v>
      </c>
      <c r="H444" s="5" t="str">
        <f ca="1">IFERROR(__xludf.DUMMYFUNCTION("""COMPUTED_VALUE"""),"8.0")</f>
        <v>8.0</v>
      </c>
      <c r="I444" s="5" t="str">
        <f ca="1">IFERROR(__xludf.DUMMYFUNCTION("""COMPUTED_VALUE"""),"1.0")</f>
        <v>1.0</v>
      </c>
      <c r="J444" s="5">
        <f ca="1">IFERROR(__xludf.DUMMYFUNCTION("VALUE(REGEXREPLACE(G444,""\."","",""))"),200)</f>
        <v>200</v>
      </c>
      <c r="K444" s="5" t="e">
        <f t="shared" ca="1" si="6"/>
        <v>#NAME?</v>
      </c>
      <c r="L444" s="25" t="e">
        <f t="shared" ca="1" si="7"/>
        <v>#NAME?</v>
      </c>
    </row>
    <row r="445" spans="6:12" ht="12.5">
      <c r="F445" s="34">
        <f ca="1">IFERROR(__xludf.DUMMYFUNCTION("""COMPUTED_VALUE"""),37165)</f>
        <v>37165</v>
      </c>
      <c r="G445" s="5" t="str">
        <f ca="1">IFERROR(__xludf.DUMMYFUNCTION("""COMPUTED_VALUE"""),"200.0")</f>
        <v>200.0</v>
      </c>
      <c r="H445" s="5" t="str">
        <f ca="1">IFERROR(__xludf.DUMMYFUNCTION("""COMPUTED_VALUE"""),"8.0")</f>
        <v>8.0</v>
      </c>
      <c r="I445" s="5" t="str">
        <f ca="1">IFERROR(__xludf.DUMMYFUNCTION("""COMPUTED_VALUE"""),"1.0")</f>
        <v>1.0</v>
      </c>
      <c r="J445" s="5">
        <f ca="1">IFERROR(__xludf.DUMMYFUNCTION("VALUE(REGEXREPLACE(G445,""\."","",""))"),200)</f>
        <v>200</v>
      </c>
      <c r="K445" s="5" t="e">
        <f t="shared" ca="1" si="6"/>
        <v>#NAME?</v>
      </c>
      <c r="L445" s="25" t="e">
        <f t="shared" ca="1" si="7"/>
        <v>#NAME?</v>
      </c>
    </row>
    <row r="446" spans="6:12" ht="12.5">
      <c r="F446" s="34">
        <f ca="1">IFERROR(__xludf.DUMMYFUNCTION("""COMPUTED_VALUE"""),37196)</f>
        <v>37196</v>
      </c>
      <c r="G446" s="5" t="str">
        <f ca="1">IFERROR(__xludf.DUMMYFUNCTION("""COMPUTED_VALUE"""),"200.0")</f>
        <v>200.0</v>
      </c>
      <c r="H446" s="5" t="str">
        <f ca="1">IFERROR(__xludf.DUMMYFUNCTION("""COMPUTED_VALUE"""),"8.0")</f>
        <v>8.0</v>
      </c>
      <c r="I446" s="5" t="str">
        <f ca="1">IFERROR(__xludf.DUMMYFUNCTION("""COMPUTED_VALUE"""),"1.0")</f>
        <v>1.0</v>
      </c>
      <c r="J446" s="5">
        <f ca="1">IFERROR(__xludf.DUMMYFUNCTION("VALUE(REGEXREPLACE(G446,""\."","",""))"),200)</f>
        <v>200</v>
      </c>
      <c r="K446" s="5" t="e">
        <f t="shared" ca="1" si="6"/>
        <v>#NAME?</v>
      </c>
      <c r="L446" s="25" t="e">
        <f t="shared" ca="1" si="7"/>
        <v>#NAME?</v>
      </c>
    </row>
    <row r="447" spans="6:12" ht="12.5">
      <c r="F447" s="34">
        <f ca="1">IFERROR(__xludf.DUMMYFUNCTION("""COMPUTED_VALUE"""),37226)</f>
        <v>37226</v>
      </c>
      <c r="G447" s="5" t="str">
        <f ca="1">IFERROR(__xludf.DUMMYFUNCTION("""COMPUTED_VALUE"""),"200.0")</f>
        <v>200.0</v>
      </c>
      <c r="H447" s="5" t="str">
        <f ca="1">IFERROR(__xludf.DUMMYFUNCTION("""COMPUTED_VALUE"""),"8.0")</f>
        <v>8.0</v>
      </c>
      <c r="I447" s="5" t="str">
        <f ca="1">IFERROR(__xludf.DUMMYFUNCTION("""COMPUTED_VALUE"""),"1.0")</f>
        <v>1.0</v>
      </c>
      <c r="J447" s="5">
        <f ca="1">IFERROR(__xludf.DUMMYFUNCTION("VALUE(REGEXREPLACE(G447,""\."","",""))"),200)</f>
        <v>200</v>
      </c>
      <c r="K447" s="5" t="e">
        <f t="shared" ca="1" si="6"/>
        <v>#NAME?</v>
      </c>
      <c r="L447" s="25" t="e">
        <f t="shared" ca="1" si="7"/>
        <v>#NAME?</v>
      </c>
    </row>
    <row r="448" spans="6:12" ht="12.5">
      <c r="F448" s="34">
        <f ca="1">IFERROR(__xludf.DUMMYFUNCTION("""COMPUTED_VALUE"""),37257)</f>
        <v>37257</v>
      </c>
      <c r="G448" s="5" t="str">
        <f ca="1">IFERROR(__xludf.DUMMYFUNCTION("""COMPUTED_VALUE"""),"200.0")</f>
        <v>200.0</v>
      </c>
      <c r="H448" s="5" t="str">
        <f ca="1">IFERROR(__xludf.DUMMYFUNCTION("""COMPUTED_VALUE"""),"8.0")</f>
        <v>8.0</v>
      </c>
      <c r="I448" s="5" t="str">
        <f ca="1">IFERROR(__xludf.DUMMYFUNCTION("""COMPUTED_VALUE"""),"1.0")</f>
        <v>1.0</v>
      </c>
      <c r="J448" s="5">
        <f ca="1">IFERROR(__xludf.DUMMYFUNCTION("VALUE(REGEXREPLACE(G448,""\."","",""))"),200)</f>
        <v>200</v>
      </c>
      <c r="K448" s="5" t="e">
        <f t="shared" ca="1" si="6"/>
        <v>#NAME?</v>
      </c>
      <c r="L448" s="25" t="e">
        <f t="shared" ca="1" si="7"/>
        <v>#NAME?</v>
      </c>
    </row>
    <row r="449" spans="6:12" ht="12.5">
      <c r="F449" s="34">
        <f ca="1">IFERROR(__xludf.DUMMYFUNCTION("""COMPUTED_VALUE"""),37288)</f>
        <v>37288</v>
      </c>
      <c r="G449" s="5" t="str">
        <f ca="1">IFERROR(__xludf.DUMMYFUNCTION("""COMPUTED_VALUE"""),"200.0")</f>
        <v>200.0</v>
      </c>
      <c r="H449" s="5" t="str">
        <f ca="1">IFERROR(__xludf.DUMMYFUNCTION("""COMPUTED_VALUE"""),"8.0")</f>
        <v>8.0</v>
      </c>
      <c r="I449" s="5" t="str">
        <f ca="1">IFERROR(__xludf.DUMMYFUNCTION("""COMPUTED_VALUE"""),"1.0")</f>
        <v>1.0</v>
      </c>
      <c r="J449" s="5">
        <f ca="1">IFERROR(__xludf.DUMMYFUNCTION("VALUE(REGEXREPLACE(G449,""\."","",""))"),200)</f>
        <v>200</v>
      </c>
      <c r="K449" s="5" t="e">
        <f t="shared" ca="1" si="6"/>
        <v>#NAME?</v>
      </c>
      <c r="L449" s="25" t="e">
        <f t="shared" ca="1" si="7"/>
        <v>#NAME?</v>
      </c>
    </row>
    <row r="450" spans="6:12" ht="12.5">
      <c r="F450" s="34">
        <f ca="1">IFERROR(__xludf.DUMMYFUNCTION("""COMPUTED_VALUE"""),37316)</f>
        <v>37316</v>
      </c>
      <c r="G450" s="5" t="str">
        <f ca="1">IFERROR(__xludf.DUMMYFUNCTION("""COMPUTED_VALUE"""),"200.0")</f>
        <v>200.0</v>
      </c>
      <c r="H450" s="5" t="str">
        <f ca="1">IFERROR(__xludf.DUMMYFUNCTION("""COMPUTED_VALUE"""),"8.0")</f>
        <v>8.0</v>
      </c>
      <c r="I450" s="5" t="str">
        <f ca="1">IFERROR(__xludf.DUMMYFUNCTION("""COMPUTED_VALUE"""),"1.0")</f>
        <v>1.0</v>
      </c>
      <c r="J450" s="5">
        <f ca="1">IFERROR(__xludf.DUMMYFUNCTION("VALUE(REGEXREPLACE(G450,""\."","",""))"),200)</f>
        <v>200</v>
      </c>
      <c r="K450" s="5" t="e">
        <f t="shared" ca="1" si="6"/>
        <v>#NAME?</v>
      </c>
      <c r="L450" s="25" t="e">
        <f t="shared" ca="1" si="7"/>
        <v>#NAME?</v>
      </c>
    </row>
    <row r="451" spans="6:12" ht="12.5">
      <c r="F451" s="34">
        <f ca="1">IFERROR(__xludf.DUMMYFUNCTION("""COMPUTED_VALUE"""),37347)</f>
        <v>37347</v>
      </c>
      <c r="G451" s="5" t="str">
        <f ca="1">IFERROR(__xludf.DUMMYFUNCTION("""COMPUTED_VALUE"""),"200.0")</f>
        <v>200.0</v>
      </c>
      <c r="H451" s="5" t="str">
        <f ca="1">IFERROR(__xludf.DUMMYFUNCTION("""COMPUTED_VALUE"""),"8.0")</f>
        <v>8.0</v>
      </c>
      <c r="I451" s="5" t="str">
        <f ca="1">IFERROR(__xludf.DUMMYFUNCTION("""COMPUTED_VALUE"""),"1.0")</f>
        <v>1.0</v>
      </c>
      <c r="J451" s="5">
        <f ca="1">IFERROR(__xludf.DUMMYFUNCTION("VALUE(REGEXREPLACE(G451,""\."","",""))"),200)</f>
        <v>200</v>
      </c>
      <c r="K451" s="5" t="e">
        <f t="shared" ca="1" si="6"/>
        <v>#NAME?</v>
      </c>
      <c r="L451" s="25" t="e">
        <f t="shared" ca="1" si="7"/>
        <v>#NAME?</v>
      </c>
    </row>
    <row r="452" spans="6:12" ht="12.5">
      <c r="F452" s="34">
        <f ca="1">IFERROR(__xludf.DUMMYFUNCTION("""COMPUTED_VALUE"""),37377)</f>
        <v>37377</v>
      </c>
      <c r="G452" s="5" t="str">
        <f ca="1">IFERROR(__xludf.DUMMYFUNCTION("""COMPUTED_VALUE"""),"200.0")</f>
        <v>200.0</v>
      </c>
      <c r="H452" s="5" t="str">
        <f ca="1">IFERROR(__xludf.DUMMYFUNCTION("""COMPUTED_VALUE"""),"8.0")</f>
        <v>8.0</v>
      </c>
      <c r="I452" s="5" t="str">
        <f ca="1">IFERROR(__xludf.DUMMYFUNCTION("""COMPUTED_VALUE"""),"1.0")</f>
        <v>1.0</v>
      </c>
      <c r="J452" s="5">
        <f ca="1">IFERROR(__xludf.DUMMYFUNCTION("VALUE(REGEXREPLACE(G452,""\."","",""))"),200)</f>
        <v>200</v>
      </c>
      <c r="K452" s="5" t="e">
        <f t="shared" ca="1" si="6"/>
        <v>#NAME?</v>
      </c>
      <c r="L452" s="25" t="e">
        <f t="shared" ca="1" si="7"/>
        <v>#NAME?</v>
      </c>
    </row>
    <row r="453" spans="6:12" ht="12.5">
      <c r="F453" s="34">
        <f ca="1">IFERROR(__xludf.DUMMYFUNCTION("""COMPUTED_VALUE"""),37408)</f>
        <v>37408</v>
      </c>
      <c r="G453" s="5" t="str">
        <f ca="1">IFERROR(__xludf.DUMMYFUNCTION("""COMPUTED_VALUE"""),"200.0")</f>
        <v>200.0</v>
      </c>
      <c r="H453" s="5" t="str">
        <f ca="1">IFERROR(__xludf.DUMMYFUNCTION("""COMPUTED_VALUE"""),"8.0")</f>
        <v>8.0</v>
      </c>
      <c r="I453" s="5" t="str">
        <f ca="1">IFERROR(__xludf.DUMMYFUNCTION("""COMPUTED_VALUE"""),"1.0")</f>
        <v>1.0</v>
      </c>
      <c r="J453" s="5">
        <f ca="1">IFERROR(__xludf.DUMMYFUNCTION("VALUE(REGEXREPLACE(G453,""\."","",""))"),200)</f>
        <v>200</v>
      </c>
      <c r="K453" s="5" t="e">
        <f t="shared" ca="1" si="6"/>
        <v>#NAME?</v>
      </c>
      <c r="L453" s="25" t="e">
        <f t="shared" ca="1" si="7"/>
        <v>#NAME?</v>
      </c>
    </row>
    <row r="454" spans="6:12" ht="12.5">
      <c r="F454" s="34">
        <f ca="1">IFERROR(__xludf.DUMMYFUNCTION("""COMPUTED_VALUE"""),37438)</f>
        <v>37438</v>
      </c>
      <c r="G454" s="5" t="str">
        <f ca="1">IFERROR(__xludf.DUMMYFUNCTION("""COMPUTED_VALUE"""),"200.0")</f>
        <v>200.0</v>
      </c>
      <c r="H454" s="5" t="str">
        <f ca="1">IFERROR(__xludf.DUMMYFUNCTION("""COMPUTED_VALUE"""),"8.0")</f>
        <v>8.0</v>
      </c>
      <c r="I454" s="5" t="str">
        <f ca="1">IFERROR(__xludf.DUMMYFUNCTION("""COMPUTED_VALUE"""),"1.0")</f>
        <v>1.0</v>
      </c>
      <c r="J454" s="5">
        <f ca="1">IFERROR(__xludf.DUMMYFUNCTION("VALUE(REGEXREPLACE(G454,""\."","",""))"),200)</f>
        <v>200</v>
      </c>
      <c r="K454" s="5" t="e">
        <f t="shared" ca="1" si="6"/>
        <v>#NAME?</v>
      </c>
      <c r="L454" s="25" t="e">
        <f t="shared" ca="1" si="7"/>
        <v>#NAME?</v>
      </c>
    </row>
    <row r="455" spans="6:12" ht="12.5">
      <c r="F455" s="34">
        <f ca="1">IFERROR(__xludf.DUMMYFUNCTION("""COMPUTED_VALUE"""),37469)</f>
        <v>37469</v>
      </c>
      <c r="G455" s="5" t="str">
        <f ca="1">IFERROR(__xludf.DUMMYFUNCTION("""COMPUTED_VALUE"""),"200.0")</f>
        <v>200.0</v>
      </c>
      <c r="H455" s="5" t="str">
        <f ca="1">IFERROR(__xludf.DUMMYFUNCTION("""COMPUTED_VALUE"""),"8.0")</f>
        <v>8.0</v>
      </c>
      <c r="I455" s="5" t="str">
        <f ca="1">IFERROR(__xludf.DUMMYFUNCTION("""COMPUTED_VALUE"""),"1.0")</f>
        <v>1.0</v>
      </c>
      <c r="J455" s="5">
        <f ca="1">IFERROR(__xludf.DUMMYFUNCTION("VALUE(REGEXREPLACE(G455,""\."","",""))"),200)</f>
        <v>200</v>
      </c>
      <c r="K455" s="5" t="e">
        <f t="shared" ca="1" si="6"/>
        <v>#NAME?</v>
      </c>
      <c r="L455" s="25" t="e">
        <f t="shared" ca="1" si="7"/>
        <v>#NAME?</v>
      </c>
    </row>
    <row r="456" spans="6:12" ht="12.5">
      <c r="F456" s="34">
        <f ca="1">IFERROR(__xludf.DUMMYFUNCTION("""COMPUTED_VALUE"""),37500)</f>
        <v>37500</v>
      </c>
      <c r="G456" s="5" t="str">
        <f ca="1">IFERROR(__xludf.DUMMYFUNCTION("""COMPUTED_VALUE"""),"200.0")</f>
        <v>200.0</v>
      </c>
      <c r="H456" s="5" t="str">
        <f ca="1">IFERROR(__xludf.DUMMYFUNCTION("""COMPUTED_VALUE"""),"8.0")</f>
        <v>8.0</v>
      </c>
      <c r="I456" s="5" t="str">
        <f ca="1">IFERROR(__xludf.DUMMYFUNCTION("""COMPUTED_VALUE"""),"1.0")</f>
        <v>1.0</v>
      </c>
      <c r="J456" s="5">
        <f ca="1">IFERROR(__xludf.DUMMYFUNCTION("VALUE(REGEXREPLACE(G456,""\."","",""))"),200)</f>
        <v>200</v>
      </c>
      <c r="K456" s="5" t="e">
        <f t="shared" ca="1" si="6"/>
        <v>#NAME?</v>
      </c>
      <c r="L456" s="25" t="e">
        <f t="shared" ca="1" si="7"/>
        <v>#NAME?</v>
      </c>
    </row>
    <row r="457" spans="6:12" ht="12.5">
      <c r="F457" s="34">
        <f ca="1">IFERROR(__xludf.DUMMYFUNCTION("""COMPUTED_VALUE"""),37530)</f>
        <v>37530</v>
      </c>
      <c r="G457" s="5" t="str">
        <f ca="1">IFERROR(__xludf.DUMMYFUNCTION("""COMPUTED_VALUE"""),"200.0")</f>
        <v>200.0</v>
      </c>
      <c r="H457" s="5" t="str">
        <f ca="1">IFERROR(__xludf.DUMMYFUNCTION("""COMPUTED_VALUE"""),"8.0")</f>
        <v>8.0</v>
      </c>
      <c r="I457" s="5" t="str">
        <f ca="1">IFERROR(__xludf.DUMMYFUNCTION("""COMPUTED_VALUE"""),"1.0")</f>
        <v>1.0</v>
      </c>
      <c r="J457" s="5">
        <f ca="1">IFERROR(__xludf.DUMMYFUNCTION("VALUE(REGEXREPLACE(G457,""\."","",""))"),200)</f>
        <v>200</v>
      </c>
      <c r="K457" s="5" t="e">
        <f t="shared" ca="1" si="6"/>
        <v>#NAME?</v>
      </c>
      <c r="L457" s="25" t="e">
        <f t="shared" ca="1" si="7"/>
        <v>#NAME?</v>
      </c>
    </row>
    <row r="458" spans="6:12" ht="12.5">
      <c r="F458" s="34">
        <f ca="1">IFERROR(__xludf.DUMMYFUNCTION("""COMPUTED_VALUE"""),37561)</f>
        <v>37561</v>
      </c>
      <c r="G458" s="5" t="str">
        <f ca="1">IFERROR(__xludf.DUMMYFUNCTION("""COMPUTED_VALUE"""),"200.0")</f>
        <v>200.0</v>
      </c>
      <c r="H458" s="5" t="str">
        <f ca="1">IFERROR(__xludf.DUMMYFUNCTION("""COMPUTED_VALUE"""),"8.0")</f>
        <v>8.0</v>
      </c>
      <c r="I458" s="5" t="str">
        <f ca="1">IFERROR(__xludf.DUMMYFUNCTION("""COMPUTED_VALUE"""),"1.0")</f>
        <v>1.0</v>
      </c>
      <c r="J458" s="5">
        <f ca="1">IFERROR(__xludf.DUMMYFUNCTION("VALUE(REGEXREPLACE(G458,""\."","",""))"),200)</f>
        <v>200</v>
      </c>
      <c r="K458" s="5" t="e">
        <f t="shared" ca="1" si="6"/>
        <v>#NAME?</v>
      </c>
      <c r="L458" s="25" t="e">
        <f t="shared" ca="1" si="7"/>
        <v>#NAME?</v>
      </c>
    </row>
    <row r="459" spans="6:12" ht="12.5">
      <c r="F459" s="34">
        <f ca="1">IFERROR(__xludf.DUMMYFUNCTION("""COMPUTED_VALUE"""),37591)</f>
        <v>37591</v>
      </c>
      <c r="G459" s="5" t="str">
        <f ca="1">IFERROR(__xludf.DUMMYFUNCTION("""COMPUTED_VALUE"""),"200.0")</f>
        <v>200.0</v>
      </c>
      <c r="H459" s="5" t="str">
        <f ca="1">IFERROR(__xludf.DUMMYFUNCTION("""COMPUTED_VALUE"""),"8.0")</f>
        <v>8.0</v>
      </c>
      <c r="I459" s="5" t="str">
        <f ca="1">IFERROR(__xludf.DUMMYFUNCTION("""COMPUTED_VALUE"""),"1.0")</f>
        <v>1.0</v>
      </c>
      <c r="J459" s="5">
        <f ca="1">IFERROR(__xludf.DUMMYFUNCTION("VALUE(REGEXREPLACE(G459,""\."","",""))"),200)</f>
        <v>200</v>
      </c>
      <c r="K459" s="5" t="e">
        <f t="shared" ca="1" si="6"/>
        <v>#NAME?</v>
      </c>
      <c r="L459" s="25" t="e">
        <f t="shared" ca="1" si="7"/>
        <v>#NAME?</v>
      </c>
    </row>
    <row r="460" spans="6:12" ht="12.5">
      <c r="F460" s="34">
        <f ca="1">IFERROR(__xludf.DUMMYFUNCTION("""COMPUTED_VALUE"""),37622)</f>
        <v>37622</v>
      </c>
      <c r="G460" s="5" t="str">
        <f ca="1">IFERROR(__xludf.DUMMYFUNCTION("""COMPUTED_VALUE"""),"200.0")</f>
        <v>200.0</v>
      </c>
      <c r="H460" s="5" t="str">
        <f ca="1">IFERROR(__xludf.DUMMYFUNCTION("""COMPUTED_VALUE"""),"8.0")</f>
        <v>8.0</v>
      </c>
      <c r="I460" s="5" t="str">
        <f ca="1">IFERROR(__xludf.DUMMYFUNCTION("""COMPUTED_VALUE"""),"1.0")</f>
        <v>1.0</v>
      </c>
      <c r="J460" s="5">
        <f ca="1">IFERROR(__xludf.DUMMYFUNCTION("VALUE(REGEXREPLACE(G460,""\."","",""))"),200)</f>
        <v>200</v>
      </c>
      <c r="K460" s="5" t="e">
        <f t="shared" ca="1" si="6"/>
        <v>#NAME?</v>
      </c>
      <c r="L460" s="25" t="e">
        <f t="shared" ca="1" si="7"/>
        <v>#NAME?</v>
      </c>
    </row>
    <row r="461" spans="6:12" ht="12.5">
      <c r="F461" s="34">
        <f ca="1">IFERROR(__xludf.DUMMYFUNCTION("""COMPUTED_VALUE"""),37653)</f>
        <v>37653</v>
      </c>
      <c r="G461" s="5" t="str">
        <f ca="1">IFERROR(__xludf.DUMMYFUNCTION("""COMPUTED_VALUE"""),"200.0")</f>
        <v>200.0</v>
      </c>
      <c r="H461" s="5" t="str">
        <f ca="1">IFERROR(__xludf.DUMMYFUNCTION("""COMPUTED_VALUE"""),"8.0")</f>
        <v>8.0</v>
      </c>
      <c r="I461" s="5" t="str">
        <f ca="1">IFERROR(__xludf.DUMMYFUNCTION("""COMPUTED_VALUE"""),"1.0")</f>
        <v>1.0</v>
      </c>
      <c r="J461" s="5">
        <f ca="1">IFERROR(__xludf.DUMMYFUNCTION("VALUE(REGEXREPLACE(G461,""\."","",""))"),200)</f>
        <v>200</v>
      </c>
      <c r="K461" s="5" t="e">
        <f t="shared" ca="1" si="6"/>
        <v>#NAME?</v>
      </c>
      <c r="L461" s="25" t="e">
        <f t="shared" ca="1" si="7"/>
        <v>#NAME?</v>
      </c>
    </row>
    <row r="462" spans="6:12" ht="12.5">
      <c r="F462" s="34">
        <f ca="1">IFERROR(__xludf.DUMMYFUNCTION("""COMPUTED_VALUE"""),37681)</f>
        <v>37681</v>
      </c>
      <c r="G462" s="5" t="str">
        <f ca="1">IFERROR(__xludf.DUMMYFUNCTION("""COMPUTED_VALUE"""),"200.0")</f>
        <v>200.0</v>
      </c>
      <c r="H462" s="5" t="str">
        <f ca="1">IFERROR(__xludf.DUMMYFUNCTION("""COMPUTED_VALUE"""),"8.0")</f>
        <v>8.0</v>
      </c>
      <c r="I462" s="5" t="str">
        <f ca="1">IFERROR(__xludf.DUMMYFUNCTION("""COMPUTED_VALUE"""),"1.0")</f>
        <v>1.0</v>
      </c>
      <c r="J462" s="5">
        <f ca="1">IFERROR(__xludf.DUMMYFUNCTION("VALUE(REGEXREPLACE(G462,""\."","",""))"),200)</f>
        <v>200</v>
      </c>
      <c r="K462" s="5" t="e">
        <f t="shared" ca="1" si="6"/>
        <v>#NAME?</v>
      </c>
      <c r="L462" s="25" t="e">
        <f t="shared" ca="1" si="7"/>
        <v>#NAME?</v>
      </c>
    </row>
    <row r="463" spans="6:12" ht="12.5">
      <c r="F463" s="34">
        <f ca="1">IFERROR(__xludf.DUMMYFUNCTION("""COMPUTED_VALUE"""),37712)</f>
        <v>37712</v>
      </c>
      <c r="G463" s="5" t="str">
        <f ca="1">IFERROR(__xludf.DUMMYFUNCTION("""COMPUTED_VALUE"""),"200.0")</f>
        <v>200.0</v>
      </c>
      <c r="H463" s="5" t="str">
        <f ca="1">IFERROR(__xludf.DUMMYFUNCTION("""COMPUTED_VALUE"""),"8.0")</f>
        <v>8.0</v>
      </c>
      <c r="I463" s="5" t="str">
        <f ca="1">IFERROR(__xludf.DUMMYFUNCTION("""COMPUTED_VALUE"""),"1.0")</f>
        <v>1.0</v>
      </c>
      <c r="J463" s="5">
        <f ca="1">IFERROR(__xludf.DUMMYFUNCTION("VALUE(REGEXREPLACE(G463,""\."","",""))"),200)</f>
        <v>200</v>
      </c>
      <c r="K463" s="5" t="e">
        <f t="shared" ca="1" si="6"/>
        <v>#NAME?</v>
      </c>
      <c r="L463" s="25" t="e">
        <f t="shared" ca="1" si="7"/>
        <v>#NAME?</v>
      </c>
    </row>
    <row r="464" spans="6:12" ht="12.5">
      <c r="F464" s="34">
        <f ca="1">IFERROR(__xludf.DUMMYFUNCTION("""COMPUTED_VALUE"""),37742)</f>
        <v>37742</v>
      </c>
      <c r="G464" s="5" t="str">
        <f ca="1">IFERROR(__xludf.DUMMYFUNCTION("""COMPUTED_VALUE"""),"200.0")</f>
        <v>200.0</v>
      </c>
      <c r="H464" s="5" t="str">
        <f ca="1">IFERROR(__xludf.DUMMYFUNCTION("""COMPUTED_VALUE"""),"8.0")</f>
        <v>8.0</v>
      </c>
      <c r="I464" s="5" t="str">
        <f ca="1">IFERROR(__xludf.DUMMYFUNCTION("""COMPUTED_VALUE"""),"1.0")</f>
        <v>1.0</v>
      </c>
      <c r="J464" s="5">
        <f ca="1">IFERROR(__xludf.DUMMYFUNCTION("VALUE(REGEXREPLACE(G464,""\."","",""))"),200)</f>
        <v>200</v>
      </c>
      <c r="K464" s="5" t="e">
        <f t="shared" ca="1" si="6"/>
        <v>#NAME?</v>
      </c>
      <c r="L464" s="25" t="e">
        <f t="shared" ca="1" si="7"/>
        <v>#NAME?</v>
      </c>
    </row>
    <row r="465" spans="6:12" ht="12.5">
      <c r="F465" s="34">
        <f ca="1">IFERROR(__xludf.DUMMYFUNCTION("""COMPUTED_VALUE"""),37773)</f>
        <v>37773</v>
      </c>
      <c r="G465" s="5" t="str">
        <f ca="1">IFERROR(__xludf.DUMMYFUNCTION("""COMPUTED_VALUE"""),"200.0")</f>
        <v>200.0</v>
      </c>
      <c r="H465" s="5" t="str">
        <f ca="1">IFERROR(__xludf.DUMMYFUNCTION("""COMPUTED_VALUE"""),"8.0")</f>
        <v>8.0</v>
      </c>
      <c r="I465" s="5" t="str">
        <f ca="1">IFERROR(__xludf.DUMMYFUNCTION("""COMPUTED_VALUE"""),"1.0")</f>
        <v>1.0</v>
      </c>
      <c r="J465" s="5">
        <f ca="1">IFERROR(__xludf.DUMMYFUNCTION("VALUE(REGEXREPLACE(G465,""\."","",""))"),200)</f>
        <v>200</v>
      </c>
      <c r="K465" s="5" t="e">
        <f t="shared" ca="1" si="6"/>
        <v>#NAME?</v>
      </c>
      <c r="L465" s="25" t="e">
        <f t="shared" ca="1" si="7"/>
        <v>#NAME?</v>
      </c>
    </row>
    <row r="466" spans="6:12" ht="12.5">
      <c r="F466" s="34">
        <f ca="1">IFERROR(__xludf.DUMMYFUNCTION("""COMPUTED_VALUE"""),37803)</f>
        <v>37803</v>
      </c>
      <c r="G466" s="5" t="str">
        <f ca="1">IFERROR(__xludf.DUMMYFUNCTION("""COMPUTED_VALUE"""),"250.0")</f>
        <v>250.0</v>
      </c>
      <c r="H466" s="5" t="str">
        <f ca="1">IFERROR(__xludf.DUMMYFUNCTION("""COMPUTED_VALUE"""),"10.0")</f>
        <v>10.0</v>
      </c>
      <c r="I466" s="5" t="str">
        <f ca="1">IFERROR(__xludf.DUMMYFUNCTION("""COMPUTED_VALUE"""),"1.25")</f>
        <v>1.25</v>
      </c>
      <c r="J466" s="5">
        <f ca="1">IFERROR(__xludf.DUMMYFUNCTION("VALUE(REGEXREPLACE(G466,""\."","",""))"),250)</f>
        <v>250</v>
      </c>
      <c r="K466" s="5" t="e">
        <f t="shared" ca="1" si="6"/>
        <v>#NAME?</v>
      </c>
      <c r="L466" s="25" t="e">
        <f t="shared" ca="1" si="7"/>
        <v>#NAME?</v>
      </c>
    </row>
    <row r="467" spans="6:12" ht="12.5">
      <c r="F467" s="34">
        <f ca="1">IFERROR(__xludf.DUMMYFUNCTION("""COMPUTED_VALUE"""),37834)</f>
        <v>37834</v>
      </c>
      <c r="G467" s="5" t="str">
        <f ca="1">IFERROR(__xludf.DUMMYFUNCTION("""COMPUTED_VALUE"""),"260.0")</f>
        <v>260.0</v>
      </c>
      <c r="H467" s="5">
        <f ca="1">IFERROR(__xludf.DUMMYFUNCTION("""COMPUTED_VALUE"""),45392)</f>
        <v>45392</v>
      </c>
      <c r="I467" s="5">
        <f ca="1">IFERROR(__xludf.DUMMYFUNCTION("""COMPUTED_VALUE"""),45352)</f>
        <v>45352</v>
      </c>
      <c r="J467" s="5">
        <f ca="1">IFERROR(__xludf.DUMMYFUNCTION("VALUE(REGEXREPLACE(G467,""\."","",""))"),260)</f>
        <v>260</v>
      </c>
      <c r="K467" s="5" t="e">
        <f t="shared" ca="1" si="6"/>
        <v>#NAME?</v>
      </c>
      <c r="L467" s="25" t="e">
        <f t="shared" ca="1" si="7"/>
        <v>#NAME?</v>
      </c>
    </row>
    <row r="468" spans="6:12" ht="12.5">
      <c r="F468" s="34">
        <f ca="1">IFERROR(__xludf.DUMMYFUNCTION("""COMPUTED_VALUE"""),37865)</f>
        <v>37865</v>
      </c>
      <c r="G468" s="5" t="str">
        <f ca="1">IFERROR(__xludf.DUMMYFUNCTION("""COMPUTED_VALUE"""),"270.0")</f>
        <v>270.0</v>
      </c>
      <c r="H468" s="5">
        <f ca="1">IFERROR(__xludf.DUMMYFUNCTION("""COMPUTED_VALUE"""),45514)</f>
        <v>45514</v>
      </c>
      <c r="I468" s="5" t="str">
        <f ca="1">IFERROR(__xludf.DUMMYFUNCTION("""COMPUTED_VALUE"""),"1.35")</f>
        <v>1.35</v>
      </c>
      <c r="J468" s="5">
        <f ca="1">IFERROR(__xludf.DUMMYFUNCTION("VALUE(REGEXREPLACE(G468,""\."","",""))"),270)</f>
        <v>270</v>
      </c>
      <c r="K468" s="5" t="e">
        <f t="shared" ca="1" si="6"/>
        <v>#NAME?</v>
      </c>
      <c r="L468" s="25" t="e">
        <f t="shared" ca="1" si="7"/>
        <v>#NAME?</v>
      </c>
    </row>
    <row r="469" spans="6:12" ht="12.5">
      <c r="F469" s="34">
        <f ca="1">IFERROR(__xludf.DUMMYFUNCTION("""COMPUTED_VALUE"""),37895)</f>
        <v>37895</v>
      </c>
      <c r="G469" s="5" t="str">
        <f ca="1">IFERROR(__xludf.DUMMYFUNCTION("""COMPUTED_VALUE"""),"280.0")</f>
        <v>280.0</v>
      </c>
      <c r="H469" s="5">
        <f ca="1">IFERROR(__xludf.DUMMYFUNCTION("""COMPUTED_VALUE"""),45333)</f>
        <v>45333</v>
      </c>
      <c r="I469" s="5">
        <f ca="1">IFERROR(__xludf.DUMMYFUNCTION("""COMPUTED_VALUE"""),45383)</f>
        <v>45383</v>
      </c>
      <c r="J469" s="5">
        <f ca="1">IFERROR(__xludf.DUMMYFUNCTION("VALUE(REGEXREPLACE(G469,""\."","",""))"),280)</f>
        <v>280</v>
      </c>
      <c r="K469" s="5" t="e">
        <f t="shared" ca="1" si="6"/>
        <v>#NAME?</v>
      </c>
      <c r="L469" s="25" t="e">
        <f t="shared" ca="1" si="7"/>
        <v>#NAME?</v>
      </c>
    </row>
    <row r="470" spans="6:12" ht="12.5">
      <c r="F470" s="34">
        <f ca="1">IFERROR(__xludf.DUMMYFUNCTION("""COMPUTED_VALUE"""),37926)</f>
        <v>37926</v>
      </c>
      <c r="G470" s="5" t="str">
        <f ca="1">IFERROR(__xludf.DUMMYFUNCTION("""COMPUTED_VALUE"""),"290.0")</f>
        <v>290.0</v>
      </c>
      <c r="H470" s="5">
        <f ca="1">IFERROR(__xludf.DUMMYFUNCTION("""COMPUTED_VALUE"""),45454)</f>
        <v>45454</v>
      </c>
      <c r="I470" s="5" t="str">
        <f ca="1">IFERROR(__xludf.DUMMYFUNCTION("""COMPUTED_VALUE"""),"1.45")</f>
        <v>1.45</v>
      </c>
      <c r="J470" s="5">
        <f ca="1">IFERROR(__xludf.DUMMYFUNCTION("VALUE(REGEXREPLACE(G470,""\."","",""))"),290)</f>
        <v>290</v>
      </c>
      <c r="K470" s="5" t="e">
        <f t="shared" ca="1" si="6"/>
        <v>#NAME?</v>
      </c>
      <c r="L470" s="25" t="e">
        <f t="shared" ca="1" si="7"/>
        <v>#NAME?</v>
      </c>
    </row>
    <row r="471" spans="6:12" ht="12.5">
      <c r="F471" s="34">
        <f ca="1">IFERROR(__xludf.DUMMYFUNCTION("""COMPUTED_VALUE"""),37956)</f>
        <v>37956</v>
      </c>
      <c r="G471" s="5" t="str">
        <f ca="1">IFERROR(__xludf.DUMMYFUNCTION("""COMPUTED_VALUE"""),"300.0")</f>
        <v>300.0</v>
      </c>
      <c r="H471" s="5" t="str">
        <f ca="1">IFERROR(__xludf.DUMMYFUNCTION("""COMPUTED_VALUE"""),"12.0")</f>
        <v>12.0</v>
      </c>
      <c r="I471" s="5">
        <f ca="1">IFERROR(__xludf.DUMMYFUNCTION("""COMPUTED_VALUE"""),45413)</f>
        <v>45413</v>
      </c>
      <c r="J471" s="5">
        <f ca="1">IFERROR(__xludf.DUMMYFUNCTION("VALUE(REGEXREPLACE(G471,""\."","",""))"),300)</f>
        <v>300</v>
      </c>
      <c r="K471" s="5" t="e">
        <f t="shared" ca="1" si="6"/>
        <v>#NAME?</v>
      </c>
      <c r="L471" s="25" t="e">
        <f t="shared" ca="1" si="7"/>
        <v>#NAME?</v>
      </c>
    </row>
    <row r="472" spans="6:12" ht="12.5">
      <c r="F472" s="34">
        <f ca="1">IFERROR(__xludf.DUMMYFUNCTION("""COMPUTED_VALUE"""),37987)</f>
        <v>37987</v>
      </c>
      <c r="G472" s="5" t="str">
        <f ca="1">IFERROR(__xludf.DUMMYFUNCTION("""COMPUTED_VALUE"""),"350.0")</f>
        <v>350.0</v>
      </c>
      <c r="H472" s="5" t="str">
        <f ca="1">IFERROR(__xludf.DUMMYFUNCTION("""COMPUTED_VALUE"""),"14.0")</f>
        <v>14.0</v>
      </c>
      <c r="I472" s="5" t="str">
        <f ca="1">IFERROR(__xludf.DUMMYFUNCTION("""COMPUTED_VALUE"""),"1.75")</f>
        <v>1.75</v>
      </c>
      <c r="J472" s="5">
        <f ca="1">IFERROR(__xludf.DUMMYFUNCTION("VALUE(REGEXREPLACE(G472,""\."","",""))"),350)</f>
        <v>350</v>
      </c>
      <c r="K472" s="5" t="e">
        <f t="shared" ca="1" si="6"/>
        <v>#NAME?</v>
      </c>
      <c r="L472" s="25" t="e">
        <f t="shared" ca="1" si="7"/>
        <v>#NAME?</v>
      </c>
    </row>
    <row r="473" spans="6:12" ht="12.5">
      <c r="F473" s="34">
        <f ca="1">IFERROR(__xludf.DUMMYFUNCTION("""COMPUTED_VALUE"""),38018)</f>
        <v>38018</v>
      </c>
      <c r="G473" s="5" t="str">
        <f ca="1">IFERROR(__xludf.DUMMYFUNCTION("""COMPUTED_VALUE"""),"350.0")</f>
        <v>350.0</v>
      </c>
      <c r="H473" s="5" t="str">
        <f ca="1">IFERROR(__xludf.DUMMYFUNCTION("""COMPUTED_VALUE"""),"14.0")</f>
        <v>14.0</v>
      </c>
      <c r="I473" s="5" t="str">
        <f ca="1">IFERROR(__xludf.DUMMYFUNCTION("""COMPUTED_VALUE"""),"1.75")</f>
        <v>1.75</v>
      </c>
      <c r="J473" s="5">
        <f ca="1">IFERROR(__xludf.DUMMYFUNCTION("VALUE(REGEXREPLACE(G473,""\."","",""))"),350)</f>
        <v>350</v>
      </c>
      <c r="K473" s="14">
        <v>143.26</v>
      </c>
      <c r="L473" s="25" t="e">
        <f t="shared" ca="1" si="7"/>
        <v>#NAME?</v>
      </c>
    </row>
    <row r="474" spans="6:12" ht="12.5">
      <c r="F474" s="34">
        <f ca="1">IFERROR(__xludf.DUMMYFUNCTION("""COMPUTED_VALUE"""),38047)</f>
        <v>38047</v>
      </c>
      <c r="G474" s="5" t="str">
        <f ca="1">IFERROR(__xludf.DUMMYFUNCTION("""COMPUTED_VALUE"""),"350.0")</f>
        <v>350.0</v>
      </c>
      <c r="H474" s="5" t="str">
        <f ca="1">IFERROR(__xludf.DUMMYFUNCTION("""COMPUTED_VALUE"""),"14.0")</f>
        <v>14.0</v>
      </c>
      <c r="I474" s="5" t="str">
        <f ca="1">IFERROR(__xludf.DUMMYFUNCTION("""COMPUTED_VALUE"""),"1.75")</f>
        <v>1.75</v>
      </c>
      <c r="J474" s="5">
        <f ca="1">IFERROR(__xludf.DUMMYFUNCTION("VALUE(REGEXREPLACE(G474,""\."","",""))"),350)</f>
        <v>350</v>
      </c>
      <c r="K474" s="14">
        <v>143.4</v>
      </c>
      <c r="L474" s="25" t="e">
        <f t="shared" ca="1" si="7"/>
        <v>#NAME?</v>
      </c>
    </row>
    <row r="475" spans="6:12" ht="12.5">
      <c r="F475" s="34">
        <f ca="1">IFERROR(__xludf.DUMMYFUNCTION("""COMPUTED_VALUE"""),38078)</f>
        <v>38078</v>
      </c>
      <c r="G475" s="5" t="str">
        <f ca="1">IFERROR(__xludf.DUMMYFUNCTION("""COMPUTED_VALUE"""),"350.0")</f>
        <v>350.0</v>
      </c>
      <c r="H475" s="5" t="str">
        <f ca="1">IFERROR(__xludf.DUMMYFUNCTION("""COMPUTED_VALUE"""),"14.0")</f>
        <v>14.0</v>
      </c>
      <c r="I475" s="5" t="str">
        <f ca="1">IFERROR(__xludf.DUMMYFUNCTION("""COMPUTED_VALUE"""),"1.75")</f>
        <v>1.75</v>
      </c>
      <c r="J475" s="5">
        <f ca="1">IFERROR(__xludf.DUMMYFUNCTION("VALUE(REGEXREPLACE(G475,""\."","",""))"),350)</f>
        <v>350</v>
      </c>
      <c r="K475" s="14">
        <v>144.26</v>
      </c>
      <c r="L475" s="25" t="e">
        <f t="shared" ca="1" si="7"/>
        <v>#NAME?</v>
      </c>
    </row>
    <row r="476" spans="6:12" ht="12.5">
      <c r="F476" s="34">
        <f ca="1">IFERROR(__xludf.DUMMYFUNCTION("""COMPUTED_VALUE"""),38108)</f>
        <v>38108</v>
      </c>
      <c r="G476" s="5" t="str">
        <f ca="1">IFERROR(__xludf.DUMMYFUNCTION("""COMPUTED_VALUE"""),"350.0")</f>
        <v>350.0</v>
      </c>
      <c r="H476" s="5" t="str">
        <f ca="1">IFERROR(__xludf.DUMMYFUNCTION("""COMPUTED_VALUE"""),"14.0")</f>
        <v>14.0</v>
      </c>
      <c r="I476" s="5" t="str">
        <f ca="1">IFERROR(__xludf.DUMMYFUNCTION("""COMPUTED_VALUE"""),"1.75")</f>
        <v>1.75</v>
      </c>
      <c r="J476" s="5">
        <f ca="1">IFERROR(__xludf.DUMMYFUNCTION("VALUE(REGEXREPLACE(G476,""\."","",""))"),350)</f>
        <v>350</v>
      </c>
      <c r="K476" s="14">
        <v>145.49</v>
      </c>
      <c r="L476" s="25" t="e">
        <f t="shared" ca="1" si="7"/>
        <v>#NAME?</v>
      </c>
    </row>
    <row r="477" spans="6:12" ht="12.5">
      <c r="F477" s="34">
        <f ca="1">IFERROR(__xludf.DUMMYFUNCTION("""COMPUTED_VALUE"""),38139)</f>
        <v>38139</v>
      </c>
      <c r="G477" s="5" t="str">
        <f ca="1">IFERROR(__xludf.DUMMYFUNCTION("""COMPUTED_VALUE"""),"350.0")</f>
        <v>350.0</v>
      </c>
      <c r="H477" s="5" t="str">
        <f ca="1">IFERROR(__xludf.DUMMYFUNCTION("""COMPUTED_VALUE"""),"14.0")</f>
        <v>14.0</v>
      </c>
      <c r="I477" s="5" t="str">
        <f ca="1">IFERROR(__xludf.DUMMYFUNCTION("""COMPUTED_VALUE"""),"1.75")</f>
        <v>1.75</v>
      </c>
      <c r="J477" s="5">
        <f ca="1">IFERROR(__xludf.DUMMYFUNCTION("VALUE(REGEXREPLACE(G477,""\."","",""))"),350)</f>
        <v>350</v>
      </c>
      <c r="K477" s="14">
        <v>146.36000000000001</v>
      </c>
      <c r="L477" s="25" t="e">
        <f t="shared" ca="1" si="7"/>
        <v>#NAME?</v>
      </c>
    </row>
    <row r="478" spans="6:12" ht="12.5">
      <c r="F478" s="34">
        <f ca="1">IFERROR(__xludf.DUMMYFUNCTION("""COMPUTED_VALUE"""),38169)</f>
        <v>38169</v>
      </c>
      <c r="G478" s="5" t="str">
        <f ca="1">IFERROR(__xludf.DUMMYFUNCTION("""COMPUTED_VALUE"""),"350.0")</f>
        <v>350.0</v>
      </c>
      <c r="H478" s="5" t="str">
        <f ca="1">IFERROR(__xludf.DUMMYFUNCTION("""COMPUTED_VALUE"""),"14.0")</f>
        <v>14.0</v>
      </c>
      <c r="I478" s="5" t="str">
        <f ca="1">IFERROR(__xludf.DUMMYFUNCTION("""COMPUTED_VALUE"""),"1.75")</f>
        <v>1.75</v>
      </c>
      <c r="J478" s="5">
        <f ca="1">IFERROR(__xludf.DUMMYFUNCTION("VALUE(REGEXREPLACE(G478,""\."","",""))"),350)</f>
        <v>350</v>
      </c>
      <c r="K478" s="14">
        <v>147.38</v>
      </c>
      <c r="L478" s="25" t="e">
        <f t="shared" ca="1" si="7"/>
        <v>#NAME?</v>
      </c>
    </row>
    <row r="479" spans="6:12" ht="12.5">
      <c r="F479" s="34">
        <f ca="1">IFERROR(__xludf.DUMMYFUNCTION("""COMPUTED_VALUE"""),38200)</f>
        <v>38200</v>
      </c>
      <c r="G479" s="5" t="str">
        <f ca="1">IFERROR(__xludf.DUMMYFUNCTION("""COMPUTED_VALUE"""),"350.0")</f>
        <v>350.0</v>
      </c>
      <c r="H479" s="5" t="str">
        <f ca="1">IFERROR(__xludf.DUMMYFUNCTION("""COMPUTED_VALUE"""),"14.0")</f>
        <v>14.0</v>
      </c>
      <c r="I479" s="5" t="str">
        <f ca="1">IFERROR(__xludf.DUMMYFUNCTION("""COMPUTED_VALUE"""),"1.75")</f>
        <v>1.75</v>
      </c>
      <c r="J479" s="5">
        <f ca="1">IFERROR(__xludf.DUMMYFUNCTION("VALUE(REGEXREPLACE(G479,""\."","",""))"),350)</f>
        <v>350</v>
      </c>
      <c r="K479" s="14">
        <v>148.06</v>
      </c>
      <c r="L479" s="25" t="e">
        <f t="shared" ca="1" si="7"/>
        <v>#NAME?</v>
      </c>
    </row>
    <row r="480" spans="6:12" ht="12.5">
      <c r="F480" s="34">
        <f ca="1">IFERROR(__xludf.DUMMYFUNCTION("""COMPUTED_VALUE"""),38231)</f>
        <v>38231</v>
      </c>
      <c r="G480" s="5" t="str">
        <f ca="1">IFERROR(__xludf.DUMMYFUNCTION("""COMPUTED_VALUE"""),"450.0")</f>
        <v>450.0</v>
      </c>
      <c r="H480" s="5" t="str">
        <f ca="1">IFERROR(__xludf.DUMMYFUNCTION("""COMPUTED_VALUE"""),"18.0")</f>
        <v>18.0</v>
      </c>
      <c r="I480" s="5" t="str">
        <f ca="1">IFERROR(__xludf.DUMMYFUNCTION("""COMPUTED_VALUE"""),"2.25")</f>
        <v>2.25</v>
      </c>
      <c r="J480" s="5">
        <f ca="1">IFERROR(__xludf.DUMMYFUNCTION("VALUE(REGEXREPLACE(G480,""\."","",""))"),450)</f>
        <v>450</v>
      </c>
      <c r="K480" s="14">
        <v>148.57</v>
      </c>
      <c r="L480" s="25" t="e">
        <f t="shared" ca="1" si="7"/>
        <v>#NAME?</v>
      </c>
    </row>
    <row r="481" spans="6:12" ht="12.5">
      <c r="F481" s="34">
        <f ca="1">IFERROR(__xludf.DUMMYFUNCTION("""COMPUTED_VALUE"""),38261)</f>
        <v>38261</v>
      </c>
      <c r="G481" s="5" t="str">
        <f ca="1">IFERROR(__xludf.DUMMYFUNCTION("""COMPUTED_VALUE"""),"450.0")</f>
        <v>450.0</v>
      </c>
      <c r="H481" s="5" t="str">
        <f ca="1">IFERROR(__xludf.DUMMYFUNCTION("""COMPUTED_VALUE"""),"18.0")</f>
        <v>18.0</v>
      </c>
      <c r="I481" s="5" t="str">
        <f ca="1">IFERROR(__xludf.DUMMYFUNCTION("""COMPUTED_VALUE"""),"2.25")</f>
        <v>2.25</v>
      </c>
      <c r="J481" s="5">
        <f ca="1">IFERROR(__xludf.DUMMYFUNCTION("VALUE(REGEXREPLACE(G481,""\."","",""))"),450)</f>
        <v>450</v>
      </c>
      <c r="K481" s="14">
        <v>149.51</v>
      </c>
      <c r="L481" s="25" t="e">
        <f t="shared" ca="1" si="7"/>
        <v>#NAME?</v>
      </c>
    </row>
    <row r="482" spans="6:12" ht="12.5">
      <c r="F482" s="34">
        <f ca="1">IFERROR(__xludf.DUMMYFUNCTION("""COMPUTED_VALUE"""),38292)</f>
        <v>38292</v>
      </c>
      <c r="G482" s="5" t="str">
        <f ca="1">IFERROR(__xludf.DUMMYFUNCTION("""COMPUTED_VALUE"""),"450.0")</f>
        <v>450.0</v>
      </c>
      <c r="H482" s="5" t="str">
        <f ca="1">IFERROR(__xludf.DUMMYFUNCTION("""COMPUTED_VALUE"""),"18.0")</f>
        <v>18.0</v>
      </c>
      <c r="I482" s="5" t="str">
        <f ca="1">IFERROR(__xludf.DUMMYFUNCTION("""COMPUTED_VALUE"""),"2.25")</f>
        <v>2.25</v>
      </c>
      <c r="J482" s="5">
        <f ca="1">IFERROR(__xludf.DUMMYFUNCTION("VALUE(REGEXREPLACE(G482,""\."","",""))"),450)</f>
        <v>450</v>
      </c>
      <c r="K482" s="14">
        <v>150.1</v>
      </c>
      <c r="L482" s="25" t="e">
        <f t="shared" ca="1" si="7"/>
        <v>#NAME?</v>
      </c>
    </row>
    <row r="483" spans="6:12" ht="12.5">
      <c r="F483" s="34">
        <f ca="1">IFERROR(__xludf.DUMMYFUNCTION("""COMPUTED_VALUE"""),38322)</f>
        <v>38322</v>
      </c>
      <c r="G483" s="5" t="str">
        <f ca="1">IFERROR(__xludf.DUMMYFUNCTION("""COMPUTED_VALUE"""),"450.0")</f>
        <v>450.0</v>
      </c>
      <c r="H483" s="5" t="str">
        <f ca="1">IFERROR(__xludf.DUMMYFUNCTION("""COMPUTED_VALUE"""),"18.0")</f>
        <v>18.0</v>
      </c>
      <c r="I483" s="5" t="str">
        <f ca="1">IFERROR(__xludf.DUMMYFUNCTION("""COMPUTED_VALUE"""),"2.25")</f>
        <v>2.25</v>
      </c>
      <c r="J483" s="5">
        <f ca="1">IFERROR(__xludf.DUMMYFUNCTION("VALUE(REGEXREPLACE(G483,""\."","",""))"),450)</f>
        <v>450</v>
      </c>
      <c r="K483" s="14">
        <v>150.1</v>
      </c>
      <c r="L483" s="25" t="e">
        <f t="shared" ca="1" si="7"/>
        <v>#NAME?</v>
      </c>
    </row>
    <row r="484" spans="6:12" ht="12.5">
      <c r="F484" s="34">
        <f ca="1">IFERROR(__xludf.DUMMYFUNCTION("""COMPUTED_VALUE"""),38353)</f>
        <v>38353</v>
      </c>
      <c r="G484" s="5" t="str">
        <f ca="1">IFERROR(__xludf.DUMMYFUNCTION("""COMPUTED_VALUE"""),"450.0")</f>
        <v>450.0</v>
      </c>
      <c r="H484" s="5" t="str">
        <f ca="1">IFERROR(__xludf.DUMMYFUNCTION("""COMPUTED_VALUE"""),"18.0")</f>
        <v>18.0</v>
      </c>
      <c r="I484" s="5" t="str">
        <f ca="1">IFERROR(__xludf.DUMMYFUNCTION("""COMPUTED_VALUE"""),"2.25")</f>
        <v>2.25</v>
      </c>
      <c r="J484" s="5">
        <f ca="1">IFERROR(__xludf.DUMMYFUNCTION("VALUE(REGEXREPLACE(G484,""\."","",""))"),450)</f>
        <v>450</v>
      </c>
      <c r="K484" s="14">
        <v>151.36000000000001</v>
      </c>
      <c r="L484" s="25" t="e">
        <f t="shared" ca="1" si="7"/>
        <v>#NAME?</v>
      </c>
    </row>
    <row r="485" spans="6:12" ht="12.5">
      <c r="F485" s="34">
        <f ca="1">IFERROR(__xludf.DUMMYFUNCTION("""COMPUTED_VALUE"""),38384)</f>
        <v>38384</v>
      </c>
      <c r="G485" s="5" t="str">
        <f ca="1">IFERROR(__xludf.DUMMYFUNCTION("""COMPUTED_VALUE"""),"450.0")</f>
        <v>450.0</v>
      </c>
      <c r="H485" s="5" t="str">
        <f ca="1">IFERROR(__xludf.DUMMYFUNCTION("""COMPUTED_VALUE"""),"18.0")</f>
        <v>18.0</v>
      </c>
      <c r="I485" s="5" t="str">
        <f ca="1">IFERROR(__xludf.DUMMYFUNCTION("""COMPUTED_VALUE"""),"2.25")</f>
        <v>2.25</v>
      </c>
      <c r="J485" s="5">
        <f ca="1">IFERROR(__xludf.DUMMYFUNCTION("VALUE(REGEXREPLACE(G485,""\."","",""))"),450)</f>
        <v>450</v>
      </c>
      <c r="K485" s="14">
        <v>153.6</v>
      </c>
      <c r="L485" s="25" t="e">
        <f t="shared" ca="1" si="7"/>
        <v>#NAME?</v>
      </c>
    </row>
    <row r="486" spans="6:12" ht="12.5">
      <c r="F486" s="34">
        <f ca="1">IFERROR(__xludf.DUMMYFUNCTION("""COMPUTED_VALUE"""),38412)</f>
        <v>38412</v>
      </c>
      <c r="G486" s="5" t="str">
        <f ca="1">IFERROR(__xludf.DUMMYFUNCTION("""COMPUTED_VALUE"""),"450.0")</f>
        <v>450.0</v>
      </c>
      <c r="H486" s="5" t="str">
        <f ca="1">IFERROR(__xludf.DUMMYFUNCTION("""COMPUTED_VALUE"""),"18.0")</f>
        <v>18.0</v>
      </c>
      <c r="I486" s="5" t="str">
        <f ca="1">IFERROR(__xludf.DUMMYFUNCTION("""COMPUTED_VALUE"""),"2.25")</f>
        <v>2.25</v>
      </c>
      <c r="J486" s="5">
        <f ca="1">IFERROR(__xludf.DUMMYFUNCTION("VALUE(REGEXREPLACE(G486,""\."","",""))"),450)</f>
        <v>450</v>
      </c>
      <c r="K486" s="14">
        <v>155.06</v>
      </c>
      <c r="L486" s="25" t="e">
        <f t="shared" ca="1" si="7"/>
        <v>#NAME?</v>
      </c>
    </row>
    <row r="487" spans="6:12" ht="12.5">
      <c r="F487" s="34">
        <f ca="1">IFERROR(__xludf.DUMMYFUNCTION("""COMPUTED_VALUE"""),38443)</f>
        <v>38443</v>
      </c>
      <c r="G487" s="5" t="str">
        <f ca="1">IFERROR(__xludf.DUMMYFUNCTION("""COMPUTED_VALUE"""),"450.0")</f>
        <v>450.0</v>
      </c>
      <c r="H487" s="5" t="str">
        <f ca="1">IFERROR(__xludf.DUMMYFUNCTION("""COMPUTED_VALUE"""),"18.0")</f>
        <v>18.0</v>
      </c>
      <c r="I487" s="5" t="str">
        <f ca="1">IFERROR(__xludf.DUMMYFUNCTION("""COMPUTED_VALUE"""),"2.25")</f>
        <v>2.25</v>
      </c>
      <c r="J487" s="5">
        <f ca="1">IFERROR(__xludf.DUMMYFUNCTION("VALUE(REGEXREPLACE(G487,""\."","",""))"),450)</f>
        <v>450</v>
      </c>
      <c r="K487" s="14">
        <v>157.46</v>
      </c>
      <c r="L487" s="25" t="e">
        <f t="shared" ca="1" si="7"/>
        <v>#NAME?</v>
      </c>
    </row>
    <row r="488" spans="6:12" ht="12.5">
      <c r="F488" s="34">
        <f ca="1">IFERROR(__xludf.DUMMYFUNCTION("""COMPUTED_VALUE"""),38473)</f>
        <v>38473</v>
      </c>
      <c r="G488" s="5" t="str">
        <f ca="1">IFERROR(__xludf.DUMMYFUNCTION("""COMPUTED_VALUE"""),"510.0")</f>
        <v>510.0</v>
      </c>
      <c r="H488" s="5">
        <f ca="1">IFERROR(__xludf.DUMMYFUNCTION("""COMPUTED_VALUE"""),45402)</f>
        <v>45402</v>
      </c>
      <c r="I488" s="5" t="str">
        <f ca="1">IFERROR(__xludf.DUMMYFUNCTION("""COMPUTED_VALUE"""),"2.55")</f>
        <v>2.55</v>
      </c>
      <c r="J488" s="5">
        <f ca="1">IFERROR(__xludf.DUMMYFUNCTION("VALUE(REGEXREPLACE(G488,""\."","",""))"),510)</f>
        <v>510</v>
      </c>
      <c r="K488" s="14">
        <v>158.22999999999999</v>
      </c>
      <c r="L488" s="25" t="e">
        <f t="shared" ca="1" si="7"/>
        <v>#NAME?</v>
      </c>
    </row>
    <row r="489" spans="6:12" ht="12.5">
      <c r="F489" s="34">
        <f ca="1">IFERROR(__xludf.DUMMYFUNCTION("""COMPUTED_VALUE"""),38504)</f>
        <v>38504</v>
      </c>
      <c r="G489" s="5" t="str">
        <f ca="1">IFERROR(__xludf.DUMMYFUNCTION("""COMPUTED_VALUE"""),"570.0")</f>
        <v>570.0</v>
      </c>
      <c r="H489" s="5">
        <f ca="1">IFERROR(__xludf.DUMMYFUNCTION("""COMPUTED_VALUE"""),45526)</f>
        <v>45526</v>
      </c>
      <c r="I489" s="5" t="str">
        <f ca="1">IFERROR(__xludf.DUMMYFUNCTION("""COMPUTED_VALUE"""),"2.85")</f>
        <v>2.85</v>
      </c>
      <c r="J489" s="5">
        <f ca="1">IFERROR(__xludf.DUMMYFUNCTION("VALUE(REGEXREPLACE(G489,""\."","",""))"),570)</f>
        <v>570</v>
      </c>
      <c r="K489" s="14">
        <v>159.18</v>
      </c>
      <c r="L489" s="25" t="e">
        <f t="shared" ca="1" si="7"/>
        <v>#NAME?</v>
      </c>
    </row>
    <row r="490" spans="6:12" ht="12.5">
      <c r="F490" s="34">
        <f ca="1">IFERROR(__xludf.DUMMYFUNCTION("""COMPUTED_VALUE"""),38534)</f>
        <v>38534</v>
      </c>
      <c r="G490" s="5" t="str">
        <f ca="1">IFERROR(__xludf.DUMMYFUNCTION("""COMPUTED_VALUE"""),"630.0")</f>
        <v>630.0</v>
      </c>
      <c r="H490" s="5">
        <f ca="1">IFERROR(__xludf.DUMMYFUNCTION("""COMPUTED_VALUE"""),45347)</f>
        <v>45347</v>
      </c>
      <c r="I490" s="5" t="str">
        <f ca="1">IFERROR(__xludf.DUMMYFUNCTION("""COMPUTED_VALUE"""),"3.15")</f>
        <v>3.15</v>
      </c>
      <c r="J490" s="5">
        <f ca="1">IFERROR(__xludf.DUMMYFUNCTION("VALUE(REGEXREPLACE(G490,""\."","",""))"),630)</f>
        <v>630</v>
      </c>
      <c r="K490" s="14">
        <v>160.63999999999999</v>
      </c>
      <c r="L490" s="25" t="e">
        <f t="shared" ca="1" si="7"/>
        <v>#NAME?</v>
      </c>
    </row>
    <row r="491" spans="6:12" ht="12.5">
      <c r="F491" s="34">
        <f ca="1">IFERROR(__xludf.DUMMYFUNCTION("""COMPUTED_VALUE"""),38565)</f>
        <v>38565</v>
      </c>
      <c r="G491" s="5" t="str">
        <f ca="1">IFERROR(__xludf.DUMMYFUNCTION("""COMPUTED_VALUE"""),"630.0")</f>
        <v>630.0</v>
      </c>
      <c r="H491" s="5">
        <f ca="1">IFERROR(__xludf.DUMMYFUNCTION("""COMPUTED_VALUE"""),45347)</f>
        <v>45347</v>
      </c>
      <c r="I491" s="5" t="str">
        <f ca="1">IFERROR(__xludf.DUMMYFUNCTION("""COMPUTED_VALUE"""),"3.15")</f>
        <v>3.15</v>
      </c>
      <c r="J491" s="5">
        <f ca="1">IFERROR(__xludf.DUMMYFUNCTION("VALUE(REGEXREPLACE(G491,""\."","",""))"),630)</f>
        <v>630</v>
      </c>
      <c r="K491" s="14">
        <v>162.25</v>
      </c>
      <c r="L491" s="25" t="e">
        <f t="shared" ca="1" si="7"/>
        <v>#NAME?</v>
      </c>
    </row>
    <row r="492" spans="6:12" ht="12.5">
      <c r="F492" s="34">
        <f ca="1">IFERROR(__xludf.DUMMYFUNCTION("""COMPUTED_VALUE"""),38596)</f>
        <v>38596</v>
      </c>
      <c r="G492" s="5" t="str">
        <f ca="1">IFERROR(__xludf.DUMMYFUNCTION("""COMPUTED_VALUE"""),"630.0")</f>
        <v>630.0</v>
      </c>
      <c r="H492" s="5">
        <f ca="1">IFERROR(__xludf.DUMMYFUNCTION("""COMPUTED_VALUE"""),45347)</f>
        <v>45347</v>
      </c>
      <c r="I492" s="5" t="str">
        <f ca="1">IFERROR(__xludf.DUMMYFUNCTION("""COMPUTED_VALUE"""),"3.15")</f>
        <v>3.15</v>
      </c>
      <c r="J492" s="5">
        <f ca="1">IFERROR(__xludf.DUMMYFUNCTION("VALUE(REGEXREPLACE(G492,""\."","",""))"),630)</f>
        <v>630</v>
      </c>
      <c r="K492" s="14">
        <v>162.96</v>
      </c>
      <c r="L492" s="25" t="e">
        <f t="shared" ca="1" si="7"/>
        <v>#NAME?</v>
      </c>
    </row>
    <row r="493" spans="6:12" ht="12.5">
      <c r="F493" s="34">
        <f ca="1">IFERROR(__xludf.DUMMYFUNCTION("""COMPUTED_VALUE"""),38626)</f>
        <v>38626</v>
      </c>
      <c r="G493" s="5" t="str">
        <f ca="1">IFERROR(__xludf.DUMMYFUNCTION("""COMPUTED_VALUE"""),"630.0")</f>
        <v>630.0</v>
      </c>
      <c r="H493" s="5">
        <f ca="1">IFERROR(__xludf.DUMMYFUNCTION("""COMPUTED_VALUE"""),45347)</f>
        <v>45347</v>
      </c>
      <c r="I493" s="5" t="str">
        <f ca="1">IFERROR(__xludf.DUMMYFUNCTION("""COMPUTED_VALUE"""),"3.15")</f>
        <v>3.15</v>
      </c>
      <c r="J493" s="5">
        <f ca="1">IFERROR(__xludf.DUMMYFUNCTION("VALUE(REGEXREPLACE(G493,""\."","",""))"),630)</f>
        <v>630</v>
      </c>
      <c r="K493" s="14">
        <v>164.86</v>
      </c>
      <c r="L493" s="25" t="e">
        <f t="shared" ca="1" si="7"/>
        <v>#NAME?</v>
      </c>
    </row>
    <row r="494" spans="6:12" ht="12.5">
      <c r="F494" s="34">
        <f ca="1">IFERROR(__xludf.DUMMYFUNCTION("""COMPUTED_VALUE"""),38657)</f>
        <v>38657</v>
      </c>
      <c r="G494" s="5" t="str">
        <f ca="1">IFERROR(__xludf.DUMMYFUNCTION("""COMPUTED_VALUE"""),"630.0")</f>
        <v>630.0</v>
      </c>
      <c r="H494" s="5">
        <f ca="1">IFERROR(__xludf.DUMMYFUNCTION("""COMPUTED_VALUE"""),45347)</f>
        <v>45347</v>
      </c>
      <c r="I494" s="5" t="str">
        <f ca="1">IFERROR(__xludf.DUMMYFUNCTION("""COMPUTED_VALUE"""),"3.15")</f>
        <v>3.15</v>
      </c>
      <c r="J494" s="5">
        <f ca="1">IFERROR(__xludf.DUMMYFUNCTION("VALUE(REGEXREPLACE(G494,""\."","",""))"),630)</f>
        <v>630</v>
      </c>
      <c r="K494" s="14">
        <v>166.14</v>
      </c>
      <c r="L494" s="25" t="e">
        <f t="shared" ca="1" si="7"/>
        <v>#NAME?</v>
      </c>
    </row>
    <row r="495" spans="6:12" ht="12.5">
      <c r="F495" s="34">
        <f ca="1">IFERROR(__xludf.DUMMYFUNCTION("""COMPUTED_VALUE"""),38687)</f>
        <v>38687</v>
      </c>
      <c r="G495" s="5" t="str">
        <f ca="1">IFERROR(__xludf.DUMMYFUNCTION("""COMPUTED_VALUE"""),"630.0")</f>
        <v>630.0</v>
      </c>
      <c r="H495" s="5">
        <f ca="1">IFERROR(__xludf.DUMMYFUNCTION("""COMPUTED_VALUE"""),45347)</f>
        <v>45347</v>
      </c>
      <c r="I495" s="5" t="str">
        <f ca="1">IFERROR(__xludf.DUMMYFUNCTION("""COMPUTED_VALUE"""),"3.15")</f>
        <v>3.15</v>
      </c>
      <c r="J495" s="5">
        <f ca="1">IFERROR(__xludf.DUMMYFUNCTION("VALUE(REGEXREPLACE(G495,""\."","",""))"),630)</f>
        <v>630</v>
      </c>
      <c r="K495" s="14">
        <v>168.15</v>
      </c>
      <c r="L495" s="25" t="e">
        <f t="shared" ca="1" si="7"/>
        <v>#NAME?</v>
      </c>
    </row>
    <row r="496" spans="6:12" ht="12.5">
      <c r="F496" s="34">
        <f ca="1">IFERROR(__xludf.DUMMYFUNCTION("""COMPUTED_VALUE"""),38718)</f>
        <v>38718</v>
      </c>
      <c r="G496" s="5" t="str">
        <f ca="1">IFERROR(__xludf.DUMMYFUNCTION("""COMPUTED_VALUE"""),"630.0")</f>
        <v>630.0</v>
      </c>
      <c r="H496" s="5">
        <f ca="1">IFERROR(__xludf.DUMMYFUNCTION("""COMPUTED_VALUE"""),45347)</f>
        <v>45347</v>
      </c>
      <c r="I496" s="5" t="str">
        <f ca="1">IFERROR(__xludf.DUMMYFUNCTION("""COMPUTED_VALUE"""),"3.15")</f>
        <v>3.15</v>
      </c>
      <c r="J496" s="5">
        <f ca="1">IFERROR(__xludf.DUMMYFUNCTION("VALUE(REGEXREPLACE(G496,""\."","",""))"),630)</f>
        <v>630</v>
      </c>
      <c r="K496" s="14">
        <v>170.02</v>
      </c>
      <c r="L496" s="25" t="e">
        <f t="shared" ca="1" si="7"/>
        <v>#NAME?</v>
      </c>
    </row>
    <row r="497" spans="6:12" ht="12.5">
      <c r="F497" s="34">
        <f ca="1">IFERROR(__xludf.DUMMYFUNCTION("""COMPUTED_VALUE"""),38749)</f>
        <v>38749</v>
      </c>
      <c r="G497" s="5" t="str">
        <f ca="1">IFERROR(__xludf.DUMMYFUNCTION("""COMPUTED_VALUE"""),"630.0")</f>
        <v>630.0</v>
      </c>
      <c r="H497" s="5">
        <f ca="1">IFERROR(__xludf.DUMMYFUNCTION("""COMPUTED_VALUE"""),45347)</f>
        <v>45347</v>
      </c>
      <c r="I497" s="5" t="str">
        <f ca="1">IFERROR(__xludf.DUMMYFUNCTION("""COMPUTED_VALUE"""),"3.15")</f>
        <v>3.15</v>
      </c>
      <c r="J497" s="5">
        <f ca="1">IFERROR(__xludf.DUMMYFUNCTION("VALUE(REGEXREPLACE(G497,""\."","",""))"),630)</f>
        <v>630</v>
      </c>
      <c r="K497" s="14">
        <v>172.19</v>
      </c>
      <c r="L497" s="25" t="e">
        <f t="shared" ca="1" si="7"/>
        <v>#NAME?</v>
      </c>
    </row>
    <row r="498" spans="6:12" ht="12.5">
      <c r="F498" s="34">
        <f ca="1">IFERROR(__xludf.DUMMYFUNCTION("""COMPUTED_VALUE"""),38777)</f>
        <v>38777</v>
      </c>
      <c r="G498" s="5" t="str">
        <f ca="1">IFERROR(__xludf.DUMMYFUNCTION("""COMPUTED_VALUE"""),"630.0")</f>
        <v>630.0</v>
      </c>
      <c r="H498" s="5">
        <f ca="1">IFERROR(__xludf.DUMMYFUNCTION("""COMPUTED_VALUE"""),45347)</f>
        <v>45347</v>
      </c>
      <c r="I498" s="5" t="str">
        <f ca="1">IFERROR(__xludf.DUMMYFUNCTION("""COMPUTED_VALUE"""),"3.15")</f>
        <v>3.15</v>
      </c>
      <c r="J498" s="5">
        <f ca="1">IFERROR(__xludf.DUMMYFUNCTION("VALUE(REGEXREPLACE(G498,""\."","",""))"),630)</f>
        <v>630</v>
      </c>
      <c r="K498" s="14">
        <v>172.87</v>
      </c>
      <c r="L498" s="25" t="e">
        <f t="shared" ca="1" si="7"/>
        <v>#NAME?</v>
      </c>
    </row>
    <row r="499" spans="6:12" ht="12.5">
      <c r="F499" s="34">
        <f ca="1">IFERROR(__xludf.DUMMYFUNCTION("""COMPUTED_VALUE"""),38808)</f>
        <v>38808</v>
      </c>
      <c r="G499" s="5" t="str">
        <f ca="1">IFERROR(__xludf.DUMMYFUNCTION("""COMPUTED_VALUE"""),"630.0")</f>
        <v>630.0</v>
      </c>
      <c r="H499" s="5">
        <f ca="1">IFERROR(__xludf.DUMMYFUNCTION("""COMPUTED_VALUE"""),45347)</f>
        <v>45347</v>
      </c>
      <c r="I499" s="5" t="str">
        <f ca="1">IFERROR(__xludf.DUMMYFUNCTION("""COMPUTED_VALUE"""),"3.15")</f>
        <v>3.15</v>
      </c>
      <c r="J499" s="5">
        <f ca="1">IFERROR(__xludf.DUMMYFUNCTION("VALUE(REGEXREPLACE(G499,""\."","",""))"),630)</f>
        <v>630</v>
      </c>
      <c r="K499" s="14">
        <v>174.96</v>
      </c>
      <c r="L499" s="25" t="e">
        <f t="shared" ca="1" si="7"/>
        <v>#NAME?</v>
      </c>
    </row>
    <row r="500" spans="6:12" ht="12.5">
      <c r="F500" s="34">
        <f ca="1">IFERROR(__xludf.DUMMYFUNCTION("""COMPUTED_VALUE"""),38838)</f>
        <v>38838</v>
      </c>
      <c r="G500" s="5" t="str">
        <f ca="1">IFERROR(__xludf.DUMMYFUNCTION("""COMPUTED_VALUE"""),"630.0")</f>
        <v>630.0</v>
      </c>
      <c r="H500" s="5">
        <f ca="1">IFERROR(__xludf.DUMMYFUNCTION("""COMPUTED_VALUE"""),45347)</f>
        <v>45347</v>
      </c>
      <c r="I500" s="5" t="str">
        <f ca="1">IFERROR(__xludf.DUMMYFUNCTION("""COMPUTED_VALUE"""),"3.15")</f>
        <v>3.15</v>
      </c>
      <c r="J500" s="5">
        <f ca="1">IFERROR(__xludf.DUMMYFUNCTION("VALUE(REGEXREPLACE(G500,""\."","",""))"),630)</f>
        <v>630</v>
      </c>
      <c r="K500" s="14">
        <v>176.66</v>
      </c>
      <c r="L500" s="25" t="e">
        <f t="shared" ca="1" si="7"/>
        <v>#NAME?</v>
      </c>
    </row>
    <row r="501" spans="6:12" ht="12.5">
      <c r="F501" s="34">
        <f ca="1">IFERROR(__xludf.DUMMYFUNCTION("""COMPUTED_VALUE"""),38869)</f>
        <v>38869</v>
      </c>
      <c r="G501" s="5" t="str">
        <f ca="1">IFERROR(__xludf.DUMMYFUNCTION("""COMPUTED_VALUE"""),"630.0")</f>
        <v>630.0</v>
      </c>
      <c r="H501" s="5">
        <f ca="1">IFERROR(__xludf.DUMMYFUNCTION("""COMPUTED_VALUE"""),45347)</f>
        <v>45347</v>
      </c>
      <c r="I501" s="5" t="str">
        <f ca="1">IFERROR(__xludf.DUMMYFUNCTION("""COMPUTED_VALUE"""),"3.15")</f>
        <v>3.15</v>
      </c>
      <c r="J501" s="5">
        <f ca="1">IFERROR(__xludf.DUMMYFUNCTION("VALUE(REGEXREPLACE(G501,""\."","",""))"),630)</f>
        <v>630</v>
      </c>
      <c r="K501" s="14">
        <v>177.49</v>
      </c>
      <c r="L501" s="25" t="e">
        <f t="shared" ca="1" si="7"/>
        <v>#NAME?</v>
      </c>
    </row>
    <row r="502" spans="6:12" ht="12.5">
      <c r="F502" s="34">
        <f ca="1">IFERROR(__xludf.DUMMYFUNCTION("""COMPUTED_VALUE"""),38899)</f>
        <v>38899</v>
      </c>
      <c r="G502" s="5" t="str">
        <f ca="1">IFERROR(__xludf.DUMMYFUNCTION("""COMPUTED_VALUE"""),"630.0")</f>
        <v>630.0</v>
      </c>
      <c r="H502" s="5">
        <f ca="1">IFERROR(__xludf.DUMMYFUNCTION("""COMPUTED_VALUE"""),45347)</f>
        <v>45347</v>
      </c>
      <c r="I502" s="5" t="str">
        <f ca="1">IFERROR(__xludf.DUMMYFUNCTION("""COMPUTED_VALUE"""),"3.15")</f>
        <v>3.15</v>
      </c>
      <c r="J502" s="5">
        <f ca="1">IFERROR(__xludf.DUMMYFUNCTION("VALUE(REGEXREPLACE(G502,""\."","",""))"),630)</f>
        <v>630</v>
      </c>
      <c r="K502" s="14">
        <v>178.35</v>
      </c>
      <c r="L502" s="25" t="e">
        <f t="shared" ca="1" si="7"/>
        <v>#NAME?</v>
      </c>
    </row>
    <row r="503" spans="6:12" ht="12.5">
      <c r="F503" s="34">
        <f ca="1">IFERROR(__xludf.DUMMYFUNCTION("""COMPUTED_VALUE"""),38930)</f>
        <v>38930</v>
      </c>
      <c r="G503" s="5" t="str">
        <f ca="1">IFERROR(__xludf.DUMMYFUNCTION("""COMPUTED_VALUE"""),"760.0")</f>
        <v>760.0</v>
      </c>
      <c r="H503" s="5">
        <f ca="1">IFERROR(__xludf.DUMMYFUNCTION("""COMPUTED_VALUE"""),45412)</f>
        <v>45412</v>
      </c>
      <c r="I503" s="5">
        <f ca="1">IFERROR(__xludf.DUMMYFUNCTION("""COMPUTED_VALUE"""),45507)</f>
        <v>45507</v>
      </c>
      <c r="J503" s="5">
        <f ca="1">IFERROR(__xludf.DUMMYFUNCTION("VALUE(REGEXREPLACE(G503,""\."","",""))"),760)</f>
        <v>760</v>
      </c>
      <c r="K503" s="14">
        <v>179.45</v>
      </c>
      <c r="L503" s="25" t="e">
        <f t="shared" ca="1" si="7"/>
        <v>#NAME?</v>
      </c>
    </row>
    <row r="504" spans="6:12" ht="12.5">
      <c r="F504" s="34">
        <f ca="1">IFERROR(__xludf.DUMMYFUNCTION("""COMPUTED_VALUE"""),38961)</f>
        <v>38961</v>
      </c>
      <c r="G504" s="5" t="str">
        <f ca="1">IFERROR(__xludf.DUMMYFUNCTION("""COMPUTED_VALUE"""),"780.0")</f>
        <v>780.0</v>
      </c>
      <c r="H504" s="5" t="str">
        <f ca="1">IFERROR(__xludf.DUMMYFUNCTION("""COMPUTED_VALUE"""),"31.2")</f>
        <v>31.2</v>
      </c>
      <c r="I504" s="5">
        <f ca="1">IFERROR(__xludf.DUMMYFUNCTION("""COMPUTED_VALUE"""),45538)</f>
        <v>45538</v>
      </c>
      <c r="J504" s="5">
        <f ca="1">IFERROR(__xludf.DUMMYFUNCTION("VALUE(REGEXREPLACE(G504,""\."","",""))"),780)</f>
        <v>780</v>
      </c>
      <c r="K504" s="14">
        <v>180.46</v>
      </c>
      <c r="L504" s="25" t="e">
        <f t="shared" ca="1" si="7"/>
        <v>#NAME?</v>
      </c>
    </row>
    <row r="505" spans="6:12" ht="12.5">
      <c r="F505" s="34">
        <f ca="1">IFERROR(__xludf.DUMMYFUNCTION("""COMPUTED_VALUE"""),38991)</f>
        <v>38991</v>
      </c>
      <c r="G505" s="5" t="str">
        <f ca="1">IFERROR(__xludf.DUMMYFUNCTION("""COMPUTED_VALUE"""),"780.0")</f>
        <v>780.0</v>
      </c>
      <c r="H505" s="5" t="str">
        <f ca="1">IFERROR(__xludf.DUMMYFUNCTION("""COMPUTED_VALUE"""),"31.2")</f>
        <v>31.2</v>
      </c>
      <c r="I505" s="5">
        <f ca="1">IFERROR(__xludf.DUMMYFUNCTION("""COMPUTED_VALUE"""),45538)</f>
        <v>45538</v>
      </c>
      <c r="J505" s="5">
        <f ca="1">IFERROR(__xludf.DUMMYFUNCTION("VALUE(REGEXREPLACE(G505,""\."","",""))"),780)</f>
        <v>780</v>
      </c>
      <c r="K505" s="14">
        <v>182.08</v>
      </c>
      <c r="L505" s="25" t="e">
        <f t="shared" ca="1" si="7"/>
        <v>#NAME?</v>
      </c>
    </row>
    <row r="506" spans="6:12" ht="12.5">
      <c r="F506" s="34">
        <f ca="1">IFERROR(__xludf.DUMMYFUNCTION("""COMPUTED_VALUE"""),39022)</f>
        <v>39022</v>
      </c>
      <c r="G506" s="5" t="str">
        <f ca="1">IFERROR(__xludf.DUMMYFUNCTION("""COMPUTED_VALUE"""),"800.0")</f>
        <v>800.0</v>
      </c>
      <c r="H506" s="5" t="str">
        <f ca="1">IFERROR(__xludf.DUMMYFUNCTION("""COMPUTED_VALUE"""),"32.0")</f>
        <v>32.0</v>
      </c>
      <c r="I506" s="5" t="str">
        <f ca="1">IFERROR(__xludf.DUMMYFUNCTION("""COMPUTED_VALUE"""),"4.0")</f>
        <v>4.0</v>
      </c>
      <c r="J506" s="5">
        <f ca="1">IFERROR(__xludf.DUMMYFUNCTION("VALUE(REGEXREPLACE(G506,""\."","",""))"),800)</f>
        <v>800</v>
      </c>
      <c r="K506" s="14">
        <v>183.64</v>
      </c>
      <c r="L506" s="25" t="e">
        <f t="shared" ca="1" si="7"/>
        <v>#NAME?</v>
      </c>
    </row>
    <row r="507" spans="6:12" ht="12.5">
      <c r="F507" s="34">
        <f ca="1">IFERROR(__xludf.DUMMYFUNCTION("""COMPUTED_VALUE"""),39052)</f>
        <v>39052</v>
      </c>
      <c r="G507" s="5" t="str">
        <f ca="1">IFERROR(__xludf.DUMMYFUNCTION("""COMPUTED_VALUE"""),"800.0")</f>
        <v>800.0</v>
      </c>
      <c r="H507" s="5" t="str">
        <f ca="1">IFERROR(__xludf.DUMMYFUNCTION("""COMPUTED_VALUE"""),"32.0")</f>
        <v>32.0</v>
      </c>
      <c r="I507" s="5" t="str">
        <f ca="1">IFERROR(__xludf.DUMMYFUNCTION("""COMPUTED_VALUE"""),"4.0")</f>
        <v>4.0</v>
      </c>
      <c r="J507" s="5">
        <f ca="1">IFERROR(__xludf.DUMMYFUNCTION("VALUE(REGEXREPLACE(G507,""\."","",""))"),800)</f>
        <v>800</v>
      </c>
      <c r="K507" s="14">
        <v>184.94</v>
      </c>
      <c r="L507" s="25" t="e">
        <f t="shared" ca="1" si="7"/>
        <v>#NAME?</v>
      </c>
    </row>
    <row r="508" spans="6:12" ht="12.5">
      <c r="F508" s="34">
        <f ca="1">IFERROR(__xludf.DUMMYFUNCTION("""COMPUTED_VALUE"""),39083)</f>
        <v>39083</v>
      </c>
      <c r="G508" s="5" t="str">
        <f ca="1">IFERROR(__xludf.DUMMYFUNCTION("""COMPUTED_VALUE"""),"800.0")</f>
        <v>800.0</v>
      </c>
      <c r="H508" s="5" t="str">
        <f ca="1">IFERROR(__xludf.DUMMYFUNCTION("""COMPUTED_VALUE"""),"32.0")</f>
        <v>32.0</v>
      </c>
      <c r="I508" s="5" t="str">
        <f ca="1">IFERROR(__xludf.DUMMYFUNCTION("""COMPUTED_VALUE"""),"4.0")</f>
        <v>4.0</v>
      </c>
      <c r="J508" s="5">
        <f ca="1">IFERROR(__xludf.DUMMYFUNCTION("VALUE(REGEXREPLACE(G508,""\."","",""))"),800)</f>
        <v>800</v>
      </c>
      <c r="K508" s="14">
        <v>186.75</v>
      </c>
      <c r="L508" s="25" t="e">
        <f t="shared" ca="1" si="7"/>
        <v>#NAME?</v>
      </c>
    </row>
    <row r="509" spans="6:12" ht="12.5">
      <c r="F509" s="34">
        <f ca="1">IFERROR(__xludf.DUMMYFUNCTION("""COMPUTED_VALUE"""),39114)</f>
        <v>39114</v>
      </c>
      <c r="G509" s="5" t="str">
        <f ca="1">IFERROR(__xludf.DUMMYFUNCTION("""COMPUTED_VALUE"""),"800.0")</f>
        <v>800.0</v>
      </c>
      <c r="H509" s="5" t="str">
        <f ca="1">IFERROR(__xludf.DUMMYFUNCTION("""COMPUTED_VALUE"""),"32.0")</f>
        <v>32.0</v>
      </c>
      <c r="I509" s="5" t="str">
        <f ca="1">IFERROR(__xludf.DUMMYFUNCTION("""COMPUTED_VALUE"""),"4.0")</f>
        <v>4.0</v>
      </c>
      <c r="J509" s="5">
        <f ca="1">IFERROR(__xludf.DUMMYFUNCTION("VALUE(REGEXREPLACE(G509,""\."","",""))"),800)</f>
        <v>800</v>
      </c>
      <c r="K509" s="14">
        <v>189.44</v>
      </c>
      <c r="L509" s="25" t="e">
        <f t="shared" ca="1" si="7"/>
        <v>#NAME?</v>
      </c>
    </row>
    <row r="510" spans="6:12" ht="12.5">
      <c r="F510" s="34">
        <f ca="1">IFERROR(__xludf.DUMMYFUNCTION("""COMPUTED_VALUE"""),39142)</f>
        <v>39142</v>
      </c>
      <c r="G510" s="5" t="str">
        <f ca="1">IFERROR(__xludf.DUMMYFUNCTION("""COMPUTED_VALUE"""),"800.0")</f>
        <v>800.0</v>
      </c>
      <c r="H510" s="5" t="str">
        <f ca="1">IFERROR(__xludf.DUMMYFUNCTION("""COMPUTED_VALUE"""),"32.0")</f>
        <v>32.0</v>
      </c>
      <c r="I510" s="5" t="str">
        <f ca="1">IFERROR(__xludf.DUMMYFUNCTION("""COMPUTED_VALUE"""),"4.0")</f>
        <v>4.0</v>
      </c>
      <c r="J510" s="5">
        <f ca="1">IFERROR(__xludf.DUMMYFUNCTION("VALUE(REGEXREPLACE(G510,""\."","",""))"),800)</f>
        <v>800</v>
      </c>
      <c r="K510" s="14">
        <v>191.61</v>
      </c>
      <c r="L510" s="25" t="e">
        <f t="shared" ca="1" si="7"/>
        <v>#NAME?</v>
      </c>
    </row>
    <row r="511" spans="6:12" ht="12.5">
      <c r="F511" s="34">
        <f ca="1">IFERROR(__xludf.DUMMYFUNCTION("""COMPUTED_VALUE"""),39173)</f>
        <v>39173</v>
      </c>
      <c r="G511" s="5" t="str">
        <f ca="1">IFERROR(__xludf.DUMMYFUNCTION("""COMPUTED_VALUE"""),"800.0")</f>
        <v>800.0</v>
      </c>
      <c r="H511" s="5" t="str">
        <f ca="1">IFERROR(__xludf.DUMMYFUNCTION("""COMPUTED_VALUE"""),"32.0")</f>
        <v>32.0</v>
      </c>
      <c r="I511" s="5" t="str">
        <f ca="1">IFERROR(__xludf.DUMMYFUNCTION("""COMPUTED_VALUE"""),"4.0")</f>
        <v>4.0</v>
      </c>
      <c r="J511" s="5">
        <f ca="1">IFERROR(__xludf.DUMMYFUNCTION("VALUE(REGEXREPLACE(G511,""\."","",""))"),800)</f>
        <v>800</v>
      </c>
      <c r="K511" s="14">
        <v>193.82</v>
      </c>
      <c r="L511" s="25" t="e">
        <f t="shared" ca="1" si="7"/>
        <v>#NAME?</v>
      </c>
    </row>
    <row r="512" spans="6:12" ht="12.5">
      <c r="F512" s="34">
        <f ca="1">IFERROR(__xludf.DUMMYFUNCTION("""COMPUTED_VALUE"""),39203)</f>
        <v>39203</v>
      </c>
      <c r="G512" s="5" t="str">
        <f ca="1">IFERROR(__xludf.DUMMYFUNCTION("""COMPUTED_VALUE"""),"800.0")</f>
        <v>800.0</v>
      </c>
      <c r="H512" s="5" t="str">
        <f ca="1">IFERROR(__xludf.DUMMYFUNCTION("""COMPUTED_VALUE"""),"32.0")</f>
        <v>32.0</v>
      </c>
      <c r="I512" s="5" t="str">
        <f ca="1">IFERROR(__xludf.DUMMYFUNCTION("""COMPUTED_VALUE"""),"4.0")</f>
        <v>4.0</v>
      </c>
      <c r="J512" s="5">
        <f ca="1">IFERROR(__xludf.DUMMYFUNCTION("VALUE(REGEXREPLACE(G512,""\."","",""))"),800)</f>
        <v>800</v>
      </c>
      <c r="K512" s="14">
        <v>197.45</v>
      </c>
      <c r="L512" s="25" t="e">
        <f t="shared" ca="1" si="7"/>
        <v>#NAME?</v>
      </c>
    </row>
    <row r="513" spans="6:12" ht="12.5">
      <c r="F513" s="34">
        <f ca="1">IFERROR(__xludf.DUMMYFUNCTION("""COMPUTED_VALUE"""),39234)</f>
        <v>39234</v>
      </c>
      <c r="G513" s="5" t="str">
        <f ca="1">IFERROR(__xludf.DUMMYFUNCTION("""COMPUTED_VALUE"""),"800.0")</f>
        <v>800.0</v>
      </c>
      <c r="H513" s="5" t="str">
        <f ca="1">IFERROR(__xludf.DUMMYFUNCTION("""COMPUTED_VALUE"""),"32.0")</f>
        <v>32.0</v>
      </c>
      <c r="I513" s="5" t="str">
        <f ca="1">IFERROR(__xludf.DUMMYFUNCTION("""COMPUTED_VALUE"""),"4.0")</f>
        <v>4.0</v>
      </c>
      <c r="J513" s="5">
        <f ca="1">IFERROR(__xludf.DUMMYFUNCTION("VALUE(REGEXREPLACE(G513,""\."","",""))"),800)</f>
        <v>800</v>
      </c>
      <c r="K513" s="14">
        <v>201.74</v>
      </c>
      <c r="L513" s="25" t="e">
        <f t="shared" ca="1" si="7"/>
        <v>#NAME?</v>
      </c>
    </row>
    <row r="514" spans="6:12" ht="12.5">
      <c r="F514" s="34">
        <f ca="1">IFERROR(__xludf.DUMMYFUNCTION("""COMPUTED_VALUE"""),39264)</f>
        <v>39264</v>
      </c>
      <c r="G514" s="5" t="str">
        <f ca="1">IFERROR(__xludf.DUMMYFUNCTION("""COMPUTED_VALUE"""),"800.0")</f>
        <v>800.0</v>
      </c>
      <c r="H514" s="5" t="str">
        <f ca="1">IFERROR(__xludf.DUMMYFUNCTION("""COMPUTED_VALUE"""),"32.0")</f>
        <v>32.0</v>
      </c>
      <c r="I514" s="5" t="str">
        <f ca="1">IFERROR(__xludf.DUMMYFUNCTION("""COMPUTED_VALUE"""),"4.0")</f>
        <v>4.0</v>
      </c>
      <c r="J514" s="5">
        <f ca="1">IFERROR(__xludf.DUMMYFUNCTION("VALUE(REGEXREPLACE(G514,""\."","",""))"),800)</f>
        <v>800</v>
      </c>
      <c r="K514" s="14">
        <v>206.21</v>
      </c>
      <c r="L514" s="25" t="e">
        <f t="shared" ca="1" si="7"/>
        <v>#NAME?</v>
      </c>
    </row>
    <row r="515" spans="6:12" ht="12.5">
      <c r="F515" s="34">
        <f ca="1">IFERROR(__xludf.DUMMYFUNCTION("""COMPUTED_VALUE"""),39295)</f>
        <v>39295</v>
      </c>
      <c r="G515" s="5" t="str">
        <f ca="1">IFERROR(__xludf.DUMMYFUNCTION("""COMPUTED_VALUE"""),"900.0")</f>
        <v>900.0</v>
      </c>
      <c r="H515" s="5" t="str">
        <f ca="1">IFERROR(__xludf.DUMMYFUNCTION("""COMPUTED_VALUE"""),"36.0")</f>
        <v>36.0</v>
      </c>
      <c r="I515" s="5">
        <f ca="1">IFERROR(__xludf.DUMMYFUNCTION("""COMPUTED_VALUE"""),45416)</f>
        <v>45416</v>
      </c>
      <c r="J515" s="5">
        <f ca="1">IFERROR(__xludf.DUMMYFUNCTION("VALUE(REGEXREPLACE(G515,""\."","",""))"),900)</f>
        <v>900</v>
      </c>
      <c r="K515" s="14">
        <v>212.34</v>
      </c>
      <c r="L515" s="25" t="e">
        <f t="shared" ca="1" si="7"/>
        <v>#NAME?</v>
      </c>
    </row>
    <row r="516" spans="6:12" ht="12.5">
      <c r="F516" s="34">
        <f ca="1">IFERROR(__xludf.DUMMYFUNCTION("""COMPUTED_VALUE"""),39326)</f>
        <v>39326</v>
      </c>
      <c r="G516" s="5" t="str">
        <f ca="1">IFERROR(__xludf.DUMMYFUNCTION("""COMPUTED_VALUE"""),"900.0")</f>
        <v>900.0</v>
      </c>
      <c r="H516" s="5" t="str">
        <f ca="1">IFERROR(__xludf.DUMMYFUNCTION("""COMPUTED_VALUE"""),"36.0")</f>
        <v>36.0</v>
      </c>
      <c r="I516" s="5">
        <f ca="1">IFERROR(__xludf.DUMMYFUNCTION("""COMPUTED_VALUE"""),45416)</f>
        <v>45416</v>
      </c>
      <c r="J516" s="5">
        <f ca="1">IFERROR(__xludf.DUMMYFUNCTION("VALUE(REGEXREPLACE(G516,""\."","",""))"),900)</f>
        <v>900</v>
      </c>
      <c r="K516" s="14">
        <v>219.55</v>
      </c>
      <c r="L516" s="25" t="e">
        <f t="shared" ca="1" si="7"/>
        <v>#NAME?</v>
      </c>
    </row>
    <row r="517" spans="6:12" ht="12.5">
      <c r="F517" s="34">
        <f ca="1">IFERROR(__xludf.DUMMYFUNCTION("""COMPUTED_VALUE"""),39356)</f>
        <v>39356</v>
      </c>
      <c r="G517" s="5" t="str">
        <f ca="1">IFERROR(__xludf.DUMMYFUNCTION("""COMPUTED_VALUE"""),"960.0")</f>
        <v>960.0</v>
      </c>
      <c r="H517" s="5" t="str">
        <f ca="1">IFERROR(__xludf.DUMMYFUNCTION("""COMPUTED_VALUE"""),"38.4")</f>
        <v>38.4</v>
      </c>
      <c r="I517" s="5">
        <f ca="1">IFERROR(__xludf.DUMMYFUNCTION("""COMPUTED_VALUE"""),45508)</f>
        <v>45508</v>
      </c>
      <c r="J517" s="5">
        <f ca="1">IFERROR(__xludf.DUMMYFUNCTION("VALUE(REGEXREPLACE(G517,""\."","",""))"),960)</f>
        <v>960</v>
      </c>
      <c r="K517" s="14">
        <v>225.19</v>
      </c>
      <c r="L517" s="25" t="e">
        <f t="shared" ca="1" si="7"/>
        <v>#NAME?</v>
      </c>
    </row>
    <row r="518" spans="6:12" ht="12.5">
      <c r="F518" s="34">
        <f ca="1">IFERROR(__xludf.DUMMYFUNCTION("""COMPUTED_VALUE"""),39387)</f>
        <v>39387</v>
      </c>
      <c r="G518" s="5" t="str">
        <f ca="1">IFERROR(__xludf.DUMMYFUNCTION("""COMPUTED_VALUE"""),"960.0")</f>
        <v>960.0</v>
      </c>
      <c r="H518" s="5" t="str">
        <f ca="1">IFERROR(__xludf.DUMMYFUNCTION("""COMPUTED_VALUE"""),"38.4")</f>
        <v>38.4</v>
      </c>
      <c r="I518" s="5">
        <f ca="1">IFERROR(__xludf.DUMMYFUNCTION("""COMPUTED_VALUE"""),45508)</f>
        <v>45508</v>
      </c>
      <c r="J518" s="5">
        <f ca="1">IFERROR(__xludf.DUMMYFUNCTION("VALUE(REGEXREPLACE(G518,""\."","",""))"),960)</f>
        <v>960</v>
      </c>
      <c r="K518" s="14">
        <v>230.58</v>
      </c>
      <c r="L518" s="25" t="e">
        <f t="shared" ca="1" si="7"/>
        <v>#NAME?</v>
      </c>
    </row>
    <row r="519" spans="6:12" ht="12.5">
      <c r="F519" s="34">
        <f ca="1">IFERROR(__xludf.DUMMYFUNCTION("""COMPUTED_VALUE"""),39417)</f>
        <v>39417</v>
      </c>
      <c r="G519" s="5" t="str">
        <f ca="1">IFERROR(__xludf.DUMMYFUNCTION("""COMPUTED_VALUE"""),"980.0")</f>
        <v>980.0</v>
      </c>
      <c r="H519" s="5" t="str">
        <f ca="1">IFERROR(__xludf.DUMMYFUNCTION("""COMPUTED_VALUE"""),"39.2")</f>
        <v>39.2</v>
      </c>
      <c r="I519" s="5">
        <f ca="1">IFERROR(__xludf.DUMMYFUNCTION("""COMPUTED_VALUE"""),45539)</f>
        <v>45539</v>
      </c>
      <c r="J519" s="5">
        <f ca="1">IFERROR(__xludf.DUMMYFUNCTION("VALUE(REGEXREPLACE(G519,""\."","",""))"),980)</f>
        <v>980</v>
      </c>
      <c r="K519" s="14">
        <v>231.8</v>
      </c>
      <c r="L519" s="25" t="e">
        <f t="shared" ca="1" si="7"/>
        <v>#NAME?</v>
      </c>
    </row>
    <row r="520" spans="6:12" ht="12.5">
      <c r="F520" s="34">
        <f ca="1">IFERROR(__xludf.DUMMYFUNCTION("""COMPUTED_VALUE"""),39448)</f>
        <v>39448</v>
      </c>
      <c r="G520" s="5" t="str">
        <f ca="1">IFERROR(__xludf.DUMMYFUNCTION("""COMPUTED_VALUE"""),"980.0")</f>
        <v>980.0</v>
      </c>
      <c r="H520" s="5" t="str">
        <f ca="1">IFERROR(__xludf.DUMMYFUNCTION("""COMPUTED_VALUE"""),"39.2")</f>
        <v>39.2</v>
      </c>
      <c r="I520" s="5">
        <f ca="1">IFERROR(__xludf.DUMMYFUNCTION("""COMPUTED_VALUE"""),45539)</f>
        <v>45539</v>
      </c>
      <c r="J520" s="5">
        <f ca="1">IFERROR(__xludf.DUMMYFUNCTION("VALUE(REGEXREPLACE(G520,""\."","",""))"),980)</f>
        <v>980</v>
      </c>
      <c r="K520" s="14">
        <v>233.91</v>
      </c>
      <c r="L520" s="25" t="e">
        <f t="shared" ca="1" si="7"/>
        <v>#NAME?</v>
      </c>
    </row>
    <row r="521" spans="6:12" ht="12.5">
      <c r="F521" s="34">
        <f ca="1">IFERROR(__xludf.DUMMYFUNCTION("""COMPUTED_VALUE"""),39479)</f>
        <v>39479</v>
      </c>
      <c r="G521" s="5" t="str">
        <f ca="1">IFERROR(__xludf.DUMMYFUNCTION("""COMPUTED_VALUE"""),"980.0")</f>
        <v>980.0</v>
      </c>
      <c r="H521" s="5" t="str">
        <f ca="1">IFERROR(__xludf.DUMMYFUNCTION("""COMPUTED_VALUE"""),"39.2")</f>
        <v>39.2</v>
      </c>
      <c r="I521" s="5">
        <f ca="1">IFERROR(__xludf.DUMMYFUNCTION("""COMPUTED_VALUE"""),45539)</f>
        <v>45539</v>
      </c>
      <c r="J521" s="5">
        <f ca="1">IFERROR(__xludf.DUMMYFUNCTION("VALUE(REGEXREPLACE(G521,""\."","",""))"),980)</f>
        <v>980</v>
      </c>
      <c r="K521" s="14">
        <v>236.64</v>
      </c>
      <c r="L521" s="25" t="e">
        <f t="shared" ca="1" si="7"/>
        <v>#NAME?</v>
      </c>
    </row>
    <row r="522" spans="6:12" ht="12.5">
      <c r="F522" s="34">
        <f ca="1">IFERROR(__xludf.DUMMYFUNCTION("""COMPUTED_VALUE"""),39508)</f>
        <v>39508</v>
      </c>
      <c r="G522" s="5" t="str">
        <f ca="1">IFERROR(__xludf.DUMMYFUNCTION("""COMPUTED_VALUE"""),"980.0")</f>
        <v>980.0</v>
      </c>
      <c r="H522" s="5" t="str">
        <f ca="1">IFERROR(__xludf.DUMMYFUNCTION("""COMPUTED_VALUE"""),"39.2")</f>
        <v>39.2</v>
      </c>
      <c r="I522" s="5">
        <f ca="1">IFERROR(__xludf.DUMMYFUNCTION("""COMPUTED_VALUE"""),45539)</f>
        <v>45539</v>
      </c>
      <c r="J522" s="5">
        <f ca="1">IFERROR(__xludf.DUMMYFUNCTION("VALUE(REGEXREPLACE(G522,""\."","",""))"),980)</f>
        <v>980</v>
      </c>
      <c r="K522" s="14">
        <v>242.53</v>
      </c>
      <c r="L522" s="25" t="e">
        <f t="shared" ca="1" si="7"/>
        <v>#NAME?</v>
      </c>
    </row>
    <row r="523" spans="6:12" ht="12.5">
      <c r="F523" s="34">
        <f ca="1">IFERROR(__xludf.DUMMYFUNCTION("""COMPUTED_VALUE"""),39539)</f>
        <v>39539</v>
      </c>
      <c r="G523" s="5" t="str">
        <f ca="1">IFERROR(__xludf.DUMMYFUNCTION("""COMPUTED_VALUE"""),"980.0")</f>
        <v>980.0</v>
      </c>
      <c r="H523" s="5" t="str">
        <f ca="1">IFERROR(__xludf.DUMMYFUNCTION("""COMPUTED_VALUE"""),"39.2")</f>
        <v>39.2</v>
      </c>
      <c r="I523" s="5">
        <f ca="1">IFERROR(__xludf.DUMMYFUNCTION("""COMPUTED_VALUE"""),45539)</f>
        <v>45539</v>
      </c>
      <c r="J523" s="5">
        <f ca="1">IFERROR(__xludf.DUMMYFUNCTION("VALUE(REGEXREPLACE(G523,""\."","",""))"),980)</f>
        <v>980</v>
      </c>
      <c r="K523" s="14">
        <v>251.87</v>
      </c>
      <c r="L523" s="25" t="e">
        <f t="shared" ca="1" si="7"/>
        <v>#NAME?</v>
      </c>
    </row>
    <row r="524" spans="6:12" ht="12.5">
      <c r="F524" s="34">
        <f ca="1">IFERROR(__xludf.DUMMYFUNCTION("""COMPUTED_VALUE"""),39569)</f>
        <v>39569</v>
      </c>
      <c r="G524" s="5" t="str">
        <f ca="1">IFERROR(__xludf.DUMMYFUNCTION("""COMPUTED_VALUE"""),"980.0")</f>
        <v>980.0</v>
      </c>
      <c r="H524" s="5" t="str">
        <f ca="1">IFERROR(__xludf.DUMMYFUNCTION("""COMPUTED_VALUE"""),"39.2")</f>
        <v>39.2</v>
      </c>
      <c r="I524" s="5">
        <f ca="1">IFERROR(__xludf.DUMMYFUNCTION("""COMPUTED_VALUE"""),45539)</f>
        <v>45539</v>
      </c>
      <c r="J524" s="5">
        <f ca="1">IFERROR(__xludf.DUMMYFUNCTION("VALUE(REGEXREPLACE(G524,""\."","",""))"),980)</f>
        <v>980</v>
      </c>
      <c r="K524" s="14">
        <v>260.33999999999997</v>
      </c>
      <c r="L524" s="25" t="e">
        <f t="shared" ca="1" si="7"/>
        <v>#NAME?</v>
      </c>
    </row>
    <row r="525" spans="6:12" ht="12.5">
      <c r="F525" s="34">
        <f ca="1">IFERROR(__xludf.DUMMYFUNCTION("""COMPUTED_VALUE"""),39600)</f>
        <v>39600</v>
      </c>
      <c r="G525" s="5" t="str">
        <f ca="1">IFERROR(__xludf.DUMMYFUNCTION("""COMPUTED_VALUE"""),"980.0")</f>
        <v>980.0</v>
      </c>
      <c r="H525" s="5" t="str">
        <f ca="1">IFERROR(__xludf.DUMMYFUNCTION("""COMPUTED_VALUE"""),"39.2")</f>
        <v>39.2</v>
      </c>
      <c r="I525" s="5">
        <f ca="1">IFERROR(__xludf.DUMMYFUNCTION("""COMPUTED_VALUE"""),45539)</f>
        <v>45539</v>
      </c>
      <c r="J525" s="5">
        <f ca="1">IFERROR(__xludf.DUMMYFUNCTION("VALUE(REGEXREPLACE(G525,""\."","",""))"),980)</f>
        <v>980</v>
      </c>
      <c r="K525" s="14">
        <v>264.97000000000003</v>
      </c>
      <c r="L525" s="25" t="e">
        <f t="shared" ca="1" si="7"/>
        <v>#NAME?</v>
      </c>
    </row>
    <row r="526" spans="6:12" ht="12.5">
      <c r="F526" s="34">
        <f ca="1">IFERROR(__xludf.DUMMYFUNCTION("""COMPUTED_VALUE"""),39630)</f>
        <v>39630</v>
      </c>
      <c r="G526" s="5" t="str">
        <f ca="1">IFERROR(__xludf.DUMMYFUNCTION("""COMPUTED_VALUE"""),"980.0")</f>
        <v>980.0</v>
      </c>
      <c r="H526" s="5" t="str">
        <f ca="1">IFERROR(__xludf.DUMMYFUNCTION("""COMPUTED_VALUE"""),"39.2")</f>
        <v>39.2</v>
      </c>
      <c r="I526" s="5">
        <f ca="1">IFERROR(__xludf.DUMMYFUNCTION("""COMPUTED_VALUE"""),45539)</f>
        <v>45539</v>
      </c>
      <c r="J526" s="5">
        <f ca="1">IFERROR(__xludf.DUMMYFUNCTION("VALUE(REGEXREPLACE(G526,""\."","",""))"),980)</f>
        <v>980</v>
      </c>
      <c r="K526" s="14">
        <v>270.35000000000002</v>
      </c>
      <c r="L526" s="25" t="e">
        <f t="shared" ca="1" si="7"/>
        <v>#NAME?</v>
      </c>
    </row>
    <row r="527" spans="6:12" ht="12.5">
      <c r="F527" s="34">
        <f ca="1">IFERROR(__xludf.DUMMYFUNCTION("""COMPUTED_VALUE"""),39661)</f>
        <v>39661</v>
      </c>
      <c r="G527" s="5" t="str">
        <f ca="1">IFERROR(__xludf.DUMMYFUNCTION("""COMPUTED_VALUE"""),"1200.0")</f>
        <v>1200.0</v>
      </c>
      <c r="H527" s="5" t="str">
        <f ca="1">IFERROR(__xludf.DUMMYFUNCTION("""COMPUTED_VALUE"""),"48.0")</f>
        <v>48.0</v>
      </c>
      <c r="I527" s="5" t="str">
        <f ca="1">IFERROR(__xludf.DUMMYFUNCTION("""COMPUTED_VALUE"""),"6.0")</f>
        <v>6.0</v>
      </c>
      <c r="J527" s="5">
        <f ca="1">IFERROR(__xludf.DUMMYFUNCTION("VALUE(REGEXREPLACE(G527,""\."","",""))"),1200)</f>
        <v>1200</v>
      </c>
      <c r="K527" s="14">
        <v>274.45999999999998</v>
      </c>
      <c r="L527" s="25" t="e">
        <f t="shared" ca="1" si="7"/>
        <v>#NAME?</v>
      </c>
    </row>
    <row r="528" spans="6:12" ht="12.5">
      <c r="F528" s="34">
        <f ca="1">IFERROR(__xludf.DUMMYFUNCTION("""COMPUTED_VALUE"""),39692)</f>
        <v>39692</v>
      </c>
      <c r="G528" s="5" t="str">
        <f ca="1">IFERROR(__xludf.DUMMYFUNCTION("""COMPUTED_VALUE"""),"1200.0")</f>
        <v>1200.0</v>
      </c>
      <c r="H528" s="5" t="str">
        <f ca="1">IFERROR(__xludf.DUMMYFUNCTION("""COMPUTED_VALUE"""),"48.0")</f>
        <v>48.0</v>
      </c>
      <c r="I528" s="5" t="str">
        <f ca="1">IFERROR(__xludf.DUMMYFUNCTION("""COMPUTED_VALUE"""),"6.0")</f>
        <v>6.0</v>
      </c>
      <c r="J528" s="5">
        <f ca="1">IFERROR(__xludf.DUMMYFUNCTION("VALUE(REGEXREPLACE(G528,""\."","",""))"),1200)</f>
        <v>1200</v>
      </c>
      <c r="K528" s="14">
        <v>277.52999999999997</v>
      </c>
      <c r="L528" s="25" t="e">
        <f t="shared" ca="1" si="7"/>
        <v>#NAME?</v>
      </c>
    </row>
    <row r="529" spans="6:12" ht="12.5">
      <c r="F529" s="34">
        <f ca="1">IFERROR(__xludf.DUMMYFUNCTION("""COMPUTED_VALUE"""),39722)</f>
        <v>39722</v>
      </c>
      <c r="G529" s="5" t="str">
        <f ca="1">IFERROR(__xludf.DUMMYFUNCTION("""COMPUTED_VALUE"""),"1200.0")</f>
        <v>1200.0</v>
      </c>
      <c r="H529" s="5" t="str">
        <f ca="1">IFERROR(__xludf.DUMMYFUNCTION("""COMPUTED_VALUE"""),"48.0")</f>
        <v>48.0</v>
      </c>
      <c r="I529" s="5" t="str">
        <f ca="1">IFERROR(__xludf.DUMMYFUNCTION("""COMPUTED_VALUE"""),"6.0")</f>
        <v>6.0</v>
      </c>
      <c r="J529" s="5">
        <f ca="1">IFERROR(__xludf.DUMMYFUNCTION("VALUE(REGEXREPLACE(G529,""\."","",""))"),1200)</f>
        <v>1200</v>
      </c>
      <c r="K529" s="14">
        <v>281.38</v>
      </c>
      <c r="L529" s="25" t="e">
        <f t="shared" ca="1" si="7"/>
        <v>#NAME?</v>
      </c>
    </row>
    <row r="530" spans="6:12" ht="12.5">
      <c r="F530" s="34">
        <f ca="1">IFERROR(__xludf.DUMMYFUNCTION("""COMPUTED_VALUE"""),39753)</f>
        <v>39753</v>
      </c>
      <c r="G530" s="5" t="str">
        <f ca="1">IFERROR(__xludf.DUMMYFUNCTION("""COMPUTED_VALUE"""),"1200.0")</f>
        <v>1200.0</v>
      </c>
      <c r="H530" s="5" t="str">
        <f ca="1">IFERROR(__xludf.DUMMYFUNCTION("""COMPUTED_VALUE"""),"48.0")</f>
        <v>48.0</v>
      </c>
      <c r="I530" s="5" t="str">
        <f ca="1">IFERROR(__xludf.DUMMYFUNCTION("""COMPUTED_VALUE"""),"6.0")</f>
        <v>6.0</v>
      </c>
      <c r="J530" s="5">
        <f ca="1">IFERROR(__xludf.DUMMYFUNCTION("VALUE(REGEXREPLACE(G530,""\."","",""))"),1200)</f>
        <v>1200</v>
      </c>
      <c r="K530" s="14">
        <v>283.72000000000003</v>
      </c>
      <c r="L530" s="25" t="e">
        <f t="shared" ca="1" si="7"/>
        <v>#NAME?</v>
      </c>
    </row>
    <row r="531" spans="6:12" ht="12.5">
      <c r="F531" s="34">
        <f ca="1">IFERROR(__xludf.DUMMYFUNCTION("""COMPUTED_VALUE"""),39783)</f>
        <v>39783</v>
      </c>
      <c r="G531" s="5" t="str">
        <f ca="1">IFERROR(__xludf.DUMMYFUNCTION("""COMPUTED_VALUE"""),"1240.0")</f>
        <v>1240.0</v>
      </c>
      <c r="H531" s="5" t="str">
        <f ca="1">IFERROR(__xludf.DUMMYFUNCTION("""COMPUTED_VALUE"""),"49.6")</f>
        <v>49.6</v>
      </c>
      <c r="I531" s="5">
        <f ca="1">IFERROR(__xludf.DUMMYFUNCTION("""COMPUTED_VALUE"""),45328)</f>
        <v>45328</v>
      </c>
      <c r="J531" s="5">
        <f ca="1">IFERROR(__xludf.DUMMYFUNCTION("VALUE(REGEXREPLACE(G531,""\."","",""))"),1240)</f>
        <v>1240</v>
      </c>
      <c r="K531" s="14">
        <v>285.99</v>
      </c>
      <c r="L531" s="25" t="e">
        <f t="shared" ca="1" si="7"/>
        <v>#NAME?</v>
      </c>
    </row>
    <row r="532" spans="6:12" ht="12.5">
      <c r="F532" s="34">
        <f ca="1">IFERROR(__xludf.DUMMYFUNCTION("""COMPUTED_VALUE"""),39814)</f>
        <v>39814</v>
      </c>
      <c r="G532" s="5" t="str">
        <f ca="1">IFERROR(__xludf.DUMMYFUNCTION("""COMPUTED_VALUE"""),"1240.0")</f>
        <v>1240.0</v>
      </c>
      <c r="H532" s="5" t="str">
        <f ca="1">IFERROR(__xludf.DUMMYFUNCTION("""COMPUTED_VALUE"""),"49.6")</f>
        <v>49.6</v>
      </c>
      <c r="I532" s="5">
        <f ca="1">IFERROR(__xludf.DUMMYFUNCTION("""COMPUTED_VALUE"""),45328)</f>
        <v>45328</v>
      </c>
      <c r="J532" s="5">
        <f ca="1">IFERROR(__xludf.DUMMYFUNCTION("VALUE(REGEXREPLACE(G532,""\."","",""))"),1240)</f>
        <v>1240</v>
      </c>
      <c r="K532" s="14">
        <v>287.58</v>
      </c>
      <c r="L532" s="25" t="e">
        <f t="shared" ca="1" si="7"/>
        <v>#NAME?</v>
      </c>
    </row>
    <row r="533" spans="6:12" ht="12.5">
      <c r="F533" s="34">
        <f ca="1">IFERROR(__xludf.DUMMYFUNCTION("""COMPUTED_VALUE"""),39845)</f>
        <v>39845</v>
      </c>
      <c r="G533" s="5" t="str">
        <f ca="1">IFERROR(__xludf.DUMMYFUNCTION("""COMPUTED_VALUE"""),"1240.0")</f>
        <v>1240.0</v>
      </c>
      <c r="H533" s="5" t="str">
        <f ca="1">IFERROR(__xludf.DUMMYFUNCTION("""COMPUTED_VALUE"""),"49.6")</f>
        <v>49.6</v>
      </c>
      <c r="I533" s="5">
        <f ca="1">IFERROR(__xludf.DUMMYFUNCTION("""COMPUTED_VALUE"""),45328)</f>
        <v>45328</v>
      </c>
      <c r="J533" s="5">
        <f ca="1">IFERROR(__xludf.DUMMYFUNCTION("VALUE(REGEXREPLACE(G533,""\."","",""))"),1240)</f>
        <v>1240</v>
      </c>
      <c r="K533" s="14">
        <v>290.06</v>
      </c>
      <c r="L533" s="25" t="e">
        <f t="shared" ca="1" si="7"/>
        <v>#NAME?</v>
      </c>
    </row>
    <row r="534" spans="6:12" ht="12.5">
      <c r="F534" s="34">
        <f ca="1">IFERROR(__xludf.DUMMYFUNCTION("""COMPUTED_VALUE"""),39873)</f>
        <v>39873</v>
      </c>
      <c r="G534" s="5" t="str">
        <f ca="1">IFERROR(__xludf.DUMMYFUNCTION("""COMPUTED_VALUE"""),"1240.0")</f>
        <v>1240.0</v>
      </c>
      <c r="H534" s="5" t="str">
        <f ca="1">IFERROR(__xludf.DUMMYFUNCTION("""COMPUTED_VALUE"""),"49.6")</f>
        <v>49.6</v>
      </c>
      <c r="I534" s="5">
        <f ca="1">IFERROR(__xludf.DUMMYFUNCTION("""COMPUTED_VALUE"""),45328)</f>
        <v>45328</v>
      </c>
      <c r="J534" s="5">
        <f ca="1">IFERROR(__xludf.DUMMYFUNCTION("VALUE(REGEXREPLACE(G534,""\."","",""))"),1240)</f>
        <v>1240</v>
      </c>
      <c r="K534" s="14">
        <v>291.61</v>
      </c>
      <c r="L534" s="25" t="e">
        <f t="shared" ca="1" si="7"/>
        <v>#NAME?</v>
      </c>
    </row>
    <row r="535" spans="6:12" ht="12.5">
      <c r="F535" s="34">
        <f ca="1">IFERROR(__xludf.DUMMYFUNCTION("""COMPUTED_VALUE"""),39904)</f>
        <v>39904</v>
      </c>
      <c r="G535" s="5" t="str">
        <f ca="1">IFERROR(__xludf.DUMMYFUNCTION("""COMPUTED_VALUE"""),"1240.0")</f>
        <v>1240.0</v>
      </c>
      <c r="H535" s="5" t="str">
        <f ca="1">IFERROR(__xludf.DUMMYFUNCTION("""COMPUTED_VALUE"""),"49.6")</f>
        <v>49.6</v>
      </c>
      <c r="I535" s="5">
        <f ca="1">IFERROR(__xludf.DUMMYFUNCTION("""COMPUTED_VALUE"""),45328)</f>
        <v>45328</v>
      </c>
      <c r="J535" s="5">
        <f ca="1">IFERROR(__xludf.DUMMYFUNCTION("VALUE(REGEXREPLACE(G535,""\."","",""))"),1240)</f>
        <v>1240</v>
      </c>
      <c r="K535" s="14">
        <v>296.12</v>
      </c>
      <c r="L535" s="25" t="e">
        <f t="shared" ca="1" si="7"/>
        <v>#NAME?</v>
      </c>
    </row>
    <row r="536" spans="6:12" ht="12.5">
      <c r="F536" s="34">
        <f ca="1">IFERROR(__xludf.DUMMYFUNCTION("""COMPUTED_VALUE"""),39934)</f>
        <v>39934</v>
      </c>
      <c r="G536" s="5" t="str">
        <f ca="1">IFERROR(__xludf.DUMMYFUNCTION("""COMPUTED_VALUE"""),"1240.0")</f>
        <v>1240.0</v>
      </c>
      <c r="H536" s="5" t="str">
        <f ca="1">IFERROR(__xludf.DUMMYFUNCTION("""COMPUTED_VALUE"""),"49.6")</f>
        <v>49.6</v>
      </c>
      <c r="I536" s="5">
        <f ca="1">IFERROR(__xludf.DUMMYFUNCTION("""COMPUTED_VALUE"""),45328)</f>
        <v>45328</v>
      </c>
      <c r="J536" s="5">
        <f ca="1">IFERROR(__xludf.DUMMYFUNCTION("VALUE(REGEXREPLACE(G536,""\."","",""))"),1240)</f>
        <v>1240</v>
      </c>
      <c r="K536" s="14">
        <v>300.13</v>
      </c>
      <c r="L536" s="25" t="e">
        <f t="shared" ca="1" si="7"/>
        <v>#NAME?</v>
      </c>
    </row>
    <row r="537" spans="6:12" ht="12.5">
      <c r="F537" s="34">
        <f ca="1">IFERROR(__xludf.DUMMYFUNCTION("""COMPUTED_VALUE"""),39965)</f>
        <v>39965</v>
      </c>
      <c r="G537" s="5" t="str">
        <f ca="1">IFERROR(__xludf.DUMMYFUNCTION("""COMPUTED_VALUE"""),"1240.0")</f>
        <v>1240.0</v>
      </c>
      <c r="H537" s="5" t="str">
        <f ca="1">IFERROR(__xludf.DUMMYFUNCTION("""COMPUTED_VALUE"""),"49.6")</f>
        <v>49.6</v>
      </c>
      <c r="I537" s="5">
        <f ca="1">IFERROR(__xludf.DUMMYFUNCTION("""COMPUTED_VALUE"""),45328)</f>
        <v>45328</v>
      </c>
      <c r="J537" s="5">
        <f ca="1">IFERROR(__xludf.DUMMYFUNCTION("VALUE(REGEXREPLACE(G537,""\."","",""))"),1240)</f>
        <v>1240</v>
      </c>
      <c r="K537" s="14">
        <v>301.91000000000003</v>
      </c>
      <c r="L537" s="25" t="e">
        <f t="shared" ca="1" si="7"/>
        <v>#NAME?</v>
      </c>
    </row>
    <row r="538" spans="6:12" ht="12.5">
      <c r="F538" s="34">
        <f ca="1">IFERROR(__xludf.DUMMYFUNCTION("""COMPUTED_VALUE"""),39995)</f>
        <v>39995</v>
      </c>
      <c r="G538" s="5" t="str">
        <f ca="1">IFERROR(__xludf.DUMMYFUNCTION("""COMPUTED_VALUE"""),"1240.0")</f>
        <v>1240.0</v>
      </c>
      <c r="H538" s="5" t="str">
        <f ca="1">IFERROR(__xludf.DUMMYFUNCTION("""COMPUTED_VALUE"""),"49.6")</f>
        <v>49.6</v>
      </c>
      <c r="I538" s="5">
        <f ca="1">IFERROR(__xludf.DUMMYFUNCTION("""COMPUTED_VALUE"""),45328)</f>
        <v>45328</v>
      </c>
      <c r="J538" s="5">
        <f ca="1">IFERROR(__xludf.DUMMYFUNCTION("VALUE(REGEXREPLACE(G538,""\."","",""))"),1240)</f>
        <v>1240</v>
      </c>
      <c r="K538" s="14">
        <v>303.39999999999998</v>
      </c>
      <c r="L538" s="25" t="e">
        <f t="shared" ca="1" si="7"/>
        <v>#NAME?</v>
      </c>
    </row>
    <row r="539" spans="6:12" ht="12.5">
      <c r="F539" s="34">
        <f ca="1">IFERROR(__xludf.DUMMYFUNCTION("""COMPUTED_VALUE"""),40026)</f>
        <v>40026</v>
      </c>
      <c r="G539" s="5" t="str">
        <f ca="1">IFERROR(__xludf.DUMMYFUNCTION("""COMPUTED_VALUE"""),"1400.0")</f>
        <v>1400.0</v>
      </c>
      <c r="H539" s="5" t="str">
        <f ca="1">IFERROR(__xludf.DUMMYFUNCTION("""COMPUTED_VALUE"""),"56.0")</f>
        <v>56.0</v>
      </c>
      <c r="I539" s="5" t="str">
        <f ca="1">IFERROR(__xludf.DUMMYFUNCTION("""COMPUTED_VALUE"""),"7.0")</f>
        <v>7.0</v>
      </c>
      <c r="J539" s="5">
        <f ca="1">IFERROR(__xludf.DUMMYFUNCTION("VALUE(REGEXREPLACE(G539,""\."","",""))"),1400)</f>
        <v>1400</v>
      </c>
      <c r="K539" s="14">
        <v>306.20999999999998</v>
      </c>
      <c r="L539" s="25" t="e">
        <f t="shared" ca="1" si="7"/>
        <v>#NAME?</v>
      </c>
    </row>
    <row r="540" spans="6:12" ht="12.5">
      <c r="F540" s="34">
        <f ca="1">IFERROR(__xludf.DUMMYFUNCTION("""COMPUTED_VALUE"""),40057)</f>
        <v>40057</v>
      </c>
      <c r="G540" s="5" t="str">
        <f ca="1">IFERROR(__xludf.DUMMYFUNCTION("""COMPUTED_VALUE"""),"1400.0")</f>
        <v>1400.0</v>
      </c>
      <c r="H540" s="5" t="str">
        <f ca="1">IFERROR(__xludf.DUMMYFUNCTION("""COMPUTED_VALUE"""),"56.0")</f>
        <v>56.0</v>
      </c>
      <c r="I540" s="5" t="str">
        <f ca="1">IFERROR(__xludf.DUMMYFUNCTION("""COMPUTED_VALUE"""),"7.0")</f>
        <v>7.0</v>
      </c>
      <c r="J540" s="5">
        <f ca="1">IFERROR(__xludf.DUMMYFUNCTION("VALUE(REGEXREPLACE(G540,""\."","",""))"),1400)</f>
        <v>1400</v>
      </c>
      <c r="K540" s="14">
        <v>310.7</v>
      </c>
      <c r="L540" s="25" t="e">
        <f t="shared" ca="1" si="7"/>
        <v>#NAME?</v>
      </c>
    </row>
    <row r="541" spans="6:12" ht="12.5">
      <c r="F541" s="34">
        <f ca="1">IFERROR(__xludf.DUMMYFUNCTION("""COMPUTED_VALUE"""),40087)</f>
        <v>40087</v>
      </c>
      <c r="G541" s="5" t="str">
        <f ca="1">IFERROR(__xludf.DUMMYFUNCTION("""COMPUTED_VALUE"""),"1440.0")</f>
        <v>1440.0</v>
      </c>
      <c r="H541" s="5" t="str">
        <f ca="1">IFERROR(__xludf.DUMMYFUNCTION("""COMPUTED_VALUE"""),"57.6")</f>
        <v>57.6</v>
      </c>
      <c r="I541" s="5">
        <f ca="1">IFERROR(__xludf.DUMMYFUNCTION("""COMPUTED_VALUE"""),45329)</f>
        <v>45329</v>
      </c>
      <c r="J541" s="5">
        <f ca="1">IFERROR(__xludf.DUMMYFUNCTION("VALUE(REGEXREPLACE(G541,""\."","",""))"),1440)</f>
        <v>1440</v>
      </c>
      <c r="K541" s="14">
        <v>313.8</v>
      </c>
      <c r="L541" s="25" t="e">
        <f t="shared" ca="1" si="7"/>
        <v>#NAME?</v>
      </c>
    </row>
    <row r="542" spans="6:12" ht="12.5">
      <c r="F542" s="34">
        <f ca="1">IFERROR(__xludf.DUMMYFUNCTION("""COMPUTED_VALUE"""),40118)</f>
        <v>40118</v>
      </c>
      <c r="G542" s="5" t="str">
        <f ca="1">IFERROR(__xludf.DUMMYFUNCTION("""COMPUTED_VALUE"""),"1440.0")</f>
        <v>1440.0</v>
      </c>
      <c r="H542" s="5" t="str">
        <f ca="1">IFERROR(__xludf.DUMMYFUNCTION("""COMPUTED_VALUE"""),"57.6")</f>
        <v>57.6</v>
      </c>
      <c r="I542" s="5">
        <f ca="1">IFERROR(__xludf.DUMMYFUNCTION("""COMPUTED_VALUE"""),45329)</f>
        <v>45329</v>
      </c>
      <c r="J542" s="5">
        <f ca="1">IFERROR(__xludf.DUMMYFUNCTION("VALUE(REGEXREPLACE(G542,""\."","",""))"),1440)</f>
        <v>1440</v>
      </c>
      <c r="K542" s="14">
        <v>318.68</v>
      </c>
      <c r="L542" s="25" t="e">
        <f t="shared" ca="1" si="7"/>
        <v>#NAME?</v>
      </c>
    </row>
    <row r="543" spans="6:12" ht="12.5">
      <c r="F543" s="34">
        <f ca="1">IFERROR(__xludf.DUMMYFUNCTION("""COMPUTED_VALUE"""),40148)</f>
        <v>40148</v>
      </c>
      <c r="G543" s="5" t="str">
        <f ca="1">IFERROR(__xludf.DUMMYFUNCTION("""COMPUTED_VALUE"""),"1440.0")</f>
        <v>1440.0</v>
      </c>
      <c r="H543" s="5" t="str">
        <f ca="1">IFERROR(__xludf.DUMMYFUNCTION("""COMPUTED_VALUE"""),"57.6")</f>
        <v>57.6</v>
      </c>
      <c r="I543" s="5">
        <f ca="1">IFERROR(__xludf.DUMMYFUNCTION("""COMPUTED_VALUE"""),45329)</f>
        <v>45329</v>
      </c>
      <c r="J543" s="5">
        <f ca="1">IFERROR(__xludf.DUMMYFUNCTION("VALUE(REGEXREPLACE(G543,""\."","",""))"),1440)</f>
        <v>1440</v>
      </c>
      <c r="K543" s="14">
        <v>322.73</v>
      </c>
      <c r="L543" s="25" t="e">
        <f t="shared" ca="1" si="7"/>
        <v>#NAME?</v>
      </c>
    </row>
    <row r="544" spans="6:12" ht="12.5">
      <c r="F544" s="34">
        <f ca="1">IFERROR(__xludf.DUMMYFUNCTION("""COMPUTED_VALUE"""),40179)</f>
        <v>40179</v>
      </c>
      <c r="G544" s="5" t="str">
        <f ca="1">IFERROR(__xludf.DUMMYFUNCTION("""COMPUTED_VALUE"""),"1500.0")</f>
        <v>1500.0</v>
      </c>
      <c r="H544" s="5" t="str">
        <f ca="1">IFERROR(__xludf.DUMMYFUNCTION("""COMPUTED_VALUE"""),"60.0")</f>
        <v>60.0</v>
      </c>
      <c r="I544" s="5">
        <f ca="1">IFERROR(__xludf.DUMMYFUNCTION("""COMPUTED_VALUE"""),45419)</f>
        <v>45419</v>
      </c>
      <c r="J544" s="5">
        <f ca="1">IFERROR(__xludf.DUMMYFUNCTION("VALUE(REGEXREPLACE(G544,""\."","",""))"),1500)</f>
        <v>1500</v>
      </c>
      <c r="K544" s="14">
        <v>330.44</v>
      </c>
      <c r="L544" s="25" t="e">
        <f t="shared" ca="1" si="7"/>
        <v>#NAME?</v>
      </c>
    </row>
    <row r="545" spans="6:12" ht="12.5">
      <c r="F545" s="34">
        <f ca="1">IFERROR(__xludf.DUMMYFUNCTION("""COMPUTED_VALUE"""),40210)</f>
        <v>40210</v>
      </c>
      <c r="G545" s="5" t="str">
        <f ca="1">IFERROR(__xludf.DUMMYFUNCTION("""COMPUTED_VALUE"""),"1500.0")</f>
        <v>1500.0</v>
      </c>
      <c r="H545" s="5" t="str">
        <f ca="1">IFERROR(__xludf.DUMMYFUNCTION("""COMPUTED_VALUE"""),"60.0")</f>
        <v>60.0</v>
      </c>
      <c r="I545" s="5">
        <f ca="1">IFERROR(__xludf.DUMMYFUNCTION("""COMPUTED_VALUE"""),45419)</f>
        <v>45419</v>
      </c>
      <c r="J545" s="5">
        <f ca="1">IFERROR(__xludf.DUMMYFUNCTION("VALUE(REGEXREPLACE(G545,""\."","",""))"),1500)</f>
        <v>1500</v>
      </c>
      <c r="K545" s="14">
        <v>337.47</v>
      </c>
      <c r="L545" s="25" t="e">
        <f t="shared" ca="1" si="7"/>
        <v>#NAME?</v>
      </c>
    </row>
    <row r="546" spans="6:12" ht="12.5">
      <c r="F546" s="34">
        <f ca="1">IFERROR(__xludf.DUMMYFUNCTION("""COMPUTED_VALUE"""),40238)</f>
        <v>40238</v>
      </c>
      <c r="G546" s="5" t="str">
        <f ca="1">IFERROR(__xludf.DUMMYFUNCTION("""COMPUTED_VALUE"""),"1500.0")</f>
        <v>1500.0</v>
      </c>
      <c r="H546" s="5" t="str">
        <f ca="1">IFERROR(__xludf.DUMMYFUNCTION("""COMPUTED_VALUE"""),"60.0")</f>
        <v>60.0</v>
      </c>
      <c r="I546" s="5">
        <f ca="1">IFERROR(__xludf.DUMMYFUNCTION("""COMPUTED_VALUE"""),45419)</f>
        <v>45419</v>
      </c>
      <c r="J546" s="5">
        <f ca="1">IFERROR(__xludf.DUMMYFUNCTION("VALUE(REGEXREPLACE(G546,""\."","",""))"),1500)</f>
        <v>1500</v>
      </c>
      <c r="K546" s="14">
        <v>348.99</v>
      </c>
      <c r="L546" s="25" t="e">
        <f t="shared" ca="1" si="7"/>
        <v>#NAME?</v>
      </c>
    </row>
    <row r="547" spans="6:12" ht="12.5">
      <c r="F547" s="34">
        <f ca="1">IFERROR(__xludf.DUMMYFUNCTION("""COMPUTED_VALUE"""),40269)</f>
        <v>40269</v>
      </c>
      <c r="G547" s="5" t="str">
        <f ca="1">IFERROR(__xludf.DUMMYFUNCTION("""COMPUTED_VALUE"""),"1500.0")</f>
        <v>1500.0</v>
      </c>
      <c r="H547" s="5" t="str">
        <f ca="1">IFERROR(__xludf.DUMMYFUNCTION("""COMPUTED_VALUE"""),"60.0")</f>
        <v>60.0</v>
      </c>
      <c r="I547" s="5">
        <f ca="1">IFERROR(__xludf.DUMMYFUNCTION("""COMPUTED_VALUE"""),45419)</f>
        <v>45419</v>
      </c>
      <c r="J547" s="5">
        <f ca="1">IFERROR(__xludf.DUMMYFUNCTION("VALUE(REGEXREPLACE(G547,""\."","",""))"),1500)</f>
        <v>1500</v>
      </c>
      <c r="K547" s="14">
        <v>358.07</v>
      </c>
      <c r="L547" s="25" t="e">
        <f t="shared" ca="1" si="7"/>
        <v>#NAME?</v>
      </c>
    </row>
    <row r="548" spans="6:12" ht="12.5">
      <c r="F548" s="34">
        <f ca="1">IFERROR(__xludf.DUMMYFUNCTION("""COMPUTED_VALUE"""),40299)</f>
        <v>40299</v>
      </c>
      <c r="G548" s="5" t="str">
        <f ca="1">IFERROR(__xludf.DUMMYFUNCTION("""COMPUTED_VALUE"""),"1500.0")</f>
        <v>1500.0</v>
      </c>
      <c r="H548" s="5" t="str">
        <f ca="1">IFERROR(__xludf.DUMMYFUNCTION("""COMPUTED_VALUE"""),"60.0")</f>
        <v>60.0</v>
      </c>
      <c r="I548" s="5">
        <f ca="1">IFERROR(__xludf.DUMMYFUNCTION("""COMPUTED_VALUE"""),45419)</f>
        <v>45419</v>
      </c>
      <c r="J548" s="5">
        <f ca="1">IFERROR(__xludf.DUMMYFUNCTION("VALUE(REGEXREPLACE(G548,""\."","",""))"),1500)</f>
        <v>1500</v>
      </c>
      <c r="K548" s="14">
        <v>365.08</v>
      </c>
      <c r="L548" s="25" t="e">
        <f t="shared" ca="1" si="7"/>
        <v>#NAME?</v>
      </c>
    </row>
    <row r="549" spans="6:12" ht="12.5">
      <c r="F549" s="34">
        <f ca="1">IFERROR(__xludf.DUMMYFUNCTION("""COMPUTED_VALUE"""),40330)</f>
        <v>40330</v>
      </c>
      <c r="G549" s="5" t="str">
        <f ca="1">IFERROR(__xludf.DUMMYFUNCTION("""COMPUTED_VALUE"""),"1500.0")</f>
        <v>1500.0</v>
      </c>
      <c r="H549" s="5" t="str">
        <f ca="1">IFERROR(__xludf.DUMMYFUNCTION("""COMPUTED_VALUE"""),"60.0")</f>
        <v>60.0</v>
      </c>
      <c r="I549" s="5">
        <f ca="1">IFERROR(__xludf.DUMMYFUNCTION("""COMPUTED_VALUE"""),45419)</f>
        <v>45419</v>
      </c>
      <c r="J549" s="5">
        <f ca="1">IFERROR(__xludf.DUMMYFUNCTION("VALUE(REGEXREPLACE(G549,""\."","",""))"),1500)</f>
        <v>1500</v>
      </c>
      <c r="K549" s="14">
        <v>370.65</v>
      </c>
      <c r="L549" s="25" t="e">
        <f t="shared" ca="1" si="7"/>
        <v>#NAME?</v>
      </c>
    </row>
    <row r="550" spans="6:12" ht="12.5">
      <c r="F550" s="34">
        <f ca="1">IFERROR(__xludf.DUMMYFUNCTION("""COMPUTED_VALUE"""),40360)</f>
        <v>40360</v>
      </c>
      <c r="G550" s="5" t="str">
        <f ca="1">IFERROR(__xludf.DUMMYFUNCTION("""COMPUTED_VALUE"""),"1500.0")</f>
        <v>1500.0</v>
      </c>
      <c r="H550" s="5" t="str">
        <f ca="1">IFERROR(__xludf.DUMMYFUNCTION("""COMPUTED_VALUE"""),"60.0")</f>
        <v>60.0</v>
      </c>
      <c r="I550" s="5">
        <f ca="1">IFERROR(__xludf.DUMMYFUNCTION("""COMPUTED_VALUE"""),45419)</f>
        <v>45419</v>
      </c>
      <c r="J550" s="5">
        <f ca="1">IFERROR(__xludf.DUMMYFUNCTION("VALUE(REGEXREPLACE(G550,""\."","",""))"),1500)</f>
        <v>1500</v>
      </c>
      <c r="K550" s="14">
        <v>375.13</v>
      </c>
      <c r="L550" s="25" t="e">
        <f t="shared" ca="1" si="7"/>
        <v>#NAME?</v>
      </c>
    </row>
    <row r="551" spans="6:12" ht="12.5">
      <c r="F551" s="34">
        <f ca="1">IFERROR(__xludf.DUMMYFUNCTION("""COMPUTED_VALUE"""),40391)</f>
        <v>40391</v>
      </c>
      <c r="G551" s="5" t="str">
        <f ca="1">IFERROR(__xludf.DUMMYFUNCTION("""COMPUTED_VALUE"""),"1740.0")</f>
        <v>1740.0</v>
      </c>
      <c r="H551" s="5" t="str">
        <f ca="1">IFERROR(__xludf.DUMMYFUNCTION("""COMPUTED_VALUE"""),"69.6")</f>
        <v>69.6</v>
      </c>
      <c r="I551" s="5">
        <f ca="1">IFERROR(__xludf.DUMMYFUNCTION("""COMPUTED_VALUE"""),45481)</f>
        <v>45481</v>
      </c>
      <c r="J551" s="5">
        <f ca="1">IFERROR(__xludf.DUMMYFUNCTION("VALUE(REGEXREPLACE(G551,""\."","",""))"),1740)</f>
        <v>1740</v>
      </c>
      <c r="K551" s="14">
        <v>380.21</v>
      </c>
      <c r="L551" s="25" t="e">
        <f t="shared" ca="1" si="7"/>
        <v>#NAME?</v>
      </c>
    </row>
    <row r="552" spans="6:12" ht="12.5">
      <c r="F552" s="34">
        <f ca="1">IFERROR(__xludf.DUMMYFUNCTION("""COMPUTED_VALUE"""),40422)</f>
        <v>40422</v>
      </c>
      <c r="G552" s="5" t="str">
        <f ca="1">IFERROR(__xludf.DUMMYFUNCTION("""COMPUTED_VALUE"""),"1740.0")</f>
        <v>1740.0</v>
      </c>
      <c r="H552" s="5" t="str">
        <f ca="1">IFERROR(__xludf.DUMMYFUNCTION("""COMPUTED_VALUE"""),"69.6")</f>
        <v>69.6</v>
      </c>
      <c r="I552" s="5">
        <f ca="1">IFERROR(__xludf.DUMMYFUNCTION("""COMPUTED_VALUE"""),45481)</f>
        <v>45481</v>
      </c>
      <c r="J552" s="5">
        <f ca="1">IFERROR(__xludf.DUMMYFUNCTION("VALUE(REGEXREPLACE(G552,""\."","",""))"),1740)</f>
        <v>1740</v>
      </c>
      <c r="K552" s="14">
        <v>385.15</v>
      </c>
      <c r="L552" s="25" t="e">
        <f t="shared" ca="1" si="7"/>
        <v>#NAME?</v>
      </c>
    </row>
    <row r="553" spans="6:12" ht="12.5">
      <c r="F553" s="34">
        <f ca="1">IFERROR(__xludf.DUMMYFUNCTION("""COMPUTED_VALUE"""),40452)</f>
        <v>40452</v>
      </c>
      <c r="G553" s="5" t="str">
        <f ca="1">IFERROR(__xludf.DUMMYFUNCTION("""COMPUTED_VALUE"""),"1740.0")</f>
        <v>1740.0</v>
      </c>
      <c r="H553" s="5" t="str">
        <f ca="1">IFERROR(__xludf.DUMMYFUNCTION("""COMPUTED_VALUE"""),"69.6")</f>
        <v>69.6</v>
      </c>
      <c r="I553" s="5">
        <f ca="1">IFERROR(__xludf.DUMMYFUNCTION("""COMPUTED_VALUE"""),45481)</f>
        <v>45481</v>
      </c>
      <c r="J553" s="5">
        <f ca="1">IFERROR(__xludf.DUMMYFUNCTION("VALUE(REGEXREPLACE(G553,""\."","",""))"),1740)</f>
        <v>1740</v>
      </c>
      <c r="K553" s="14">
        <v>389.52</v>
      </c>
      <c r="L553" s="25" t="e">
        <f t="shared" ca="1" si="7"/>
        <v>#NAME?</v>
      </c>
    </row>
    <row r="554" spans="6:12" ht="12.5">
      <c r="F554" s="34">
        <f ca="1">IFERROR(__xludf.DUMMYFUNCTION("""COMPUTED_VALUE"""),40483)</f>
        <v>40483</v>
      </c>
      <c r="G554" s="5" t="str">
        <f ca="1">IFERROR(__xludf.DUMMYFUNCTION("""COMPUTED_VALUE"""),"1740.0")</f>
        <v>1740.0</v>
      </c>
      <c r="H554" s="5" t="str">
        <f ca="1">IFERROR(__xludf.DUMMYFUNCTION("""COMPUTED_VALUE"""),"69.6")</f>
        <v>69.6</v>
      </c>
      <c r="I554" s="5">
        <f ca="1">IFERROR(__xludf.DUMMYFUNCTION("""COMPUTED_VALUE"""),45481)</f>
        <v>45481</v>
      </c>
      <c r="J554" s="5">
        <f ca="1">IFERROR(__xludf.DUMMYFUNCTION("VALUE(REGEXREPLACE(G554,""\."","",""))"),1740)</f>
        <v>1740</v>
      </c>
      <c r="K554" s="14">
        <v>399.48</v>
      </c>
      <c r="L554" s="25" t="e">
        <f t="shared" ca="1" si="7"/>
        <v>#NAME?</v>
      </c>
    </row>
    <row r="555" spans="6:12" ht="12.5">
      <c r="F555" s="34">
        <f ca="1">IFERROR(__xludf.DUMMYFUNCTION("""COMPUTED_VALUE"""),40513)</f>
        <v>40513</v>
      </c>
      <c r="G555" s="5" t="str">
        <f ca="1">IFERROR(__xludf.DUMMYFUNCTION("""COMPUTED_VALUE"""),"1740.0")</f>
        <v>1740.0</v>
      </c>
      <c r="H555" s="5" t="str">
        <f ca="1">IFERROR(__xludf.DUMMYFUNCTION("""COMPUTED_VALUE"""),"69.6")</f>
        <v>69.6</v>
      </c>
      <c r="I555" s="5">
        <f ca="1">IFERROR(__xludf.DUMMYFUNCTION("""COMPUTED_VALUE"""),45481)</f>
        <v>45481</v>
      </c>
      <c r="J555" s="5">
        <f ca="1">IFERROR(__xludf.DUMMYFUNCTION("VALUE(REGEXREPLACE(G555,""\."","",""))"),1740)</f>
        <v>1740</v>
      </c>
      <c r="K555" s="14">
        <v>408.5</v>
      </c>
      <c r="L555" s="25" t="e">
        <f t="shared" ca="1" si="7"/>
        <v>#NAME?</v>
      </c>
    </row>
    <row r="556" spans="6:12" ht="12.5">
      <c r="F556" s="34">
        <f ca="1">IFERROR(__xludf.DUMMYFUNCTION("""COMPUTED_VALUE"""),40544)</f>
        <v>40544</v>
      </c>
      <c r="G556" s="5" t="str">
        <f ca="1">IFERROR(__xludf.DUMMYFUNCTION("""COMPUTED_VALUE"""),"1840.0")</f>
        <v>1840.0</v>
      </c>
      <c r="H556" s="5" t="str">
        <f ca="1">IFERROR(__xludf.DUMMYFUNCTION("""COMPUTED_VALUE"""),"73.6")</f>
        <v>73.6</v>
      </c>
      <c r="I556" s="5">
        <f ca="1">IFERROR(__xludf.DUMMYFUNCTION("""COMPUTED_VALUE"""),45331)</f>
        <v>45331</v>
      </c>
      <c r="J556" s="5">
        <f ca="1">IFERROR(__xludf.DUMMYFUNCTION("VALUE(REGEXREPLACE(G556,""\."","",""))"),1840)</f>
        <v>1840</v>
      </c>
      <c r="K556" s="14">
        <v>416.33</v>
      </c>
      <c r="L556" s="25" t="e">
        <f t="shared" ca="1" si="7"/>
        <v>#NAME?</v>
      </c>
    </row>
    <row r="557" spans="6:12" ht="12.5">
      <c r="F557" s="34">
        <f ca="1">IFERROR(__xludf.DUMMYFUNCTION("""COMPUTED_VALUE"""),40575)</f>
        <v>40575</v>
      </c>
      <c r="G557" s="5" t="str">
        <f ca="1">IFERROR(__xludf.DUMMYFUNCTION("""COMPUTED_VALUE"""),"1840.0")</f>
        <v>1840.0</v>
      </c>
      <c r="H557" s="5" t="str">
        <f ca="1">IFERROR(__xludf.DUMMYFUNCTION("""COMPUTED_VALUE"""),"73.6")</f>
        <v>73.6</v>
      </c>
      <c r="I557" s="5">
        <f ca="1">IFERROR(__xludf.DUMMYFUNCTION("""COMPUTED_VALUE"""),45331)</f>
        <v>45331</v>
      </c>
      <c r="J557" s="5">
        <f ca="1">IFERROR(__xludf.DUMMYFUNCTION("VALUE(REGEXREPLACE(G557,""\."","",""))"),1840)</f>
        <v>1840</v>
      </c>
      <c r="K557" s="14">
        <v>422.66</v>
      </c>
      <c r="L557" s="25" t="e">
        <f t="shared" ca="1" si="7"/>
        <v>#NAME?</v>
      </c>
    </row>
    <row r="558" spans="6:12" ht="12.5">
      <c r="F558" s="34">
        <f ca="1">IFERROR(__xludf.DUMMYFUNCTION("""COMPUTED_VALUE"""),40603)</f>
        <v>40603</v>
      </c>
      <c r="G558" s="5" t="str">
        <f ca="1">IFERROR(__xludf.DUMMYFUNCTION("""COMPUTED_VALUE"""),"1840.0")</f>
        <v>1840.0</v>
      </c>
      <c r="H558" s="5" t="str">
        <f ca="1">IFERROR(__xludf.DUMMYFUNCTION("""COMPUTED_VALUE"""),"73.6")</f>
        <v>73.6</v>
      </c>
      <c r="I558" s="5">
        <f ca="1">IFERROR(__xludf.DUMMYFUNCTION("""COMPUTED_VALUE"""),45331)</f>
        <v>45331</v>
      </c>
      <c r="J558" s="5">
        <f ca="1">IFERROR(__xludf.DUMMYFUNCTION("VALUE(REGEXREPLACE(G558,""\."","",""))"),1840)</f>
        <v>1840</v>
      </c>
      <c r="K558" s="14">
        <v>428.79</v>
      </c>
      <c r="L558" s="25" t="e">
        <f t="shared" ca="1" si="7"/>
        <v>#NAME?</v>
      </c>
    </row>
    <row r="559" spans="6:12" ht="12.5">
      <c r="F559" s="34">
        <f ca="1">IFERROR(__xludf.DUMMYFUNCTION("""COMPUTED_VALUE"""),40634)</f>
        <v>40634</v>
      </c>
      <c r="G559" s="5" t="str">
        <f ca="1">IFERROR(__xludf.DUMMYFUNCTION("""COMPUTED_VALUE"""),"1840.0")</f>
        <v>1840.0</v>
      </c>
      <c r="H559" s="5" t="str">
        <f ca="1">IFERROR(__xludf.DUMMYFUNCTION("""COMPUTED_VALUE"""),"73.6")</f>
        <v>73.6</v>
      </c>
      <c r="I559" s="5">
        <f ca="1">IFERROR(__xludf.DUMMYFUNCTION("""COMPUTED_VALUE"""),45331)</f>
        <v>45331</v>
      </c>
      <c r="J559" s="5">
        <f ca="1">IFERROR(__xludf.DUMMYFUNCTION("VALUE(REGEXREPLACE(G559,""\."","",""))"),1840)</f>
        <v>1840</v>
      </c>
      <c r="K559" s="14">
        <v>438.66</v>
      </c>
      <c r="L559" s="25" t="e">
        <f t="shared" ca="1" si="7"/>
        <v>#NAME?</v>
      </c>
    </row>
    <row r="560" spans="6:12" ht="12.5">
      <c r="F560" s="34">
        <f ca="1">IFERROR(__xludf.DUMMYFUNCTION("""COMPUTED_VALUE"""),40664)</f>
        <v>40664</v>
      </c>
      <c r="G560" s="5" t="str">
        <f ca="1">IFERROR(__xludf.DUMMYFUNCTION("""COMPUTED_VALUE"""),"1840.0")</f>
        <v>1840.0</v>
      </c>
      <c r="H560" s="5" t="str">
        <f ca="1">IFERROR(__xludf.DUMMYFUNCTION("""COMPUTED_VALUE"""),"73.6")</f>
        <v>73.6</v>
      </c>
      <c r="I560" s="5">
        <f ca="1">IFERROR(__xludf.DUMMYFUNCTION("""COMPUTED_VALUE"""),45331)</f>
        <v>45331</v>
      </c>
      <c r="J560" s="5">
        <f ca="1">IFERROR(__xludf.DUMMYFUNCTION("VALUE(REGEXREPLACE(G560,""\."","",""))"),1840)</f>
        <v>1840</v>
      </c>
      <c r="K560" s="14">
        <v>448.03</v>
      </c>
      <c r="L560" s="25" t="e">
        <f t="shared" ca="1" si="7"/>
        <v>#NAME?</v>
      </c>
    </row>
    <row r="561" spans="6:12" ht="12.5">
      <c r="F561" s="34">
        <f ca="1">IFERROR(__xludf.DUMMYFUNCTION("""COMPUTED_VALUE"""),40695)</f>
        <v>40695</v>
      </c>
      <c r="G561" s="5" t="str">
        <f ca="1">IFERROR(__xludf.DUMMYFUNCTION("""COMPUTED_VALUE"""),"1840.0")</f>
        <v>1840.0</v>
      </c>
      <c r="H561" s="5" t="str">
        <f ca="1">IFERROR(__xludf.DUMMYFUNCTION("""COMPUTED_VALUE"""),"73.6")</f>
        <v>73.6</v>
      </c>
      <c r="I561" s="5">
        <f ca="1">IFERROR(__xludf.DUMMYFUNCTION("""COMPUTED_VALUE"""),45331)</f>
        <v>45331</v>
      </c>
      <c r="J561" s="5">
        <f ca="1">IFERROR(__xludf.DUMMYFUNCTION("VALUE(REGEXREPLACE(G561,""\."","",""))"),1840)</f>
        <v>1840</v>
      </c>
      <c r="K561" s="14">
        <v>454.91</v>
      </c>
      <c r="L561" s="25" t="e">
        <f t="shared" ca="1" si="7"/>
        <v>#NAME?</v>
      </c>
    </row>
    <row r="562" spans="6:12" ht="12.5">
      <c r="F562" s="34">
        <f ca="1">IFERROR(__xludf.DUMMYFUNCTION("""COMPUTED_VALUE"""),40725)</f>
        <v>40725</v>
      </c>
      <c r="G562" s="5" t="str">
        <f ca="1">IFERROR(__xludf.DUMMYFUNCTION("""COMPUTED_VALUE"""),"1840.0")</f>
        <v>1840.0</v>
      </c>
      <c r="H562" s="5" t="str">
        <f ca="1">IFERROR(__xludf.DUMMYFUNCTION("""COMPUTED_VALUE"""),"73.6")</f>
        <v>73.6</v>
      </c>
      <c r="I562" s="5">
        <f ca="1">IFERROR(__xludf.DUMMYFUNCTION("""COMPUTED_VALUE"""),45331)</f>
        <v>45331</v>
      </c>
      <c r="J562" s="5">
        <f ca="1">IFERROR(__xludf.DUMMYFUNCTION("VALUE(REGEXREPLACE(G562,""\."","",""))"),1840)</f>
        <v>1840</v>
      </c>
      <c r="K562" s="14">
        <v>461.07</v>
      </c>
      <c r="L562" s="25" t="e">
        <f t="shared" ca="1" si="7"/>
        <v>#NAME?</v>
      </c>
    </row>
    <row r="563" spans="6:12" ht="12.5">
      <c r="F563" s="34">
        <f ca="1">IFERROR(__xludf.DUMMYFUNCTION("""COMPUTED_VALUE"""),40756)</f>
        <v>40756</v>
      </c>
      <c r="G563" s="5" t="str">
        <f ca="1">IFERROR(__xludf.DUMMYFUNCTION("""COMPUTED_VALUE"""),"1840.0")</f>
        <v>1840.0</v>
      </c>
      <c r="H563" s="5" t="str">
        <f ca="1">IFERROR(__xludf.DUMMYFUNCTION("""COMPUTED_VALUE"""),"92.0")</f>
        <v>92.0</v>
      </c>
      <c r="I563" s="5">
        <f ca="1">IFERROR(__xludf.DUMMYFUNCTION("""COMPUTED_VALUE"""),45423)</f>
        <v>45423</v>
      </c>
      <c r="J563" s="5">
        <f ca="1">IFERROR(__xludf.DUMMYFUNCTION("VALUE(REGEXREPLACE(G563,""\."","",""))"),1840)</f>
        <v>1840</v>
      </c>
      <c r="K563" s="14">
        <v>469.99</v>
      </c>
      <c r="L563" s="25" t="e">
        <f t="shared" ca="1" si="7"/>
        <v>#NAME?</v>
      </c>
    </row>
    <row r="564" spans="6:12" ht="12.5">
      <c r="F564" s="34">
        <f ca="1">IFERROR(__xludf.DUMMYFUNCTION("""COMPUTED_VALUE"""),40787)</f>
        <v>40787</v>
      </c>
      <c r="G564" s="5" t="str">
        <f ca="1">IFERROR(__xludf.DUMMYFUNCTION("""COMPUTED_VALUE"""),"2300.0")</f>
        <v>2300.0</v>
      </c>
      <c r="H564" s="5" t="str">
        <f ca="1">IFERROR(__xludf.DUMMYFUNCTION("""COMPUTED_VALUE"""),"92.0")</f>
        <v>92.0</v>
      </c>
      <c r="I564" s="5">
        <f ca="1">IFERROR(__xludf.DUMMYFUNCTION("""COMPUTED_VALUE"""),45423)</f>
        <v>45423</v>
      </c>
      <c r="J564" s="5">
        <f ca="1">IFERROR(__xludf.DUMMYFUNCTION("VALUE(REGEXREPLACE(G564,""\."","",""))"),2300)</f>
        <v>2300</v>
      </c>
      <c r="K564" s="14">
        <v>478.94</v>
      </c>
      <c r="L564" s="25" t="e">
        <f t="shared" ca="1" si="7"/>
        <v>#NAME?</v>
      </c>
    </row>
    <row r="565" spans="6:12" ht="12.5">
      <c r="F565" s="34">
        <f ca="1">IFERROR(__xludf.DUMMYFUNCTION("""COMPUTED_VALUE"""),40817)</f>
        <v>40817</v>
      </c>
      <c r="G565" s="5" t="str">
        <f ca="1">IFERROR(__xludf.DUMMYFUNCTION("""COMPUTED_VALUE"""),"2300.0")</f>
        <v>2300.0</v>
      </c>
      <c r="H565" s="5" t="str">
        <f ca="1">IFERROR(__xludf.DUMMYFUNCTION("""COMPUTED_VALUE"""),"92.0")</f>
        <v>92.0</v>
      </c>
      <c r="I565" s="5">
        <f ca="1">IFERROR(__xludf.DUMMYFUNCTION("""COMPUTED_VALUE"""),45423)</f>
        <v>45423</v>
      </c>
      <c r="J565" s="5">
        <f ca="1">IFERROR(__xludf.DUMMYFUNCTION("VALUE(REGEXREPLACE(G565,""\."","",""))"),2300)</f>
        <v>2300</v>
      </c>
      <c r="K565" s="14">
        <v>487.67</v>
      </c>
      <c r="L565" s="25" t="e">
        <f t="shared" ca="1" si="7"/>
        <v>#NAME?</v>
      </c>
    </row>
    <row r="566" spans="6:12" ht="12.5">
      <c r="F566" s="34">
        <f ca="1">IFERROR(__xludf.DUMMYFUNCTION("""COMPUTED_VALUE"""),40848)</f>
        <v>40848</v>
      </c>
      <c r="G566" s="5" t="str">
        <f ca="1">IFERROR(__xludf.DUMMYFUNCTION("""COMPUTED_VALUE"""),"2300.0")</f>
        <v>2300.0</v>
      </c>
      <c r="H566" s="5" t="str">
        <f ca="1">IFERROR(__xludf.DUMMYFUNCTION("""COMPUTED_VALUE"""),"92.0")</f>
        <v>92.0</v>
      </c>
      <c r="I566" s="5">
        <f ca="1">IFERROR(__xludf.DUMMYFUNCTION("""COMPUTED_VALUE"""),45423)</f>
        <v>45423</v>
      </c>
      <c r="J566" s="5">
        <f ca="1">IFERROR(__xludf.DUMMYFUNCTION("VALUE(REGEXREPLACE(G566,""\."","",""))"),2300)</f>
        <v>2300</v>
      </c>
      <c r="K566" s="14">
        <v>492.6</v>
      </c>
      <c r="L566" s="25" t="e">
        <f t="shared" ca="1" si="7"/>
        <v>#NAME?</v>
      </c>
    </row>
    <row r="567" spans="6:12" ht="12.5">
      <c r="F567" s="34">
        <f ca="1">IFERROR(__xludf.DUMMYFUNCTION("""COMPUTED_VALUE"""),40878)</f>
        <v>40878</v>
      </c>
      <c r="G567" s="5" t="str">
        <f ca="1">IFERROR(__xludf.DUMMYFUNCTION("""COMPUTED_VALUE"""),"2300.0")</f>
        <v>2300.0</v>
      </c>
      <c r="H567" s="5" t="str">
        <f ca="1">IFERROR(__xludf.DUMMYFUNCTION("""COMPUTED_VALUE"""),"92.0")</f>
        <v>92.0</v>
      </c>
      <c r="I567" s="5">
        <f ca="1">IFERROR(__xludf.DUMMYFUNCTION("""COMPUTED_VALUE"""),45423)</f>
        <v>45423</v>
      </c>
      <c r="J567" s="5">
        <f ca="1">IFERROR(__xludf.DUMMYFUNCTION("VALUE(REGEXREPLACE(G567,""\."","",""))"),2300)</f>
        <v>2300</v>
      </c>
      <c r="K567" s="14">
        <v>501.18</v>
      </c>
      <c r="L567" s="25" t="e">
        <f t="shared" ca="1" si="7"/>
        <v>#NAME?</v>
      </c>
    </row>
    <row r="568" spans="6:12" ht="12.5">
      <c r="F568" s="34">
        <f ca="1">IFERROR(__xludf.DUMMYFUNCTION("""COMPUTED_VALUE"""),40909)</f>
        <v>40909</v>
      </c>
      <c r="G568" s="5" t="str">
        <f ca="1">IFERROR(__xludf.DUMMYFUNCTION("""COMPUTED_VALUE"""),"2300.0")</f>
        <v>2300.0</v>
      </c>
      <c r="H568" s="5" t="str">
        <f ca="1">IFERROR(__xludf.DUMMYFUNCTION("""COMPUTED_VALUE"""),"92.0")</f>
        <v>92.0</v>
      </c>
      <c r="I568" s="5">
        <f ca="1">IFERROR(__xludf.DUMMYFUNCTION("""COMPUTED_VALUE"""),45423)</f>
        <v>45423</v>
      </c>
      <c r="J568" s="5">
        <f ca="1">IFERROR(__xludf.DUMMYFUNCTION("VALUE(REGEXREPLACE(G568,""\."","",""))"),2300)</f>
        <v>2300</v>
      </c>
      <c r="K568" s="14">
        <v>510.2</v>
      </c>
      <c r="L568" s="25" t="e">
        <f t="shared" ca="1" si="7"/>
        <v>#NAME?</v>
      </c>
    </row>
    <row r="569" spans="6:12" ht="12.5">
      <c r="F569" s="34">
        <f ca="1">IFERROR(__xludf.DUMMYFUNCTION("""COMPUTED_VALUE"""),40940)</f>
        <v>40940</v>
      </c>
      <c r="G569" s="5" t="str">
        <f ca="1">IFERROR(__xludf.DUMMYFUNCTION("""COMPUTED_VALUE"""),"2300.0")</f>
        <v>2300.0</v>
      </c>
      <c r="H569" s="5" t="str">
        <f ca="1">IFERROR(__xludf.DUMMYFUNCTION("""COMPUTED_VALUE"""),"92.0")</f>
        <v>92.0</v>
      </c>
      <c r="I569" s="5">
        <f ca="1">IFERROR(__xludf.DUMMYFUNCTION("""COMPUTED_VALUE"""),45423)</f>
        <v>45423</v>
      </c>
      <c r="J569" s="5">
        <f ca="1">IFERROR(__xludf.DUMMYFUNCTION("VALUE(REGEXREPLACE(G569,""\."","",""))"),2300)</f>
        <v>2300</v>
      </c>
      <c r="K569" s="14">
        <v>516.97</v>
      </c>
      <c r="L569" s="25" t="e">
        <f t="shared" ca="1" si="7"/>
        <v>#NAME?</v>
      </c>
    </row>
    <row r="570" spans="6:12" ht="12.5">
      <c r="F570" s="34">
        <f ca="1">IFERROR(__xludf.DUMMYFUNCTION("""COMPUTED_VALUE"""),40969)</f>
        <v>40969</v>
      </c>
      <c r="G570" s="5" t="str">
        <f ca="1">IFERROR(__xludf.DUMMYFUNCTION("""COMPUTED_VALUE"""),"2300.0")</f>
        <v>2300.0</v>
      </c>
      <c r="H570" s="5" t="str">
        <f ca="1">IFERROR(__xludf.DUMMYFUNCTION("""COMPUTED_VALUE"""),"92.0")</f>
        <v>92.0</v>
      </c>
      <c r="I570" s="5">
        <f ca="1">IFERROR(__xludf.DUMMYFUNCTION("""COMPUTED_VALUE"""),45423)</f>
        <v>45423</v>
      </c>
      <c r="J570" s="5">
        <f ca="1">IFERROR(__xludf.DUMMYFUNCTION("VALUE(REGEXREPLACE(G570,""\."","",""))"),2300)</f>
        <v>2300</v>
      </c>
      <c r="K570" s="14">
        <v>523.04999999999995</v>
      </c>
      <c r="L570" s="25" t="e">
        <f t="shared" ca="1" si="7"/>
        <v>#NAME?</v>
      </c>
    </row>
    <row r="571" spans="6:12" ht="12.5">
      <c r="F571" s="34">
        <f ca="1">IFERROR(__xludf.DUMMYFUNCTION("""COMPUTED_VALUE"""),41000)</f>
        <v>41000</v>
      </c>
      <c r="G571" s="5" t="str">
        <f ca="1">IFERROR(__xludf.DUMMYFUNCTION("""COMPUTED_VALUE"""),"2300.0")</f>
        <v>2300.0</v>
      </c>
      <c r="H571" s="5" t="str">
        <f ca="1">IFERROR(__xludf.DUMMYFUNCTION("""COMPUTED_VALUE"""),"92.0")</f>
        <v>92.0</v>
      </c>
      <c r="I571" s="5">
        <f ca="1">IFERROR(__xludf.DUMMYFUNCTION("""COMPUTED_VALUE"""),45423)</f>
        <v>45423</v>
      </c>
      <c r="J571" s="5">
        <f ca="1">IFERROR(__xludf.DUMMYFUNCTION("VALUE(REGEXREPLACE(G571,""\."","",""))"),2300)</f>
        <v>2300</v>
      </c>
      <c r="K571" s="14">
        <v>537.62</v>
      </c>
      <c r="L571" s="25" t="e">
        <f t="shared" ca="1" si="7"/>
        <v>#NAME?</v>
      </c>
    </row>
    <row r="572" spans="6:12" ht="12.5">
      <c r="F572" s="34">
        <f ca="1">IFERROR(__xludf.DUMMYFUNCTION("""COMPUTED_VALUE"""),41030)</f>
        <v>41030</v>
      </c>
      <c r="G572" s="5" t="str">
        <f ca="1">IFERROR(__xludf.DUMMYFUNCTION("""COMPUTED_VALUE"""),"2300.0")</f>
        <v>2300.0</v>
      </c>
      <c r="H572" s="5" t="str">
        <f ca="1">IFERROR(__xludf.DUMMYFUNCTION("""COMPUTED_VALUE"""),"92.0")</f>
        <v>92.0</v>
      </c>
      <c r="I572" s="5">
        <f ca="1">IFERROR(__xludf.DUMMYFUNCTION("""COMPUTED_VALUE"""),45423)</f>
        <v>45423</v>
      </c>
      <c r="J572" s="5">
        <f ca="1">IFERROR(__xludf.DUMMYFUNCTION("VALUE(REGEXREPLACE(G572,""\."","",""))"),2300)</f>
        <v>2300</v>
      </c>
      <c r="K572" s="14">
        <v>552.01</v>
      </c>
      <c r="L572" s="25" t="e">
        <f t="shared" ca="1" si="7"/>
        <v>#NAME?</v>
      </c>
    </row>
    <row r="573" spans="6:12" ht="12.5">
      <c r="F573" s="34">
        <f ca="1">IFERROR(__xludf.DUMMYFUNCTION("""COMPUTED_VALUE"""),41061)</f>
        <v>41061</v>
      </c>
      <c r="G573" s="5" t="str">
        <f ca="1">IFERROR(__xludf.DUMMYFUNCTION("""COMPUTED_VALUE"""),"2300.0")</f>
        <v>2300.0</v>
      </c>
      <c r="H573" s="5" t="str">
        <f ca="1">IFERROR(__xludf.DUMMYFUNCTION("""COMPUTED_VALUE"""),"92.0")</f>
        <v>92.0</v>
      </c>
      <c r="I573" s="5">
        <f ca="1">IFERROR(__xludf.DUMMYFUNCTION("""COMPUTED_VALUE"""),45423)</f>
        <v>45423</v>
      </c>
      <c r="J573" s="5">
        <f ca="1">IFERROR(__xludf.DUMMYFUNCTION("VALUE(REGEXREPLACE(G573,""\."","",""))"),2300)</f>
        <v>2300</v>
      </c>
      <c r="K573" s="14">
        <v>561</v>
      </c>
      <c r="L573" s="25" t="e">
        <f t="shared" ca="1" si="7"/>
        <v>#NAME?</v>
      </c>
    </row>
    <row r="574" spans="6:12" ht="12.5">
      <c r="F574" s="34">
        <f ca="1">IFERROR(__xludf.DUMMYFUNCTION("""COMPUTED_VALUE"""),41091)</f>
        <v>41091</v>
      </c>
      <c r="G574" s="5" t="str">
        <f ca="1">IFERROR(__xludf.DUMMYFUNCTION("""COMPUTED_VALUE"""),"2300.0")</f>
        <v>2300.0</v>
      </c>
      <c r="H574" s="5" t="str">
        <f ca="1">IFERROR(__xludf.DUMMYFUNCTION("""COMPUTED_VALUE"""),"92.0")</f>
        <v>92.0</v>
      </c>
      <c r="I574" s="5">
        <f ca="1">IFERROR(__xludf.DUMMYFUNCTION("""COMPUTED_VALUE"""),45423)</f>
        <v>45423</v>
      </c>
      <c r="J574" s="5">
        <f ca="1">IFERROR(__xludf.DUMMYFUNCTION("VALUE(REGEXREPLACE(G574,""\."","",""))"),2300)</f>
        <v>2300</v>
      </c>
      <c r="K574" s="14">
        <v>570.47</v>
      </c>
      <c r="L574" s="25" t="e">
        <f t="shared" ca="1" si="7"/>
        <v>#NAME?</v>
      </c>
    </row>
    <row r="575" spans="6:12" ht="12.5">
      <c r="F575" s="34">
        <f ca="1">IFERROR(__xludf.DUMMYFUNCTION("""COMPUTED_VALUE"""),41122)</f>
        <v>41122</v>
      </c>
      <c r="G575" s="5" t="str">
        <f ca="1">IFERROR(__xludf.DUMMYFUNCTION("""COMPUTED_VALUE"""),"2300.0")</f>
        <v>2300.0</v>
      </c>
      <c r="H575" s="5" t="str">
        <f ca="1">IFERROR(__xludf.DUMMYFUNCTION("""COMPUTED_VALUE"""),"92.0")</f>
        <v>92.0</v>
      </c>
      <c r="I575" s="5">
        <f ca="1">IFERROR(__xludf.DUMMYFUNCTION("""COMPUTED_VALUE"""),45423)</f>
        <v>45423</v>
      </c>
      <c r="J575" s="5">
        <f ca="1">IFERROR(__xludf.DUMMYFUNCTION("VALUE(REGEXREPLACE(G575,""\."","",""))"),2300)</f>
        <v>2300</v>
      </c>
      <c r="K575" s="14">
        <v>588.37</v>
      </c>
      <c r="L575" s="25" t="e">
        <f t="shared" ca="1" si="7"/>
        <v>#NAME?</v>
      </c>
    </row>
    <row r="576" spans="6:12" ht="12.5">
      <c r="F576" s="34">
        <f ca="1">IFERROR(__xludf.DUMMYFUNCTION("""COMPUTED_VALUE"""),41153)</f>
        <v>41153</v>
      </c>
      <c r="G576" s="5" t="str">
        <f ca="1">IFERROR(__xludf.DUMMYFUNCTION("""COMPUTED_VALUE"""),"2670.0")</f>
        <v>2670.0</v>
      </c>
      <c r="H576" s="5" t="str">
        <f ca="1">IFERROR(__xludf.DUMMYFUNCTION("""COMPUTED_VALUE"""),"106.8")</f>
        <v>106.8</v>
      </c>
      <c r="I576" s="5" t="str">
        <f ca="1">IFERROR(__xludf.DUMMYFUNCTION("""COMPUTED_VALUE"""),"13.35")</f>
        <v>13.35</v>
      </c>
      <c r="J576" s="5">
        <f ca="1">IFERROR(__xludf.DUMMYFUNCTION("VALUE(REGEXREPLACE(G576,""\."","",""))"),2670)</f>
        <v>2670</v>
      </c>
      <c r="K576" s="14">
        <v>599.62</v>
      </c>
      <c r="L576" s="25" t="e">
        <f t="shared" ca="1" si="7"/>
        <v>#NAME?</v>
      </c>
    </row>
    <row r="577" spans="6:12" ht="12.5">
      <c r="F577" s="34">
        <f ca="1">IFERROR(__xludf.DUMMYFUNCTION("""COMPUTED_VALUE"""),41183)</f>
        <v>41183</v>
      </c>
      <c r="G577" s="5" t="str">
        <f ca="1">IFERROR(__xludf.DUMMYFUNCTION("""COMPUTED_VALUE"""),"2670.0")</f>
        <v>2670.0</v>
      </c>
      <c r="H577" s="5" t="str">
        <f ca="1">IFERROR(__xludf.DUMMYFUNCTION("""COMPUTED_VALUE"""),"106.8")</f>
        <v>106.8</v>
      </c>
      <c r="I577" s="5" t="str">
        <f ca="1">IFERROR(__xludf.DUMMYFUNCTION("""COMPUTED_VALUE"""),"13.35")</f>
        <v>13.35</v>
      </c>
      <c r="J577" s="5">
        <f ca="1">IFERROR(__xludf.DUMMYFUNCTION("VALUE(REGEXREPLACE(G577,""\."","",""))"),2670)</f>
        <v>2670</v>
      </c>
      <c r="K577" s="14">
        <v>610.26</v>
      </c>
      <c r="L577" s="25" t="e">
        <f t="shared" ca="1" si="7"/>
        <v>#NAME?</v>
      </c>
    </row>
    <row r="578" spans="6:12" ht="12.5">
      <c r="F578" s="34">
        <f ca="1">IFERROR(__xludf.DUMMYFUNCTION("""COMPUTED_VALUE"""),41214)</f>
        <v>41214</v>
      </c>
      <c r="G578" s="5" t="str">
        <f ca="1">IFERROR(__xludf.DUMMYFUNCTION("""COMPUTED_VALUE"""),"2670.0")</f>
        <v>2670.0</v>
      </c>
      <c r="H578" s="5" t="str">
        <f ca="1">IFERROR(__xludf.DUMMYFUNCTION("""COMPUTED_VALUE"""),"106.8")</f>
        <v>106.8</v>
      </c>
      <c r="I578" s="5" t="str">
        <f ca="1">IFERROR(__xludf.DUMMYFUNCTION("""COMPUTED_VALUE"""),"13.35")</f>
        <v>13.35</v>
      </c>
      <c r="J578" s="5">
        <f ca="1">IFERROR(__xludf.DUMMYFUNCTION("VALUE(REGEXREPLACE(G578,""\."","",""))"),2670)</f>
        <v>2670</v>
      </c>
      <c r="K578" s="14">
        <v>619.49</v>
      </c>
      <c r="L578" s="25" t="e">
        <f t="shared" ca="1" si="7"/>
        <v>#NAME?</v>
      </c>
    </row>
    <row r="579" spans="6:12" ht="12.5">
      <c r="F579" s="34">
        <f ca="1">IFERROR(__xludf.DUMMYFUNCTION("""COMPUTED_VALUE"""),41244)</f>
        <v>41244</v>
      </c>
      <c r="G579" s="5" t="str">
        <f ca="1">IFERROR(__xludf.DUMMYFUNCTION("""COMPUTED_VALUE"""),"2670.0")</f>
        <v>2670.0</v>
      </c>
      <c r="H579" s="5" t="str">
        <f ca="1">IFERROR(__xludf.DUMMYFUNCTION("""COMPUTED_VALUE"""),"106.8")</f>
        <v>106.8</v>
      </c>
      <c r="I579" s="5" t="str">
        <f ca="1">IFERROR(__xludf.DUMMYFUNCTION("""COMPUTED_VALUE"""),"13.35")</f>
        <v>13.35</v>
      </c>
      <c r="J579" s="5">
        <f ca="1">IFERROR(__xludf.DUMMYFUNCTION("VALUE(REGEXREPLACE(G579,""\."","",""))"),2670)</f>
        <v>2670</v>
      </c>
      <c r="K579" s="14">
        <v>630.5</v>
      </c>
      <c r="L579" s="25" t="e">
        <f t="shared" ca="1" si="7"/>
        <v>#NAME?</v>
      </c>
    </row>
    <row r="580" spans="6:12" ht="12.5">
      <c r="F580" s="34">
        <f ca="1">IFERROR(__xludf.DUMMYFUNCTION("""COMPUTED_VALUE"""),41275)</f>
        <v>41275</v>
      </c>
      <c r="G580" s="5" t="str">
        <f ca="1">IFERROR(__xludf.DUMMYFUNCTION("""COMPUTED_VALUE"""),"2670.0")</f>
        <v>2670.0</v>
      </c>
      <c r="H580" s="5" t="str">
        <f ca="1">IFERROR(__xludf.DUMMYFUNCTION("""COMPUTED_VALUE"""),"106.8")</f>
        <v>106.8</v>
      </c>
      <c r="I580" s="5" t="str">
        <f ca="1">IFERROR(__xludf.DUMMYFUNCTION("""COMPUTED_VALUE"""),"13.35")</f>
        <v>13.35</v>
      </c>
      <c r="J580" s="5">
        <f ca="1">IFERROR(__xludf.DUMMYFUNCTION("VALUE(REGEXREPLACE(G580,""\."","",""))"),2670)</f>
        <v>2670</v>
      </c>
      <c r="K580" s="14">
        <v>640.87</v>
      </c>
      <c r="L580" s="25" t="e">
        <f t="shared" ca="1" si="7"/>
        <v>#NAME?</v>
      </c>
    </row>
    <row r="581" spans="6:12" ht="12.5">
      <c r="F581" s="34">
        <f ca="1">IFERROR(__xludf.DUMMYFUNCTION("""COMPUTED_VALUE"""),41306)</f>
        <v>41306</v>
      </c>
      <c r="G581" s="5" t="str">
        <f ca="1">IFERROR(__xludf.DUMMYFUNCTION("""COMPUTED_VALUE"""),"2875.0")</f>
        <v>2875.0</v>
      </c>
      <c r="H581" s="5" t="str">
        <f ca="1">IFERROR(__xludf.DUMMYFUNCTION("""COMPUTED_VALUE"""),"115.0")</f>
        <v>115.0</v>
      </c>
      <c r="I581" s="5">
        <f ca="1">IFERROR(__xludf.DUMMYFUNCTION("""COMPUTED_VALUE"""),14375)</f>
        <v>14375</v>
      </c>
      <c r="J581" s="5">
        <f ca="1">IFERROR(__xludf.DUMMYFUNCTION("VALUE(REGEXREPLACE(G581,""\."","",""))"),2875)</f>
        <v>2875</v>
      </c>
      <c r="K581" s="14">
        <v>654.51</v>
      </c>
      <c r="L581" s="25" t="e">
        <f t="shared" ca="1" si="7"/>
        <v>#NAME?</v>
      </c>
    </row>
    <row r="582" spans="6:12" ht="12.5">
      <c r="F582" s="34">
        <f ca="1">IFERROR(__xludf.DUMMYFUNCTION("""COMPUTED_VALUE"""),41334)</f>
        <v>41334</v>
      </c>
      <c r="G582" s="5" t="str">
        <f ca="1">IFERROR(__xludf.DUMMYFUNCTION("""COMPUTED_VALUE"""),"2875.0")</f>
        <v>2875.0</v>
      </c>
      <c r="H582" s="5" t="str">
        <f ca="1">IFERROR(__xludf.DUMMYFUNCTION("""COMPUTED_VALUE"""),"115.0")</f>
        <v>115.0</v>
      </c>
      <c r="I582" s="5">
        <f ca="1">IFERROR(__xludf.DUMMYFUNCTION("""COMPUTED_VALUE"""),14375)</f>
        <v>14375</v>
      </c>
      <c r="J582" s="5">
        <f ca="1">IFERROR(__xludf.DUMMYFUNCTION("VALUE(REGEXREPLACE(G582,""\."","",""))"),2875)</f>
        <v>2875</v>
      </c>
      <c r="K582" s="14">
        <v>664.33</v>
      </c>
      <c r="L582" s="25" t="e">
        <f t="shared" ca="1" si="7"/>
        <v>#NAME?</v>
      </c>
    </row>
    <row r="583" spans="6:12" ht="12.5">
      <c r="F583" s="34">
        <f ca="1">IFERROR(__xludf.DUMMYFUNCTION("""COMPUTED_VALUE"""),41365)</f>
        <v>41365</v>
      </c>
      <c r="G583" s="5" t="str">
        <f ca="1">IFERROR(__xludf.DUMMYFUNCTION("""COMPUTED_VALUE"""),"2875.0")</f>
        <v>2875.0</v>
      </c>
      <c r="H583" s="5" t="str">
        <f ca="1">IFERROR(__xludf.DUMMYFUNCTION("""COMPUTED_VALUE"""),"115.0")</f>
        <v>115.0</v>
      </c>
      <c r="I583" s="5">
        <f ca="1">IFERROR(__xludf.DUMMYFUNCTION("""COMPUTED_VALUE"""),14375)</f>
        <v>14375</v>
      </c>
      <c r="J583" s="5">
        <f ca="1">IFERROR(__xludf.DUMMYFUNCTION("VALUE(REGEXREPLACE(G583,""\."","",""))"),2875)</f>
        <v>2875</v>
      </c>
      <c r="K583" s="14">
        <v>676.29</v>
      </c>
      <c r="L583" s="25" t="e">
        <f t="shared" ca="1" si="7"/>
        <v>#NAME?</v>
      </c>
    </row>
    <row r="584" spans="6:12" ht="12.5">
      <c r="F584" s="34">
        <f ca="1">IFERROR(__xludf.DUMMYFUNCTION("""COMPUTED_VALUE"""),41395)</f>
        <v>41395</v>
      </c>
      <c r="G584" s="5" t="str">
        <f ca="1">IFERROR(__xludf.DUMMYFUNCTION("""COMPUTED_VALUE"""),"2875.0")</f>
        <v>2875.0</v>
      </c>
      <c r="H584" s="5" t="str">
        <f ca="1">IFERROR(__xludf.DUMMYFUNCTION("""COMPUTED_VALUE"""),"115.0")</f>
        <v>115.0</v>
      </c>
      <c r="I584" s="5">
        <f ca="1">IFERROR(__xludf.DUMMYFUNCTION("""COMPUTED_VALUE"""),14375)</f>
        <v>14375</v>
      </c>
      <c r="J584" s="5">
        <f ca="1">IFERROR(__xludf.DUMMYFUNCTION("VALUE(REGEXREPLACE(G584,""\."","",""))"),2875)</f>
        <v>2875</v>
      </c>
      <c r="K584" s="14">
        <v>687.93</v>
      </c>
      <c r="L584" s="25" t="e">
        <f t="shared" ca="1" si="7"/>
        <v>#NAME?</v>
      </c>
    </row>
    <row r="585" spans="6:12" ht="12.5">
      <c r="F585" s="34">
        <f ca="1">IFERROR(__xludf.DUMMYFUNCTION("""COMPUTED_VALUE"""),41426)</f>
        <v>41426</v>
      </c>
      <c r="G585" s="5" t="str">
        <f ca="1">IFERROR(__xludf.DUMMYFUNCTION("""COMPUTED_VALUE"""),"2875.0")</f>
        <v>2875.0</v>
      </c>
      <c r="H585" s="5" t="str">
        <f ca="1">IFERROR(__xludf.DUMMYFUNCTION("""COMPUTED_VALUE"""),"115.0")</f>
        <v>115.0</v>
      </c>
      <c r="I585" s="5">
        <f ca="1">IFERROR(__xludf.DUMMYFUNCTION("""COMPUTED_VALUE"""),14375)</f>
        <v>14375</v>
      </c>
      <c r="J585" s="5">
        <f ca="1">IFERROR(__xludf.DUMMYFUNCTION("VALUE(REGEXREPLACE(G585,""\."","",""))"),2875)</f>
        <v>2875</v>
      </c>
      <c r="K585" s="14">
        <v>698.87</v>
      </c>
      <c r="L585" s="25" t="e">
        <f t="shared" ca="1" si="7"/>
        <v>#NAME?</v>
      </c>
    </row>
    <row r="586" spans="6:12" ht="12.5">
      <c r="F586" s="34">
        <f ca="1">IFERROR(__xludf.DUMMYFUNCTION("""COMPUTED_VALUE"""),41456)</f>
        <v>41456</v>
      </c>
      <c r="G586" s="5" t="str">
        <f ca="1">IFERROR(__xludf.DUMMYFUNCTION("""COMPUTED_VALUE"""),"2875.0")</f>
        <v>2875.0</v>
      </c>
      <c r="H586" s="5" t="str">
        <f ca="1">IFERROR(__xludf.DUMMYFUNCTION("""COMPUTED_VALUE"""),"115.0")</f>
        <v>115.0</v>
      </c>
      <c r="I586" s="5">
        <f ca="1">IFERROR(__xludf.DUMMYFUNCTION("""COMPUTED_VALUE"""),14375)</f>
        <v>14375</v>
      </c>
      <c r="J586" s="5">
        <f ca="1">IFERROR(__xludf.DUMMYFUNCTION("VALUE(REGEXREPLACE(G586,""\."","",""))"),2875)</f>
        <v>2875</v>
      </c>
      <c r="K586" s="14">
        <v>713.66</v>
      </c>
      <c r="L586" s="25" t="e">
        <f t="shared" ca="1" si="7"/>
        <v>#NAME?</v>
      </c>
    </row>
    <row r="587" spans="6:12" ht="12.5">
      <c r="F587" s="34">
        <f ca="1">IFERROR(__xludf.DUMMYFUNCTION("""COMPUTED_VALUE"""),41487)</f>
        <v>41487</v>
      </c>
      <c r="G587" s="5" t="str">
        <f ca="1">IFERROR(__xludf.DUMMYFUNCTION("""COMPUTED_VALUE"""),"3300.0")</f>
        <v>3300.0</v>
      </c>
      <c r="H587" s="5" t="str">
        <f ca="1">IFERROR(__xludf.DUMMYFUNCTION("""COMPUTED_VALUE"""),"132.0")</f>
        <v>132.0</v>
      </c>
      <c r="I587" s="5">
        <f ca="1">IFERROR(__xludf.DUMMYFUNCTION("""COMPUTED_VALUE"""),45428)</f>
        <v>45428</v>
      </c>
      <c r="J587" s="5">
        <f ca="1">IFERROR(__xludf.DUMMYFUNCTION("VALUE(REGEXREPLACE(G587,""\."","",""))"),3300)</f>
        <v>3300</v>
      </c>
      <c r="K587" s="14">
        <v>732.39</v>
      </c>
      <c r="L587" s="25" t="e">
        <f t="shared" ca="1" si="7"/>
        <v>#NAME?</v>
      </c>
    </row>
    <row r="588" spans="6:12" ht="12.5">
      <c r="F588" s="34">
        <f ca="1">IFERROR(__xludf.DUMMYFUNCTION("""COMPUTED_VALUE"""),41518)</f>
        <v>41518</v>
      </c>
      <c r="G588" s="5" t="str">
        <f ca="1">IFERROR(__xludf.DUMMYFUNCTION("""COMPUTED_VALUE"""),"3300.0")</f>
        <v>3300.0</v>
      </c>
      <c r="H588" s="5" t="str">
        <f ca="1">IFERROR(__xludf.DUMMYFUNCTION("""COMPUTED_VALUE"""),"132.0")</f>
        <v>132.0</v>
      </c>
      <c r="I588" s="5">
        <f ca="1">IFERROR(__xludf.DUMMYFUNCTION("""COMPUTED_VALUE"""),45428)</f>
        <v>45428</v>
      </c>
      <c r="J588" s="5">
        <f ca="1">IFERROR(__xludf.DUMMYFUNCTION("VALUE(REGEXREPLACE(G588,""\."","",""))"),3300)</f>
        <v>3300</v>
      </c>
      <c r="K588" s="14">
        <v>748.03</v>
      </c>
      <c r="L588" s="25" t="e">
        <f t="shared" ca="1" si="7"/>
        <v>#NAME?</v>
      </c>
    </row>
    <row r="589" spans="6:12" ht="12.5">
      <c r="F589" s="34">
        <f ca="1">IFERROR(__xludf.DUMMYFUNCTION("""COMPUTED_VALUE"""),41548)</f>
        <v>41548</v>
      </c>
      <c r="G589" s="5" t="str">
        <f ca="1">IFERROR(__xludf.DUMMYFUNCTION("""COMPUTED_VALUE"""),"3300.0")</f>
        <v>3300.0</v>
      </c>
      <c r="H589" s="5" t="str">
        <f ca="1">IFERROR(__xludf.DUMMYFUNCTION("""COMPUTED_VALUE"""),"132.0")</f>
        <v>132.0</v>
      </c>
      <c r="I589" s="5">
        <f ca="1">IFERROR(__xludf.DUMMYFUNCTION("""COMPUTED_VALUE"""),45428)</f>
        <v>45428</v>
      </c>
      <c r="J589" s="5">
        <f ca="1">IFERROR(__xludf.DUMMYFUNCTION("VALUE(REGEXREPLACE(G589,""\."","",""))"),3300)</f>
        <v>3300</v>
      </c>
      <c r="K589" s="14">
        <v>763.74</v>
      </c>
      <c r="L589" s="25" t="e">
        <f t="shared" ca="1" si="7"/>
        <v>#NAME?</v>
      </c>
    </row>
    <row r="590" spans="6:12" ht="12.5">
      <c r="F590" s="34">
        <f ca="1">IFERROR(__xludf.DUMMYFUNCTION("""COMPUTED_VALUE"""),41579)</f>
        <v>41579</v>
      </c>
      <c r="G590" s="5" t="str">
        <f ca="1">IFERROR(__xludf.DUMMYFUNCTION("""COMPUTED_VALUE"""),"3300.0")</f>
        <v>3300.0</v>
      </c>
      <c r="H590" s="5" t="str">
        <f ca="1">IFERROR(__xludf.DUMMYFUNCTION("""COMPUTED_VALUE"""),"132.0")</f>
        <v>132.0</v>
      </c>
      <c r="I590" s="5">
        <f ca="1">IFERROR(__xludf.DUMMYFUNCTION("""COMPUTED_VALUE"""),45428)</f>
        <v>45428</v>
      </c>
      <c r="J590" s="5">
        <f ca="1">IFERROR(__xludf.DUMMYFUNCTION("VALUE(REGEXREPLACE(G590,""\."","",""))"),3300)</f>
        <v>3300</v>
      </c>
      <c r="K590" s="14">
        <v>781.66</v>
      </c>
      <c r="L590" s="25" t="e">
        <f t="shared" ca="1" si="7"/>
        <v>#NAME?</v>
      </c>
    </row>
    <row r="591" spans="6:12" ht="12.5">
      <c r="F591" s="34">
        <f ca="1">IFERROR(__xludf.DUMMYFUNCTION("""COMPUTED_VALUE"""),41609)</f>
        <v>41609</v>
      </c>
      <c r="G591" s="5" t="str">
        <f ca="1">IFERROR(__xludf.DUMMYFUNCTION("""COMPUTED_VALUE"""),"3300.0")</f>
        <v>3300.0</v>
      </c>
      <c r="H591" s="5" t="str">
        <f ca="1">IFERROR(__xludf.DUMMYFUNCTION("""COMPUTED_VALUE"""),"132.0")</f>
        <v>132.0</v>
      </c>
      <c r="I591" s="5">
        <f ca="1">IFERROR(__xludf.DUMMYFUNCTION("""COMPUTED_VALUE"""),45428)</f>
        <v>45428</v>
      </c>
      <c r="J591" s="5">
        <f ca="1">IFERROR(__xludf.DUMMYFUNCTION("VALUE(REGEXREPLACE(G591,""\."","",""))"),3300)</f>
        <v>3300</v>
      </c>
      <c r="K591" s="14">
        <v>800.76</v>
      </c>
      <c r="L591" s="25" t="e">
        <f t="shared" ca="1" si="7"/>
        <v>#NAME?</v>
      </c>
    </row>
    <row r="592" spans="6:12" ht="12.5">
      <c r="F592" s="34">
        <f ca="1">IFERROR(__xludf.DUMMYFUNCTION("""COMPUTED_VALUE"""),41640)</f>
        <v>41640</v>
      </c>
      <c r="G592" s="5" t="str">
        <f ca="1">IFERROR(__xludf.DUMMYFUNCTION("""COMPUTED_VALUE"""),"3600.0")</f>
        <v>3600.0</v>
      </c>
      <c r="H592" s="5" t="str">
        <f ca="1">IFERROR(__xludf.DUMMYFUNCTION("""COMPUTED_VALUE"""),"144.0")</f>
        <v>144.0</v>
      </c>
      <c r="I592" s="5" t="str">
        <f ca="1">IFERROR(__xludf.DUMMYFUNCTION("""COMPUTED_VALUE"""),"18.0")</f>
        <v>18.0</v>
      </c>
      <c r="J592" s="5">
        <f ca="1">IFERROR(__xludf.DUMMYFUNCTION("VALUE(REGEXREPLACE(G592,""\."","",""))"),3600)</f>
        <v>3600</v>
      </c>
      <c r="K592" s="14">
        <v>820.28</v>
      </c>
      <c r="L592" s="25" t="e">
        <f t="shared" ca="1" si="7"/>
        <v>#NAME?</v>
      </c>
    </row>
    <row r="593" spans="6:12" ht="12.5">
      <c r="F593" s="34">
        <f ca="1">IFERROR(__xludf.DUMMYFUNCTION("""COMPUTED_VALUE"""),41671)</f>
        <v>41671</v>
      </c>
      <c r="G593" s="5" t="str">
        <f ca="1">IFERROR(__xludf.DUMMYFUNCTION("""COMPUTED_VALUE"""),"3600.0")</f>
        <v>3600.0</v>
      </c>
      <c r="H593" s="5" t="str">
        <f ca="1">IFERROR(__xludf.DUMMYFUNCTION("""COMPUTED_VALUE"""),"144.0")</f>
        <v>144.0</v>
      </c>
      <c r="I593" s="5" t="str">
        <f ca="1">IFERROR(__xludf.DUMMYFUNCTION("""COMPUTED_VALUE"""),"18.0")</f>
        <v>18.0</v>
      </c>
      <c r="J593" s="5">
        <f ca="1">IFERROR(__xludf.DUMMYFUNCTION("VALUE(REGEXREPLACE(G593,""\."","",""))"),3600)</f>
        <v>3600</v>
      </c>
      <c r="K593" s="14">
        <v>859.85</v>
      </c>
      <c r="L593" s="25" t="e">
        <f t="shared" ca="1" si="7"/>
        <v>#NAME?</v>
      </c>
    </row>
    <row r="594" spans="6:12" ht="12.5">
      <c r="F594" s="34">
        <f ca="1">IFERROR(__xludf.DUMMYFUNCTION("""COMPUTED_VALUE"""),41699)</f>
        <v>41699</v>
      </c>
      <c r="G594" s="5" t="str">
        <f ca="1">IFERROR(__xludf.DUMMYFUNCTION("""COMPUTED_VALUE"""),"3600.0")</f>
        <v>3600.0</v>
      </c>
      <c r="H594" s="5" t="str">
        <f ca="1">IFERROR(__xludf.DUMMYFUNCTION("""COMPUTED_VALUE"""),"144.0")</f>
        <v>144.0</v>
      </c>
      <c r="I594" s="5" t="str">
        <f ca="1">IFERROR(__xludf.DUMMYFUNCTION("""COMPUTED_VALUE"""),"18.0")</f>
        <v>18.0</v>
      </c>
      <c r="J594" s="5">
        <f ca="1">IFERROR(__xludf.DUMMYFUNCTION("VALUE(REGEXREPLACE(G594,""\."","",""))"),3600)</f>
        <v>3600</v>
      </c>
      <c r="K594" s="14">
        <v>898.88</v>
      </c>
      <c r="L594" s="25" t="e">
        <f t="shared" ca="1" si="7"/>
        <v>#NAME?</v>
      </c>
    </row>
    <row r="595" spans="6:12" ht="12.5">
      <c r="F595" s="34">
        <f ca="1">IFERROR(__xludf.DUMMYFUNCTION("""COMPUTED_VALUE"""),41730)</f>
        <v>41730</v>
      </c>
      <c r="G595" s="5" t="str">
        <f ca="1">IFERROR(__xludf.DUMMYFUNCTION("""COMPUTED_VALUE"""),"3600.0")</f>
        <v>3600.0</v>
      </c>
      <c r="H595" s="5" t="str">
        <f ca="1">IFERROR(__xludf.DUMMYFUNCTION("""COMPUTED_VALUE"""),"144.0")</f>
        <v>144.0</v>
      </c>
      <c r="I595" s="5" t="str">
        <f ca="1">IFERROR(__xludf.DUMMYFUNCTION("""COMPUTED_VALUE"""),"18.0")</f>
        <v>18.0</v>
      </c>
      <c r="J595" s="5">
        <f ca="1">IFERROR(__xludf.DUMMYFUNCTION("VALUE(REGEXREPLACE(G595,""\."","",""))"),3600)</f>
        <v>3600</v>
      </c>
      <c r="K595" s="14">
        <v>930.22</v>
      </c>
      <c r="L595" s="25" t="e">
        <f t="shared" ca="1" si="7"/>
        <v>#NAME?</v>
      </c>
    </row>
    <row r="596" spans="6:12" ht="12.5">
      <c r="F596" s="34">
        <f ca="1">IFERROR(__xludf.DUMMYFUNCTION("""COMPUTED_VALUE"""),41760)</f>
        <v>41760</v>
      </c>
      <c r="G596" s="5" t="str">
        <f ca="1">IFERROR(__xludf.DUMMYFUNCTION("""COMPUTED_VALUE"""),"3600.0")</f>
        <v>3600.0</v>
      </c>
      <c r="H596" s="5" t="str">
        <f ca="1">IFERROR(__xludf.DUMMYFUNCTION("""COMPUTED_VALUE"""),"144.0")</f>
        <v>144.0</v>
      </c>
      <c r="I596" s="5" t="str">
        <f ca="1">IFERROR(__xludf.DUMMYFUNCTION("""COMPUTED_VALUE"""),"18.0")</f>
        <v>18.0</v>
      </c>
      <c r="J596" s="5">
        <f ca="1">IFERROR(__xludf.DUMMYFUNCTION("VALUE(REGEXREPLACE(G596,""\."","",""))"),3600)</f>
        <v>3600</v>
      </c>
      <c r="K596" s="14">
        <v>958.45</v>
      </c>
      <c r="L596" s="25" t="e">
        <f t="shared" ca="1" si="7"/>
        <v>#NAME?</v>
      </c>
    </row>
    <row r="597" spans="6:12" ht="12.5">
      <c r="F597" s="34">
        <f ca="1">IFERROR(__xludf.DUMMYFUNCTION("""COMPUTED_VALUE"""),41791)</f>
        <v>41791</v>
      </c>
      <c r="G597" s="5" t="str">
        <f ca="1">IFERROR(__xludf.DUMMYFUNCTION("""COMPUTED_VALUE"""),"3600.0")</f>
        <v>3600.0</v>
      </c>
      <c r="H597" s="5" t="str">
        <f ca="1">IFERROR(__xludf.DUMMYFUNCTION("""COMPUTED_VALUE"""),"144.0")</f>
        <v>144.0</v>
      </c>
      <c r="I597" s="5" t="str">
        <f ca="1">IFERROR(__xludf.DUMMYFUNCTION("""COMPUTED_VALUE"""),"18.0")</f>
        <v>18.0</v>
      </c>
      <c r="J597" s="5">
        <f ca="1">IFERROR(__xludf.DUMMYFUNCTION("VALUE(REGEXREPLACE(G597,""\."","",""))"),3600)</f>
        <v>3600</v>
      </c>
      <c r="K597" s="14">
        <v>982.17</v>
      </c>
      <c r="L597" s="25" t="e">
        <f t="shared" ca="1" si="7"/>
        <v>#NAME?</v>
      </c>
    </row>
    <row r="598" spans="6:12" ht="12.5">
      <c r="F598" s="34">
        <f ca="1">IFERROR(__xludf.DUMMYFUNCTION("""COMPUTED_VALUE"""),41821)</f>
        <v>41821</v>
      </c>
      <c r="G598" s="5" t="str">
        <f ca="1">IFERROR(__xludf.DUMMYFUNCTION("""COMPUTED_VALUE"""),"3600.0")</f>
        <v>3600.0</v>
      </c>
      <c r="H598" s="5" t="str">
        <f ca="1">IFERROR(__xludf.DUMMYFUNCTION("""COMPUTED_VALUE"""),"144.0")</f>
        <v>144.0</v>
      </c>
      <c r="I598" s="5" t="str">
        <f ca="1">IFERROR(__xludf.DUMMYFUNCTION("""COMPUTED_VALUE"""),"18.0")</f>
        <v>18.0</v>
      </c>
      <c r="J598" s="5">
        <f ca="1">IFERROR(__xludf.DUMMYFUNCTION("VALUE(REGEXREPLACE(G598,""\."","",""))"),3600)</f>
        <v>3600</v>
      </c>
      <c r="K598" s="14">
        <v>1003.73</v>
      </c>
      <c r="L598" s="25" t="e">
        <f t="shared" ca="1" si="7"/>
        <v>#NAME?</v>
      </c>
    </row>
    <row r="599" spans="6:12" ht="12.5">
      <c r="F599" s="34">
        <f ca="1">IFERROR(__xludf.DUMMYFUNCTION("""COMPUTED_VALUE"""),41852)</f>
        <v>41852</v>
      </c>
      <c r="G599" s="5" t="str">
        <f ca="1">IFERROR(__xludf.DUMMYFUNCTION("""COMPUTED_VALUE"""),"3600.0")</f>
        <v>3600.0</v>
      </c>
      <c r="H599" s="5" t="str">
        <f ca="1">IFERROR(__xludf.DUMMYFUNCTION("""COMPUTED_VALUE"""),"144.0")</f>
        <v>144.0</v>
      </c>
      <c r="I599" s="5" t="str">
        <f ca="1">IFERROR(__xludf.DUMMYFUNCTION("""COMPUTED_VALUE"""),"18.0")</f>
        <v>18.0</v>
      </c>
      <c r="J599" s="5">
        <f ca="1">IFERROR(__xludf.DUMMYFUNCTION("VALUE(REGEXREPLACE(G599,""\."","",""))"),3600)</f>
        <v>3600</v>
      </c>
      <c r="K599" s="14">
        <v>1027.6500000000001</v>
      </c>
      <c r="L599" s="25" t="e">
        <f t="shared" ca="1" si="7"/>
        <v>#NAME?</v>
      </c>
    </row>
    <row r="600" spans="6:12" ht="12.5">
      <c r="F600" s="34">
        <f ca="1">IFERROR(__xludf.DUMMYFUNCTION("""COMPUTED_VALUE"""),41883)</f>
        <v>41883</v>
      </c>
      <c r="G600" s="5" t="str">
        <f ca="1">IFERROR(__xludf.DUMMYFUNCTION("""COMPUTED_VALUE"""),"4400.0")</f>
        <v>4400.0</v>
      </c>
      <c r="H600" s="5" t="str">
        <f ca="1">IFERROR(__xludf.DUMMYFUNCTION("""COMPUTED_VALUE"""),"176.0")</f>
        <v>176.0</v>
      </c>
      <c r="I600" s="5" t="str">
        <f ca="1">IFERROR(__xludf.DUMMYFUNCTION("""COMPUTED_VALUE"""),"22.0")</f>
        <v>22.0</v>
      </c>
      <c r="J600" s="5">
        <f ca="1">IFERROR(__xludf.DUMMYFUNCTION("VALUE(REGEXREPLACE(G600,""\."","",""))"),4400)</f>
        <v>4400</v>
      </c>
      <c r="K600" s="14">
        <v>1051.1099999999999</v>
      </c>
      <c r="L600" s="25" t="e">
        <f t="shared" ca="1" si="7"/>
        <v>#NAME?</v>
      </c>
    </row>
    <row r="601" spans="6:12" ht="12.5">
      <c r="F601" s="34">
        <f ca="1">IFERROR(__xludf.DUMMYFUNCTION("""COMPUTED_VALUE"""),41913)</f>
        <v>41913</v>
      </c>
      <c r="G601" s="5" t="str">
        <f ca="1">IFERROR(__xludf.DUMMYFUNCTION("""COMPUTED_VALUE"""),"4400.0")</f>
        <v>4400.0</v>
      </c>
      <c r="H601" s="5" t="str">
        <f ca="1">IFERROR(__xludf.DUMMYFUNCTION("""COMPUTED_VALUE"""),"176.0")</f>
        <v>176.0</v>
      </c>
      <c r="I601" s="5" t="str">
        <f ca="1">IFERROR(__xludf.DUMMYFUNCTION("""COMPUTED_VALUE"""),"22.0")</f>
        <v>22.0</v>
      </c>
      <c r="J601" s="5">
        <f ca="1">IFERROR(__xludf.DUMMYFUNCTION("VALUE(REGEXREPLACE(G601,""\."","",""))"),4400)</f>
        <v>4400</v>
      </c>
      <c r="K601" s="14">
        <v>1075.68</v>
      </c>
      <c r="L601" s="25" t="e">
        <f t="shared" ca="1" si="7"/>
        <v>#NAME?</v>
      </c>
    </row>
    <row r="602" spans="6:12" ht="12.5">
      <c r="F602" s="34">
        <f ca="1">IFERROR(__xludf.DUMMYFUNCTION("""COMPUTED_VALUE"""),41944)</f>
        <v>41944</v>
      </c>
      <c r="G602" s="5" t="str">
        <f ca="1">IFERROR(__xludf.DUMMYFUNCTION("""COMPUTED_VALUE"""),"4400.0")</f>
        <v>4400.0</v>
      </c>
      <c r="H602" s="5" t="str">
        <f ca="1">IFERROR(__xludf.DUMMYFUNCTION("""COMPUTED_VALUE"""),"176.0")</f>
        <v>176.0</v>
      </c>
      <c r="I602" s="5" t="str">
        <f ca="1">IFERROR(__xludf.DUMMYFUNCTION("""COMPUTED_VALUE"""),"22.0")</f>
        <v>22.0</v>
      </c>
      <c r="J602" s="5">
        <f ca="1">IFERROR(__xludf.DUMMYFUNCTION("VALUE(REGEXREPLACE(G602,""\."","",""))"),4400)</f>
        <v>4400</v>
      </c>
      <c r="K602" s="14">
        <v>1094.3499999999999</v>
      </c>
      <c r="L602" s="25" t="e">
        <f t="shared" ca="1" si="7"/>
        <v>#NAME?</v>
      </c>
    </row>
    <row r="603" spans="6:12" ht="12.5">
      <c r="F603" s="34">
        <f ca="1">IFERROR(__xludf.DUMMYFUNCTION("""COMPUTED_VALUE"""),41974)</f>
        <v>41974</v>
      </c>
      <c r="G603" s="5" t="str">
        <f ca="1">IFERROR(__xludf.DUMMYFUNCTION("""COMPUTED_VALUE"""),"4400.0")</f>
        <v>4400.0</v>
      </c>
      <c r="H603" s="5" t="str">
        <f ca="1">IFERROR(__xludf.DUMMYFUNCTION("""COMPUTED_VALUE"""),"176.0")</f>
        <v>176.0</v>
      </c>
      <c r="I603" s="5" t="str">
        <f ca="1">IFERROR(__xludf.DUMMYFUNCTION("""COMPUTED_VALUE"""),"22.0")</f>
        <v>22.0</v>
      </c>
      <c r="J603" s="5">
        <f ca="1">IFERROR(__xludf.DUMMYFUNCTION("VALUE(REGEXREPLACE(G603,""\."","",""))"),4400)</f>
        <v>4400</v>
      </c>
      <c r="K603" s="14">
        <v>1114.79</v>
      </c>
      <c r="L603" s="25" t="e">
        <f t="shared" ca="1" si="7"/>
        <v>#NAME?</v>
      </c>
    </row>
    <row r="604" spans="6:12" ht="12.5">
      <c r="F604" s="34">
        <f ca="1">IFERROR(__xludf.DUMMYFUNCTION("""COMPUTED_VALUE"""),42005)</f>
        <v>42005</v>
      </c>
      <c r="G604" s="5" t="str">
        <f ca="1">IFERROR(__xludf.DUMMYFUNCTION("""COMPUTED_VALUE"""),"4716.0")</f>
        <v>4716.0</v>
      </c>
      <c r="H604" s="5" t="str">
        <f ca="1">IFERROR(__xludf.DUMMYFUNCTION("""COMPUTED_VALUE"""),"188.64")</f>
        <v>188.64</v>
      </c>
      <c r="I604" s="5" t="str">
        <f ca="1">IFERROR(__xludf.DUMMYFUNCTION("""COMPUTED_VALUE"""),"23.58")</f>
        <v>23.58</v>
      </c>
      <c r="J604" s="5">
        <f ca="1">IFERROR(__xludf.DUMMYFUNCTION("VALUE(REGEXREPLACE(G604,""\."","",""))"),4716)</f>
        <v>4716</v>
      </c>
      <c r="K604" s="14">
        <v>1130.99</v>
      </c>
      <c r="L604" s="25" t="e">
        <f t="shared" ca="1" si="7"/>
        <v>#NAME?</v>
      </c>
    </row>
    <row r="605" spans="6:12" ht="12.5">
      <c r="F605" s="34">
        <f ca="1">IFERROR(__xludf.DUMMYFUNCTION("""COMPUTED_VALUE"""),42036)</f>
        <v>42036</v>
      </c>
      <c r="G605" s="5" t="str">
        <f ca="1">IFERROR(__xludf.DUMMYFUNCTION("""COMPUTED_VALUE"""),"4716.0")</f>
        <v>4716.0</v>
      </c>
      <c r="H605" s="5" t="str">
        <f ca="1">IFERROR(__xludf.DUMMYFUNCTION("""COMPUTED_VALUE"""),"188.64")</f>
        <v>188.64</v>
      </c>
      <c r="I605" s="5" t="str">
        <f ca="1">IFERROR(__xludf.DUMMYFUNCTION("""COMPUTED_VALUE"""),"23.58")</f>
        <v>23.58</v>
      </c>
      <c r="J605" s="5">
        <f ca="1">IFERROR(__xludf.DUMMYFUNCTION("VALUE(REGEXREPLACE(G605,""\."","",""))"),4716)</f>
        <v>4716</v>
      </c>
      <c r="K605" s="14">
        <v>1153.19</v>
      </c>
      <c r="L605" s="25" t="e">
        <f t="shared" ca="1" si="7"/>
        <v>#NAME?</v>
      </c>
    </row>
    <row r="606" spans="6:12" ht="12.5">
      <c r="F606" s="34">
        <f ca="1">IFERROR(__xludf.DUMMYFUNCTION("""COMPUTED_VALUE"""),42064)</f>
        <v>42064</v>
      </c>
      <c r="G606" s="5" t="str">
        <f ca="1">IFERROR(__xludf.DUMMYFUNCTION("""COMPUTED_VALUE"""),"4716.0")</f>
        <v>4716.0</v>
      </c>
      <c r="H606" s="5" t="str">
        <f ca="1">IFERROR(__xludf.DUMMYFUNCTION("""COMPUTED_VALUE"""),"188.64")</f>
        <v>188.64</v>
      </c>
      <c r="I606" s="5" t="str">
        <f ca="1">IFERROR(__xludf.DUMMYFUNCTION("""COMPUTED_VALUE"""),"23.58")</f>
        <v>23.58</v>
      </c>
      <c r="J606" s="5">
        <f ca="1">IFERROR(__xludf.DUMMYFUNCTION("VALUE(REGEXREPLACE(G606,""\."","",""))"),4716)</f>
        <v>4716</v>
      </c>
      <c r="K606" s="14">
        <v>1169.8599999999999</v>
      </c>
      <c r="L606" s="25" t="e">
        <f t="shared" ca="1" si="7"/>
        <v>#NAME?</v>
      </c>
    </row>
    <row r="607" spans="6:12" ht="12.5">
      <c r="F607" s="34">
        <f ca="1">IFERROR(__xludf.DUMMYFUNCTION("""COMPUTED_VALUE"""),42095)</f>
        <v>42095</v>
      </c>
      <c r="G607" s="5" t="str">
        <f ca="1">IFERROR(__xludf.DUMMYFUNCTION("""COMPUTED_VALUE"""),"4716.0")</f>
        <v>4716.0</v>
      </c>
      <c r="H607" s="5" t="str">
        <f ca="1">IFERROR(__xludf.DUMMYFUNCTION("""COMPUTED_VALUE"""),"188.64")</f>
        <v>188.64</v>
      </c>
      <c r="I607" s="5" t="str">
        <f ca="1">IFERROR(__xludf.DUMMYFUNCTION("""COMPUTED_VALUE"""),"23.58")</f>
        <v>23.58</v>
      </c>
      <c r="J607" s="5">
        <f ca="1">IFERROR(__xludf.DUMMYFUNCTION("VALUE(REGEXREPLACE(G607,""\."","",""))"),4716)</f>
        <v>4716</v>
      </c>
      <c r="K607" s="14">
        <v>1189.72</v>
      </c>
      <c r="L607" s="25" t="e">
        <f t="shared" ca="1" si="7"/>
        <v>#NAME?</v>
      </c>
    </row>
    <row r="608" spans="6:12" ht="12.5">
      <c r="F608" s="34">
        <f ca="1">IFERROR(__xludf.DUMMYFUNCTION("""COMPUTED_VALUE"""),42125)</f>
        <v>42125</v>
      </c>
      <c r="G608" s="5" t="str">
        <f ca="1">IFERROR(__xludf.DUMMYFUNCTION("""COMPUTED_VALUE"""),"4716.0")</f>
        <v>4716.0</v>
      </c>
      <c r="H608" s="5" t="str">
        <f ca="1">IFERROR(__xludf.DUMMYFUNCTION("""COMPUTED_VALUE"""),"188.64")</f>
        <v>188.64</v>
      </c>
      <c r="I608" s="5" t="str">
        <f ca="1">IFERROR(__xludf.DUMMYFUNCTION("""COMPUTED_VALUE"""),"23.58")</f>
        <v>23.58</v>
      </c>
      <c r="J608" s="5">
        <f ca="1">IFERROR(__xludf.DUMMYFUNCTION("VALUE(REGEXREPLACE(G608,""\."","",""))"),4716)</f>
        <v>4716</v>
      </c>
      <c r="K608" s="14">
        <v>1217.05</v>
      </c>
      <c r="L608" s="25" t="e">
        <f t="shared" ca="1" si="7"/>
        <v>#NAME?</v>
      </c>
    </row>
    <row r="609" spans="6:12" ht="12.5">
      <c r="F609" s="34">
        <f ca="1">IFERROR(__xludf.DUMMYFUNCTION("""COMPUTED_VALUE"""),42156)</f>
        <v>42156</v>
      </c>
      <c r="G609" s="5" t="str">
        <f ca="1">IFERROR(__xludf.DUMMYFUNCTION("""COMPUTED_VALUE"""),"4716.0")</f>
        <v>4716.0</v>
      </c>
      <c r="H609" s="5" t="str">
        <f ca="1">IFERROR(__xludf.DUMMYFUNCTION("""COMPUTED_VALUE"""),"188.64")</f>
        <v>188.64</v>
      </c>
      <c r="I609" s="5" t="str">
        <f ca="1">IFERROR(__xludf.DUMMYFUNCTION("""COMPUTED_VALUE"""),"23.58")</f>
        <v>23.58</v>
      </c>
      <c r="J609" s="5">
        <f ca="1">IFERROR(__xludf.DUMMYFUNCTION("VALUE(REGEXREPLACE(G609,""\."","",""))"),4716)</f>
        <v>4716</v>
      </c>
      <c r="K609" s="14">
        <v>1243.81</v>
      </c>
      <c r="L609" s="25" t="e">
        <f t="shared" ca="1" si="7"/>
        <v>#NAME?</v>
      </c>
    </row>
    <row r="610" spans="6:12" ht="12.5">
      <c r="F610" s="34">
        <f ca="1">IFERROR(__xludf.DUMMYFUNCTION("""COMPUTED_VALUE"""),42186)</f>
        <v>42186</v>
      </c>
      <c r="G610" s="5" t="str">
        <f ca="1">IFERROR(__xludf.DUMMYFUNCTION("""COMPUTED_VALUE"""),"4716.0")</f>
        <v>4716.0</v>
      </c>
      <c r="H610" s="5" t="str">
        <f ca="1">IFERROR(__xludf.DUMMYFUNCTION("""COMPUTED_VALUE"""),"188.64")</f>
        <v>188.64</v>
      </c>
      <c r="I610" s="5" t="str">
        <f ca="1">IFERROR(__xludf.DUMMYFUNCTION("""COMPUTED_VALUE"""),"23.58")</f>
        <v>23.58</v>
      </c>
      <c r="J610" s="5">
        <f ca="1">IFERROR(__xludf.DUMMYFUNCTION("VALUE(REGEXREPLACE(G610,""\."","",""))"),4716)</f>
        <v>4716</v>
      </c>
      <c r="K610" s="14">
        <v>1261.04</v>
      </c>
      <c r="L610" s="25" t="e">
        <f t="shared" ca="1" si="7"/>
        <v>#NAME?</v>
      </c>
    </row>
    <row r="611" spans="6:12" ht="12.5">
      <c r="F611" s="34">
        <f ca="1">IFERROR(__xludf.DUMMYFUNCTION("""COMPUTED_VALUE"""),42217)</f>
        <v>42217</v>
      </c>
      <c r="G611" s="5" t="str">
        <f ca="1">IFERROR(__xludf.DUMMYFUNCTION("""COMPUTED_VALUE"""),"5588.0")</f>
        <v>5588.0</v>
      </c>
      <c r="H611" s="5" t="str">
        <f ca="1">IFERROR(__xludf.DUMMYFUNCTION("""COMPUTED_VALUE"""),"223.52")</f>
        <v>223.52</v>
      </c>
      <c r="I611" s="5" t="str">
        <f ca="1">IFERROR(__xludf.DUMMYFUNCTION("""COMPUTED_VALUE"""),"27.94")</f>
        <v>27.94</v>
      </c>
      <c r="J611" s="5">
        <f ca="1">IFERROR(__xludf.DUMMYFUNCTION("VALUE(REGEXREPLACE(G611,""\."","",""))"),5588)</f>
        <v>5588</v>
      </c>
      <c r="K611" s="14">
        <v>1286.68</v>
      </c>
      <c r="L611" s="25" t="e">
        <f t="shared" ca="1" si="7"/>
        <v>#NAME?</v>
      </c>
    </row>
    <row r="612" spans="6:12" ht="12.5">
      <c r="F612" s="34">
        <f ca="1">IFERROR(__xludf.DUMMYFUNCTION("""COMPUTED_VALUE"""),42248)</f>
        <v>42248</v>
      </c>
      <c r="G612" s="5" t="str">
        <f ca="1">IFERROR(__xludf.DUMMYFUNCTION("""COMPUTED_VALUE"""),"5588.0")</f>
        <v>5588.0</v>
      </c>
      <c r="H612" s="5" t="str">
        <f ca="1">IFERROR(__xludf.DUMMYFUNCTION("""COMPUTED_VALUE"""),"223.52")</f>
        <v>223.52</v>
      </c>
      <c r="I612" s="5" t="str">
        <f ca="1">IFERROR(__xludf.DUMMYFUNCTION("""COMPUTED_VALUE"""),"27.94")</f>
        <v>27.94</v>
      </c>
      <c r="J612" s="5">
        <f ca="1">IFERROR(__xludf.DUMMYFUNCTION("VALUE(REGEXREPLACE(G612,""\."","",""))"),5588)</f>
        <v>5588</v>
      </c>
      <c r="K612" s="14">
        <v>1310.42</v>
      </c>
      <c r="L612" s="25" t="e">
        <f t="shared" ca="1" si="7"/>
        <v>#NAME?</v>
      </c>
    </row>
    <row r="613" spans="6:12" ht="12.5">
      <c r="F613" s="34">
        <f ca="1">IFERROR(__xludf.DUMMYFUNCTION("""COMPUTED_VALUE"""),42278)</f>
        <v>42278</v>
      </c>
      <c r="G613" s="5" t="str">
        <f ca="1">IFERROR(__xludf.DUMMYFUNCTION("""COMPUTED_VALUE"""),"5588.0")</f>
        <v>5588.0</v>
      </c>
      <c r="H613" s="5" t="str">
        <f ca="1">IFERROR(__xludf.DUMMYFUNCTION("""COMPUTED_VALUE"""),"223.52")</f>
        <v>223.52</v>
      </c>
      <c r="I613" s="5" t="str">
        <f ca="1">IFERROR(__xludf.DUMMYFUNCTION("""COMPUTED_VALUE"""),"27.94")</f>
        <v>27.94</v>
      </c>
      <c r="J613" s="5">
        <f ca="1">IFERROR(__xludf.DUMMYFUNCTION("VALUE(REGEXREPLACE(G613,""\."","",""))"),5588)</f>
        <v>5588</v>
      </c>
      <c r="K613" s="14">
        <v>1332.79</v>
      </c>
      <c r="L613" s="25" t="e">
        <f t="shared" ca="1" si="7"/>
        <v>#NAME?</v>
      </c>
    </row>
    <row r="614" spans="6:12" ht="12.5">
      <c r="F614" s="34">
        <f ca="1">IFERROR(__xludf.DUMMYFUNCTION("""COMPUTED_VALUE"""),42309)</f>
        <v>42309</v>
      </c>
      <c r="G614" s="5" t="str">
        <f ca="1">IFERROR(__xludf.DUMMYFUNCTION("""COMPUTED_VALUE"""),"5588.0")</f>
        <v>5588.0</v>
      </c>
      <c r="H614" s="5" t="str">
        <f ca="1">IFERROR(__xludf.DUMMYFUNCTION("""COMPUTED_VALUE"""),"223.52")</f>
        <v>223.52</v>
      </c>
      <c r="I614" s="5" t="str">
        <f ca="1">IFERROR(__xludf.DUMMYFUNCTION("""COMPUTED_VALUE"""),"27.94")</f>
        <v>27.94</v>
      </c>
      <c r="J614" s="5">
        <f ca="1">IFERROR(__xludf.DUMMYFUNCTION("VALUE(REGEXREPLACE(G614,""\."","",""))"),5588)</f>
        <v>5588</v>
      </c>
      <c r="K614" s="14">
        <v>1355.09</v>
      </c>
      <c r="L614" s="25" t="e">
        <f t="shared" ca="1" si="7"/>
        <v>#NAME?</v>
      </c>
    </row>
    <row r="615" spans="6:12" ht="12.5">
      <c r="F615" s="34">
        <f ca="1">IFERROR(__xludf.DUMMYFUNCTION("""COMPUTED_VALUE"""),42339)</f>
        <v>42339</v>
      </c>
      <c r="G615" s="5" t="str">
        <f ca="1">IFERROR(__xludf.DUMMYFUNCTION("""COMPUTED_VALUE"""),"5588.0")</f>
        <v>5588.0</v>
      </c>
      <c r="H615" s="5" t="str">
        <f ca="1">IFERROR(__xludf.DUMMYFUNCTION("""COMPUTED_VALUE"""),"223.52")</f>
        <v>223.52</v>
      </c>
      <c r="I615" s="5" t="str">
        <f ca="1">IFERROR(__xludf.DUMMYFUNCTION("""COMPUTED_VALUE"""),"27.94")</f>
        <v>27.94</v>
      </c>
      <c r="J615" s="5">
        <f ca="1">IFERROR(__xludf.DUMMYFUNCTION("VALUE(REGEXREPLACE(G615,""\."","",""))"),5588)</f>
        <v>5588</v>
      </c>
      <c r="K615" s="14">
        <v>1381.78</v>
      </c>
      <c r="L615" s="25" t="e">
        <f t="shared" ca="1" si="7"/>
        <v>#NAME?</v>
      </c>
    </row>
    <row r="616" spans="6:12" ht="12.5">
      <c r="F616" s="34">
        <f ca="1">IFERROR(__xludf.DUMMYFUNCTION("""COMPUTED_VALUE"""),42370)</f>
        <v>42370</v>
      </c>
      <c r="G616" s="5" t="str">
        <f ca="1">IFERROR(__xludf.DUMMYFUNCTION("""COMPUTED_VALUE"""),"6060.0")</f>
        <v>6060.0</v>
      </c>
      <c r="H616" s="5" t="str">
        <f ca="1">IFERROR(__xludf.DUMMYFUNCTION("""COMPUTED_VALUE"""),"242.4")</f>
        <v>242.4</v>
      </c>
      <c r="I616" s="5">
        <f ca="1">IFERROR(__xludf.DUMMYFUNCTION("""COMPUTED_VALUE"""),45381)</f>
        <v>45381</v>
      </c>
      <c r="J616" s="5">
        <f ca="1">IFERROR(__xludf.DUMMYFUNCTION("VALUE(REGEXREPLACE(G616,""\."","",""))"),6060)</f>
        <v>6060</v>
      </c>
      <c r="K616" s="14">
        <v>1435.99</v>
      </c>
      <c r="L616" s="25" t="e">
        <f t="shared" ca="1" si="7"/>
        <v>#NAME?</v>
      </c>
    </row>
    <row r="617" spans="6:12" ht="12.5">
      <c r="F617" s="34">
        <f ca="1">IFERROR(__xludf.DUMMYFUNCTION("""COMPUTED_VALUE"""),42401)</f>
        <v>42401</v>
      </c>
      <c r="G617" s="5" t="str">
        <f ca="1">IFERROR(__xludf.DUMMYFUNCTION("""COMPUTED_VALUE"""),"6060.0")</f>
        <v>6060.0</v>
      </c>
      <c r="H617" s="5" t="str">
        <f ca="1">IFERROR(__xludf.DUMMYFUNCTION("""COMPUTED_VALUE"""),"242.4")</f>
        <v>242.4</v>
      </c>
      <c r="I617" s="5">
        <f ca="1">IFERROR(__xludf.DUMMYFUNCTION("""COMPUTED_VALUE"""),45381)</f>
        <v>45381</v>
      </c>
      <c r="J617" s="5">
        <f ca="1">IFERROR(__xludf.DUMMYFUNCTION("VALUE(REGEXREPLACE(G617,""\."","",""))"),6060)</f>
        <v>6060</v>
      </c>
      <c r="K617" s="14">
        <v>1496.31</v>
      </c>
      <c r="L617" s="25" t="e">
        <f t="shared" ca="1" si="7"/>
        <v>#NAME?</v>
      </c>
    </row>
    <row r="618" spans="6:12" ht="12.5">
      <c r="F618" s="34">
        <f ca="1">IFERROR(__xludf.DUMMYFUNCTION("""COMPUTED_VALUE"""),42430)</f>
        <v>42430</v>
      </c>
      <c r="G618" s="5" t="str">
        <f ca="1">IFERROR(__xludf.DUMMYFUNCTION("""COMPUTED_VALUE"""),"6060.0")</f>
        <v>6060.0</v>
      </c>
      <c r="H618" s="5" t="str">
        <f ca="1">IFERROR(__xludf.DUMMYFUNCTION("""COMPUTED_VALUE"""),"242.4")</f>
        <v>242.4</v>
      </c>
      <c r="I618" s="5">
        <f ca="1">IFERROR(__xludf.DUMMYFUNCTION("""COMPUTED_VALUE"""),45381)</f>
        <v>45381</v>
      </c>
      <c r="J618" s="5">
        <f ca="1">IFERROR(__xludf.DUMMYFUNCTION("VALUE(REGEXREPLACE(G618,""\."","",""))"),6060)</f>
        <v>6060</v>
      </c>
      <c r="K618" s="14">
        <v>1554.55</v>
      </c>
      <c r="L618" s="25" t="e">
        <f t="shared" ca="1" si="7"/>
        <v>#NAME?</v>
      </c>
    </row>
    <row r="619" spans="6:12" ht="12.5">
      <c r="F619" s="34">
        <f ca="1">IFERROR(__xludf.DUMMYFUNCTION("""COMPUTED_VALUE"""),42461)</f>
        <v>42461</v>
      </c>
      <c r="G619" s="5" t="str">
        <f ca="1">IFERROR(__xludf.DUMMYFUNCTION("""COMPUTED_VALUE"""),"6060.0")</f>
        <v>6060.0</v>
      </c>
      <c r="H619" s="5" t="str">
        <f ca="1">IFERROR(__xludf.DUMMYFUNCTION("""COMPUTED_VALUE"""),"242.4")</f>
        <v>242.4</v>
      </c>
      <c r="I619" s="5">
        <f ca="1">IFERROR(__xludf.DUMMYFUNCTION("""COMPUTED_VALUE"""),45381)</f>
        <v>45381</v>
      </c>
      <c r="J619" s="5">
        <f ca="1">IFERROR(__xludf.DUMMYFUNCTION("VALUE(REGEXREPLACE(G619,""\."","",""))"),6060)</f>
        <v>6060</v>
      </c>
      <c r="K619" s="14">
        <v>1606.2</v>
      </c>
      <c r="L619" s="25" t="e">
        <f t="shared" ref="L619:L717" ca="1" si="8">DEFLACTAR(J619,MAX(F:F),F619)</f>
        <v>#NAME?</v>
      </c>
    </row>
    <row r="620" spans="6:12" ht="12.5">
      <c r="F620" s="34">
        <f ca="1">IFERROR(__xludf.DUMMYFUNCTION("""COMPUTED_VALUE"""),42491)</f>
        <v>42491</v>
      </c>
      <c r="G620" s="5" t="str">
        <f ca="1">IFERROR(__xludf.DUMMYFUNCTION("""COMPUTED_VALUE"""),"6060.0")</f>
        <v>6060.0</v>
      </c>
      <c r="H620" s="5" t="str">
        <f ca="1">IFERROR(__xludf.DUMMYFUNCTION("""COMPUTED_VALUE"""),"242.4")</f>
        <v>242.4</v>
      </c>
      <c r="I620" s="5">
        <f ca="1">IFERROR(__xludf.DUMMYFUNCTION("""COMPUTED_VALUE"""),45381)</f>
        <v>45381</v>
      </c>
      <c r="J620" s="5">
        <f ca="1">IFERROR(__xludf.DUMMYFUNCTION("VALUE(REGEXREPLACE(G620,""\."","",""))"),6060)</f>
        <v>6060</v>
      </c>
      <c r="K620" s="14">
        <v>1705.9</v>
      </c>
      <c r="L620" s="25" t="e">
        <f t="shared" ca="1" si="8"/>
        <v>#NAME?</v>
      </c>
    </row>
    <row r="621" spans="6:12" ht="12.5">
      <c r="F621" s="34">
        <f ca="1">IFERROR(__xludf.DUMMYFUNCTION("""COMPUTED_VALUE"""),42522)</f>
        <v>42522</v>
      </c>
      <c r="G621" s="5" t="str">
        <f ca="1">IFERROR(__xludf.DUMMYFUNCTION("""COMPUTED_VALUE"""),"6810.0")</f>
        <v>6810.0</v>
      </c>
      <c r="H621" s="5" t="str">
        <f ca="1">IFERROR(__xludf.DUMMYFUNCTION("""COMPUTED_VALUE"""),"272.4")</f>
        <v>272.4</v>
      </c>
      <c r="I621" s="5" t="str">
        <f ca="1">IFERROR(__xludf.DUMMYFUNCTION("""COMPUTED_VALUE"""),"34.05")</f>
        <v>34.05</v>
      </c>
      <c r="J621" s="5">
        <f ca="1">IFERROR(__xludf.DUMMYFUNCTION("VALUE(REGEXREPLACE(G621,""\."","",""))"),6810)</f>
        <v>6810</v>
      </c>
      <c r="K621" s="20">
        <v>1777.38</v>
      </c>
      <c r="L621" s="25" t="e">
        <f t="shared" ca="1" si="8"/>
        <v>#NAME?</v>
      </c>
    </row>
    <row r="622" spans="6:12" ht="12.5">
      <c r="F622" s="34">
        <f ca="1">IFERROR(__xludf.DUMMYFUNCTION("""COMPUTED_VALUE"""),42552)</f>
        <v>42552</v>
      </c>
      <c r="G622" s="5" t="str">
        <f ca="1">IFERROR(__xludf.DUMMYFUNCTION("""COMPUTED_VALUE"""),"6810.0")</f>
        <v>6810.0</v>
      </c>
      <c r="H622" s="5" t="str">
        <f ca="1">IFERROR(__xludf.DUMMYFUNCTION("""COMPUTED_VALUE"""),"272.4")</f>
        <v>272.4</v>
      </c>
      <c r="I622" s="5" t="str">
        <f ca="1">IFERROR(__xludf.DUMMYFUNCTION("""COMPUTED_VALUE"""),"34.05")</f>
        <v>34.05</v>
      </c>
      <c r="J622" s="5">
        <f ca="1">IFERROR(__xludf.DUMMYFUNCTION("VALUE(REGEXREPLACE(G622,""\."","",""))"),6810)</f>
        <v>6810</v>
      </c>
      <c r="K622" s="20">
        <v>1832.12</v>
      </c>
      <c r="L622" s="25" t="e">
        <f t="shared" ca="1" si="8"/>
        <v>#NAME?</v>
      </c>
    </row>
    <row r="623" spans="6:12" ht="12.5">
      <c r="F623" s="34">
        <f ca="1">IFERROR(__xludf.DUMMYFUNCTION("""COMPUTED_VALUE"""),42583)</f>
        <v>42583</v>
      </c>
      <c r="G623" s="5" t="str">
        <f ca="1">IFERROR(__xludf.DUMMYFUNCTION("""COMPUTED_VALUE"""),"6810.0")</f>
        <v>6810.0</v>
      </c>
      <c r="H623" s="5" t="str">
        <f ca="1">IFERROR(__xludf.DUMMYFUNCTION("""COMPUTED_VALUE"""),"272.4")</f>
        <v>272.4</v>
      </c>
      <c r="I623" s="5" t="str">
        <f ca="1">IFERROR(__xludf.DUMMYFUNCTION("""COMPUTED_VALUE"""),"34.05")</f>
        <v>34.05</v>
      </c>
      <c r="J623" s="5">
        <f ca="1">IFERROR(__xludf.DUMMYFUNCTION("VALUE(REGEXREPLACE(G623,""\."","",""))"),6810)</f>
        <v>6810</v>
      </c>
      <c r="K623" s="20">
        <v>1868.76</v>
      </c>
      <c r="L623" s="25" t="e">
        <f t="shared" ca="1" si="8"/>
        <v>#NAME?</v>
      </c>
    </row>
    <row r="624" spans="6:12" ht="12.5">
      <c r="F624" s="34">
        <f ca="1">IFERROR(__xludf.DUMMYFUNCTION("""COMPUTED_VALUE"""),42614)</f>
        <v>42614</v>
      </c>
      <c r="G624" s="5" t="str">
        <f ca="1">IFERROR(__xludf.DUMMYFUNCTION("""COMPUTED_VALUE"""),"7560.0")</f>
        <v>7560.0</v>
      </c>
      <c r="H624" s="5" t="str">
        <f ca="1">IFERROR(__xludf.DUMMYFUNCTION("""COMPUTED_VALUE"""),"302.4")</f>
        <v>302.4</v>
      </c>
      <c r="I624" s="5" t="str">
        <f ca="1">IFERROR(__xludf.DUMMYFUNCTION("""COMPUTED_VALUE"""),"37.8")</f>
        <v>37.8</v>
      </c>
      <c r="J624" s="5">
        <f ca="1">IFERROR(__xludf.DUMMYFUNCTION("VALUE(REGEXREPLACE(G624,""\."","",""))"),7560)</f>
        <v>7560</v>
      </c>
      <c r="K624" s="20">
        <v>1872.5</v>
      </c>
      <c r="L624" s="25" t="e">
        <f t="shared" ca="1" si="8"/>
        <v>#NAME?</v>
      </c>
    </row>
    <row r="625" spans="6:12" ht="12.5">
      <c r="F625" s="34">
        <f ca="1">IFERROR(__xludf.DUMMYFUNCTION("""COMPUTED_VALUE"""),42644)</f>
        <v>42644</v>
      </c>
      <c r="G625" s="5" t="str">
        <f ca="1">IFERROR(__xludf.DUMMYFUNCTION("""COMPUTED_VALUE"""),"7560.0")</f>
        <v>7560.0</v>
      </c>
      <c r="H625" s="5" t="str">
        <f ca="1">IFERROR(__xludf.DUMMYFUNCTION("""COMPUTED_VALUE"""),"302.4")</f>
        <v>302.4</v>
      </c>
      <c r="I625" s="5" t="str">
        <f ca="1">IFERROR(__xludf.DUMMYFUNCTION("""COMPUTED_VALUE"""),"37.8")</f>
        <v>37.8</v>
      </c>
      <c r="J625" s="5">
        <f ca="1">IFERROR(__xludf.DUMMYFUNCTION("VALUE(REGEXREPLACE(G625,""\."","",""))"),7560)</f>
        <v>7560</v>
      </c>
      <c r="K625" s="20">
        <v>1893.1</v>
      </c>
      <c r="L625" s="25" t="e">
        <f t="shared" ca="1" si="8"/>
        <v>#NAME?</v>
      </c>
    </row>
    <row r="626" spans="6:12" ht="12.5">
      <c r="F626" s="34">
        <f ca="1">IFERROR(__xludf.DUMMYFUNCTION("""COMPUTED_VALUE"""),42675)</f>
        <v>42675</v>
      </c>
      <c r="G626" s="5" t="str">
        <f ca="1">IFERROR(__xludf.DUMMYFUNCTION("""COMPUTED_VALUE"""),"7560.0")</f>
        <v>7560.0</v>
      </c>
      <c r="H626" s="5" t="str">
        <f ca="1">IFERROR(__xludf.DUMMYFUNCTION("""COMPUTED_VALUE"""),"302.4")</f>
        <v>302.4</v>
      </c>
      <c r="I626" s="5" t="str">
        <f ca="1">IFERROR(__xludf.DUMMYFUNCTION("""COMPUTED_VALUE"""),"37.8")</f>
        <v>37.8</v>
      </c>
      <c r="J626" s="5">
        <f ca="1">IFERROR(__xludf.DUMMYFUNCTION("VALUE(REGEXREPLACE(G626,""\."","",""))"),7560)</f>
        <v>7560</v>
      </c>
      <c r="K626" s="20">
        <v>1938.53</v>
      </c>
      <c r="L626" s="25" t="e">
        <f t="shared" ca="1" si="8"/>
        <v>#NAME?</v>
      </c>
    </row>
    <row r="627" spans="6:12" ht="12.5">
      <c r="F627" s="34">
        <f ca="1">IFERROR(__xludf.DUMMYFUNCTION("""COMPUTED_VALUE"""),42705)</f>
        <v>42705</v>
      </c>
      <c r="G627" s="5" t="str">
        <f ca="1">IFERROR(__xludf.DUMMYFUNCTION("""COMPUTED_VALUE"""),"7560.0")</f>
        <v>7560.0</v>
      </c>
      <c r="H627" s="5" t="str">
        <f ca="1">IFERROR(__xludf.DUMMYFUNCTION("""COMPUTED_VALUE"""),"302.4")</f>
        <v>302.4</v>
      </c>
      <c r="I627" s="5" t="str">
        <f ca="1">IFERROR(__xludf.DUMMYFUNCTION("""COMPUTED_VALUE"""),"37.8")</f>
        <v>37.8</v>
      </c>
      <c r="J627" s="5">
        <f ca="1">IFERROR(__xludf.DUMMYFUNCTION("VALUE(REGEXREPLACE(G627,""\."","",""))"),7560)</f>
        <v>7560</v>
      </c>
      <c r="K627" s="20">
        <v>1969.55</v>
      </c>
      <c r="L627" s="25" t="e">
        <f t="shared" ca="1" si="8"/>
        <v>#NAME?</v>
      </c>
    </row>
    <row r="628" spans="6:12" ht="12.5">
      <c r="F628" s="34">
        <f ca="1">IFERROR(__xludf.DUMMYFUNCTION("""COMPUTED_VALUE"""),42736)</f>
        <v>42736</v>
      </c>
      <c r="G628" s="5" t="str">
        <f ca="1">IFERROR(__xludf.DUMMYFUNCTION("""COMPUTED_VALUE"""),"8060.0")</f>
        <v>8060.0</v>
      </c>
      <c r="H628" s="5" t="str">
        <f ca="1">IFERROR(__xludf.DUMMYFUNCTION("""COMPUTED_VALUE"""),"322.4")</f>
        <v>322.4</v>
      </c>
      <c r="I628" s="5" t="str">
        <f ca="1">IFERROR(__xludf.DUMMYFUNCTION("""COMPUTED_VALUE"""),"40.3")</f>
        <v>40.3</v>
      </c>
      <c r="J628" s="5">
        <f ca="1">IFERROR(__xludf.DUMMYFUNCTION("VALUE(REGEXREPLACE(G628,""\."","",""))"),8060)</f>
        <v>8060</v>
      </c>
      <c r="K628" s="20">
        <v>1993.18</v>
      </c>
      <c r="L628" s="25" t="e">
        <f t="shared" ca="1" si="8"/>
        <v>#NAME?</v>
      </c>
    </row>
    <row r="629" spans="6:12" ht="12.5">
      <c r="F629" s="34">
        <f ca="1">IFERROR(__xludf.DUMMYFUNCTION("""COMPUTED_VALUE"""),42767)</f>
        <v>42767</v>
      </c>
      <c r="G629" s="5" t="str">
        <f ca="1">IFERROR(__xludf.DUMMYFUNCTION("""COMPUTED_VALUE"""),"8060.0")</f>
        <v>8060.0</v>
      </c>
      <c r="H629" s="5" t="str">
        <f ca="1">IFERROR(__xludf.DUMMYFUNCTION("""COMPUTED_VALUE"""),"322.4")</f>
        <v>322.4</v>
      </c>
      <c r="I629" s="5" t="str">
        <f ca="1">IFERROR(__xludf.DUMMYFUNCTION("""COMPUTED_VALUE"""),"40.3")</f>
        <v>40.3</v>
      </c>
      <c r="J629" s="5">
        <f ca="1">IFERROR(__xludf.DUMMYFUNCTION("VALUE(REGEXREPLACE(G629,""\."","",""))"),8060)</f>
        <v>8060</v>
      </c>
      <c r="K629" s="20">
        <v>2025.07</v>
      </c>
      <c r="L629" s="25" t="e">
        <f t="shared" ca="1" si="8"/>
        <v>#NAME?</v>
      </c>
    </row>
    <row r="630" spans="6:12" ht="12.5">
      <c r="F630" s="34">
        <f ca="1">IFERROR(__xludf.DUMMYFUNCTION("""COMPUTED_VALUE"""),42795)</f>
        <v>42795</v>
      </c>
      <c r="G630" s="5" t="str">
        <f ca="1">IFERROR(__xludf.DUMMYFUNCTION("""COMPUTED_VALUE"""),"8060.0")</f>
        <v>8060.0</v>
      </c>
      <c r="H630" s="5" t="str">
        <f ca="1">IFERROR(__xludf.DUMMYFUNCTION("""COMPUTED_VALUE"""),"322.4")</f>
        <v>322.4</v>
      </c>
      <c r="I630" s="5" t="str">
        <f ca="1">IFERROR(__xludf.DUMMYFUNCTION("""COMPUTED_VALUE"""),"40.3")</f>
        <v>40.3</v>
      </c>
      <c r="J630" s="5">
        <f ca="1">IFERROR(__xludf.DUMMYFUNCTION("VALUE(REGEXREPLACE(G630,""\."","",""))"),8060)</f>
        <v>8060</v>
      </c>
      <c r="K630" s="20">
        <v>2067.6</v>
      </c>
      <c r="L630" s="25" t="e">
        <f t="shared" ca="1" si="8"/>
        <v>#NAME?</v>
      </c>
    </row>
    <row r="631" spans="6:12" ht="12.5">
      <c r="F631" s="34">
        <f ca="1">IFERROR(__xludf.DUMMYFUNCTION("""COMPUTED_VALUE"""),42826)</f>
        <v>42826</v>
      </c>
      <c r="G631" s="5" t="str">
        <f ca="1">IFERROR(__xludf.DUMMYFUNCTION("""COMPUTED_VALUE"""),"8060.0")</f>
        <v>8060.0</v>
      </c>
      <c r="H631" s="5" t="str">
        <f ca="1">IFERROR(__xludf.DUMMYFUNCTION("""COMPUTED_VALUE"""),"322.4")</f>
        <v>322.4</v>
      </c>
      <c r="I631" s="5" t="str">
        <f ca="1">IFERROR(__xludf.DUMMYFUNCTION("""COMPUTED_VALUE"""),"40.3")</f>
        <v>40.3</v>
      </c>
      <c r="J631" s="5">
        <f ca="1">IFERROR(__xludf.DUMMYFUNCTION("VALUE(REGEXREPLACE(G631,""\."","",""))"),8060)</f>
        <v>8060</v>
      </c>
      <c r="K631" s="20">
        <v>2115.15</v>
      </c>
      <c r="L631" s="25" t="e">
        <f t="shared" ca="1" si="8"/>
        <v>#NAME?</v>
      </c>
    </row>
    <row r="632" spans="6:12" ht="12.5">
      <c r="F632" s="34">
        <f ca="1">IFERROR(__xludf.DUMMYFUNCTION("""COMPUTED_VALUE"""),42856)</f>
        <v>42856</v>
      </c>
      <c r="G632" s="5" t="str">
        <f ca="1">IFERROR(__xludf.DUMMYFUNCTION("""COMPUTED_VALUE"""),"8060.0")</f>
        <v>8060.0</v>
      </c>
      <c r="H632" s="5" t="str">
        <f ca="1">IFERROR(__xludf.DUMMYFUNCTION("""COMPUTED_VALUE"""),"322.4")</f>
        <v>322.4</v>
      </c>
      <c r="I632" s="5" t="str">
        <f ca="1">IFERROR(__xludf.DUMMYFUNCTION("""COMPUTED_VALUE"""),"40.3")</f>
        <v>40.3</v>
      </c>
      <c r="J632" s="5">
        <f ca="1">IFERROR(__xludf.DUMMYFUNCTION("VALUE(REGEXREPLACE(G632,""\."","",""))"),8060)</f>
        <v>8060</v>
      </c>
      <c r="K632" s="20">
        <v>2172.2600000000002</v>
      </c>
      <c r="L632" s="25" t="e">
        <f t="shared" ca="1" si="8"/>
        <v>#NAME?</v>
      </c>
    </row>
    <row r="633" spans="6:12" ht="12.5">
      <c r="F633" s="34">
        <f ca="1">IFERROR(__xludf.DUMMYFUNCTION("""COMPUTED_VALUE"""),42887)</f>
        <v>42887</v>
      </c>
      <c r="G633" s="5" t="str">
        <f ca="1">IFERROR(__xludf.DUMMYFUNCTION("""COMPUTED_VALUE"""),"8060.0")</f>
        <v>8060.0</v>
      </c>
      <c r="H633" s="5" t="str">
        <f ca="1">IFERROR(__xludf.DUMMYFUNCTION("""COMPUTED_VALUE"""),"322.4")</f>
        <v>322.4</v>
      </c>
      <c r="I633" s="5" t="str">
        <f ca="1">IFERROR(__xludf.DUMMYFUNCTION("""COMPUTED_VALUE"""),"40.3")</f>
        <v>40.3</v>
      </c>
      <c r="J633" s="5">
        <f ca="1">IFERROR(__xludf.DUMMYFUNCTION("VALUE(REGEXREPLACE(G633,""\."","",""))"),8060)</f>
        <v>8060</v>
      </c>
      <c r="K633" s="20">
        <v>2202.6799999999998</v>
      </c>
      <c r="L633" s="25" t="e">
        <f t="shared" ca="1" si="8"/>
        <v>#NAME?</v>
      </c>
    </row>
    <row r="634" spans="6:12" ht="12.5">
      <c r="F634" s="34">
        <f ca="1">IFERROR(__xludf.DUMMYFUNCTION("""COMPUTED_VALUE"""),42917)</f>
        <v>42917</v>
      </c>
      <c r="G634" s="5" t="str">
        <f ca="1">IFERROR(__xludf.DUMMYFUNCTION("""COMPUTED_VALUE"""),"8860.0")</f>
        <v>8860.0</v>
      </c>
      <c r="H634" s="5" t="str">
        <f ca="1">IFERROR(__xludf.DUMMYFUNCTION("""COMPUTED_VALUE"""),"354.4")</f>
        <v>354.4</v>
      </c>
      <c r="I634" s="5" t="str">
        <f ca="1">IFERROR(__xludf.DUMMYFUNCTION("""COMPUTED_VALUE"""),"44.3")</f>
        <v>44.3</v>
      </c>
      <c r="J634" s="5">
        <f ca="1">IFERROR(__xludf.DUMMYFUNCTION("VALUE(REGEXREPLACE(G634,""\."","",""))"),8860)</f>
        <v>8860</v>
      </c>
      <c r="K634" s="20">
        <v>2229.11</v>
      </c>
      <c r="L634" s="25" t="e">
        <f t="shared" ca="1" si="8"/>
        <v>#NAME?</v>
      </c>
    </row>
    <row r="635" spans="6:12" ht="12.5">
      <c r="F635" s="34">
        <f ca="1">IFERROR(__xludf.DUMMYFUNCTION("""COMPUTED_VALUE"""),42948)</f>
        <v>42948</v>
      </c>
      <c r="G635" s="5" t="str">
        <f ca="1">IFERROR(__xludf.DUMMYFUNCTION("""COMPUTED_VALUE"""),"8860.0")</f>
        <v>8860.0</v>
      </c>
      <c r="H635" s="5" t="str">
        <f ca="1">IFERROR(__xludf.DUMMYFUNCTION("""COMPUTED_VALUE"""),"354.4")</f>
        <v>354.4</v>
      </c>
      <c r="I635" s="5" t="str">
        <f ca="1">IFERROR(__xludf.DUMMYFUNCTION("""COMPUTED_VALUE"""),"44.3")</f>
        <v>44.3</v>
      </c>
      <c r="J635" s="5">
        <f ca="1">IFERROR(__xludf.DUMMYFUNCTION("VALUE(REGEXREPLACE(G635,""\."","",""))"),8860)</f>
        <v>8860</v>
      </c>
      <c r="K635" s="20">
        <v>2269.23</v>
      </c>
      <c r="L635" s="25" t="e">
        <f t="shared" ca="1" si="8"/>
        <v>#NAME?</v>
      </c>
    </row>
    <row r="636" spans="6:12" ht="12.5">
      <c r="F636" s="34">
        <f ca="1">IFERROR(__xludf.DUMMYFUNCTION("""COMPUTED_VALUE"""),42979)</f>
        <v>42979</v>
      </c>
      <c r="G636" s="5" t="str">
        <f ca="1">IFERROR(__xludf.DUMMYFUNCTION("""COMPUTED_VALUE"""),"8860.0")</f>
        <v>8860.0</v>
      </c>
      <c r="H636" s="5" t="str">
        <f ca="1">IFERROR(__xludf.DUMMYFUNCTION("""COMPUTED_VALUE"""),"354.4")</f>
        <v>354.4</v>
      </c>
      <c r="I636" s="5" t="str">
        <f ca="1">IFERROR(__xludf.DUMMYFUNCTION("""COMPUTED_VALUE"""),"44.3")</f>
        <v>44.3</v>
      </c>
      <c r="J636" s="5">
        <f ca="1">IFERROR(__xludf.DUMMYFUNCTION("VALUE(REGEXREPLACE(G636,""\."","",""))"),8860)</f>
        <v>8860</v>
      </c>
      <c r="K636" s="20">
        <v>2301</v>
      </c>
      <c r="L636" s="25" t="e">
        <f t="shared" ca="1" si="8"/>
        <v>#NAME?</v>
      </c>
    </row>
    <row r="637" spans="6:12" ht="12.5">
      <c r="F637" s="34">
        <f ca="1">IFERROR(__xludf.DUMMYFUNCTION("""COMPUTED_VALUE"""),43009)</f>
        <v>43009</v>
      </c>
      <c r="G637" s="5" t="str">
        <f ca="1">IFERROR(__xludf.DUMMYFUNCTION("""COMPUTED_VALUE"""),"8860.0")</f>
        <v>8860.0</v>
      </c>
      <c r="H637" s="5" t="str">
        <f ca="1">IFERROR(__xludf.DUMMYFUNCTION("""COMPUTED_VALUE"""),"354.4")</f>
        <v>354.4</v>
      </c>
      <c r="I637" s="5" t="str">
        <f ca="1">IFERROR(__xludf.DUMMYFUNCTION("""COMPUTED_VALUE"""),"44.3")</f>
        <v>44.3</v>
      </c>
      <c r="J637" s="5">
        <f ca="1">IFERROR(__xludf.DUMMYFUNCTION("VALUE(REGEXREPLACE(G637,""\."","",""))"),8860)</f>
        <v>8860</v>
      </c>
      <c r="K637" s="20">
        <v>2344.7199999999998</v>
      </c>
      <c r="L637" s="25" t="e">
        <f t="shared" ca="1" si="8"/>
        <v>#NAME?</v>
      </c>
    </row>
    <row r="638" spans="6:12" ht="12.5">
      <c r="F638" s="34">
        <f ca="1">IFERROR(__xludf.DUMMYFUNCTION("""COMPUTED_VALUE"""),43040)</f>
        <v>43040</v>
      </c>
      <c r="G638" s="5" t="str">
        <f ca="1">IFERROR(__xludf.DUMMYFUNCTION("""COMPUTED_VALUE"""),"8860.0")</f>
        <v>8860.0</v>
      </c>
      <c r="H638" s="5" t="str">
        <f ca="1">IFERROR(__xludf.DUMMYFUNCTION("""COMPUTED_VALUE"""),"354.4")</f>
        <v>354.4</v>
      </c>
      <c r="I638" s="5" t="str">
        <f ca="1">IFERROR(__xludf.DUMMYFUNCTION("""COMPUTED_VALUE"""),"44.3")</f>
        <v>44.3</v>
      </c>
      <c r="J638" s="5">
        <f ca="1">IFERROR(__xludf.DUMMYFUNCTION("VALUE(REGEXREPLACE(G638,""\."","",""))"),8860)</f>
        <v>8860</v>
      </c>
      <c r="K638" s="20">
        <v>2379.89</v>
      </c>
      <c r="L638" s="25" t="e">
        <f t="shared" ca="1" si="8"/>
        <v>#NAME?</v>
      </c>
    </row>
    <row r="639" spans="6:12" ht="12.5">
      <c r="F639" s="34">
        <f ca="1">IFERROR(__xludf.DUMMYFUNCTION("""COMPUTED_VALUE"""),43070)</f>
        <v>43070</v>
      </c>
      <c r="G639" s="5" t="str">
        <f ca="1">IFERROR(__xludf.DUMMYFUNCTION("""COMPUTED_VALUE"""),"8860.0")</f>
        <v>8860.0</v>
      </c>
      <c r="H639" s="5" t="str">
        <f ca="1">IFERROR(__xludf.DUMMYFUNCTION("""COMPUTED_VALUE"""),"354.4")</f>
        <v>354.4</v>
      </c>
      <c r="I639" s="5" t="str">
        <f ca="1">IFERROR(__xludf.DUMMYFUNCTION("""COMPUTED_VALUE"""),"44.3")</f>
        <v>44.3</v>
      </c>
      <c r="J639" s="5">
        <f ca="1">IFERROR(__xludf.DUMMYFUNCTION("VALUE(REGEXREPLACE(G639,""\."","",""))"),8860)</f>
        <v>8860</v>
      </c>
      <c r="K639" s="20">
        <v>2413.21</v>
      </c>
      <c r="L639" s="25" t="e">
        <f t="shared" ca="1" si="8"/>
        <v>#NAME?</v>
      </c>
    </row>
    <row r="640" spans="6:12" ht="12.5">
      <c r="F640" s="34">
        <f ca="1">IFERROR(__xludf.DUMMYFUNCTION("""COMPUTED_VALUE"""),43101)</f>
        <v>43101</v>
      </c>
      <c r="G640" s="5" t="str">
        <f ca="1">IFERROR(__xludf.DUMMYFUNCTION("""COMPUTED_VALUE"""),"9500.0")</f>
        <v>9500.0</v>
      </c>
      <c r="H640" s="5" t="str">
        <f ca="1">IFERROR(__xludf.DUMMYFUNCTION("""COMPUTED_VALUE"""),"380.0")</f>
        <v>380.0</v>
      </c>
      <c r="I640" s="5" t="str">
        <f ca="1">IFERROR(__xludf.DUMMYFUNCTION("""COMPUTED_VALUE"""),"47.5")</f>
        <v>47.5</v>
      </c>
      <c r="J640" s="5">
        <f ca="1">IFERROR(__xludf.DUMMYFUNCTION("VALUE(REGEXREPLACE(G640,""\."","",""))"),9500)</f>
        <v>9500</v>
      </c>
      <c r="K640" s="20">
        <v>2488.02</v>
      </c>
      <c r="L640" s="25" t="e">
        <f t="shared" ca="1" si="8"/>
        <v>#NAME?</v>
      </c>
    </row>
    <row r="641" spans="6:12" ht="12.5">
      <c r="F641" s="34">
        <f ca="1">IFERROR(__xludf.DUMMYFUNCTION("""COMPUTED_VALUE"""),43132)</f>
        <v>43132</v>
      </c>
      <c r="G641" s="5" t="str">
        <f ca="1">IFERROR(__xludf.DUMMYFUNCTION("""COMPUTED_VALUE"""),"9500.0")</f>
        <v>9500.0</v>
      </c>
      <c r="H641" s="5" t="str">
        <f ca="1">IFERROR(__xludf.DUMMYFUNCTION("""COMPUTED_VALUE"""),"380.0")</f>
        <v>380.0</v>
      </c>
      <c r="I641" s="5" t="str">
        <f ca="1">IFERROR(__xludf.DUMMYFUNCTION("""COMPUTED_VALUE"""),"47.5")</f>
        <v>47.5</v>
      </c>
      <c r="J641" s="5">
        <f ca="1">IFERROR(__xludf.DUMMYFUNCTION("VALUE(REGEXREPLACE(G641,""\."","",""))"),9500)</f>
        <v>9500</v>
      </c>
      <c r="K641" s="20">
        <v>2532.8000000000002</v>
      </c>
      <c r="L641" s="25" t="e">
        <f t="shared" ca="1" si="8"/>
        <v>#NAME?</v>
      </c>
    </row>
    <row r="642" spans="6:12" ht="12.5">
      <c r="F642" s="34">
        <f ca="1">IFERROR(__xludf.DUMMYFUNCTION("""COMPUTED_VALUE"""),43160)</f>
        <v>43160</v>
      </c>
      <c r="G642" s="5" t="str">
        <f ca="1">IFERROR(__xludf.DUMMYFUNCTION("""COMPUTED_VALUE"""),"9500.0")</f>
        <v>9500.0</v>
      </c>
      <c r="H642" s="5" t="str">
        <f ca="1">IFERROR(__xludf.DUMMYFUNCTION("""COMPUTED_VALUE"""),"380.0")</f>
        <v>380.0</v>
      </c>
      <c r="I642" s="5" t="str">
        <f ca="1">IFERROR(__xludf.DUMMYFUNCTION("""COMPUTED_VALUE"""),"47.5")</f>
        <v>47.5</v>
      </c>
      <c r="J642" s="5">
        <f ca="1">IFERROR(__xludf.DUMMYFUNCTION("VALUE(REGEXREPLACE(G642,""\."","",""))"),9500)</f>
        <v>9500</v>
      </c>
      <c r="K642" s="20">
        <v>2593.59</v>
      </c>
      <c r="L642" s="25" t="e">
        <f t="shared" ca="1" si="8"/>
        <v>#NAME?</v>
      </c>
    </row>
    <row r="643" spans="6:12" ht="12.5">
      <c r="F643" s="34">
        <f ca="1">IFERROR(__xludf.DUMMYFUNCTION("""COMPUTED_VALUE"""),43191)</f>
        <v>43191</v>
      </c>
      <c r="G643" s="5" t="str">
        <f ca="1">IFERROR(__xludf.DUMMYFUNCTION("""COMPUTED_VALUE"""),"9500.0")</f>
        <v>9500.0</v>
      </c>
      <c r="H643" s="5" t="str">
        <f ca="1">IFERROR(__xludf.DUMMYFUNCTION("""COMPUTED_VALUE"""),"380.0")</f>
        <v>380.0</v>
      </c>
      <c r="I643" s="5" t="str">
        <f ca="1">IFERROR(__xludf.DUMMYFUNCTION("""COMPUTED_VALUE"""),"47.5")</f>
        <v>47.5</v>
      </c>
      <c r="J643" s="5">
        <f ca="1">IFERROR(__xludf.DUMMYFUNCTION("VALUE(REGEXREPLACE(G643,""\."","",""))"),9500)</f>
        <v>9500</v>
      </c>
      <c r="K643" s="20">
        <v>2653.24</v>
      </c>
      <c r="L643" s="25" t="e">
        <f t="shared" ca="1" si="8"/>
        <v>#NAME?</v>
      </c>
    </row>
    <row r="644" spans="6:12" ht="12.5">
      <c r="F644" s="34">
        <f ca="1">IFERROR(__xludf.DUMMYFUNCTION("""COMPUTED_VALUE"""),43221)</f>
        <v>43221</v>
      </c>
      <c r="G644" s="5" t="str">
        <f ca="1">IFERROR(__xludf.DUMMYFUNCTION("""COMPUTED_VALUE"""),"9500.0")</f>
        <v>9500.0</v>
      </c>
      <c r="H644" s="5" t="str">
        <f ca="1">IFERROR(__xludf.DUMMYFUNCTION("""COMPUTED_VALUE"""),"380.0")</f>
        <v>380.0</v>
      </c>
      <c r="I644" s="5" t="str">
        <f ca="1">IFERROR(__xludf.DUMMYFUNCTION("""COMPUTED_VALUE"""),"47.5")</f>
        <v>47.5</v>
      </c>
      <c r="J644" s="5">
        <f ca="1">IFERROR(__xludf.DUMMYFUNCTION("VALUE(REGEXREPLACE(G644,""\."","",""))"),9500)</f>
        <v>9500</v>
      </c>
      <c r="K644" s="20">
        <v>2724.88</v>
      </c>
      <c r="L644" s="25" t="e">
        <f t="shared" ca="1" si="8"/>
        <v>#NAME?</v>
      </c>
    </row>
    <row r="645" spans="6:12" ht="12.5">
      <c r="F645" s="34">
        <f ca="1">IFERROR(__xludf.DUMMYFUNCTION("""COMPUTED_VALUE"""),43252)</f>
        <v>43252</v>
      </c>
      <c r="G645" s="5" t="str">
        <f ca="1">IFERROR(__xludf.DUMMYFUNCTION("""COMPUTED_VALUE"""),"9500.0")</f>
        <v>9500.0</v>
      </c>
      <c r="H645" s="5" t="str">
        <f ca="1">IFERROR(__xludf.DUMMYFUNCTION("""COMPUTED_VALUE"""),"380.0")</f>
        <v>380.0</v>
      </c>
      <c r="I645" s="5" t="str">
        <f ca="1">IFERROR(__xludf.DUMMYFUNCTION("""COMPUTED_VALUE"""),"47.5")</f>
        <v>47.5</v>
      </c>
      <c r="J645" s="5">
        <f ca="1">IFERROR(__xludf.DUMMYFUNCTION("VALUE(REGEXREPLACE(G645,""\."","",""))"),9500)</f>
        <v>9500</v>
      </c>
      <c r="K645" s="20">
        <v>2782.1</v>
      </c>
      <c r="L645" s="25" t="e">
        <f t="shared" ca="1" si="8"/>
        <v>#NAME?</v>
      </c>
    </row>
    <row r="646" spans="6:12" ht="12.5">
      <c r="F646" s="34">
        <f ca="1">IFERROR(__xludf.DUMMYFUNCTION("""COMPUTED_VALUE"""),43282)</f>
        <v>43282</v>
      </c>
      <c r="G646" s="5" t="str">
        <f ca="1">IFERROR(__xludf.DUMMYFUNCTION("""COMPUTED_VALUE"""),"10000.0")</f>
        <v>10000.0</v>
      </c>
      <c r="H646" s="5" t="str">
        <f ca="1">IFERROR(__xludf.DUMMYFUNCTION("""COMPUTED_VALUE"""),"400.0")</f>
        <v>400.0</v>
      </c>
      <c r="I646" s="5" t="str">
        <f ca="1">IFERROR(__xludf.DUMMYFUNCTION("""COMPUTED_VALUE"""),"50.0")</f>
        <v>50.0</v>
      </c>
      <c r="J646" s="5">
        <f ca="1">IFERROR(__xludf.DUMMYFUNCTION("VALUE(REGEXREPLACE(G646,""\."","",""))"),10000)</f>
        <v>10000</v>
      </c>
      <c r="K646" s="20">
        <v>2885.04</v>
      </c>
      <c r="L646" s="25" t="e">
        <f t="shared" ca="1" si="8"/>
        <v>#NAME?</v>
      </c>
    </row>
    <row r="647" spans="6:12" ht="12.5">
      <c r="F647" s="34">
        <f ca="1">IFERROR(__xludf.DUMMYFUNCTION("""COMPUTED_VALUE"""),43313)</f>
        <v>43313</v>
      </c>
      <c r="G647" s="5" t="str">
        <f ca="1">IFERROR(__xludf.DUMMYFUNCTION("""COMPUTED_VALUE"""),"10000.0")</f>
        <v>10000.0</v>
      </c>
      <c r="H647" s="5" t="str">
        <f ca="1">IFERROR(__xludf.DUMMYFUNCTION("""COMPUTED_VALUE"""),"400.0")</f>
        <v>400.0</v>
      </c>
      <c r="I647" s="5" t="str">
        <f ca="1">IFERROR(__xludf.DUMMYFUNCTION("""COMPUTED_VALUE"""),"50.0")</f>
        <v>50.0</v>
      </c>
      <c r="J647" s="5">
        <f ca="1">IFERROR(__xludf.DUMMYFUNCTION("VALUE(REGEXREPLACE(G647,""\."","",""))"),10000)</f>
        <v>10000</v>
      </c>
      <c r="K647" s="20">
        <v>2974.48</v>
      </c>
      <c r="L647" s="25" t="e">
        <f t="shared" ca="1" si="8"/>
        <v>#NAME?</v>
      </c>
    </row>
    <row r="648" spans="6:12" ht="12.5">
      <c r="F648" s="34">
        <f ca="1">IFERROR(__xludf.DUMMYFUNCTION("""COMPUTED_VALUE"""),43344)</f>
        <v>43344</v>
      </c>
      <c r="G648" s="5" t="str">
        <f ca="1">IFERROR(__xludf.DUMMYFUNCTION("""COMPUTED_VALUE"""),"10700.0")</f>
        <v>10700.0</v>
      </c>
      <c r="H648" s="5" t="str">
        <f ca="1">IFERROR(__xludf.DUMMYFUNCTION("""COMPUTED_VALUE"""),"428.0")</f>
        <v>428.0</v>
      </c>
      <c r="I648" s="5" t="str">
        <f ca="1">IFERROR(__xludf.DUMMYFUNCTION("""COMPUTED_VALUE"""),"53.5")</f>
        <v>53.5</v>
      </c>
      <c r="J648" s="5">
        <f ca="1">IFERROR(__xludf.DUMMYFUNCTION("VALUE(REGEXREPLACE(G648,""\."","",""))"),10700)</f>
        <v>10700</v>
      </c>
      <c r="K648" s="20">
        <v>3090.48</v>
      </c>
      <c r="L648" s="25" t="e">
        <f t="shared" ca="1" si="8"/>
        <v>#NAME?</v>
      </c>
    </row>
    <row r="649" spans="6:12" ht="12.5">
      <c r="F649" s="34">
        <f ca="1">IFERROR(__xludf.DUMMYFUNCTION("""COMPUTED_VALUE"""),43374)</f>
        <v>43374</v>
      </c>
      <c r="G649" s="5" t="str">
        <f ca="1">IFERROR(__xludf.DUMMYFUNCTION("""COMPUTED_VALUE"""),"10700.0")</f>
        <v>10700.0</v>
      </c>
      <c r="H649" s="5" t="str">
        <f ca="1">IFERROR(__xludf.DUMMYFUNCTION("""COMPUTED_VALUE"""),"428.0")</f>
        <v>428.0</v>
      </c>
      <c r="I649" s="5" t="str">
        <f ca="1">IFERROR(__xludf.DUMMYFUNCTION("""COMPUTED_VALUE"""),"53.5")</f>
        <v>53.5</v>
      </c>
      <c r="J649" s="5">
        <f ca="1">IFERROR(__xludf.DUMMYFUNCTION("VALUE(REGEXREPLACE(G649,""\."","",""))"),10700)</f>
        <v>10700</v>
      </c>
      <c r="K649" s="20">
        <v>3291.36</v>
      </c>
      <c r="L649" s="25" t="e">
        <f t="shared" ca="1" si="8"/>
        <v>#NAME?</v>
      </c>
    </row>
    <row r="650" spans="6:12" ht="12.5">
      <c r="F650" s="34">
        <f ca="1">IFERROR(__xludf.DUMMYFUNCTION("""COMPUTED_VALUE"""),43405)</f>
        <v>43405</v>
      </c>
      <c r="G650" s="5" t="str">
        <f ca="1">IFERROR(__xludf.DUMMYFUNCTION("""COMPUTED_VALUE"""),"10700.0")</f>
        <v>10700.0</v>
      </c>
      <c r="H650" s="5" t="str">
        <f ca="1">IFERROR(__xludf.DUMMYFUNCTION("""COMPUTED_VALUE"""),"428.0")</f>
        <v>428.0</v>
      </c>
      <c r="I650" s="5" t="str">
        <f ca="1">IFERROR(__xludf.DUMMYFUNCTION("""COMPUTED_VALUE"""),"53.5")</f>
        <v>53.5</v>
      </c>
      <c r="J650" s="5">
        <f ca="1">IFERROR(__xludf.DUMMYFUNCTION("VALUE(REGEXREPLACE(G650,""\."","",""))"),10700)</f>
        <v>10700</v>
      </c>
      <c r="K650" s="20">
        <v>3469.1</v>
      </c>
      <c r="L650" s="25" t="e">
        <f t="shared" ca="1" si="8"/>
        <v>#NAME?</v>
      </c>
    </row>
    <row r="651" spans="6:12" ht="12.5">
      <c r="F651" s="34">
        <f ca="1">IFERROR(__xludf.DUMMYFUNCTION("""COMPUTED_VALUE"""),43435)</f>
        <v>43435</v>
      </c>
      <c r="G651" s="5" t="str">
        <f ca="1">IFERROR(__xludf.DUMMYFUNCTION("""COMPUTED_VALUE"""),"11300.0")</f>
        <v>11300.0</v>
      </c>
      <c r="H651" s="5" t="str">
        <f ca="1">IFERROR(__xludf.DUMMYFUNCTION("""COMPUTED_VALUE"""),"452.0")</f>
        <v>452.0</v>
      </c>
      <c r="I651" s="5" t="str">
        <f ca="1">IFERROR(__xludf.DUMMYFUNCTION("""COMPUTED_VALUE"""),"56.5")</f>
        <v>56.5</v>
      </c>
      <c r="J651" s="5">
        <f ca="1">IFERROR(__xludf.DUMMYFUNCTION("VALUE(REGEXREPLACE(G651,""\."","",""))"),11300)</f>
        <v>11300</v>
      </c>
      <c r="K651" s="20">
        <v>3580.11</v>
      </c>
      <c r="L651" s="25" t="e">
        <f t="shared" ca="1" si="8"/>
        <v>#NAME?</v>
      </c>
    </row>
    <row r="652" spans="6:12" ht="12.5">
      <c r="F652" s="34">
        <f ca="1">IFERROR(__xludf.DUMMYFUNCTION("""COMPUTED_VALUE"""),43466)</f>
        <v>43466</v>
      </c>
      <c r="G652" s="5" t="str">
        <f ca="1">IFERROR(__xludf.DUMMYFUNCTION("""COMPUTED_VALUE"""),"11300.0")</f>
        <v>11300.0</v>
      </c>
      <c r="H652" s="5" t="str">
        <f ca="1">IFERROR(__xludf.DUMMYFUNCTION("""COMPUTED_VALUE"""),"452.0")</f>
        <v>452.0</v>
      </c>
      <c r="I652" s="5" t="str">
        <f ca="1">IFERROR(__xludf.DUMMYFUNCTION("""COMPUTED_VALUE"""),"56.5")</f>
        <v>56.5</v>
      </c>
      <c r="J652" s="5">
        <f ca="1">IFERROR(__xludf.DUMMYFUNCTION("VALUE(REGEXREPLACE(G652,""\."","",""))"),11300)</f>
        <v>11300</v>
      </c>
      <c r="K652" s="20">
        <v>3673.19</v>
      </c>
      <c r="L652" s="25" t="e">
        <f t="shared" ca="1" si="8"/>
        <v>#NAME?</v>
      </c>
    </row>
    <row r="653" spans="6:12" ht="12.5">
      <c r="F653" s="34">
        <f ca="1">IFERROR(__xludf.DUMMYFUNCTION("""COMPUTED_VALUE"""),43497)</f>
        <v>43497</v>
      </c>
      <c r="G653" s="5" t="str">
        <f ca="1">IFERROR(__xludf.DUMMYFUNCTION("""COMPUTED_VALUE"""),"11300.0")</f>
        <v>11300.0</v>
      </c>
      <c r="H653" s="5" t="str">
        <f ca="1">IFERROR(__xludf.DUMMYFUNCTION("""COMPUTED_VALUE"""),"452.0")</f>
        <v>452.0</v>
      </c>
      <c r="I653" s="5" t="str">
        <f ca="1">IFERROR(__xludf.DUMMYFUNCTION("""COMPUTED_VALUE"""),"56.5")</f>
        <v>56.5</v>
      </c>
      <c r="J653" s="5">
        <f ca="1">IFERROR(__xludf.DUMMYFUNCTION("VALUE(REGEXREPLACE(G653,""\."","",""))"),11300)</f>
        <v>11300</v>
      </c>
      <c r="K653" s="20">
        <v>3779.94</v>
      </c>
      <c r="L653" s="25" t="e">
        <f t="shared" ca="1" si="8"/>
        <v>#NAME?</v>
      </c>
    </row>
    <row r="654" spans="6:12" ht="12.5">
      <c r="F654" s="34">
        <f ca="1">IFERROR(__xludf.DUMMYFUNCTION("""COMPUTED_VALUE"""),43525)</f>
        <v>43525</v>
      </c>
      <c r="G654" s="5" t="str">
        <f ca="1">IFERROR(__xludf.DUMMYFUNCTION("""COMPUTED_VALUE"""),"12500.0")</f>
        <v>12500.0</v>
      </c>
      <c r="H654" s="5" t="str">
        <f ca="1">IFERROR(__xludf.DUMMYFUNCTION("""COMPUTED_VALUE"""),"500.0")</f>
        <v>500.0</v>
      </c>
      <c r="I654" s="5" t="str">
        <f ca="1">IFERROR(__xludf.DUMMYFUNCTION("""COMPUTED_VALUE"""),"59.5")</f>
        <v>59.5</v>
      </c>
      <c r="J654" s="5">
        <f ca="1">IFERROR(__xludf.DUMMYFUNCTION("VALUE(REGEXREPLACE(G654,""\."","",""))"),12500)</f>
        <v>12500</v>
      </c>
      <c r="K654" s="20">
        <v>3922.28</v>
      </c>
      <c r="L654" s="25" t="e">
        <f t="shared" ca="1" si="8"/>
        <v>#NAME?</v>
      </c>
    </row>
    <row r="655" spans="6:12" ht="12.5">
      <c r="F655" s="34">
        <f ca="1">IFERROR(__xludf.DUMMYFUNCTION("""COMPUTED_VALUE"""),43556)</f>
        <v>43556</v>
      </c>
      <c r="G655" s="5" t="str">
        <f ca="1">IFERROR(__xludf.DUMMYFUNCTION("""COMPUTED_VALUE"""),"12500.0")</f>
        <v>12500.0</v>
      </c>
      <c r="H655" s="5" t="str">
        <f ca="1">IFERROR(__xludf.DUMMYFUNCTION("""COMPUTED_VALUE"""),"500.0")</f>
        <v>500.0</v>
      </c>
      <c r="I655" s="5" t="str">
        <f ca="1">IFERROR(__xludf.DUMMYFUNCTION("""COMPUTED_VALUE"""),"59.5")</f>
        <v>59.5</v>
      </c>
      <c r="J655" s="5">
        <f ca="1">IFERROR(__xludf.DUMMYFUNCTION("VALUE(REGEXREPLACE(G655,""\."","",""))"),12500)</f>
        <v>12500</v>
      </c>
      <c r="K655" s="20">
        <v>4105.82</v>
      </c>
      <c r="L655" s="25" t="e">
        <f t="shared" ca="1" si="8"/>
        <v>#NAME?</v>
      </c>
    </row>
    <row r="656" spans="6:12" ht="12.5">
      <c r="F656" s="34">
        <f ca="1">IFERROR(__xludf.DUMMYFUNCTION("""COMPUTED_VALUE"""),43586)</f>
        <v>43586</v>
      </c>
      <c r="G656" s="5" t="str">
        <f ca="1">IFERROR(__xludf.DUMMYFUNCTION("""COMPUTED_VALUE"""),"12500.0")</f>
        <v>12500.0</v>
      </c>
      <c r="H656" s="5" t="str">
        <f ca="1">IFERROR(__xludf.DUMMYFUNCTION("""COMPUTED_VALUE"""),"500.0")</f>
        <v>500.0</v>
      </c>
      <c r="I656" s="5" t="str">
        <f ca="1">IFERROR(__xludf.DUMMYFUNCTION("""COMPUTED_VALUE"""),"59.5")</f>
        <v>59.5</v>
      </c>
      <c r="J656" s="5">
        <f ca="1">IFERROR(__xludf.DUMMYFUNCTION("VALUE(REGEXREPLACE(G656,""\."","",""))"),12500)</f>
        <v>12500</v>
      </c>
      <c r="K656" s="20">
        <v>4247.25</v>
      </c>
      <c r="L656" s="25" t="e">
        <f t="shared" ca="1" si="8"/>
        <v>#NAME?</v>
      </c>
    </row>
    <row r="657" spans="6:12" ht="12.5">
      <c r="F657" s="34">
        <f ca="1">IFERROR(__xludf.DUMMYFUNCTION("""COMPUTED_VALUE"""),43617)</f>
        <v>43617</v>
      </c>
      <c r="G657" s="5" t="str">
        <f ca="1">IFERROR(__xludf.DUMMYFUNCTION("""COMPUTED_VALUE"""),"12500.0")</f>
        <v>12500.0</v>
      </c>
      <c r="H657" s="5" t="str">
        <f ca="1">IFERROR(__xludf.DUMMYFUNCTION("""COMPUTED_VALUE"""),"500.0")</f>
        <v>500.0</v>
      </c>
      <c r="I657" s="5" t="str">
        <f ca="1">IFERROR(__xludf.DUMMYFUNCTION("""COMPUTED_VALUE"""),"62.5")</f>
        <v>62.5</v>
      </c>
      <c r="J657" s="5">
        <f ca="1">IFERROR(__xludf.DUMMYFUNCTION("VALUE(REGEXREPLACE(G657,""\."","",""))"),12500)</f>
        <v>12500</v>
      </c>
      <c r="K657" s="20">
        <v>4377.18</v>
      </c>
      <c r="L657" s="25" t="e">
        <f t="shared" ca="1" si="8"/>
        <v>#NAME?</v>
      </c>
    </row>
    <row r="658" spans="6:12" ht="12.5">
      <c r="F658" s="34">
        <f ca="1">IFERROR(__xludf.DUMMYFUNCTION("""COMPUTED_VALUE"""),43647)</f>
        <v>43647</v>
      </c>
      <c r="G658" s="5" t="str">
        <f ca="1">IFERROR(__xludf.DUMMYFUNCTION("""COMPUTED_VALUE"""),"12500.0")</f>
        <v>12500.0</v>
      </c>
      <c r="H658" s="5" t="str">
        <f ca="1">IFERROR(__xludf.DUMMYFUNCTION("""COMPUTED_VALUE"""),"500.0")</f>
        <v>500.0</v>
      </c>
      <c r="I658" s="5" t="str">
        <f ca="1">IFERROR(__xludf.DUMMYFUNCTION("""COMPUTED_VALUE"""),"62.5")</f>
        <v>62.5</v>
      </c>
      <c r="J658" s="5">
        <f ca="1">IFERROR(__xludf.DUMMYFUNCTION("VALUE(REGEXREPLACE(G658,""\."","",""))"),12500)</f>
        <v>12500</v>
      </c>
      <c r="K658" s="20">
        <v>4496.1499999999996</v>
      </c>
      <c r="L658" s="25" t="e">
        <f t="shared" ca="1" si="8"/>
        <v>#NAME?</v>
      </c>
    </row>
    <row r="659" spans="6:12" ht="12.5">
      <c r="F659" s="34">
        <f ca="1">IFERROR(__xludf.DUMMYFUNCTION("""COMPUTED_VALUE"""),43678)</f>
        <v>43678</v>
      </c>
      <c r="G659" s="5" t="str">
        <f ca="1">IFERROR(__xludf.DUMMYFUNCTION("""COMPUTED_VALUE"""),"14125.0")</f>
        <v>14125.0</v>
      </c>
      <c r="H659" s="5" t="str">
        <f ca="1">IFERROR(__xludf.DUMMYFUNCTION("""COMPUTED_VALUE"""),"565.0")</f>
        <v>565.0</v>
      </c>
      <c r="I659" s="5" t="str">
        <f ca="1">IFERROR(__xludf.DUMMYFUNCTION("""COMPUTED_VALUE"""),"70.62")</f>
        <v>70.62</v>
      </c>
      <c r="J659" s="5">
        <f ca="1">IFERROR(__xludf.DUMMYFUNCTION("VALUE(REGEXREPLACE(G659,""\."","",""))"),14125)</f>
        <v>14125</v>
      </c>
      <c r="K659" s="20">
        <v>4594.97</v>
      </c>
      <c r="L659" s="25" t="e">
        <f t="shared" ca="1" si="8"/>
        <v>#NAME?</v>
      </c>
    </row>
    <row r="660" spans="6:12" ht="12.5">
      <c r="F660" s="34">
        <f ca="1">IFERROR(__xludf.DUMMYFUNCTION("""COMPUTED_VALUE"""),43709)</f>
        <v>43709</v>
      </c>
      <c r="G660" s="5" t="str">
        <f ca="1">IFERROR(__xludf.DUMMYFUNCTION("""COMPUTED_VALUE"""),"15625.0")</f>
        <v>15625.0</v>
      </c>
      <c r="H660" s="5" t="str">
        <f ca="1">IFERROR(__xludf.DUMMYFUNCTION("""COMPUTED_VALUE"""),"625.0")</f>
        <v>625.0</v>
      </c>
      <c r="I660" s="5" t="str">
        <f ca="1">IFERROR(__xludf.DUMMYFUNCTION("""COMPUTED_VALUE"""),"78.12")</f>
        <v>78.12</v>
      </c>
      <c r="J660" s="5">
        <f ca="1">IFERROR(__xludf.DUMMYFUNCTION("VALUE(REGEXREPLACE(G660,""\."","",""))"),15625)</f>
        <v>15625</v>
      </c>
      <c r="K660" s="20">
        <v>4776.66</v>
      </c>
      <c r="L660" s="25" t="e">
        <f t="shared" ca="1" si="8"/>
        <v>#NAME?</v>
      </c>
    </row>
    <row r="661" spans="6:12" ht="12.5">
      <c r="F661" s="34">
        <f ca="1">IFERROR(__xludf.DUMMYFUNCTION("""COMPUTED_VALUE"""),43739)</f>
        <v>43739</v>
      </c>
      <c r="G661" s="5" t="str">
        <f ca="1">IFERROR(__xludf.DUMMYFUNCTION("""COMPUTED_VALUE"""),"16875.0")</f>
        <v>16875.0</v>
      </c>
      <c r="H661" s="5" t="str">
        <f ca="1">IFERROR(__xludf.DUMMYFUNCTION("""COMPUTED_VALUE"""),"675.0")</f>
        <v>675.0</v>
      </c>
      <c r="I661" s="5" t="str">
        <f ca="1">IFERROR(__xludf.DUMMYFUNCTION("""COMPUTED_VALUE"""),"84.37")</f>
        <v>84.37</v>
      </c>
      <c r="J661" s="5">
        <f ca="1">IFERROR(__xludf.DUMMYFUNCTION("VALUE(REGEXREPLACE(G661,""\."","",""))"),16875)</f>
        <v>16875</v>
      </c>
      <c r="K661" s="20">
        <v>5057.8</v>
      </c>
      <c r="L661" s="25" t="e">
        <f t="shared" ca="1" si="8"/>
        <v>#NAME?</v>
      </c>
    </row>
    <row r="662" spans="6:12" ht="12.5">
      <c r="F662" s="34">
        <f ca="1">IFERROR(__xludf.DUMMYFUNCTION("""COMPUTED_VALUE"""),43770)</f>
        <v>43770</v>
      </c>
      <c r="G662" s="5" t="str">
        <f ca="1">IFERROR(__xludf.DUMMYFUNCTION("""COMPUTED_VALUE"""),"16875.0")</f>
        <v>16875.0</v>
      </c>
      <c r="H662" s="5" t="str">
        <f ca="1">IFERROR(__xludf.DUMMYFUNCTION("""COMPUTED_VALUE"""),"675.0")</f>
        <v>675.0</v>
      </c>
      <c r="I662" s="5" t="str">
        <f ca="1">IFERROR(__xludf.DUMMYFUNCTION("""COMPUTED_VALUE"""),"84.37")</f>
        <v>84.37</v>
      </c>
      <c r="J662" s="5">
        <f ca="1">IFERROR(__xludf.DUMMYFUNCTION("VALUE(REGEXREPLACE(G662,""\."","",""))"),16875)</f>
        <v>16875</v>
      </c>
      <c r="K662" s="20">
        <v>5224.38</v>
      </c>
      <c r="L662" s="25" t="e">
        <f t="shared" ca="1" si="8"/>
        <v>#NAME?</v>
      </c>
    </row>
    <row r="663" spans="6:12" ht="12.5">
      <c r="F663" s="34">
        <f ca="1">IFERROR(__xludf.DUMMYFUNCTION("""COMPUTED_VALUE"""),43800)</f>
        <v>43800</v>
      </c>
      <c r="G663" s="5" t="str">
        <f ca="1">IFERROR(__xludf.DUMMYFUNCTION("""COMPUTED_VALUE"""),"16875.0")</f>
        <v>16875.0</v>
      </c>
      <c r="H663" s="5" t="str">
        <f ca="1">IFERROR(__xludf.DUMMYFUNCTION("""COMPUTED_VALUE"""),"675.0")</f>
        <v>675.0</v>
      </c>
      <c r="I663" s="5" t="str">
        <f ca="1">IFERROR(__xludf.DUMMYFUNCTION("""COMPUTED_VALUE"""),"84.37")</f>
        <v>84.37</v>
      </c>
      <c r="J663" s="5">
        <f ca="1">IFERROR(__xludf.DUMMYFUNCTION("VALUE(REGEXREPLACE(G663,""\."","",""))"),16875)</f>
        <v>16875</v>
      </c>
      <c r="K663" s="20">
        <v>5446.65</v>
      </c>
      <c r="L663" s="25" t="e">
        <f t="shared" ca="1" si="8"/>
        <v>#NAME?</v>
      </c>
    </row>
    <row r="664" spans="6:12" ht="12.5">
      <c r="F664" s="34">
        <f ca="1">IFERROR(__xludf.DUMMYFUNCTION("""COMPUTED_VALUE"""),43831)</f>
        <v>43831</v>
      </c>
      <c r="G664" s="5" t="str">
        <f ca="1">IFERROR(__xludf.DUMMYFUNCTION("""COMPUTED_VALUE"""),"16875.0")</f>
        <v>16875.0</v>
      </c>
      <c r="H664" s="5" t="str">
        <f ca="1">IFERROR(__xludf.DUMMYFUNCTION("""COMPUTED_VALUE"""),"675.0")</f>
        <v>675.0</v>
      </c>
      <c r="I664" s="5" t="str">
        <f ca="1">IFERROR(__xludf.DUMMYFUNCTION("""COMPUTED_VALUE"""),"84.37")</f>
        <v>84.37</v>
      </c>
      <c r="J664" s="5">
        <f ca="1">IFERROR(__xludf.DUMMYFUNCTION("VALUE(REGEXREPLACE(G664,""\."","",""))"),16875)</f>
        <v>16875</v>
      </c>
      <c r="K664" s="20">
        <v>5650.56</v>
      </c>
      <c r="L664" s="25" t="e">
        <f t="shared" ca="1" si="8"/>
        <v>#NAME?</v>
      </c>
    </row>
    <row r="665" spans="6:12" ht="12.5">
      <c r="F665" s="34">
        <f ca="1">IFERROR(__xludf.DUMMYFUNCTION("""COMPUTED_VALUE"""),43862)</f>
        <v>43862</v>
      </c>
      <c r="G665" s="5" t="str">
        <f ca="1">IFERROR(__xludf.DUMMYFUNCTION("""COMPUTED_VALUE"""),"16875.0")</f>
        <v>16875.0</v>
      </c>
      <c r="H665" s="5" t="str">
        <f ca="1">IFERROR(__xludf.DUMMYFUNCTION("""COMPUTED_VALUE"""),"675.0")</f>
        <v>675.0</v>
      </c>
      <c r="I665" s="5" t="str">
        <f ca="1">IFERROR(__xludf.DUMMYFUNCTION("""COMPUTED_VALUE"""),"84.37")</f>
        <v>84.37</v>
      </c>
      <c r="J665" s="5">
        <f ca="1">IFERROR(__xludf.DUMMYFUNCTION("VALUE(REGEXREPLACE(G665,""\."","",""))"),16875)</f>
        <v>16875</v>
      </c>
      <c r="K665" s="20">
        <v>5777.86</v>
      </c>
      <c r="L665" s="25" t="e">
        <f t="shared" ca="1" si="8"/>
        <v>#NAME?</v>
      </c>
    </row>
    <row r="666" spans="6:12" ht="12.5">
      <c r="F666" s="34">
        <f ca="1">IFERROR(__xludf.DUMMYFUNCTION("""COMPUTED_VALUE"""),43891)</f>
        <v>43891</v>
      </c>
      <c r="G666" s="5" t="str">
        <f ca="1">IFERROR(__xludf.DUMMYFUNCTION("""COMPUTED_VALUE"""),"16875.0")</f>
        <v>16875.0</v>
      </c>
      <c r="H666" s="5" t="str">
        <f ca="1">IFERROR(__xludf.DUMMYFUNCTION("""COMPUTED_VALUE"""),"675.0")</f>
        <v>675.0</v>
      </c>
      <c r="I666" s="5" t="str">
        <f ca="1">IFERROR(__xludf.DUMMYFUNCTION("""COMPUTED_VALUE"""),"84.37")</f>
        <v>84.37</v>
      </c>
      <c r="J666" s="5">
        <f ca="1">IFERROR(__xludf.DUMMYFUNCTION("VALUE(REGEXREPLACE(G666,""\."","",""))"),16875)</f>
        <v>16875</v>
      </c>
      <c r="K666" s="20">
        <v>5894.2</v>
      </c>
      <c r="L666" s="25" t="e">
        <f t="shared" ca="1" si="8"/>
        <v>#NAME?</v>
      </c>
    </row>
    <row r="667" spans="6:12" ht="12.5">
      <c r="F667" s="34">
        <f ca="1">IFERROR(__xludf.DUMMYFUNCTION("""COMPUTED_VALUE"""),43922)</f>
        <v>43922</v>
      </c>
      <c r="G667" s="5" t="str">
        <f ca="1">IFERROR(__xludf.DUMMYFUNCTION("""COMPUTED_VALUE"""),"16875.0")</f>
        <v>16875.0</v>
      </c>
      <c r="H667" s="5" t="str">
        <f ca="1">IFERROR(__xludf.DUMMYFUNCTION("""COMPUTED_VALUE"""),"675.0")</f>
        <v>675.0</v>
      </c>
      <c r="I667" s="5" t="str">
        <f ca="1">IFERROR(__xludf.DUMMYFUNCTION("""COMPUTED_VALUE"""),"84.37")</f>
        <v>84.37</v>
      </c>
      <c r="J667" s="5">
        <f ca="1">IFERROR(__xludf.DUMMYFUNCTION("VALUE(REGEXREPLACE(G667,""\."","",""))"),16875)</f>
        <v>16875</v>
      </c>
      <c r="K667" s="20">
        <v>6091.27</v>
      </c>
      <c r="L667" s="25" t="e">
        <f t="shared" ca="1" si="8"/>
        <v>#NAME?</v>
      </c>
    </row>
    <row r="668" spans="6:12" ht="12.5">
      <c r="F668" s="34">
        <f ca="1">IFERROR(__xludf.DUMMYFUNCTION("""COMPUTED_VALUE"""),43952)</f>
        <v>43952</v>
      </c>
      <c r="G668" s="5" t="str">
        <f ca="1">IFERROR(__xludf.DUMMYFUNCTION("""COMPUTED_VALUE"""),"16875.0")</f>
        <v>16875.0</v>
      </c>
      <c r="H668" s="5" t="str">
        <f ca="1">IFERROR(__xludf.DUMMYFUNCTION("""COMPUTED_VALUE"""),"675.0")</f>
        <v>675.0</v>
      </c>
      <c r="I668" s="5" t="str">
        <f ca="1">IFERROR(__xludf.DUMMYFUNCTION("""COMPUTED_VALUE"""),"84.37")</f>
        <v>84.37</v>
      </c>
      <c r="J668" s="5">
        <f ca="1">IFERROR(__xludf.DUMMYFUNCTION("VALUE(REGEXREPLACE(G668,""\."","",""))"),16875)</f>
        <v>16875</v>
      </c>
      <c r="K668" s="20">
        <v>6182.43</v>
      </c>
      <c r="L668" s="25" t="e">
        <f t="shared" ca="1" si="8"/>
        <v>#NAME?</v>
      </c>
    </row>
    <row r="669" spans="6:12" ht="12.5">
      <c r="F669" s="34">
        <f ca="1">IFERROR(__xludf.DUMMYFUNCTION("""COMPUTED_VALUE"""),43983)</f>
        <v>43983</v>
      </c>
      <c r="G669" s="5" t="str">
        <f ca="1">IFERROR(__xludf.DUMMYFUNCTION("""COMPUTED_VALUE"""),"16875.0")</f>
        <v>16875.0</v>
      </c>
      <c r="H669" s="5" t="str">
        <f ca="1">IFERROR(__xludf.DUMMYFUNCTION("""COMPUTED_VALUE"""),"675.0")</f>
        <v>675.0</v>
      </c>
      <c r="I669" s="5" t="str">
        <f ca="1">IFERROR(__xludf.DUMMYFUNCTION("""COMPUTED_VALUE"""),"84.37")</f>
        <v>84.37</v>
      </c>
      <c r="J669" s="5">
        <f ca="1">IFERROR(__xludf.DUMMYFUNCTION("VALUE(REGEXREPLACE(G669,""\."","",""))"),16875)</f>
        <v>16875</v>
      </c>
      <c r="K669" s="20">
        <v>6277.81</v>
      </c>
      <c r="L669" s="25" t="e">
        <f t="shared" ca="1" si="8"/>
        <v>#NAME?</v>
      </c>
    </row>
    <row r="670" spans="6:12" ht="12.5">
      <c r="F670" s="34">
        <f ca="1">IFERROR(__xludf.DUMMYFUNCTION("""COMPUTED_VALUE"""),44013)</f>
        <v>44013</v>
      </c>
      <c r="G670" s="5" t="str">
        <f ca="1">IFERROR(__xludf.DUMMYFUNCTION("""COMPUTED_VALUE"""),"16875.0")</f>
        <v>16875.0</v>
      </c>
      <c r="H670" s="5" t="str">
        <f ca="1">IFERROR(__xludf.DUMMYFUNCTION("""COMPUTED_VALUE"""),"675.0")</f>
        <v>675.0</v>
      </c>
      <c r="I670" s="5" t="str">
        <f ca="1">IFERROR(__xludf.DUMMYFUNCTION("""COMPUTED_VALUE"""),"84.37")</f>
        <v>84.37</v>
      </c>
      <c r="J670" s="5">
        <f ca="1">IFERROR(__xludf.DUMMYFUNCTION("VALUE(REGEXREPLACE(G670,""\."","",""))"),16875)</f>
        <v>16875</v>
      </c>
      <c r="K670" s="20">
        <v>6418.65</v>
      </c>
      <c r="L670" s="25" t="e">
        <f t="shared" ca="1" si="8"/>
        <v>#NAME?</v>
      </c>
    </row>
    <row r="671" spans="6:12" ht="12.5">
      <c r="F671" s="34">
        <f ca="1">IFERROR(__xludf.DUMMYFUNCTION("""COMPUTED_VALUE"""),44044)</f>
        <v>44044</v>
      </c>
      <c r="G671" s="5" t="str">
        <f ca="1">IFERROR(__xludf.DUMMYFUNCTION("""COMPUTED_VALUE"""),"16875.0")</f>
        <v>16875.0</v>
      </c>
      <c r="H671" s="5" t="str">
        <f ca="1">IFERROR(__xludf.DUMMYFUNCTION("""COMPUTED_VALUE"""),"675.0")</f>
        <v>675.0</v>
      </c>
      <c r="I671" s="5" t="str">
        <f ca="1">IFERROR(__xludf.DUMMYFUNCTION("""COMPUTED_VALUE"""),"84.37")</f>
        <v>84.37</v>
      </c>
      <c r="J671" s="5">
        <f ca="1">IFERROR(__xludf.DUMMYFUNCTION("VALUE(REGEXREPLACE(G671,""\."","",""))"),16875)</f>
        <v>16875</v>
      </c>
      <c r="K671" s="20">
        <v>6542.8</v>
      </c>
      <c r="L671" s="25" t="e">
        <f t="shared" ca="1" si="8"/>
        <v>#NAME?</v>
      </c>
    </row>
    <row r="672" spans="6:12" ht="12.5">
      <c r="F672" s="34">
        <f ca="1">IFERROR(__xludf.DUMMYFUNCTION("""COMPUTED_VALUE"""),44075)</f>
        <v>44075</v>
      </c>
      <c r="G672" s="5" t="str">
        <f ca="1">IFERROR(__xludf.DUMMYFUNCTION("""COMPUTED_VALUE"""),"16875.0")</f>
        <v>16875.0</v>
      </c>
      <c r="H672" s="5" t="str">
        <f ca="1">IFERROR(__xludf.DUMMYFUNCTION("""COMPUTED_VALUE"""),"675.0")</f>
        <v>675.0</v>
      </c>
      <c r="I672" s="5" t="str">
        <f ca="1">IFERROR(__xludf.DUMMYFUNCTION("""COMPUTED_VALUE"""),"84.37")</f>
        <v>84.37</v>
      </c>
      <c r="J672" s="5">
        <f ca="1">IFERROR(__xludf.DUMMYFUNCTION("VALUE(REGEXREPLACE(G672,""\."","",""))"),16875)</f>
        <v>16875</v>
      </c>
      <c r="K672" s="20">
        <v>6719.46</v>
      </c>
      <c r="L672" s="25" t="e">
        <f t="shared" ca="1" si="8"/>
        <v>#NAME?</v>
      </c>
    </row>
    <row r="673" spans="6:12" ht="12.5">
      <c r="F673" s="34">
        <f ca="1">IFERROR(__xludf.DUMMYFUNCTION("""COMPUTED_VALUE"""),44105)</f>
        <v>44105</v>
      </c>
      <c r="G673" s="5" t="str">
        <f ca="1">IFERROR(__xludf.DUMMYFUNCTION("""COMPUTED_VALUE"""),"18900.0")</f>
        <v>18900.0</v>
      </c>
      <c r="H673" s="5">
        <f ca="1">IFERROR(__xludf.DUMMYFUNCTION("""COMPUTED_VALUE"""),7560000000000000)</f>
        <v>7560000000000000</v>
      </c>
      <c r="I673" s="5">
        <f ca="1">IFERROR(__xludf.DUMMYFUNCTION("""COMPUTED_VALUE"""),9449440000000000)</f>
        <v>9449440000000000</v>
      </c>
      <c r="J673" s="5">
        <f ca="1">IFERROR(__xludf.DUMMYFUNCTION("VALUE(REGEXREPLACE(G673,""\."","",""))"),18900)</f>
        <v>18900</v>
      </c>
      <c r="K673" s="20">
        <v>6909.99</v>
      </c>
      <c r="L673" s="25" t="e">
        <f t="shared" ca="1" si="8"/>
        <v>#NAME?</v>
      </c>
    </row>
    <row r="674" spans="6:12" ht="12.5">
      <c r="F674" s="34">
        <f ca="1">IFERROR(__xludf.DUMMYFUNCTION("""COMPUTED_VALUE"""),44136)</f>
        <v>44136</v>
      </c>
      <c r="G674" s="5" t="str">
        <f ca="1">IFERROR(__xludf.DUMMYFUNCTION("""COMPUTED_VALUE"""),"18900.0")</f>
        <v>18900.0</v>
      </c>
      <c r="H674" s="5">
        <f ca="1">IFERROR(__xludf.DUMMYFUNCTION("""COMPUTED_VALUE"""),7560000000000000)</f>
        <v>7560000000000000</v>
      </c>
      <c r="I674" s="5">
        <f ca="1">IFERROR(__xludf.DUMMYFUNCTION("""COMPUTED_VALUE"""),9449440000000000)</f>
        <v>9449440000000000</v>
      </c>
      <c r="J674" s="5">
        <f ca="1">IFERROR(__xludf.DUMMYFUNCTION("VALUE(REGEXREPLACE(G674,""\."","",""))"),18900)</f>
        <v>18900</v>
      </c>
      <c r="K674" s="20">
        <v>7169.87</v>
      </c>
      <c r="L674" s="25" t="e">
        <f t="shared" ca="1" si="8"/>
        <v>#NAME?</v>
      </c>
    </row>
    <row r="675" spans="6:12" ht="12.5">
      <c r="F675" s="34">
        <f ca="1">IFERROR(__xludf.DUMMYFUNCTION("""COMPUTED_VALUE"""),44166)</f>
        <v>44166</v>
      </c>
      <c r="G675" s="5" t="str">
        <f ca="1">IFERROR(__xludf.DUMMYFUNCTION("""COMPUTED_VALUE"""),"20587.5")</f>
        <v>20587.5</v>
      </c>
      <c r="H675" s="5" t="str">
        <f ca="1">IFERROR(__xludf.DUMMYFUNCTION("""COMPUTED_VALUE"""),"823.5")</f>
        <v>823.5</v>
      </c>
      <c r="I675" s="5">
        <f ca="1">IFERROR(__xludf.DUMMYFUNCTION("""COMPUTED_VALUE"""),10293140000000000)</f>
        <v>1.029314E+16</v>
      </c>
      <c r="J675" s="5">
        <f ca="1">IFERROR(__xludf.DUMMYFUNCTION("VALUE(REGEXREPLACE(G675,""\."","",""))"),20587.5)</f>
        <v>20587.5</v>
      </c>
      <c r="K675" s="20">
        <v>7396.42</v>
      </c>
      <c r="L675" s="25" t="e">
        <f t="shared" ca="1" si="8"/>
        <v>#NAME?</v>
      </c>
    </row>
    <row r="676" spans="6:12" ht="12.5">
      <c r="F676" s="34">
        <f ca="1">IFERROR(__xludf.DUMMYFUNCTION("""COMPUTED_VALUE"""),44197)</f>
        <v>44197</v>
      </c>
      <c r="G676" s="5" t="str">
        <f ca="1">IFERROR(__xludf.DUMMYFUNCTION("""COMPUTED_VALUE"""),"20587.5")</f>
        <v>20587.5</v>
      </c>
      <c r="H676" s="5" t="str">
        <f ca="1">IFERROR(__xludf.DUMMYFUNCTION("""COMPUTED_VALUE"""),"823.5")</f>
        <v>823.5</v>
      </c>
      <c r="I676" s="5">
        <f ca="1">IFERROR(__xludf.DUMMYFUNCTION("""COMPUTED_VALUE"""),10293140000000000)</f>
        <v>1.029314E+16</v>
      </c>
      <c r="J676" s="5">
        <f ca="1">IFERROR(__xludf.DUMMYFUNCTION("VALUE(REGEXREPLACE(G676,""\."","",""))"),20587.5)</f>
        <v>20587.5</v>
      </c>
      <c r="K676" s="20">
        <v>7692.69</v>
      </c>
      <c r="L676" s="25" t="e">
        <f t="shared" ca="1" si="8"/>
        <v>#NAME?</v>
      </c>
    </row>
    <row r="677" spans="6:12" ht="12.5">
      <c r="F677" s="34">
        <f ca="1">IFERROR(__xludf.DUMMYFUNCTION("""COMPUTED_VALUE"""),44228)</f>
        <v>44228</v>
      </c>
      <c r="G677" s="5" t="str">
        <f ca="1">IFERROR(__xludf.DUMMYFUNCTION("""COMPUTED_VALUE"""),"20587.5")</f>
        <v>20587.5</v>
      </c>
      <c r="H677" s="5" t="str">
        <f ca="1">IFERROR(__xludf.DUMMYFUNCTION("""COMPUTED_VALUE"""),"823.5")</f>
        <v>823.5</v>
      </c>
      <c r="I677" s="5">
        <f ca="1">IFERROR(__xludf.DUMMYFUNCTION("""COMPUTED_VALUE"""),10293140000000000)</f>
        <v>1.029314E+16</v>
      </c>
      <c r="J677" s="5">
        <f ca="1">IFERROR(__xludf.DUMMYFUNCTION("VALUE(REGEXREPLACE(G677,""\."","",""))"),20587.5)</f>
        <v>20587.5</v>
      </c>
      <c r="K677" s="20">
        <v>8004.17</v>
      </c>
      <c r="L677" s="25" t="e">
        <f t="shared" ca="1" si="8"/>
        <v>#NAME?</v>
      </c>
    </row>
    <row r="678" spans="6:12" ht="12.5">
      <c r="F678" s="34">
        <f ca="1">IFERROR(__xludf.DUMMYFUNCTION("""COMPUTED_VALUE"""),44256)</f>
        <v>44256</v>
      </c>
      <c r="G678" s="5" t="str">
        <f ca="1">IFERROR(__xludf.DUMMYFUNCTION("""COMPUTED_VALUE"""),"21600.0")</f>
        <v>21600.0</v>
      </c>
      <c r="H678" s="5" t="str">
        <f ca="1">IFERROR(__xludf.DUMMYFUNCTION("""COMPUTED_VALUE"""),"864.0")</f>
        <v>864.0</v>
      </c>
      <c r="I678" s="5">
        <f ca="1">IFERROR(__xludf.DUMMYFUNCTION("""COMPUTED_VALUE"""),10799360000000000)</f>
        <v>1.079936E+16</v>
      </c>
      <c r="J678" s="5">
        <f ca="1">IFERROR(__xludf.DUMMYFUNCTION("VALUE(REGEXREPLACE(G678,""\."","",""))"),21600)</f>
        <v>21600</v>
      </c>
      <c r="K678" s="20">
        <v>8292.32</v>
      </c>
      <c r="L678" s="25" t="e">
        <f t="shared" ca="1" si="8"/>
        <v>#NAME?</v>
      </c>
    </row>
    <row r="679" spans="6:12" ht="12.5">
      <c r="F679" s="34">
        <f ca="1">IFERROR(__xludf.DUMMYFUNCTION("""COMPUTED_VALUE"""),44287)</f>
        <v>44287</v>
      </c>
      <c r="G679" s="5" t="str">
        <f ca="1">IFERROR(__xludf.DUMMYFUNCTION("""COMPUTED_VALUE"""),"23544.0")</f>
        <v>23544.0</v>
      </c>
      <c r="H679" s="5" t="str">
        <f ca="1">IFERROR(__xludf.DUMMYFUNCTION("""COMPUTED_VALUE"""),"941.76")</f>
        <v>941.76</v>
      </c>
      <c r="I679" s="5">
        <f ca="1">IFERROR(__xludf.DUMMYFUNCTION("""COMPUTED_VALUE"""),11771302400000000)</f>
        <v>1.17713024E+16</v>
      </c>
      <c r="J679" s="5">
        <f ca="1">IFERROR(__xludf.DUMMYFUNCTION("VALUE(REGEXREPLACE(G679,""\."","",""))"),23544)</f>
        <v>23544</v>
      </c>
      <c r="K679" s="20">
        <v>8690.35</v>
      </c>
      <c r="L679" s="25" t="e">
        <f t="shared" ca="1" si="8"/>
        <v>#NAME?</v>
      </c>
    </row>
    <row r="680" spans="6:12" ht="12.5">
      <c r="F680" s="34">
        <f ca="1">IFERROR(__xludf.DUMMYFUNCTION("""COMPUTED_VALUE"""),44317)</f>
        <v>44317</v>
      </c>
      <c r="G680" s="5">
        <f ca="1">IFERROR(__xludf.DUMMYFUNCTION("""COMPUTED_VALUE"""),24407999999999900)</f>
        <v>2.44079999999999E+16</v>
      </c>
      <c r="H680" s="5">
        <f ca="1">IFERROR(__xludf.DUMMYFUNCTION("""COMPUTED_VALUE"""),9763199999999990)</f>
        <v>9763199999999990</v>
      </c>
      <c r="I680" s="5">
        <f ca="1">IFERROR(__xludf.DUMMYFUNCTION("""COMPUTED_VALUE"""),12203276799999900)</f>
        <v>1.22032767999999E+16</v>
      </c>
      <c r="J680" s="5">
        <v>24408</v>
      </c>
      <c r="K680" s="20">
        <v>9046.65</v>
      </c>
      <c r="L680" s="25" t="e">
        <f t="shared" ca="1" si="8"/>
        <v>#NAME?</v>
      </c>
    </row>
    <row r="681" spans="6:12" ht="12.5">
      <c r="F681" s="34">
        <f ca="1">IFERROR(__xludf.DUMMYFUNCTION("""COMPUTED_VALUE"""),44348)</f>
        <v>44348</v>
      </c>
      <c r="G681" s="5" t="str">
        <f ca="1">IFERROR(__xludf.DUMMYFUNCTION("""COMPUTED_VALUE"""),"25272.0")</f>
        <v>25272.0</v>
      </c>
      <c r="H681" s="5" t="str">
        <f ca="1">IFERROR(__xludf.DUMMYFUNCTION("""COMPUTED_VALUE"""),"1010.88")</f>
        <v>1010.88</v>
      </c>
      <c r="I681" s="5">
        <f ca="1">IFERROR(__xludf.DUMMYFUNCTION("""COMPUTED_VALUE"""),12635251200000000)</f>
        <v>1.26352512E+16</v>
      </c>
      <c r="J681" s="5">
        <f ca="1">IFERROR(__xludf.DUMMYFUNCTION("VALUE(REGEXREPLACE(G681,""\."","",""))"),25272)</f>
        <v>25272</v>
      </c>
      <c r="K681" s="20">
        <v>9345.19</v>
      </c>
      <c r="L681" s="25" t="e">
        <f t="shared" ca="1" si="8"/>
        <v>#NAME?</v>
      </c>
    </row>
    <row r="682" spans="6:12" ht="12.5">
      <c r="F682" s="34">
        <f ca="1">IFERROR(__xludf.DUMMYFUNCTION("""COMPUTED_VALUE"""),44378)</f>
        <v>44378</v>
      </c>
      <c r="G682" s="5" t="str">
        <f ca="1">IFERROR(__xludf.DUMMYFUNCTION("""COMPUTED_VALUE"""),"27216.0")</f>
        <v>27216.0</v>
      </c>
      <c r="H682" s="5">
        <f ca="1">IFERROR(__xludf.DUMMYFUNCTION("""COMPUTED_VALUE"""),10886399999999900)</f>
        <v>1.08863999999999E+16</v>
      </c>
      <c r="I682" s="5">
        <f ca="1">IFERROR(__xludf.DUMMYFUNCTION("""COMPUTED_VALUE"""),13607193600000000)</f>
        <v>1.36071936E+16</v>
      </c>
      <c r="J682" s="5">
        <f ca="1">IFERROR(__xludf.DUMMYFUNCTION("VALUE(REGEXREPLACE(G682,""\."","",""))"),27216)</f>
        <v>27216</v>
      </c>
      <c r="K682" s="20">
        <v>9644.24</v>
      </c>
      <c r="L682" s="25" t="e">
        <f t="shared" ca="1" si="8"/>
        <v>#NAME?</v>
      </c>
    </row>
    <row r="683" spans="6:12" ht="12.5">
      <c r="F683" s="34">
        <f ca="1">IFERROR(__xludf.DUMMYFUNCTION("""COMPUTED_VALUE"""),44409)</f>
        <v>44409</v>
      </c>
      <c r="G683" s="5" t="str">
        <f ca="1">IFERROR(__xludf.DUMMYFUNCTION("""COMPUTED_VALUE"""),"28080.0")</f>
        <v>28080.0</v>
      </c>
      <c r="H683" s="5">
        <f ca="1">IFERROR(__xludf.DUMMYFUNCTION("""COMPUTED_VALUE"""),-283761)</f>
        <v>-283761</v>
      </c>
      <c r="I683" s="5">
        <f ca="1">IFERROR(__xludf.DUMMYFUNCTION("""COMPUTED_VALUE"""),14039168000000000)</f>
        <v>1.4039168E+16</v>
      </c>
      <c r="J683" s="5">
        <f ca="1">IFERROR(__xludf.DUMMYFUNCTION("VALUE(REGEXREPLACE(G683,""\."","",""))"),28080)</f>
        <v>28080</v>
      </c>
      <c r="K683" s="20">
        <v>9933.57</v>
      </c>
      <c r="L683" s="25" t="e">
        <f t="shared" ca="1" si="8"/>
        <v>#NAME?</v>
      </c>
    </row>
    <row r="684" spans="6:12" ht="12.5">
      <c r="F684" s="34">
        <f ca="1">IFERROR(__xludf.DUMMYFUNCTION("""COMPUTED_VALUE"""),44440)</f>
        <v>44440</v>
      </c>
      <c r="G684" s="5" t="str">
        <f ca="1">IFERROR(__xludf.DUMMYFUNCTION("""COMPUTED_VALUE"""),"31104.0")</f>
        <v>31104.0</v>
      </c>
      <c r="H684" s="5" t="str">
        <f ca="1">IFERROR(__xludf.DUMMYFUNCTION("""COMPUTED_VALUE"""),"1244.16")</f>
        <v>1244.16</v>
      </c>
      <c r="I684" s="5">
        <f ca="1">IFERROR(__xludf.DUMMYFUNCTION("""COMPUTED_VALUE"""),15551078400000000)</f>
        <v>1.55510784E+16</v>
      </c>
      <c r="J684" s="5">
        <f ca="1">IFERROR(__xludf.DUMMYFUNCTION("VALUE(REGEXREPLACE(G684,""\."","",""))"),31104)</f>
        <v>31104</v>
      </c>
      <c r="K684" s="20">
        <v>10181.91</v>
      </c>
      <c r="L684" s="25" t="e">
        <f t="shared" ca="1" si="8"/>
        <v>#NAME?</v>
      </c>
    </row>
    <row r="685" spans="6:12" ht="12.5">
      <c r="F685" s="34">
        <f ca="1">IFERROR(__xludf.DUMMYFUNCTION("""COMPUTED_VALUE"""),44470)</f>
        <v>44470</v>
      </c>
      <c r="G685" s="5" t="str">
        <f ca="1">IFERROR(__xludf.DUMMYFUNCTION("""COMPUTED_VALUE"""),"32000.0")</f>
        <v>32000.0</v>
      </c>
      <c r="H685" s="5" t="str">
        <f ca="1">IFERROR(__xludf.DUMMYFUNCTION("""COMPUTED_VALUE"""),"1280.0")</f>
        <v>1280.0</v>
      </c>
      <c r="I685" s="5">
        <f ca="1">IFERROR(__xludf.DUMMYFUNCTION("""COMPUTED_VALUE"""),15999051851851800)</f>
        <v>1.59990518518518E+16</v>
      </c>
      <c r="J685" s="5">
        <f ca="1">IFERROR(__xludf.DUMMYFUNCTION("VALUE(REGEXREPLACE(G685,""\."","",""))"),32000)</f>
        <v>32000</v>
      </c>
      <c r="K685" s="20">
        <v>10538.27</v>
      </c>
      <c r="L685" s="25" t="e">
        <f t="shared" ca="1" si="8"/>
        <v>#NAME?</v>
      </c>
    </row>
    <row r="686" spans="6:12" ht="12.5">
      <c r="F686" s="34">
        <f ca="1">IFERROR(__xludf.DUMMYFUNCTION("""COMPUTED_VALUE"""),44501)</f>
        <v>44501</v>
      </c>
      <c r="G686" s="5" t="str">
        <f ca="1">IFERROR(__xludf.DUMMYFUNCTION("""COMPUTED_VALUE"""),"32000.0")</f>
        <v>32000.0</v>
      </c>
      <c r="H686" s="5" t="str">
        <f ca="1">IFERROR(__xludf.DUMMYFUNCTION("""COMPUTED_VALUE"""),"1280.0")</f>
        <v>1280.0</v>
      </c>
      <c r="I686" s="5">
        <f ca="1">IFERROR(__xludf.DUMMYFUNCTION("""COMPUTED_VALUE"""),15999051851851800)</f>
        <v>1.59990518518518E+16</v>
      </c>
      <c r="J686" s="5">
        <f ca="1">IFERROR(__xludf.DUMMYFUNCTION("VALUE(REGEXREPLACE(G686,""\."","",""))"),32000)</f>
        <v>32000</v>
      </c>
      <c r="K686" s="20">
        <v>10907.11</v>
      </c>
      <c r="L686" s="25" t="e">
        <f t="shared" ca="1" si="8"/>
        <v>#NAME?</v>
      </c>
    </row>
    <row r="687" spans="6:12" ht="12.5">
      <c r="F687" s="34">
        <f ca="1">IFERROR(__xludf.DUMMYFUNCTION("""COMPUTED_VALUE"""),44531)</f>
        <v>44531</v>
      </c>
      <c r="G687" s="5" t="str">
        <f ca="1">IFERROR(__xludf.DUMMYFUNCTION("""COMPUTED_VALUE"""),"32000.0")</f>
        <v>32000.0</v>
      </c>
      <c r="H687" s="5" t="str">
        <f ca="1">IFERROR(__xludf.DUMMYFUNCTION("""COMPUTED_VALUE"""),"1280.0")</f>
        <v>1280.0</v>
      </c>
      <c r="I687" s="5">
        <f ca="1">IFERROR(__xludf.DUMMYFUNCTION("""COMPUTED_VALUE"""),15999051851851800)</f>
        <v>1.59990518518518E+16</v>
      </c>
      <c r="J687" s="5">
        <f ca="1">IFERROR(__xludf.DUMMYFUNCTION("VALUE(REGEXREPLACE(G687,""\."","",""))"),32000)</f>
        <v>32000</v>
      </c>
      <c r="K687" s="20">
        <v>11179.79</v>
      </c>
      <c r="L687" s="25" t="e">
        <f t="shared" ca="1" si="8"/>
        <v>#NAME?</v>
      </c>
    </row>
    <row r="688" spans="6:12" ht="12.5">
      <c r="F688" s="34">
        <f ca="1">IFERROR(__xludf.DUMMYFUNCTION("""COMPUTED_VALUE"""),44562)</f>
        <v>44562</v>
      </c>
      <c r="G688" s="5" t="str">
        <f ca="1">IFERROR(__xludf.DUMMYFUNCTION("""COMPUTED_VALUE"""),"32000.0")</f>
        <v>32000.0</v>
      </c>
      <c r="H688" s="5" t="str">
        <f ca="1">IFERROR(__xludf.DUMMYFUNCTION("""COMPUTED_VALUE"""),"1280.0")</f>
        <v>1280.0</v>
      </c>
      <c r="I688" s="5">
        <f ca="1">IFERROR(__xludf.DUMMYFUNCTION("""COMPUTED_VALUE"""),15999051851851800)</f>
        <v>1.59990518518518E+16</v>
      </c>
      <c r="J688" s="5">
        <f ca="1">IFERROR(__xludf.DUMMYFUNCTION("VALUE(REGEXREPLACE(G688,""\."","",""))"),32000)</f>
        <v>32000</v>
      </c>
      <c r="K688" s="20">
        <v>11604.62</v>
      </c>
      <c r="L688" s="25" t="e">
        <f t="shared" ca="1" si="8"/>
        <v>#NAME?</v>
      </c>
    </row>
    <row r="689" spans="6:12" ht="12.5">
      <c r="F689" s="34">
        <f ca="1">IFERROR(__xludf.DUMMYFUNCTION("""COMPUTED_VALUE"""),44593)</f>
        <v>44593</v>
      </c>
      <c r="G689" s="5" t="str">
        <f ca="1">IFERROR(__xludf.DUMMYFUNCTION("""COMPUTED_VALUE"""),"33000.0")</f>
        <v>33000.0</v>
      </c>
      <c r="H689" s="5" t="str">
        <f ca="1">IFERROR(__xludf.DUMMYFUNCTION("""COMPUTED_VALUE"""),"1320.0")</f>
        <v>1320.0</v>
      </c>
      <c r="I689" s="5">
        <f ca="1">IFERROR(__xludf.DUMMYFUNCTION("""COMPUTED_VALUE"""),1649902222222220)</f>
        <v>1649902222222220</v>
      </c>
      <c r="J689" s="5">
        <f ca="1">IFERROR(__xludf.DUMMYFUNCTION("VALUE(REGEXREPLACE(G689,""\."","",""))"),33000)</f>
        <v>33000</v>
      </c>
      <c r="K689" s="20">
        <v>12057.2</v>
      </c>
      <c r="L689" s="25" t="e">
        <f t="shared" ca="1" si="8"/>
        <v>#NAME?</v>
      </c>
    </row>
    <row r="690" spans="6:12" ht="12.5">
      <c r="F690" s="34">
        <f ca="1">IFERROR(__xludf.DUMMYFUNCTION("""COMPUTED_VALUE"""),44621)</f>
        <v>44621</v>
      </c>
      <c r="G690" s="5" t="str">
        <f ca="1">IFERROR(__xludf.DUMMYFUNCTION("""COMPUTED_VALUE"""),"33000.0")</f>
        <v>33000.0</v>
      </c>
      <c r="H690" s="5" t="str">
        <f ca="1">IFERROR(__xludf.DUMMYFUNCTION("""COMPUTED_VALUE"""),"1320.0")</f>
        <v>1320.0</v>
      </c>
      <c r="I690" s="5">
        <f ca="1">IFERROR(__xludf.DUMMYFUNCTION("""COMPUTED_VALUE"""),1649902222222220)</f>
        <v>1649902222222220</v>
      </c>
      <c r="J690" s="5">
        <f ca="1">IFERROR(__xludf.DUMMYFUNCTION("VALUE(REGEXREPLACE(G690,""\."","",""))"),33000)</f>
        <v>33000</v>
      </c>
      <c r="K690" s="20">
        <v>12623.89</v>
      </c>
      <c r="L690" s="25" t="e">
        <f t="shared" ca="1" si="8"/>
        <v>#NAME?</v>
      </c>
    </row>
    <row r="691" spans="6:12" ht="12.5">
      <c r="F691" s="34">
        <f ca="1">IFERROR(__xludf.DUMMYFUNCTION("""COMPUTED_VALUE"""),44652)</f>
        <v>44652</v>
      </c>
      <c r="G691" s="5" t="str">
        <f ca="1">IFERROR(__xludf.DUMMYFUNCTION("""COMPUTED_VALUE"""),"38940.0")</f>
        <v>38940.0</v>
      </c>
      <c r="H691" s="5">
        <f ca="1">IFERROR(__xludf.DUMMYFUNCTION("""COMPUTED_VALUE"""),-125125)</f>
        <v>-125125</v>
      </c>
      <c r="I691" s="5">
        <f ca="1">IFERROR(__xludf.DUMMYFUNCTION("""COMPUTED_VALUE"""),19468846222222200)</f>
        <v>1.94688462222222E+16</v>
      </c>
      <c r="J691" s="5">
        <f ca="1">IFERROR(__xludf.DUMMYFUNCTION("VALUE(REGEXREPLACE(G691,""\."","",""))"),38940)</f>
        <v>38940</v>
      </c>
      <c r="K691" s="20">
        <v>13469.69</v>
      </c>
      <c r="L691" s="25" t="e">
        <f t="shared" ca="1" si="8"/>
        <v>#NAME?</v>
      </c>
    </row>
    <row r="692" spans="6:12" ht="12.5">
      <c r="F692" s="34">
        <f ca="1">IFERROR(__xludf.DUMMYFUNCTION("""COMPUTED_VALUE"""),44682)</f>
        <v>44682</v>
      </c>
      <c r="G692" s="5" t="str">
        <f ca="1">IFERROR(__xludf.DUMMYFUNCTION("""COMPUTED_VALUE"""),"38940.0")</f>
        <v>38940.0</v>
      </c>
      <c r="H692" s="5">
        <f ca="1">IFERROR(__xludf.DUMMYFUNCTION("""COMPUTED_VALUE"""),-125125)</f>
        <v>-125125</v>
      </c>
      <c r="I692" s="5">
        <f ca="1">IFERROR(__xludf.DUMMYFUNCTION("""COMPUTED_VALUE"""),19468846222222200)</f>
        <v>1.94688462222222E+16</v>
      </c>
      <c r="J692" s="5">
        <f ca="1">IFERROR(__xludf.DUMMYFUNCTION("VALUE(REGEXREPLACE(G692,""\."","",""))"),38940)</f>
        <v>38940</v>
      </c>
      <c r="K692" s="20">
        <v>14277.87</v>
      </c>
      <c r="L692" s="25" t="e">
        <f t="shared" ca="1" si="8"/>
        <v>#NAME?</v>
      </c>
    </row>
    <row r="693" spans="6:12" ht="12.5">
      <c r="F693" s="34">
        <f ca="1">IFERROR(__xludf.DUMMYFUNCTION("""COMPUTED_VALUE"""),44713)</f>
        <v>44713</v>
      </c>
      <c r="G693" s="5" t="str">
        <f ca="1">IFERROR(__xludf.DUMMYFUNCTION("""COMPUTED_VALUE"""),"45540.0")</f>
        <v>45540.0</v>
      </c>
      <c r="H693" s="5">
        <f ca="1">IFERROR(__xludf.DUMMYFUNCTION("""COMPUTED_VALUE"""),-28701)</f>
        <v>-28701</v>
      </c>
      <c r="I693" s="5" t="str">
        <f ca="1">IFERROR(__xludf.DUMMYFUNCTION("""COMPUTED_VALUE"""),"227.7")</f>
        <v>227.7</v>
      </c>
      <c r="J693" s="5">
        <f ca="1">IFERROR(__xludf.DUMMYFUNCTION("VALUE(REGEXREPLACE(G693,""\."","",""))"),45540)</f>
        <v>45540</v>
      </c>
      <c r="K693" s="20">
        <v>15006.05</v>
      </c>
      <c r="L693" s="25" t="e">
        <f t="shared" ca="1" si="8"/>
        <v>#NAME?</v>
      </c>
    </row>
    <row r="694" spans="6:12" ht="12.5">
      <c r="F694" s="34">
        <f ca="1">IFERROR(__xludf.DUMMYFUNCTION("""COMPUTED_VALUE"""),44743)</f>
        <v>44743</v>
      </c>
      <c r="G694" s="5" t="str">
        <f ca="1">IFERROR(__xludf.DUMMYFUNCTION("""COMPUTED_VALUE"""),"45540.0")</f>
        <v>45540.0</v>
      </c>
      <c r="H694" s="5">
        <f ca="1">IFERROR(__xludf.DUMMYFUNCTION("""COMPUTED_VALUE"""),-28701)</f>
        <v>-28701</v>
      </c>
      <c r="I694" s="5" t="str">
        <f ca="1">IFERROR(__xludf.DUMMYFUNCTION("""COMPUTED_VALUE"""),"227.7")</f>
        <v>227.7</v>
      </c>
      <c r="J694" s="5">
        <f ca="1">IFERROR(__xludf.DUMMYFUNCTION("VALUE(REGEXREPLACE(G694,""\."","",""))"),45540)</f>
        <v>45540</v>
      </c>
      <c r="K694" s="20">
        <v>15801.37</v>
      </c>
      <c r="L694" s="25" t="e">
        <f t="shared" ca="1" si="8"/>
        <v>#NAME?</v>
      </c>
    </row>
    <row r="695" spans="6:12" ht="12.5">
      <c r="F695" s="34">
        <f ca="1">IFERROR(__xludf.DUMMYFUNCTION("""COMPUTED_VALUE"""),44774)</f>
        <v>44774</v>
      </c>
      <c r="G695" s="5" t="str">
        <f ca="1">IFERROR(__xludf.DUMMYFUNCTION("""COMPUTED_VALUE"""),"47850.0")</f>
        <v>47850.0</v>
      </c>
      <c r="H695" s="5" t="str">
        <f ca="1">IFERROR(__xludf.DUMMYFUNCTION("""COMPUTED_VALUE"""),"1914.0")</f>
        <v>1914.0</v>
      </c>
      <c r="I695" s="5" t="str">
        <f ca="1">IFERROR(__xludf.DUMMYFUNCTION("""COMPUTED_VALUE"""),"239.3")</f>
        <v>239.3</v>
      </c>
      <c r="J695" s="5">
        <f ca="1">IFERROR(__xludf.DUMMYFUNCTION("VALUE(REGEXREPLACE(G695,""\."","",""))"),47850)</f>
        <v>47850</v>
      </c>
      <c r="K695" s="20">
        <v>16970.669999999998</v>
      </c>
      <c r="L695" s="25" t="e">
        <f t="shared" ca="1" si="8"/>
        <v>#NAME?</v>
      </c>
    </row>
    <row r="696" spans="6:12" ht="12.5">
      <c r="F696" s="34">
        <f ca="1">IFERROR(__xludf.DUMMYFUNCTION("""COMPUTED_VALUE"""),44805)</f>
        <v>44805</v>
      </c>
      <c r="G696" s="5" t="str">
        <f ca="1">IFERROR(__xludf.DUMMYFUNCTION("""COMPUTED_VALUE"""),"51200.0")</f>
        <v>51200.0</v>
      </c>
      <c r="H696" s="5" t="str">
        <f ca="1">IFERROR(__xludf.DUMMYFUNCTION("""COMPUTED_VALUE"""),"2048.0")</f>
        <v>2048.0</v>
      </c>
      <c r="I696" s="5" t="str">
        <f ca="1">IFERROR(__xludf.DUMMYFUNCTION("""COMPUTED_VALUE"""),"256.0")</f>
        <v>256.0</v>
      </c>
      <c r="J696" s="5">
        <f ca="1">IFERROR(__xludf.DUMMYFUNCTION("VALUE(REGEXREPLACE(G696,""\."","",""))"),51200)</f>
        <v>51200</v>
      </c>
      <c r="K696" s="20">
        <v>18158.61</v>
      </c>
      <c r="L696" s="25" t="e">
        <f t="shared" ca="1" si="8"/>
        <v>#NAME?</v>
      </c>
    </row>
    <row r="697" spans="6:12" ht="12.5">
      <c r="F697" s="34">
        <f ca="1">IFERROR(__xludf.DUMMYFUNCTION("""COMPUTED_VALUE"""),44835)</f>
        <v>44835</v>
      </c>
      <c r="G697" s="5" t="str">
        <f ca="1">IFERROR(__xludf.DUMMYFUNCTION("""COMPUTED_VALUE"""),"54550.0")</f>
        <v>54550.0</v>
      </c>
      <c r="H697" s="5" t="str">
        <f ca="1">IFERROR(__xludf.DUMMYFUNCTION("""COMPUTED_VALUE"""),"2182.0")</f>
        <v>2182.0</v>
      </c>
      <c r="I697" s="5" t="str">
        <f ca="1">IFERROR(__xludf.DUMMYFUNCTION("""COMPUTED_VALUE"""),"272.75")</f>
        <v>272.75</v>
      </c>
      <c r="J697" s="5">
        <f ca="1">IFERROR(__xludf.DUMMYFUNCTION("VALUE(REGEXREPLACE(G697,""\."","",""))"),54550)</f>
        <v>54550</v>
      </c>
      <c r="K697" s="20">
        <v>19284.45</v>
      </c>
      <c r="L697" s="25" t="e">
        <f t="shared" ca="1" si="8"/>
        <v>#NAME?</v>
      </c>
    </row>
    <row r="698" spans="6:12" ht="12.5">
      <c r="F698" s="34">
        <f ca="1">IFERROR(__xludf.DUMMYFUNCTION("""COMPUTED_VALUE"""),44866)</f>
        <v>44866</v>
      </c>
      <c r="G698" s="5" t="str">
        <f ca="1">IFERROR(__xludf.DUMMYFUNCTION("""COMPUTED_VALUE"""),"57900.0")</f>
        <v>57900.0</v>
      </c>
      <c r="H698" s="5" t="str">
        <f ca="1">IFERROR(__xludf.DUMMYFUNCTION("""COMPUTED_VALUE"""),"2316.0")</f>
        <v>2316.0</v>
      </c>
      <c r="I698" s="5" t="str">
        <f ca="1">IFERROR(__xludf.DUMMYFUNCTION("""COMPUTED_VALUE"""),"289.5")</f>
        <v>289.5</v>
      </c>
      <c r="J698" s="5">
        <f ca="1">IFERROR(__xludf.DUMMYFUNCTION("VALUE(REGEXREPLACE(G698,""\."","",""))"),57900)</f>
        <v>57900</v>
      </c>
      <c r="K698" s="20">
        <v>20499.37</v>
      </c>
      <c r="L698" s="25" t="e">
        <f t="shared" ca="1" si="8"/>
        <v>#NAME?</v>
      </c>
    </row>
    <row r="699" spans="6:12" ht="12.5">
      <c r="F699" s="34">
        <f ca="1">IFERROR(__xludf.DUMMYFUNCTION("""COMPUTED_VALUE"""),44896)</f>
        <v>44896</v>
      </c>
      <c r="G699" s="5" t="str">
        <f ca="1">IFERROR(__xludf.DUMMYFUNCTION("""COMPUTED_VALUE"""),"61953.0")</f>
        <v>61953.0</v>
      </c>
      <c r="H699" s="5">
        <f ca="1">IFERROR(__xludf.DUMMYFUNCTION("""COMPUTED_VALUE"""),211447)</f>
        <v>211447</v>
      </c>
      <c r="I699" s="5" t="str">
        <f ca="1">IFERROR(__xludf.DUMMYFUNCTION("""COMPUTED_VALUE"""),"309.77")</f>
        <v>309.77</v>
      </c>
      <c r="J699" s="5">
        <f ca="1">IFERROR(__xludf.DUMMYFUNCTION("VALUE(REGEXREPLACE(G699,""\."","",""))"),61953)</f>
        <v>61953</v>
      </c>
      <c r="K699" s="20">
        <f>K698*1.049</f>
        <v>21503.839129999997</v>
      </c>
      <c r="L699" s="25" t="e">
        <f t="shared" ca="1" si="8"/>
        <v>#NAME?</v>
      </c>
    </row>
    <row r="700" spans="6:12" ht="12.5">
      <c r="F700" s="34">
        <f ca="1">IFERROR(__xludf.DUMMYFUNCTION("""COMPUTED_VALUE"""),44927)</f>
        <v>44927</v>
      </c>
      <c r="G700" s="5" t="str">
        <f ca="1">IFERROR(__xludf.DUMMYFUNCTION("""COMPUTED_VALUE"""),"65427.0")</f>
        <v>65427.0</v>
      </c>
      <c r="H700" s="5">
        <f ca="1">IFERROR(__xludf.DUMMYFUNCTION("""COMPUTED_VALUE"""),262093)</f>
        <v>262093</v>
      </c>
      <c r="I700" s="5" t="str">
        <f ca="1">IFERROR(__xludf.DUMMYFUNCTION("""COMPUTED_VALUE"""),"327.14")</f>
        <v>327.14</v>
      </c>
      <c r="J700" s="5">
        <f ca="1">IFERROR(__xludf.DUMMYFUNCTION("VALUE(REGEXREPLACE(G700,""\."","",""))"),65427)</f>
        <v>65427</v>
      </c>
      <c r="K700" s="20">
        <v>22600.53</v>
      </c>
      <c r="L700" s="25" t="e">
        <f t="shared" ca="1" si="8"/>
        <v>#NAME?</v>
      </c>
    </row>
    <row r="701" spans="6:12" ht="12.5">
      <c r="F701" s="34">
        <f ca="1">IFERROR(__xludf.DUMMYFUNCTION("""COMPUTED_VALUE"""),44958)</f>
        <v>44958</v>
      </c>
      <c r="G701" s="5" t="str">
        <f ca="1">IFERROR(__xludf.DUMMYFUNCTION("""COMPUTED_VALUE"""),"67743.0")</f>
        <v>67743.0</v>
      </c>
      <c r="H701" s="5" t="str">
        <f ca="1">IFERROR(__xludf.DUMMYFUNCTION("""COMPUTED_VALUE"""),"2709.72")</f>
        <v>2709.72</v>
      </c>
      <c r="I701" s="5" t="str">
        <f ca="1">IFERROR(__xludf.DUMMYFUNCTION("""COMPUTED_VALUE"""),"338.72")</f>
        <v>338.72</v>
      </c>
      <c r="J701" s="5">
        <f ca="1">IFERROR(__xludf.DUMMYFUNCTION("VALUE(REGEXREPLACE(G701,""\."","",""))"),67743)</f>
        <v>67743</v>
      </c>
      <c r="L701" s="25" t="e">
        <f t="shared" ca="1" si="8"/>
        <v>#NAME?</v>
      </c>
    </row>
    <row r="702" spans="6:12" ht="12.5">
      <c r="F702" s="34">
        <f ca="1">IFERROR(__xludf.DUMMYFUNCTION("""COMPUTED_VALUE"""),44986)</f>
        <v>44986</v>
      </c>
      <c r="G702" s="5" t="str">
        <f ca="1">IFERROR(__xludf.DUMMYFUNCTION("""COMPUTED_VALUE"""),"69500.0")</f>
        <v>69500.0</v>
      </c>
      <c r="H702" s="5" t="str">
        <f ca="1">IFERROR(__xludf.DUMMYFUNCTION("""COMPUTED_VALUE"""),"2996.0")</f>
        <v>2996.0</v>
      </c>
      <c r="I702" s="5" t="str">
        <f ca="1">IFERROR(__xludf.DUMMYFUNCTION("""COMPUTED_VALUE"""),"374.5")</f>
        <v>374.5</v>
      </c>
      <c r="J702" s="5">
        <f ca="1">IFERROR(__xludf.DUMMYFUNCTION("VALUE(REGEXREPLACE(G702,""\."","",""))"),69500)</f>
        <v>69500</v>
      </c>
      <c r="L702" s="25" t="e">
        <f t="shared" ca="1" si="8"/>
        <v>#NAME?</v>
      </c>
    </row>
    <row r="703" spans="6:12" ht="12.5">
      <c r="F703" s="34">
        <f ca="1">IFERROR(__xludf.DUMMYFUNCTION("""COMPUTED_VALUE"""),45017)</f>
        <v>45017</v>
      </c>
      <c r="G703" s="5" t="str">
        <f ca="1">IFERROR(__xludf.DUMMYFUNCTION("""COMPUTED_VALUE"""),"80342.0")</f>
        <v>80342.0</v>
      </c>
      <c r="H703" s="5" t="str">
        <f ca="1">IFERROR(__xludf.DUMMYFUNCTION("""COMPUTED_VALUE"""),"3213.68")</f>
        <v>3213.68</v>
      </c>
      <c r="I703" s="5" t="str">
        <f ca="1">IFERROR(__xludf.DUMMYFUNCTION("""COMPUTED_VALUE"""),"401.71")</f>
        <v>401.71</v>
      </c>
      <c r="J703" s="5">
        <f ca="1">IFERROR(__xludf.DUMMYFUNCTION("VALUE(REGEXREPLACE(G703,""\."","",""))"),80342)</f>
        <v>80342</v>
      </c>
      <c r="L703" s="25" t="e">
        <f t="shared" ca="1" si="8"/>
        <v>#NAME?</v>
      </c>
    </row>
    <row r="704" spans="6:12" ht="12.5">
      <c r="F704" s="34">
        <f ca="1">IFERROR(__xludf.DUMMYFUNCTION("""COMPUTED_VALUE"""),45047)</f>
        <v>45047</v>
      </c>
      <c r="G704" s="5" t="str">
        <f ca="1">IFERROR(__xludf.DUMMYFUNCTION("""COMPUTED_VALUE"""),"84512.0")</f>
        <v>84512.0</v>
      </c>
      <c r="H704" s="5" t="str">
        <f ca="1">IFERROR(__xludf.DUMMYFUNCTION("""COMPUTED_VALUE"""),"3380.48")</f>
        <v>3380.48</v>
      </c>
      <c r="I704" s="5" t="str">
        <f ca="1">IFERROR(__xludf.DUMMYFUNCTION("""COMPUTED_VALUE"""),"422.56")</f>
        <v>422.56</v>
      </c>
      <c r="J704" s="5">
        <f ca="1">IFERROR(__xludf.DUMMYFUNCTION("VALUE(REGEXREPLACE(G704,""\."","",""))"),84512)</f>
        <v>84512</v>
      </c>
      <c r="L704" s="25" t="e">
        <f t="shared" ca="1" si="8"/>
        <v>#NAME?</v>
      </c>
    </row>
    <row r="705" spans="6:12" ht="12.5">
      <c r="F705" s="34">
        <f ca="1">IFERROR(__xludf.DUMMYFUNCTION("""COMPUTED_VALUE"""),45078)</f>
        <v>45078</v>
      </c>
      <c r="G705" s="5" t="str">
        <f ca="1">IFERROR(__xludf.DUMMYFUNCTION("""COMPUTED_VALUE"""),"87987.0")</f>
        <v>87987.0</v>
      </c>
      <c r="H705" s="5" t="str">
        <f ca="1">IFERROR(__xludf.DUMMYFUNCTION("""COMPUTED_VALUE"""),"3519.52")</f>
        <v>3519.52</v>
      </c>
      <c r="I705" s="5" t="str">
        <f ca="1">IFERROR(__xludf.DUMMYFUNCTION("""COMPUTED_VALUE"""),"439.94")</f>
        <v>439.94</v>
      </c>
      <c r="J705" s="5">
        <f ca="1">IFERROR(__xludf.DUMMYFUNCTION("VALUE(REGEXREPLACE(G705,""\."","",""))"),87987)</f>
        <v>87987</v>
      </c>
      <c r="L705" s="25" t="e">
        <f t="shared" ca="1" si="8"/>
        <v>#NAME?</v>
      </c>
    </row>
    <row r="706" spans="6:12" ht="12.5">
      <c r="F706" s="34">
        <f ca="1">IFERROR(__xludf.DUMMYFUNCTION("""COMPUTED_VALUE"""),45108)</f>
        <v>45108</v>
      </c>
      <c r="G706" s="5" t="str">
        <f ca="1">IFERROR(__xludf.DUMMYFUNCTION("""COMPUTED_VALUE"""),"105500.0")</f>
        <v>105500.0</v>
      </c>
      <c r="H706" s="5" t="str">
        <f ca="1">IFERROR(__xludf.DUMMYFUNCTION("""COMPUTED_VALUE"""),"4220.0")</f>
        <v>4220.0</v>
      </c>
      <c r="I706" s="5" t="str">
        <f ca="1">IFERROR(__xludf.DUMMYFUNCTION("""COMPUTED_VALUE"""),"527.5")</f>
        <v>527.5</v>
      </c>
      <c r="J706" s="5">
        <f ca="1">IFERROR(__xludf.DUMMYFUNCTION("VALUE(REGEXREPLACE(G706,""\."","",""))"),105500)</f>
        <v>105500</v>
      </c>
      <c r="L706" s="25" t="e">
        <f t="shared" ca="1" si="8"/>
        <v>#NAME?</v>
      </c>
    </row>
    <row r="707" spans="6:12" ht="12.5">
      <c r="F707" s="34">
        <f ca="1">IFERROR(__xludf.DUMMYFUNCTION("""COMPUTED_VALUE"""),45139)</f>
        <v>45139</v>
      </c>
      <c r="G707" s="5" t="str">
        <f ca="1">IFERROR(__xludf.DUMMYFUNCTION("""COMPUTED_VALUE"""),"112500.0")</f>
        <v>112500.0</v>
      </c>
      <c r="H707" s="5" t="str">
        <f ca="1">IFERROR(__xludf.DUMMYFUNCTION("""COMPUTED_VALUE"""),"4500.0")</f>
        <v>4500.0</v>
      </c>
      <c r="I707" s="5" t="str">
        <f ca="1">IFERROR(__xludf.DUMMYFUNCTION("""COMPUTED_VALUE"""),"562.5")</f>
        <v>562.5</v>
      </c>
      <c r="J707" s="5">
        <f ca="1">IFERROR(__xludf.DUMMYFUNCTION("VALUE(REGEXREPLACE(G707,""\."","",""))"),112500)</f>
        <v>112500</v>
      </c>
      <c r="L707" s="25" t="e">
        <f t="shared" ca="1" si="8"/>
        <v>#NAME?</v>
      </c>
    </row>
    <row r="708" spans="6:12" ht="12.5">
      <c r="F708" s="34">
        <f ca="1">IFERROR(__xludf.DUMMYFUNCTION("""COMPUTED_VALUE"""),45170)</f>
        <v>45170</v>
      </c>
      <c r="G708" s="5" t="str">
        <f ca="1">IFERROR(__xludf.DUMMYFUNCTION("""COMPUTED_VALUE"""),"118000.0")</f>
        <v>118000.0</v>
      </c>
      <c r="H708" s="5" t="str">
        <f ca="1">IFERROR(__xludf.DUMMYFUNCTION("""COMPUTED_VALUE"""),"4720.0")</f>
        <v>4720.0</v>
      </c>
      <c r="I708" s="5" t="str">
        <f ca="1">IFERROR(__xludf.DUMMYFUNCTION("""COMPUTED_VALUE"""),"590.0")</f>
        <v>590.0</v>
      </c>
      <c r="J708" s="5">
        <f ca="1">IFERROR(__xludf.DUMMYFUNCTION("VALUE(REGEXREPLACE(G708,""\."","",""))"),118000)</f>
        <v>118000</v>
      </c>
      <c r="L708" s="25" t="e">
        <f t="shared" ca="1" si="8"/>
        <v>#NAME?</v>
      </c>
    </row>
    <row r="709" spans="6:12" ht="12.5">
      <c r="F709" s="34">
        <f ca="1">IFERROR(__xludf.DUMMYFUNCTION("""COMPUTED_VALUE"""),45200)</f>
        <v>45200</v>
      </c>
      <c r="G709" s="5" t="str">
        <f ca="1">IFERROR(__xludf.DUMMYFUNCTION("""COMPUTED_VALUE"""),"132000.0")</f>
        <v>132000.0</v>
      </c>
      <c r="H709" s="5" t="str">
        <f ca="1">IFERROR(__xludf.DUMMYFUNCTION("""COMPUTED_VALUE"""),"5280.0")</f>
        <v>5280.0</v>
      </c>
      <c r="I709" s="5" t="str">
        <f ca="1">IFERROR(__xludf.DUMMYFUNCTION("""COMPUTED_VALUE"""),"660.0")</f>
        <v>660.0</v>
      </c>
      <c r="J709" s="5">
        <f ca="1">IFERROR(__xludf.DUMMYFUNCTION("VALUE(REGEXREPLACE(G709,""\."","",""))"),132000)</f>
        <v>132000</v>
      </c>
      <c r="L709" s="25" t="e">
        <f t="shared" ca="1" si="8"/>
        <v>#NAME?</v>
      </c>
    </row>
    <row r="710" spans="6:12" ht="12.5">
      <c r="F710" s="34">
        <f ca="1">IFERROR(__xludf.DUMMYFUNCTION("""COMPUTED_VALUE"""),45231)</f>
        <v>45231</v>
      </c>
      <c r="G710" s="5" t="str">
        <f ca="1">IFERROR(__xludf.DUMMYFUNCTION("""COMPUTED_VALUE"""),"146000.0")</f>
        <v>146000.0</v>
      </c>
      <c r="H710" s="5">
        <f ca="1">IFERROR(__xludf.DUMMYFUNCTION("""COMPUTED_VALUE"""),5839999999999990)</f>
        <v>5839999999999990</v>
      </c>
      <c r="I710" s="5" t="str">
        <f ca="1">IFERROR(__xludf.DUMMYFUNCTION("""COMPUTED_VALUE"""),"730.0")</f>
        <v>730.0</v>
      </c>
      <c r="J710" s="5">
        <f ca="1">IFERROR(__xludf.DUMMYFUNCTION("VALUE(REGEXREPLACE(G710,""\."","",""))"),146000)</f>
        <v>146000</v>
      </c>
      <c r="L710" s="25" t="e">
        <f t="shared" ca="1" si="8"/>
        <v>#NAME?</v>
      </c>
    </row>
    <row r="711" spans="6:12" ht="12.5">
      <c r="F711" s="34">
        <f ca="1">IFERROR(__xludf.DUMMYFUNCTION("""COMPUTED_VALUE"""),45261)</f>
        <v>45261</v>
      </c>
      <c r="G711" s="5" t="str">
        <f ca="1">IFERROR(__xludf.DUMMYFUNCTION("""COMPUTED_VALUE"""),"156000.0")</f>
        <v>156000.0</v>
      </c>
      <c r="H711" s="5">
        <f ca="1">IFERROR(__xludf.DUMMYFUNCTION("""COMPUTED_VALUE"""),6239999999999990)</f>
        <v>6239999999999990</v>
      </c>
      <c r="I711" s="5" t="str">
        <f ca="1">IFERROR(__xludf.DUMMYFUNCTION("""COMPUTED_VALUE"""),"780.0")</f>
        <v>780.0</v>
      </c>
      <c r="J711" s="5">
        <f ca="1">IFERROR(__xludf.DUMMYFUNCTION("VALUE(REGEXREPLACE(G711,""\."","",""))"),156000)</f>
        <v>156000</v>
      </c>
      <c r="L711" s="25" t="e">
        <f t="shared" ca="1" si="8"/>
        <v>#NAME?</v>
      </c>
    </row>
    <row r="712" spans="6:12" ht="12.5">
      <c r="F712" s="34">
        <f ca="1">IFERROR(__xludf.DUMMYFUNCTION("""COMPUTED_VALUE"""),45292)</f>
        <v>45292</v>
      </c>
      <c r="G712" s="5" t="str">
        <f ca="1">IFERROR(__xludf.DUMMYFUNCTION("""COMPUTED_VALUE"""),"156000.0")</f>
        <v>156000.0</v>
      </c>
      <c r="H712" s="5">
        <f ca="1">IFERROR(__xludf.DUMMYFUNCTION("""COMPUTED_VALUE"""),6239999999999990)</f>
        <v>6239999999999990</v>
      </c>
      <c r="I712" s="5" t="str">
        <f ca="1">IFERROR(__xludf.DUMMYFUNCTION("""COMPUTED_VALUE"""),"780.0")</f>
        <v>780.0</v>
      </c>
      <c r="J712" s="5">
        <f ca="1">IFERROR(__xludf.DUMMYFUNCTION("VALUE(REGEXREPLACE(G712,""\."","",""))"),156000)</f>
        <v>156000</v>
      </c>
      <c r="L712" s="25" t="e">
        <f t="shared" ca="1" si="8"/>
        <v>#NAME?</v>
      </c>
    </row>
    <row r="713" spans="6:12" ht="12.5">
      <c r="F713" s="34">
        <f ca="1">IFERROR(__xludf.DUMMYFUNCTION("""COMPUTED_VALUE"""),45323)</f>
        <v>45323</v>
      </c>
      <c r="G713" s="5" t="str">
        <f ca="1">IFERROR(__xludf.DUMMYFUNCTION("""COMPUTED_VALUE"""),"180000.0")</f>
        <v>180000.0</v>
      </c>
      <c r="H713" s="5">
        <f ca="1">IFERROR(__xludf.DUMMYFUNCTION("""COMPUTED_VALUE"""),7199999999999990)</f>
        <v>7199999999999990</v>
      </c>
      <c r="I713" s="5" t="str">
        <f ca="1">IFERROR(__xludf.DUMMYFUNCTION("""COMPUTED_VALUE"""),"900.0")</f>
        <v>900.0</v>
      </c>
      <c r="J713" s="5">
        <f ca="1">IFERROR(__xludf.DUMMYFUNCTION("VALUE(REGEXREPLACE(G713,""\."","",""))"),180000)</f>
        <v>180000</v>
      </c>
      <c r="L713" s="25" t="e">
        <f t="shared" ca="1" si="8"/>
        <v>#NAME?</v>
      </c>
    </row>
    <row r="714" spans="6:12" ht="12.5">
      <c r="F714" s="34">
        <f ca="1">IFERROR(__xludf.DUMMYFUNCTION("""COMPUTED_VALUE"""),45352)</f>
        <v>45352</v>
      </c>
      <c r="G714" s="5" t="str">
        <f ca="1">IFERROR(__xludf.DUMMYFUNCTION("""COMPUTED_VALUE"""),"202800.0")</f>
        <v>202800.0</v>
      </c>
      <c r="H714" s="5">
        <f ca="1">IFERROR(__xludf.DUMMYFUNCTION("""COMPUTED_VALUE"""),8111999999999990)</f>
        <v>8111999999999990</v>
      </c>
      <c r="I714" s="5" t="str">
        <f ca="1">IFERROR(__xludf.DUMMYFUNCTION("""COMPUTED_VALUE"""),"1014.0")</f>
        <v>1014.0</v>
      </c>
      <c r="J714" s="5">
        <f ca="1">IFERROR(__xludf.DUMMYFUNCTION("VALUE(REGEXREPLACE(G714,""\."","",""))"),202800)</f>
        <v>202800</v>
      </c>
      <c r="L714" s="25" t="e">
        <f t="shared" ca="1" si="8"/>
        <v>#NAME?</v>
      </c>
    </row>
    <row r="715" spans="6:12" ht="12.5">
      <c r="F715" s="34">
        <f ca="1">IFERROR(__xludf.DUMMYFUNCTION("""COMPUTED_VALUE"""),45383)</f>
        <v>45383</v>
      </c>
      <c r="G715" s="5" t="str">
        <f ca="1">IFERROR(__xludf.DUMMYFUNCTION("""COMPUTED_VALUE"""),"221052.0")</f>
        <v>221052.0</v>
      </c>
      <c r="H715" s="5">
        <f ca="1">IFERROR(__xludf.DUMMYFUNCTION("""COMPUTED_VALUE"""),9247679999999990)</f>
        <v>9247679999999990</v>
      </c>
      <c r="I715" s="5">
        <f ca="1">IFERROR(__xludf.DUMMYFUNCTION("""COMPUTED_VALUE"""),11559599999999900)</f>
        <v>1.15595999999999E+16</v>
      </c>
      <c r="J715" s="5">
        <f ca="1">IFERROR(__xludf.DUMMYFUNCTION("VALUE(REGEXREPLACE(G715,""\."","",""))"),221052)</f>
        <v>221052</v>
      </c>
      <c r="L715" s="25" t="e">
        <f t="shared" ca="1" si="8"/>
        <v>#NAME?</v>
      </c>
    </row>
    <row r="716" spans="6:12" ht="12.5">
      <c r="F716" s="34">
        <f ca="1">IFERROR(__xludf.DUMMYFUNCTION("""COMPUTED_VALUE"""),45413)</f>
        <v>45413</v>
      </c>
      <c r="G716" s="5" t="str">
        <f ca="1">IFERROR(__xludf.DUMMYFUNCTION("""COMPUTED_VALUE"""),"234315.12")</f>
        <v>234315.12</v>
      </c>
      <c r="H716" s="5">
        <f ca="1">IFERROR(__xludf.DUMMYFUNCTION("""COMPUTED_VALUE"""),93726048)</f>
        <v>93726048</v>
      </c>
      <c r="I716" s="5">
        <f ca="1">IFERROR(__xludf.DUMMYFUNCTION("""COMPUTED_VALUE"""),11715756)</f>
        <v>11715756</v>
      </c>
      <c r="J716" s="39">
        <f ca="1">IFERROR(__xludf.DUMMYFUNCTION("VALUE(REGEXREPLACE(G716,""\."","",""))"),234315.12)</f>
        <v>234315.12</v>
      </c>
      <c r="L716" s="25" t="e">
        <f t="shared" ca="1" si="8"/>
        <v>#NAME?</v>
      </c>
    </row>
    <row r="717" spans="6:12" ht="12.5">
      <c r="F717" s="34">
        <f ca="1">IFERROR(__xludf.DUMMYFUNCTION("""COMPUTED_VALUE"""),45444)</f>
        <v>45444</v>
      </c>
      <c r="G717" s="5" t="str">
        <f ca="1">IFERROR(__xludf.DUMMYFUNCTION("""COMPUTED_VALUE"""),"234315.12")</f>
        <v>234315.12</v>
      </c>
      <c r="H717" s="5">
        <f ca="1">IFERROR(__xludf.DUMMYFUNCTION("""COMPUTED_VALUE"""),93726048)</f>
        <v>93726048</v>
      </c>
      <c r="I717" s="5">
        <f ca="1">IFERROR(__xludf.DUMMYFUNCTION("""COMPUTED_VALUE"""),11715756)</f>
        <v>11715756</v>
      </c>
      <c r="J717" s="39">
        <f ca="1">IFERROR(__xludf.DUMMYFUNCTION("VALUE(REGEXREPLACE(G717,""\."","",""))"),234315.12)</f>
        <v>234315.12</v>
      </c>
      <c r="L717" s="25" t="e">
        <f t="shared" ca="1" si="8"/>
        <v>#NAME?</v>
      </c>
    </row>
    <row r="718" spans="6:12" ht="12.5">
      <c r="F718" s="34">
        <f ca="1">IFERROR(__xludf.DUMMYFUNCTION("""COMPUTED_VALUE"""),45474)</f>
        <v>45474</v>
      </c>
      <c r="G718" s="5" t="str">
        <f ca="1">IFERROR(__xludf.DUMMYFUNCTION("""COMPUTED_VALUE"""),"254231.91")</f>
        <v>254231.91</v>
      </c>
      <c r="H718" s="5" t="str">
        <f ca="1">IFERROR(__xludf.DUMMYFUNCTION("""COMPUTED_VALUE"""),"10169.28")</f>
        <v>10169.28</v>
      </c>
      <c r="I718" s="5" t="str">
        <f ca="1">IFERROR(__xludf.DUMMYFUNCTION("""COMPUTED_VALUE"""),"1271.16")</f>
        <v>1271.16</v>
      </c>
    </row>
    <row r="719" spans="6:12" ht="12.5">
      <c r="F719" s="34">
        <f ca="1">IFERROR(__xludf.DUMMYFUNCTION("""COMPUTED_VALUE"""),45505)</f>
        <v>45505</v>
      </c>
      <c r="G719" s="5" t="str">
        <f ca="1">IFERROR(__xludf.DUMMYFUNCTION("""COMPUTED_VALUE"""),"262432.93")</f>
        <v>262432.93</v>
      </c>
      <c r="H719" s="5" t="str">
        <f ca="1">IFERROR(__xludf.DUMMYFUNCTION("""COMPUTED_VALUE"""),"10497.28")</f>
        <v>10497.28</v>
      </c>
      <c r="I719" s="5" t="str">
        <f ca="1">IFERROR(__xludf.DUMMYFUNCTION("""COMPUTED_VALUE"""),"1312.16")</f>
        <v>1312.16</v>
      </c>
    </row>
    <row r="720" spans="6:12" ht="12.5">
      <c r="F720" s="34">
        <f ca="1">IFERROR(__xludf.DUMMYFUNCTION("""COMPUTED_VALUE"""),45536)</f>
        <v>45536</v>
      </c>
      <c r="G720" s="5" t="str">
        <f ca="1">IFERROR(__xludf.DUMMYFUNCTION("""COMPUTED_VALUE"""),"268056.5")</f>
        <v>268056.5</v>
      </c>
      <c r="H720" s="5" t="str">
        <f ca="1">IFERROR(__xludf.DUMMYFUNCTION("""COMPUTED_VALUE"""),"10722.24")</f>
        <v>10722.24</v>
      </c>
      <c r="I720" s="5" t="str">
        <f ca="1">IFERROR(__xludf.DUMMYFUNCTION("""COMPUTED_VALUE"""),"1340.28")</f>
        <v>1340.28</v>
      </c>
    </row>
    <row r="721" spans="6:9" ht="12.5">
      <c r="F721" s="34">
        <f ca="1">IFERROR(__xludf.DUMMYFUNCTION("""COMPUTED_VALUE"""),45566)</f>
        <v>45566</v>
      </c>
      <c r="G721" s="5" t="str">
        <f ca="1">IFERROR(__xludf.DUMMYFUNCTION("""COMPUTED_VALUE"""),"271571.22")</f>
        <v>271571.22</v>
      </c>
      <c r="H721" s="5" t="str">
        <f ca="1">IFERROR(__xludf.DUMMYFUNCTION("""COMPUTED_VALUE"""),"10862.88")</f>
        <v>10862.88</v>
      </c>
      <c r="I721" s="5" t="str">
        <f ca="1">IFERROR(__xludf.DUMMYFUNCTION("""COMPUTED_VALUE"""),"1357.86")</f>
        <v>1357.86</v>
      </c>
    </row>
    <row r="722" spans="6:9" ht="12.5">
      <c r="F722" s="34"/>
    </row>
    <row r="723" spans="6:9" ht="12.5">
      <c r="F723" s="34"/>
    </row>
    <row r="724" spans="6:9" ht="12.5">
      <c r="F724" s="34"/>
    </row>
    <row r="725" spans="6:9" ht="12.5">
      <c r="F725" s="34"/>
    </row>
    <row r="726" spans="6:9" ht="12.5">
      <c r="F726" s="34"/>
    </row>
    <row r="727" spans="6:9" ht="12.5">
      <c r="F727" s="34"/>
    </row>
    <row r="728" spans="6:9" ht="12.5">
      <c r="F728" s="34"/>
    </row>
    <row r="729" spans="6:9" ht="12.5">
      <c r="F729" s="34"/>
    </row>
    <row r="730" spans="6:9" ht="12.5">
      <c r="F730" s="34"/>
    </row>
    <row r="731" spans="6:9" ht="12.5">
      <c r="F731" s="34"/>
    </row>
    <row r="732" spans="6:9" ht="12.5">
      <c r="F732" s="34"/>
    </row>
    <row r="733" spans="6:9" ht="12.5">
      <c r="F733" s="34"/>
    </row>
    <row r="734" spans="6:9" ht="12.5">
      <c r="F734" s="34"/>
    </row>
    <row r="735" spans="6:9" ht="12.5">
      <c r="F735" s="34"/>
    </row>
    <row r="736" spans="6:9" ht="12.5">
      <c r="F736" s="34"/>
    </row>
    <row r="737" spans="6:6" ht="12.5">
      <c r="F737" s="34"/>
    </row>
    <row r="738" spans="6:6" ht="12.5">
      <c r="F738" s="34"/>
    </row>
    <row r="739" spans="6:6" ht="12.5">
      <c r="F739" s="34"/>
    </row>
    <row r="740" spans="6:6" ht="12.5">
      <c r="F740" s="34"/>
    </row>
    <row r="741" spans="6:6" ht="12.5">
      <c r="F741" s="34"/>
    </row>
    <row r="742" spans="6:6" ht="12.5">
      <c r="F742" s="34"/>
    </row>
    <row r="743" spans="6:6" ht="12.5">
      <c r="F743" s="34"/>
    </row>
    <row r="744" spans="6:6" ht="12.5">
      <c r="F744" s="34"/>
    </row>
    <row r="745" spans="6:6" ht="12.5">
      <c r="F745" s="34"/>
    </row>
    <row r="746" spans="6:6" ht="12.5">
      <c r="F746" s="34"/>
    </row>
    <row r="747" spans="6:6" ht="12.5">
      <c r="F747" s="34"/>
    </row>
    <row r="748" spans="6:6" ht="12.5">
      <c r="F748" s="34"/>
    </row>
    <row r="749" spans="6:6" ht="12.5">
      <c r="F749" s="34"/>
    </row>
    <row r="750" spans="6:6" ht="12.5">
      <c r="F750" s="34"/>
    </row>
    <row r="751" spans="6:6" ht="12.5">
      <c r="F751" s="34"/>
    </row>
    <row r="752" spans="6:6" ht="12.5">
      <c r="F752" s="34"/>
    </row>
    <row r="753" spans="6:6" ht="12.5">
      <c r="F753" s="34"/>
    </row>
    <row r="754" spans="6:6" ht="12.5">
      <c r="F754" s="34"/>
    </row>
    <row r="755" spans="6:6" ht="12.5">
      <c r="F755" s="34"/>
    </row>
    <row r="756" spans="6:6" ht="12.5">
      <c r="F756" s="34"/>
    </row>
    <row r="757" spans="6:6" ht="12.5">
      <c r="F757" s="34"/>
    </row>
    <row r="758" spans="6:6" ht="12.5">
      <c r="F758" s="34"/>
    </row>
    <row r="759" spans="6:6" ht="12.5">
      <c r="F759" s="34"/>
    </row>
    <row r="760" spans="6:6" ht="12.5">
      <c r="F760" s="34"/>
    </row>
    <row r="761" spans="6:6" ht="12.5">
      <c r="F761" s="34"/>
    </row>
    <row r="762" spans="6:6" ht="12.5">
      <c r="F762" s="34"/>
    </row>
    <row r="763" spans="6:6" ht="12.5">
      <c r="F763" s="34"/>
    </row>
    <row r="764" spans="6:6" ht="12.5">
      <c r="F764" s="34"/>
    </row>
    <row r="765" spans="6:6" ht="12.5">
      <c r="F765" s="34"/>
    </row>
    <row r="766" spans="6:6" ht="12.5">
      <c r="F766" s="34"/>
    </row>
    <row r="767" spans="6:6" ht="12.5">
      <c r="F767" s="34"/>
    </row>
    <row r="768" spans="6:6" ht="12.5">
      <c r="F768" s="34"/>
    </row>
    <row r="769" spans="6:6" ht="12.5">
      <c r="F769" s="34"/>
    </row>
    <row r="770" spans="6:6" ht="12.5">
      <c r="F770" s="34"/>
    </row>
    <row r="771" spans="6:6" ht="12.5">
      <c r="F771" s="34"/>
    </row>
    <row r="772" spans="6:6" ht="12.5">
      <c r="F772" s="34"/>
    </row>
    <row r="773" spans="6:6" ht="12.5">
      <c r="F773" s="34"/>
    </row>
    <row r="774" spans="6:6" ht="12.5">
      <c r="F774" s="34"/>
    </row>
    <row r="775" spans="6:6" ht="12.5">
      <c r="F775" s="34"/>
    </row>
    <row r="776" spans="6:6" ht="12.5">
      <c r="F776" s="34"/>
    </row>
    <row r="777" spans="6:6" ht="12.5">
      <c r="F777" s="34"/>
    </row>
    <row r="778" spans="6:6" ht="12.5">
      <c r="F778" s="34"/>
    </row>
    <row r="779" spans="6:6" ht="12.5">
      <c r="F779" s="34"/>
    </row>
    <row r="780" spans="6:6" ht="12.5">
      <c r="F780" s="34"/>
    </row>
    <row r="781" spans="6:6" ht="12.5">
      <c r="F781" s="34"/>
    </row>
    <row r="782" spans="6:6" ht="12.5">
      <c r="F782" s="34"/>
    </row>
    <row r="783" spans="6:6" ht="12.5">
      <c r="F783" s="34"/>
    </row>
    <row r="784" spans="6:6" ht="12.5">
      <c r="F784" s="34"/>
    </row>
    <row r="785" spans="6:6" ht="12.5">
      <c r="F785" s="34"/>
    </row>
    <row r="786" spans="6:6" ht="12.5">
      <c r="F786" s="34"/>
    </row>
    <row r="787" spans="6:6" ht="12.5">
      <c r="F787" s="34"/>
    </row>
    <row r="788" spans="6:6" ht="12.5">
      <c r="F788" s="34"/>
    </row>
    <row r="789" spans="6:6" ht="12.5">
      <c r="F789" s="34"/>
    </row>
    <row r="790" spans="6:6" ht="12.5">
      <c r="F790" s="34"/>
    </row>
    <row r="791" spans="6:6" ht="12.5">
      <c r="F791" s="34"/>
    </row>
    <row r="792" spans="6:6" ht="12.5">
      <c r="F792" s="34"/>
    </row>
    <row r="793" spans="6:6" ht="12.5">
      <c r="F793" s="34"/>
    </row>
    <row r="794" spans="6:6" ht="12.5">
      <c r="F794" s="34"/>
    </row>
    <row r="795" spans="6:6" ht="12.5">
      <c r="F795" s="34"/>
    </row>
    <row r="796" spans="6:6" ht="12.5">
      <c r="F796" s="34"/>
    </row>
    <row r="797" spans="6:6" ht="12.5">
      <c r="F797" s="34"/>
    </row>
    <row r="798" spans="6:6" ht="12.5">
      <c r="F798" s="34"/>
    </row>
    <row r="799" spans="6:6" ht="12.5">
      <c r="F799" s="34"/>
    </row>
    <row r="800" spans="6:6" ht="12.5">
      <c r="F800" s="34"/>
    </row>
    <row r="801" spans="6:6" ht="12.5">
      <c r="F801" s="34"/>
    </row>
    <row r="802" spans="6:6" ht="12.5">
      <c r="F802" s="34"/>
    </row>
    <row r="803" spans="6:6" ht="12.5">
      <c r="F803" s="34"/>
    </row>
    <row r="804" spans="6:6" ht="12.5">
      <c r="F804" s="34"/>
    </row>
    <row r="805" spans="6:6" ht="12.5">
      <c r="F805" s="34"/>
    </row>
    <row r="806" spans="6:6" ht="12.5">
      <c r="F806" s="34"/>
    </row>
    <row r="807" spans="6:6" ht="12.5">
      <c r="F807" s="34"/>
    </row>
    <row r="808" spans="6:6" ht="12.5">
      <c r="F808" s="34"/>
    </row>
    <row r="809" spans="6:6" ht="12.5">
      <c r="F809" s="34"/>
    </row>
    <row r="810" spans="6:6" ht="12.5">
      <c r="F810" s="34"/>
    </row>
    <row r="811" spans="6:6" ht="12.5">
      <c r="F811" s="34"/>
    </row>
    <row r="812" spans="6:6" ht="12.5">
      <c r="F812" s="34"/>
    </row>
    <row r="813" spans="6:6" ht="12.5">
      <c r="F813" s="34"/>
    </row>
    <row r="814" spans="6:6" ht="12.5">
      <c r="F814" s="34"/>
    </row>
    <row r="815" spans="6:6" ht="12.5">
      <c r="F815" s="34"/>
    </row>
    <row r="816" spans="6:6" ht="12.5">
      <c r="F816" s="34"/>
    </row>
    <row r="817" spans="6:6" ht="12.5">
      <c r="F817" s="34"/>
    </row>
    <row r="818" spans="6:6" ht="12.5">
      <c r="F818" s="34"/>
    </row>
    <row r="819" spans="6:6" ht="12.5">
      <c r="F819" s="34"/>
    </row>
    <row r="820" spans="6:6" ht="12.5">
      <c r="F820" s="34"/>
    </row>
    <row r="821" spans="6:6" ht="12.5">
      <c r="F821" s="34"/>
    </row>
    <row r="822" spans="6:6" ht="12.5">
      <c r="F822" s="34"/>
    </row>
    <row r="823" spans="6:6" ht="12.5">
      <c r="F823" s="34"/>
    </row>
    <row r="824" spans="6:6" ht="12.5">
      <c r="F824" s="34"/>
    </row>
    <row r="825" spans="6:6" ht="12.5">
      <c r="F825" s="34"/>
    </row>
    <row r="826" spans="6:6" ht="12.5">
      <c r="F826" s="34"/>
    </row>
    <row r="827" spans="6:6" ht="12.5">
      <c r="F827" s="34"/>
    </row>
    <row r="828" spans="6:6" ht="12.5">
      <c r="F828" s="34"/>
    </row>
    <row r="829" spans="6:6" ht="12.5">
      <c r="F829" s="34"/>
    </row>
    <row r="830" spans="6:6" ht="12.5">
      <c r="F830" s="34"/>
    </row>
    <row r="831" spans="6:6" ht="12.5">
      <c r="F831" s="34"/>
    </row>
    <row r="832" spans="6:6" ht="12.5">
      <c r="F832" s="34"/>
    </row>
    <row r="833" spans="6:6" ht="12.5">
      <c r="F833" s="34"/>
    </row>
    <row r="834" spans="6:6" ht="12.5">
      <c r="F834" s="34"/>
    </row>
    <row r="835" spans="6:6" ht="12.5">
      <c r="F835" s="34"/>
    </row>
    <row r="836" spans="6:6" ht="12.5">
      <c r="F836" s="34"/>
    </row>
    <row r="837" spans="6:6" ht="12.5">
      <c r="F837" s="34"/>
    </row>
    <row r="838" spans="6:6" ht="12.5">
      <c r="F838" s="34"/>
    </row>
    <row r="839" spans="6:6" ht="12.5">
      <c r="F839" s="34"/>
    </row>
    <row r="840" spans="6:6" ht="12.5">
      <c r="F840" s="34"/>
    </row>
    <row r="841" spans="6:6" ht="12.5">
      <c r="F841" s="34"/>
    </row>
    <row r="842" spans="6:6" ht="12.5">
      <c r="F842" s="34"/>
    </row>
    <row r="843" spans="6:6" ht="12.5">
      <c r="F843" s="34"/>
    </row>
    <row r="844" spans="6:6" ht="12.5">
      <c r="F844" s="34"/>
    </row>
    <row r="845" spans="6:6" ht="12.5">
      <c r="F845" s="34"/>
    </row>
    <row r="846" spans="6:6" ht="12.5">
      <c r="F846" s="34"/>
    </row>
    <row r="847" spans="6:6" ht="12.5">
      <c r="F847" s="34"/>
    </row>
    <row r="848" spans="6:6" ht="12.5">
      <c r="F848" s="34"/>
    </row>
    <row r="849" spans="6:6" ht="12.5">
      <c r="F849" s="34"/>
    </row>
    <row r="850" spans="6:6" ht="12.5">
      <c r="F850" s="34"/>
    </row>
    <row r="851" spans="6:6" ht="12.5">
      <c r="F851" s="34"/>
    </row>
    <row r="852" spans="6:6" ht="12.5">
      <c r="F852" s="34"/>
    </row>
    <row r="853" spans="6:6" ht="12.5">
      <c r="F853" s="34"/>
    </row>
    <row r="854" spans="6:6" ht="12.5">
      <c r="F854" s="34"/>
    </row>
    <row r="855" spans="6:6" ht="12.5">
      <c r="F855" s="34"/>
    </row>
    <row r="856" spans="6:6" ht="12.5">
      <c r="F856" s="34"/>
    </row>
    <row r="857" spans="6:6" ht="12.5">
      <c r="F857" s="34"/>
    </row>
    <row r="858" spans="6:6" ht="12.5">
      <c r="F858" s="34"/>
    </row>
    <row r="859" spans="6:6" ht="12.5">
      <c r="F859" s="34"/>
    </row>
    <row r="860" spans="6:6" ht="12.5">
      <c r="F860" s="34"/>
    </row>
    <row r="861" spans="6:6" ht="12.5">
      <c r="F861" s="34"/>
    </row>
    <row r="862" spans="6:6" ht="12.5">
      <c r="F862" s="34"/>
    </row>
    <row r="863" spans="6:6" ht="12.5">
      <c r="F863" s="34"/>
    </row>
    <row r="864" spans="6:6" ht="12.5">
      <c r="F864" s="34"/>
    </row>
    <row r="865" spans="6:6" ht="12.5">
      <c r="F865" s="34"/>
    </row>
    <row r="866" spans="6:6" ht="12.5">
      <c r="F866" s="34"/>
    </row>
    <row r="867" spans="6:6" ht="12.5">
      <c r="F867" s="34"/>
    </row>
    <row r="868" spans="6:6" ht="12.5">
      <c r="F868" s="34"/>
    </row>
    <row r="869" spans="6:6" ht="12.5">
      <c r="F869" s="34"/>
    </row>
    <row r="870" spans="6:6" ht="12.5">
      <c r="F870" s="34"/>
    </row>
    <row r="871" spans="6:6" ht="12.5">
      <c r="F871" s="34"/>
    </row>
    <row r="872" spans="6:6" ht="12.5">
      <c r="F872" s="34"/>
    </row>
    <row r="873" spans="6:6" ht="12.5">
      <c r="F873" s="34"/>
    </row>
    <row r="874" spans="6:6" ht="12.5">
      <c r="F874" s="34"/>
    </row>
    <row r="875" spans="6:6" ht="12.5">
      <c r="F875" s="34"/>
    </row>
    <row r="876" spans="6:6" ht="12.5">
      <c r="F876" s="34"/>
    </row>
    <row r="877" spans="6:6" ht="12.5">
      <c r="F877" s="34"/>
    </row>
    <row r="878" spans="6:6" ht="12.5">
      <c r="F878" s="34"/>
    </row>
    <row r="879" spans="6:6" ht="12.5">
      <c r="F879" s="34"/>
    </row>
    <row r="880" spans="6:6" ht="12.5">
      <c r="F880" s="34"/>
    </row>
    <row r="881" spans="6:6" ht="12.5">
      <c r="F881" s="34"/>
    </row>
    <row r="882" spans="6:6" ht="12.5">
      <c r="F882" s="34"/>
    </row>
    <row r="883" spans="6:6" ht="12.5">
      <c r="F883" s="34"/>
    </row>
    <row r="884" spans="6:6" ht="12.5">
      <c r="F884" s="34"/>
    </row>
    <row r="885" spans="6:6" ht="12.5">
      <c r="F885" s="34"/>
    </row>
    <row r="886" spans="6:6" ht="12.5">
      <c r="F886" s="34"/>
    </row>
    <row r="887" spans="6:6" ht="12.5">
      <c r="F887" s="34"/>
    </row>
    <row r="888" spans="6:6" ht="12.5">
      <c r="F888" s="34"/>
    </row>
    <row r="889" spans="6:6" ht="12.5">
      <c r="F889" s="34"/>
    </row>
    <row r="890" spans="6:6" ht="12.5">
      <c r="F890" s="34"/>
    </row>
    <row r="891" spans="6:6" ht="12.5">
      <c r="F891" s="34"/>
    </row>
    <row r="892" spans="6:6" ht="12.5">
      <c r="F892" s="34"/>
    </row>
    <row r="893" spans="6:6" ht="12.5">
      <c r="F893" s="34"/>
    </row>
    <row r="894" spans="6:6" ht="12.5">
      <c r="F894" s="34"/>
    </row>
    <row r="895" spans="6:6" ht="12.5">
      <c r="F895" s="34"/>
    </row>
    <row r="896" spans="6:6" ht="12.5">
      <c r="F896" s="34"/>
    </row>
    <row r="897" spans="6:6" ht="12.5">
      <c r="F897" s="34"/>
    </row>
    <row r="898" spans="6:6" ht="12.5">
      <c r="F898" s="34"/>
    </row>
    <row r="899" spans="6:6" ht="12.5">
      <c r="F899" s="34"/>
    </row>
    <row r="900" spans="6:6" ht="12.5">
      <c r="F900" s="34"/>
    </row>
    <row r="901" spans="6:6" ht="12.5">
      <c r="F901" s="34"/>
    </row>
    <row r="902" spans="6:6" ht="12.5">
      <c r="F902" s="34"/>
    </row>
    <row r="903" spans="6:6" ht="12.5">
      <c r="F903" s="34"/>
    </row>
    <row r="904" spans="6:6" ht="12.5">
      <c r="F904" s="34"/>
    </row>
    <row r="905" spans="6:6" ht="12.5">
      <c r="F905" s="34"/>
    </row>
    <row r="906" spans="6:6" ht="12.5">
      <c r="F906" s="34"/>
    </row>
    <row r="907" spans="6:6" ht="12.5">
      <c r="F907" s="34"/>
    </row>
    <row r="908" spans="6:6" ht="12.5">
      <c r="F908" s="34"/>
    </row>
    <row r="909" spans="6:6" ht="12.5">
      <c r="F909" s="34"/>
    </row>
    <row r="910" spans="6:6" ht="12.5">
      <c r="F910" s="34"/>
    </row>
    <row r="911" spans="6:6" ht="12.5">
      <c r="F911" s="34"/>
    </row>
    <row r="912" spans="6:6" ht="12.5">
      <c r="F912" s="34"/>
    </row>
    <row r="913" spans="6:6" ht="12.5">
      <c r="F913" s="34"/>
    </row>
    <row r="914" spans="6:6" ht="12.5">
      <c r="F914" s="34"/>
    </row>
    <row r="915" spans="6:6" ht="12.5">
      <c r="F915" s="34"/>
    </row>
    <row r="916" spans="6:6" ht="12.5">
      <c r="F916" s="34"/>
    </row>
    <row r="917" spans="6:6" ht="12.5">
      <c r="F917" s="34"/>
    </row>
    <row r="918" spans="6:6" ht="12.5">
      <c r="F918" s="34"/>
    </row>
    <row r="919" spans="6:6" ht="12.5">
      <c r="F919" s="34"/>
    </row>
    <row r="920" spans="6:6" ht="12.5">
      <c r="F920" s="34"/>
    </row>
    <row r="921" spans="6:6" ht="12.5">
      <c r="F921" s="34"/>
    </row>
    <row r="922" spans="6:6" ht="12.5">
      <c r="F922" s="34"/>
    </row>
    <row r="923" spans="6:6" ht="12.5">
      <c r="F923" s="34"/>
    </row>
    <row r="924" spans="6:6" ht="12.5">
      <c r="F924" s="34"/>
    </row>
    <row r="925" spans="6:6" ht="12.5">
      <c r="F925" s="34"/>
    </row>
    <row r="926" spans="6:6" ht="12.5">
      <c r="F926" s="34"/>
    </row>
    <row r="927" spans="6:6" ht="12.5">
      <c r="F927" s="34"/>
    </row>
    <row r="928" spans="6:6" ht="12.5">
      <c r="F928" s="34"/>
    </row>
    <row r="929" spans="6:6" ht="12.5">
      <c r="F929" s="34"/>
    </row>
    <row r="930" spans="6:6" ht="12.5">
      <c r="F930" s="34"/>
    </row>
    <row r="931" spans="6:6" ht="12.5">
      <c r="F931" s="34"/>
    </row>
    <row r="932" spans="6:6" ht="12.5">
      <c r="F932" s="34"/>
    </row>
    <row r="933" spans="6:6" ht="12.5">
      <c r="F933" s="34"/>
    </row>
    <row r="934" spans="6:6" ht="12.5">
      <c r="F934" s="34"/>
    </row>
    <row r="935" spans="6:6" ht="12.5">
      <c r="F935" s="34"/>
    </row>
    <row r="936" spans="6:6" ht="12.5">
      <c r="F936" s="34"/>
    </row>
    <row r="937" spans="6:6" ht="12.5">
      <c r="F937" s="34"/>
    </row>
    <row r="938" spans="6:6" ht="12.5">
      <c r="F938" s="34"/>
    </row>
    <row r="939" spans="6:6" ht="12.5">
      <c r="F939" s="34"/>
    </row>
    <row r="940" spans="6:6" ht="12.5">
      <c r="F940" s="34"/>
    </row>
    <row r="941" spans="6:6" ht="12.5">
      <c r="F941" s="34"/>
    </row>
    <row r="942" spans="6:6" ht="12.5">
      <c r="F942" s="34"/>
    </row>
    <row r="943" spans="6:6" ht="12.5">
      <c r="F943" s="34"/>
    </row>
    <row r="944" spans="6:6" ht="12.5">
      <c r="F944" s="34"/>
    </row>
    <row r="945" spans="6:6" ht="12.5">
      <c r="F945" s="34"/>
    </row>
    <row r="946" spans="6:6" ht="12.5">
      <c r="F946" s="34"/>
    </row>
    <row r="947" spans="6:6" ht="12.5">
      <c r="F947" s="34"/>
    </row>
    <row r="948" spans="6:6" ht="12.5">
      <c r="F948" s="34"/>
    </row>
    <row r="949" spans="6:6" ht="12.5">
      <c r="F949" s="34"/>
    </row>
    <row r="950" spans="6:6" ht="12.5">
      <c r="F950" s="34"/>
    </row>
    <row r="951" spans="6:6" ht="12.5">
      <c r="F951" s="34"/>
    </row>
    <row r="952" spans="6:6" ht="12.5">
      <c r="F952" s="34"/>
    </row>
    <row r="953" spans="6:6" ht="12.5">
      <c r="F953" s="34"/>
    </row>
    <row r="954" spans="6:6" ht="12.5">
      <c r="F954" s="34"/>
    </row>
    <row r="955" spans="6:6" ht="12.5">
      <c r="F955" s="34"/>
    </row>
    <row r="956" spans="6:6" ht="12.5">
      <c r="F956" s="34"/>
    </row>
    <row r="957" spans="6:6" ht="12.5">
      <c r="F957" s="34"/>
    </row>
    <row r="958" spans="6:6" ht="12.5">
      <c r="F958" s="34"/>
    </row>
    <row r="959" spans="6:6" ht="12.5">
      <c r="F959" s="34"/>
    </row>
    <row r="960" spans="6:6" ht="12.5">
      <c r="F960" s="34"/>
    </row>
    <row r="961" spans="6:6" ht="12.5">
      <c r="F961" s="34"/>
    </row>
    <row r="962" spans="6:6" ht="12.5">
      <c r="F962" s="34"/>
    </row>
    <row r="963" spans="6:6" ht="12.5">
      <c r="F963" s="34"/>
    </row>
    <row r="964" spans="6:6" ht="12.5">
      <c r="F964" s="34"/>
    </row>
    <row r="965" spans="6:6" ht="12.5">
      <c r="F965" s="34"/>
    </row>
    <row r="966" spans="6:6" ht="12.5">
      <c r="F966" s="34"/>
    </row>
    <row r="967" spans="6:6" ht="12.5">
      <c r="F967" s="34"/>
    </row>
    <row r="968" spans="6:6" ht="12.5">
      <c r="F968" s="34"/>
    </row>
    <row r="969" spans="6:6" ht="12.5">
      <c r="F969" s="34"/>
    </row>
    <row r="970" spans="6:6" ht="12.5">
      <c r="F970" s="34"/>
    </row>
    <row r="971" spans="6:6" ht="12.5">
      <c r="F971" s="34"/>
    </row>
    <row r="972" spans="6:6" ht="12.5">
      <c r="F972" s="34"/>
    </row>
    <row r="973" spans="6:6" ht="12.5">
      <c r="F973" s="34"/>
    </row>
    <row r="974" spans="6:6" ht="12.5">
      <c r="F974" s="34"/>
    </row>
    <row r="975" spans="6:6" ht="12.5">
      <c r="F975" s="34"/>
    </row>
    <row r="976" spans="6:6" ht="12.5">
      <c r="F976" s="34"/>
    </row>
    <row r="977" spans="6:6" ht="12.5">
      <c r="F977" s="34"/>
    </row>
    <row r="978" spans="6:6" ht="12.5">
      <c r="F978" s="34"/>
    </row>
    <row r="979" spans="6:6" ht="12.5">
      <c r="F979" s="34"/>
    </row>
    <row r="980" spans="6:6" ht="12.5">
      <c r="F980" s="34"/>
    </row>
    <row r="981" spans="6:6" ht="12.5">
      <c r="F981" s="34"/>
    </row>
    <row r="982" spans="6:6" ht="12.5">
      <c r="F982" s="34"/>
    </row>
    <row r="983" spans="6:6" ht="12.5">
      <c r="F983" s="34"/>
    </row>
    <row r="984" spans="6:6" ht="12.5">
      <c r="F984" s="34"/>
    </row>
    <row r="985" spans="6:6" ht="12.5">
      <c r="F985" s="34"/>
    </row>
    <row r="986" spans="6:6" ht="12.5">
      <c r="F986" s="34"/>
    </row>
    <row r="987" spans="6:6" ht="12.5">
      <c r="F987" s="34"/>
    </row>
    <row r="988" spans="6:6" ht="12.5">
      <c r="F988" s="34"/>
    </row>
    <row r="989" spans="6:6" ht="12.5">
      <c r="F989" s="34"/>
    </row>
    <row r="990" spans="6:6" ht="12.5">
      <c r="F990" s="34"/>
    </row>
    <row r="991" spans="6:6" ht="12.5">
      <c r="F991" s="34"/>
    </row>
    <row r="992" spans="6:6" ht="12.5">
      <c r="F992" s="34"/>
    </row>
    <row r="993" spans="6:6" ht="12.5">
      <c r="F993" s="34"/>
    </row>
    <row r="994" spans="6:6" ht="12.5">
      <c r="F994" s="34"/>
    </row>
    <row r="995" spans="6:6" ht="12.5">
      <c r="F995" s="34"/>
    </row>
    <row r="996" spans="6:6" ht="12.5">
      <c r="F996" s="34"/>
    </row>
    <row r="997" spans="6:6" ht="12.5">
      <c r="F997" s="34"/>
    </row>
    <row r="998" spans="6:6" ht="12.5">
      <c r="F998" s="34"/>
    </row>
    <row r="999" spans="6:6" ht="12.5">
      <c r="F999" s="34"/>
    </row>
    <row r="1000" spans="6:6" ht="12.5">
      <c r="F1000" s="34"/>
    </row>
    <row r="1001" spans="6:6" ht="12.5">
      <c r="F1001" s="34"/>
    </row>
    <row r="1002" spans="6:6" ht="12.5">
      <c r="F1002" s="34"/>
    </row>
    <row r="1003" spans="6:6" ht="12.5">
      <c r="F1003" s="34"/>
    </row>
    <row r="1004" spans="6:6" ht="12.5">
      <c r="F1004" s="34"/>
    </row>
    <row r="1005" spans="6:6" ht="12.5">
      <c r="F1005" s="34"/>
    </row>
  </sheetData>
  <hyperlinks>
    <hyperlink ref="M7" r:id="rId1" xr:uid="{00000000-0004-0000-0400-000000000000}"/>
    <hyperlink ref="M8" r:id="rId2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M1000"/>
  <sheetViews>
    <sheetView workbookViewId="0"/>
  </sheetViews>
  <sheetFormatPr baseColWidth="10" defaultColWidth="12.6328125" defaultRowHeight="15.75" customHeight="1"/>
  <sheetData>
    <row r="1" spans="1:13" ht="15.75" customHeight="1">
      <c r="A1" s="40"/>
      <c r="B1" s="2"/>
      <c r="C1" s="45" t="s">
        <v>5</v>
      </c>
      <c r="D1" s="44"/>
      <c r="E1" s="43" t="s">
        <v>6</v>
      </c>
      <c r="F1" s="43" t="s">
        <v>8</v>
      </c>
    </row>
    <row r="2" spans="1:13">
      <c r="A2" s="40"/>
      <c r="B2" s="3" t="s">
        <v>84</v>
      </c>
      <c r="C2" s="3" t="s">
        <v>10</v>
      </c>
      <c r="D2" s="3" t="s">
        <v>11</v>
      </c>
      <c r="E2" s="44"/>
      <c r="F2" s="44"/>
      <c r="G2" s="5" t="s">
        <v>85</v>
      </c>
      <c r="H2" s="5" t="s">
        <v>86</v>
      </c>
      <c r="I2" s="5" t="s">
        <v>87</v>
      </c>
      <c r="J2" s="5" t="s">
        <v>88</v>
      </c>
      <c r="K2" s="5" t="s">
        <v>89</v>
      </c>
      <c r="L2" s="5" t="s">
        <v>90</v>
      </c>
    </row>
    <row r="3" spans="1:13" ht="15.75" customHeight="1">
      <c r="A3" s="40">
        <v>42278</v>
      </c>
      <c r="B3" s="40">
        <f t="shared" ref="B3:B183" si="0">IF(C3="","",A3)</f>
        <v>42278</v>
      </c>
      <c r="C3" s="5">
        <f>'Índice salarios (INDEC)'!C6</f>
        <v>74</v>
      </c>
      <c r="D3" s="5">
        <f>'Índice salarios (INDEC)'!D6</f>
        <v>75.2</v>
      </c>
      <c r="E3" s="5" t="str">
        <f>'Índice salarios (INDEC)'!F6</f>
        <v>-</v>
      </c>
      <c r="F3" s="7">
        <f>'Índice salarios (INDEC)'!H6</f>
        <v>1355.09</v>
      </c>
      <c r="G3" s="13" t="str">
        <f ca="1">IFERROR(__xludf.DUMMYFUNCTION("FILTER(#REF!,#REF!&lt;&gt;"""")"),"#REF!")</f>
        <v>#REF!</v>
      </c>
      <c r="H3" s="5" t="e">
        <f t="shared" ref="H3:H100" ca="1" si="1">(G3/G$15)*100</f>
        <v>#VALUE!</v>
      </c>
      <c r="J3" s="12">
        <f t="shared" ref="J3:K3" si="2">(C3/$F3)/(C$15/$F$15)</f>
        <v>1.0586102768081824</v>
      </c>
      <c r="K3" s="12">
        <f t="shared" si="2"/>
        <v>1.0757769299456124</v>
      </c>
      <c r="L3" s="12"/>
      <c r="M3" s="41" t="e">
        <f t="shared" ref="M3:M100" ca="1" si="3">(H3/$F3)/(H$15/$F$15)</f>
        <v>#VALUE!</v>
      </c>
    </row>
    <row r="4" spans="1:13" ht="15.75" customHeight="1">
      <c r="A4" s="40">
        <v>42309</v>
      </c>
      <c r="B4" s="40">
        <f t="shared" si="0"/>
        <v>42309</v>
      </c>
      <c r="C4" s="5">
        <f>'Índice salarios (INDEC)'!C7</f>
        <v>76</v>
      </c>
      <c r="D4" s="5">
        <f>'Índice salarios (INDEC)'!D7</f>
        <v>76.3</v>
      </c>
      <c r="E4" s="5" t="str">
        <f>'Índice salarios (INDEC)'!F7</f>
        <v>-</v>
      </c>
      <c r="F4" s="7">
        <f>'Índice salarios (INDEC)'!H7</f>
        <v>1381.78</v>
      </c>
      <c r="G4" s="13"/>
      <c r="H4" s="5" t="e">
        <f t="shared" si="1"/>
        <v>#DIV/0!</v>
      </c>
      <c r="J4" s="12">
        <f t="shared" ref="J4:K4" si="4">(C4/$F4)/(C$15/$F$15)</f>
        <v>1.0662209613686693</v>
      </c>
      <c r="K4" s="12">
        <f t="shared" si="4"/>
        <v>1.0704297283214403</v>
      </c>
      <c r="L4" s="12"/>
      <c r="M4" s="41" t="e">
        <f t="shared" si="3"/>
        <v>#DIV/0!</v>
      </c>
    </row>
    <row r="5" spans="1:13" ht="15.75" customHeight="1">
      <c r="A5" s="40">
        <v>42339</v>
      </c>
      <c r="B5" s="40">
        <f t="shared" si="0"/>
        <v>42339</v>
      </c>
      <c r="C5" s="5">
        <f>'Índice salarios (INDEC)'!C8</f>
        <v>77.400000000000006</v>
      </c>
      <c r="D5" s="5">
        <f>'Índice salarios (INDEC)'!D8</f>
        <v>77.2</v>
      </c>
      <c r="E5" s="5" t="str">
        <f>'Índice salarios (INDEC)'!F8</f>
        <v>-</v>
      </c>
      <c r="F5" s="7">
        <f>'Índice salarios (INDEC)'!H8</f>
        <v>1435.99</v>
      </c>
      <c r="G5" s="13"/>
      <c r="H5" s="5" t="e">
        <f t="shared" si="1"/>
        <v>#DIV/0!</v>
      </c>
      <c r="J5" s="12">
        <f t="shared" ref="J5:K5" si="5">(C5/$F5)/(C$15/$F$15)</f>
        <v>1.0448695464453095</v>
      </c>
      <c r="K5" s="12">
        <f t="shared" si="5"/>
        <v>1.0421696251366652</v>
      </c>
      <c r="L5" s="12"/>
      <c r="M5" s="41" t="e">
        <f t="shared" si="3"/>
        <v>#DIV/0!</v>
      </c>
    </row>
    <row r="6" spans="1:13" ht="15.75" customHeight="1">
      <c r="A6" s="40">
        <v>42370</v>
      </c>
      <c r="B6" s="40">
        <f t="shared" si="0"/>
        <v>42370</v>
      </c>
      <c r="C6" s="5">
        <f>'Índice salarios (INDEC)'!C9</f>
        <v>78.900000000000006</v>
      </c>
      <c r="D6" s="5">
        <f>'Índice salarios (INDEC)'!D9</f>
        <v>77.5</v>
      </c>
      <c r="E6" s="5" t="str">
        <f>'Índice salarios (INDEC)'!F9</f>
        <v>-</v>
      </c>
      <c r="F6" s="7">
        <f>'Índice salarios (INDEC)'!H9</f>
        <v>1496.31</v>
      </c>
      <c r="G6" s="13"/>
      <c r="H6" s="5" t="e">
        <f t="shared" si="1"/>
        <v>#DIV/0!</v>
      </c>
      <c r="J6" s="12">
        <f t="shared" ref="J6:K6" si="6">(C6/$F6)/(C$15/$F$15)</f>
        <v>1.0221813461114342</v>
      </c>
      <c r="K6" s="12">
        <f t="shared" si="6"/>
        <v>1.0040437810346785</v>
      </c>
      <c r="L6" s="12"/>
      <c r="M6" s="41" t="e">
        <f t="shared" si="3"/>
        <v>#DIV/0!</v>
      </c>
    </row>
    <row r="7" spans="1:13" ht="15.75" customHeight="1">
      <c r="A7" s="40">
        <v>42401</v>
      </c>
      <c r="B7" s="40">
        <f t="shared" si="0"/>
        <v>42401</v>
      </c>
      <c r="C7" s="5">
        <f>'Índice salarios (INDEC)'!C10</f>
        <v>80</v>
      </c>
      <c r="D7" s="5">
        <f>'Índice salarios (INDEC)'!D10</f>
        <v>78.400000000000006</v>
      </c>
      <c r="E7" s="5" t="str">
        <f>'Índice salarios (INDEC)'!F10</f>
        <v>-</v>
      </c>
      <c r="F7" s="7">
        <f>'Índice salarios (INDEC)'!H10</f>
        <v>1554.55</v>
      </c>
      <c r="G7" s="13"/>
      <c r="H7" s="5" t="e">
        <f t="shared" si="1"/>
        <v>#DIV/0!</v>
      </c>
      <c r="J7" s="12">
        <f t="shared" ref="J7:K7" si="7">(C7/$F7)/(C$15/$F$15)</f>
        <v>0.99760316490302658</v>
      </c>
      <c r="K7" s="12">
        <f t="shared" si="7"/>
        <v>0.97765110160496616</v>
      </c>
      <c r="L7" s="12"/>
      <c r="M7" s="41" t="e">
        <f t="shared" si="3"/>
        <v>#DIV/0!</v>
      </c>
    </row>
    <row r="8" spans="1:13" ht="15.75" customHeight="1">
      <c r="A8" s="40">
        <v>42430</v>
      </c>
      <c r="B8" s="40">
        <f t="shared" si="0"/>
        <v>42430</v>
      </c>
      <c r="C8" s="5">
        <f>'Índice salarios (INDEC)'!C11</f>
        <v>80.8</v>
      </c>
      <c r="D8" s="5">
        <f>'Índice salarios (INDEC)'!D11</f>
        <v>83.8</v>
      </c>
      <c r="E8" s="5" t="str">
        <f>'Índice salarios (INDEC)'!F11</f>
        <v>-</v>
      </c>
      <c r="F8" s="7">
        <f>'Índice salarios (INDEC)'!H11</f>
        <v>1606.2</v>
      </c>
      <c r="G8" s="13"/>
      <c r="H8" s="5" t="e">
        <f t="shared" si="1"/>
        <v>#DIV/0!</v>
      </c>
      <c r="J8" s="12">
        <f t="shared" ref="J8:K8" si="8">(C8/$F8)/(C$15/$F$15)</f>
        <v>0.9751788320258995</v>
      </c>
      <c r="K8" s="12">
        <f t="shared" si="8"/>
        <v>1.0113859668783463</v>
      </c>
      <c r="L8" s="12"/>
      <c r="M8" s="41" t="e">
        <f t="shared" si="3"/>
        <v>#DIV/0!</v>
      </c>
    </row>
    <row r="9" spans="1:13" ht="15.75" customHeight="1">
      <c r="A9" s="40">
        <v>42461</v>
      </c>
      <c r="B9" s="40">
        <f t="shared" si="0"/>
        <v>42461</v>
      </c>
      <c r="C9" s="5">
        <f>'Índice salarios (INDEC)'!C12</f>
        <v>85.9</v>
      </c>
      <c r="D9" s="5">
        <f>'Índice salarios (INDEC)'!D12</f>
        <v>84.3</v>
      </c>
      <c r="E9" s="5" t="str">
        <f>'Índice salarios (INDEC)'!F12</f>
        <v>-</v>
      </c>
      <c r="F9" s="7">
        <f>'Índice salarios (INDEC)'!H12</f>
        <v>1705.9</v>
      </c>
      <c r="G9" s="13"/>
      <c r="H9" s="5" t="e">
        <f t="shared" si="1"/>
        <v>#DIV/0!</v>
      </c>
      <c r="J9" s="12">
        <f t="shared" ref="J9:K9" si="9">(C9/$F9)/(C$15/$F$15)</f>
        <v>0.97614002579283665</v>
      </c>
      <c r="K9" s="12">
        <f t="shared" si="9"/>
        <v>0.95795813939855778</v>
      </c>
      <c r="L9" s="12"/>
      <c r="M9" s="41" t="e">
        <f t="shared" si="3"/>
        <v>#DIV/0!</v>
      </c>
    </row>
    <row r="10" spans="1:13" ht="15.75" customHeight="1">
      <c r="A10" s="40">
        <v>42491</v>
      </c>
      <c r="B10" s="40">
        <f t="shared" si="0"/>
        <v>42491</v>
      </c>
      <c r="C10" s="5">
        <f>'Índice salarios (INDEC)'!C13</f>
        <v>88.7</v>
      </c>
      <c r="D10" s="5">
        <f>'Índice salarios (INDEC)'!D13</f>
        <v>87.1</v>
      </c>
      <c r="E10" s="5" t="str">
        <f>'Índice salarios (INDEC)'!F13</f>
        <v>-</v>
      </c>
      <c r="F10" s="7">
        <f>'Índice salarios (INDEC)'!H13</f>
        <v>1777.38</v>
      </c>
      <c r="G10" s="13"/>
      <c r="H10" s="5" t="e">
        <f t="shared" si="1"/>
        <v>#DIV/0!</v>
      </c>
      <c r="J10" s="12">
        <f t="shared" ref="J10:K10" si="10">(C10/$F10)/(C$15/$F$15)</f>
        <v>0.967421772496596</v>
      </c>
      <c r="K10" s="12">
        <f t="shared" si="10"/>
        <v>0.94997109790815681</v>
      </c>
      <c r="L10" s="12"/>
      <c r="M10" s="41" t="e">
        <f t="shared" si="3"/>
        <v>#DIV/0!</v>
      </c>
    </row>
    <row r="11" spans="1:13" ht="15.75" customHeight="1">
      <c r="A11" s="40">
        <v>42522</v>
      </c>
      <c r="B11" s="40">
        <f t="shared" si="0"/>
        <v>42522</v>
      </c>
      <c r="C11" s="5">
        <f>'Índice salarios (INDEC)'!C14</f>
        <v>90.2</v>
      </c>
      <c r="D11" s="5">
        <f>'Índice salarios (INDEC)'!D14</f>
        <v>89.3</v>
      </c>
      <c r="E11" s="5" t="str">
        <f>'Índice salarios (INDEC)'!F14</f>
        <v>-</v>
      </c>
      <c r="F11" s="7">
        <f>'Índice salarios (INDEC)'!H14</f>
        <v>1832.12</v>
      </c>
      <c r="G11" s="13"/>
      <c r="H11" s="5" t="e">
        <f t="shared" si="1"/>
        <v>#DIV/0!</v>
      </c>
      <c r="J11" s="12">
        <f t="shared" ref="J11:K11" si="11">(C11/$F11)/(C$15/$F$15)</f>
        <v>0.9543883915900705</v>
      </c>
      <c r="K11" s="12">
        <f t="shared" si="11"/>
        <v>0.94486566927930482</v>
      </c>
      <c r="L11" s="12"/>
      <c r="M11" s="41" t="e">
        <f t="shared" si="3"/>
        <v>#DIV/0!</v>
      </c>
    </row>
    <row r="12" spans="1:13" ht="15.75" customHeight="1">
      <c r="A12" s="40">
        <v>42552</v>
      </c>
      <c r="B12" s="40">
        <f t="shared" si="0"/>
        <v>42552</v>
      </c>
      <c r="C12" s="5">
        <f>'Índice salarios (INDEC)'!C15</f>
        <v>93.4</v>
      </c>
      <c r="D12" s="5">
        <f>'Índice salarios (INDEC)'!D15</f>
        <v>94.7</v>
      </c>
      <c r="E12" s="5" t="str">
        <f>'Índice salarios (INDEC)'!F15</f>
        <v>-</v>
      </c>
      <c r="F12" s="7">
        <f>'Índice salarios (INDEC)'!H15</f>
        <v>1868.76</v>
      </c>
      <c r="G12" s="13"/>
      <c r="H12" s="5" t="e">
        <f t="shared" si="1"/>
        <v>#DIV/0!</v>
      </c>
      <c r="J12" s="12">
        <f t="shared" ref="J12:K12" si="12">(C12/$F12)/(C$15/$F$15)</f>
        <v>0.96887081273143683</v>
      </c>
      <c r="K12" s="12">
        <f t="shared" si="12"/>
        <v>0.98235616665596437</v>
      </c>
      <c r="L12" s="12"/>
      <c r="M12" s="41" t="e">
        <f t="shared" si="3"/>
        <v>#DIV/0!</v>
      </c>
    </row>
    <row r="13" spans="1:13" ht="15.75" customHeight="1">
      <c r="A13" s="40">
        <v>42583</v>
      </c>
      <c r="B13" s="40">
        <f t="shared" si="0"/>
        <v>42583</v>
      </c>
      <c r="C13" s="5">
        <f>'Índice salarios (INDEC)'!C16</f>
        <v>95.1</v>
      </c>
      <c r="D13" s="5">
        <f>'Índice salarios (INDEC)'!D16</f>
        <v>98.7</v>
      </c>
      <c r="E13" s="5" t="str">
        <f>'Índice salarios (INDEC)'!F16</f>
        <v>-</v>
      </c>
      <c r="F13" s="7">
        <f>'Índice salarios (INDEC)'!H16</f>
        <v>1872.5</v>
      </c>
      <c r="G13" s="13"/>
      <c r="H13" s="5" t="e">
        <f t="shared" si="1"/>
        <v>#DIV/0!</v>
      </c>
      <c r="J13" s="12">
        <f t="shared" ref="J13:K13" si="13">(C13/$F13)/(C$15/$F$15)</f>
        <v>0.98453512950600797</v>
      </c>
      <c r="K13" s="12">
        <f t="shared" si="13"/>
        <v>1.021804598130841</v>
      </c>
      <c r="L13" s="12"/>
      <c r="M13" s="41" t="e">
        <f t="shared" si="3"/>
        <v>#DIV/0!</v>
      </c>
    </row>
    <row r="14" spans="1:13" ht="15.75" customHeight="1">
      <c r="A14" s="40">
        <v>42614</v>
      </c>
      <c r="B14" s="40">
        <f t="shared" si="0"/>
        <v>42614</v>
      </c>
      <c r="C14" s="5">
        <f>'Índice salarios (INDEC)'!C17</f>
        <v>96.6</v>
      </c>
      <c r="D14" s="5">
        <f>'Índice salarios (INDEC)'!D17</f>
        <v>99.5</v>
      </c>
      <c r="E14" s="5" t="str">
        <f>'Índice salarios (INDEC)'!F17</f>
        <v>-</v>
      </c>
      <c r="F14" s="7">
        <f>'Índice salarios (INDEC)'!H17</f>
        <v>1893.1</v>
      </c>
      <c r="G14" s="13"/>
      <c r="H14" s="5" t="e">
        <f t="shared" si="1"/>
        <v>#DIV/0!</v>
      </c>
      <c r="J14" s="12">
        <f t="shared" ref="J14:K14" si="14">(C14/$F14)/(C$15/$F$15)</f>
        <v>0.98918175479372461</v>
      </c>
      <c r="K14" s="12">
        <f t="shared" si="14"/>
        <v>1.0188776873910517</v>
      </c>
      <c r="L14" s="12"/>
      <c r="M14" s="41" t="e">
        <f t="shared" si="3"/>
        <v>#DIV/0!</v>
      </c>
    </row>
    <row r="15" spans="1:13" ht="15.75" customHeight="1">
      <c r="A15" s="40">
        <v>42644</v>
      </c>
      <c r="B15" s="40">
        <f t="shared" si="0"/>
        <v>42644</v>
      </c>
      <c r="C15" s="5">
        <f>'Índice salarios (INDEC)'!C18</f>
        <v>100</v>
      </c>
      <c r="D15" s="5">
        <f>'Índice salarios (INDEC)'!D18</f>
        <v>100</v>
      </c>
      <c r="E15" s="5">
        <f>'Índice salarios (INDEC)'!F18</f>
        <v>100</v>
      </c>
      <c r="F15" s="7">
        <f>'Índice salarios (INDEC)'!H18</f>
        <v>1938.53</v>
      </c>
      <c r="G15" s="13"/>
      <c r="H15" s="5" t="e">
        <f t="shared" si="1"/>
        <v>#DIV/0!</v>
      </c>
      <c r="J15" s="12">
        <f t="shared" ref="J15:L15" si="15">(C15/$F15)/(C$15/$F$15)</f>
        <v>1</v>
      </c>
      <c r="K15" s="12">
        <f t="shared" si="15"/>
        <v>1</v>
      </c>
      <c r="L15" s="12">
        <f t="shared" si="15"/>
        <v>1</v>
      </c>
      <c r="M15" s="41" t="e">
        <f t="shared" si="3"/>
        <v>#DIV/0!</v>
      </c>
    </row>
    <row r="16" spans="1:13" ht="15.75" customHeight="1">
      <c r="A16" s="40">
        <v>42675</v>
      </c>
      <c r="B16" s="40">
        <f t="shared" si="0"/>
        <v>42675</v>
      </c>
      <c r="C16" s="5">
        <f>'Índice salarios (INDEC)'!C19</f>
        <v>101.8</v>
      </c>
      <c r="D16" s="5">
        <f>'Índice salarios (INDEC)'!D19</f>
        <v>101.2</v>
      </c>
      <c r="E16" s="5">
        <f>'Índice salarios (INDEC)'!F19</f>
        <v>100.7</v>
      </c>
      <c r="F16" s="7">
        <f>'Índice salarios (INDEC)'!H19</f>
        <v>1969.55</v>
      </c>
      <c r="G16" s="13"/>
      <c r="H16" s="5" t="e">
        <f t="shared" si="1"/>
        <v>#DIV/0!</v>
      </c>
      <c r="J16" s="12">
        <f t="shared" ref="J16:L16" si="16">(C16/$F16)/(C$15/$F$15)</f>
        <v>1.0019667132086008</v>
      </c>
      <c r="K16" s="12">
        <f t="shared" si="16"/>
        <v>0.99606121195196862</v>
      </c>
      <c r="L16" s="12">
        <f t="shared" si="16"/>
        <v>0.99113996090477519</v>
      </c>
      <c r="M16" s="41" t="e">
        <f t="shared" si="3"/>
        <v>#DIV/0!</v>
      </c>
    </row>
    <row r="17" spans="1:13" ht="15.75" customHeight="1">
      <c r="A17" s="40">
        <v>42705</v>
      </c>
      <c r="B17" s="40">
        <f t="shared" si="0"/>
        <v>42705</v>
      </c>
      <c r="C17" s="5">
        <f>'Índice salarios (INDEC)'!C20</f>
        <v>102.9</v>
      </c>
      <c r="D17" s="5">
        <f>'Índice salarios (INDEC)'!D20</f>
        <v>102.4</v>
      </c>
      <c r="E17" s="5">
        <f>'Índice salarios (INDEC)'!F20</f>
        <v>103.2</v>
      </c>
      <c r="F17" s="7">
        <f>'Índice salarios (INDEC)'!H20</f>
        <v>1993.18</v>
      </c>
      <c r="G17" s="13"/>
      <c r="H17" s="5" t="e">
        <f t="shared" si="1"/>
        <v>#DIV/0!</v>
      </c>
      <c r="J17" s="12">
        <f t="shared" ref="J17:L17" si="17">(C17/$F17)/(C$15/$F$15)</f>
        <v>1.0007863665097985</v>
      </c>
      <c r="K17" s="12">
        <f t="shared" si="17"/>
        <v>0.99592345899517343</v>
      </c>
      <c r="L17" s="12">
        <f t="shared" si="17"/>
        <v>1.0037041110185732</v>
      </c>
      <c r="M17" s="41" t="e">
        <f t="shared" si="3"/>
        <v>#DIV/0!</v>
      </c>
    </row>
    <row r="18" spans="1:13" ht="15.75" customHeight="1">
      <c r="A18" s="40">
        <v>42736</v>
      </c>
      <c r="B18" s="40">
        <f t="shared" si="0"/>
        <v>42736</v>
      </c>
      <c r="C18" s="5">
        <f>'Índice salarios (INDEC)'!C21</f>
        <v>106.3</v>
      </c>
      <c r="D18" s="5">
        <f>'Índice salarios (INDEC)'!D21</f>
        <v>102.7</v>
      </c>
      <c r="E18" s="5">
        <f>'Índice salarios (INDEC)'!F21</f>
        <v>102</v>
      </c>
      <c r="F18" s="7">
        <f>'Índice salarios (INDEC)'!H21</f>
        <v>2025.07</v>
      </c>
      <c r="G18" s="13"/>
      <c r="H18" s="5" t="e">
        <f t="shared" si="1"/>
        <v>#DIV/0!</v>
      </c>
      <c r="J18" s="12">
        <f t="shared" ref="J18:L18" si="18">(C18/$F18)/(C$15/$F$15)</f>
        <v>1.0175734122771063</v>
      </c>
      <c r="K18" s="12">
        <f t="shared" si="18"/>
        <v>0.98311184798550177</v>
      </c>
      <c r="L18" s="12">
        <f t="shared" si="18"/>
        <v>0.97641098826213413</v>
      </c>
      <c r="M18" s="41" t="e">
        <f t="shared" si="3"/>
        <v>#DIV/0!</v>
      </c>
    </row>
    <row r="19" spans="1:13" ht="15.75" customHeight="1">
      <c r="A19" s="40">
        <v>42767</v>
      </c>
      <c r="B19" s="40">
        <f t="shared" si="0"/>
        <v>42767</v>
      </c>
      <c r="C19" s="5">
        <f>'Índice salarios (INDEC)'!C22</f>
        <v>107.7</v>
      </c>
      <c r="D19" s="5">
        <f>'Índice salarios (INDEC)'!D22</f>
        <v>103.1</v>
      </c>
      <c r="E19" s="5">
        <f>'Índice salarios (INDEC)'!F22</f>
        <v>104.9</v>
      </c>
      <c r="F19" s="7">
        <f>'Índice salarios (INDEC)'!H22</f>
        <v>2067.6</v>
      </c>
      <c r="G19" s="13"/>
      <c r="H19" s="5" t="e">
        <f t="shared" si="1"/>
        <v>#DIV/0!</v>
      </c>
      <c r="J19" s="12">
        <f t="shared" ref="J19:L19" si="19">(C19/$F19)/(C$15/$F$15)</f>
        <v>1.0097682385374347</v>
      </c>
      <c r="K19" s="12">
        <f t="shared" si="19"/>
        <v>0.96663979009479584</v>
      </c>
      <c r="L19" s="12">
        <f t="shared" si="19"/>
        <v>0.98351613948539374</v>
      </c>
      <c r="M19" s="41" t="e">
        <f t="shared" si="3"/>
        <v>#DIV/0!</v>
      </c>
    </row>
    <row r="20" spans="1:13" ht="16.5">
      <c r="A20" s="40">
        <v>42795</v>
      </c>
      <c r="B20" s="40">
        <f t="shared" si="0"/>
        <v>42795</v>
      </c>
      <c r="C20" s="5">
        <f>'Índice salarios (INDEC)'!C23</f>
        <v>109.3</v>
      </c>
      <c r="D20" s="5">
        <f>'Índice salarios (INDEC)'!D23</f>
        <v>107.2</v>
      </c>
      <c r="E20" s="5">
        <f>'Índice salarios (INDEC)'!F23</f>
        <v>110.1</v>
      </c>
      <c r="F20" s="7">
        <f>'Índice salarios (INDEC)'!H23</f>
        <v>2115.15</v>
      </c>
      <c r="G20" s="13"/>
      <c r="H20" s="5" t="e">
        <f t="shared" si="1"/>
        <v>#DIV/0!</v>
      </c>
      <c r="J20" s="12">
        <f t="shared" ref="J20:L20" si="20">(C20/$F20)/(C$15/$F$15)</f>
        <v>1.0017319291775997</v>
      </c>
      <c r="K20" s="12">
        <f t="shared" si="20"/>
        <v>0.98248547857125967</v>
      </c>
      <c r="L20" s="12">
        <f t="shared" si="20"/>
        <v>1.0090639103609671</v>
      </c>
      <c r="M20" s="41" t="e">
        <f t="shared" si="3"/>
        <v>#DIV/0!</v>
      </c>
    </row>
    <row r="21" spans="1:13" ht="16.5">
      <c r="A21" s="40">
        <v>42826</v>
      </c>
      <c r="B21" s="40">
        <f t="shared" si="0"/>
        <v>42826</v>
      </c>
      <c r="C21" s="5">
        <f>'Índice salarios (INDEC)'!C24</f>
        <v>112.9</v>
      </c>
      <c r="D21" s="5">
        <f>'Índice salarios (INDEC)'!D24</f>
        <v>110.8</v>
      </c>
      <c r="E21" s="5">
        <f>'Índice salarios (INDEC)'!F24</f>
        <v>114.6</v>
      </c>
      <c r="F21" s="7">
        <f>'Índice salarios (INDEC)'!H24</f>
        <v>2172.2600000000002</v>
      </c>
      <c r="G21" s="13"/>
      <c r="H21" s="5" t="e">
        <f t="shared" si="1"/>
        <v>#DIV/0!</v>
      </c>
      <c r="J21" s="12">
        <f t="shared" ref="J21:L21" si="21">(C21/$F21)/(C$15/$F$15)</f>
        <v>1.0075222901494296</v>
      </c>
      <c r="K21" s="12">
        <f t="shared" si="21"/>
        <v>0.98878184011122039</v>
      </c>
      <c r="L21" s="12">
        <f t="shared" si="21"/>
        <v>1.022693130656551</v>
      </c>
      <c r="M21" s="41" t="e">
        <f t="shared" si="3"/>
        <v>#DIV/0!</v>
      </c>
    </row>
    <row r="22" spans="1:13" ht="16.5">
      <c r="A22" s="40">
        <v>42856</v>
      </c>
      <c r="B22" s="40">
        <f t="shared" si="0"/>
        <v>42856</v>
      </c>
      <c r="C22" s="5">
        <f>'Índice salarios (INDEC)'!C25</f>
        <v>115.2</v>
      </c>
      <c r="D22" s="5">
        <f>'Índice salarios (INDEC)'!D25</f>
        <v>112.3</v>
      </c>
      <c r="E22" s="5">
        <f>'Índice salarios (INDEC)'!F25</f>
        <v>115.8</v>
      </c>
      <c r="F22" s="7">
        <f>'Índice salarios (INDEC)'!H25</f>
        <v>2202.6799999999998</v>
      </c>
      <c r="G22" s="13"/>
      <c r="H22" s="5" t="e">
        <f t="shared" si="1"/>
        <v>#DIV/0!</v>
      </c>
      <c r="J22" s="12">
        <f t="shared" ref="J22:L22" si="22">(C22/$F22)/(C$15/$F$15)</f>
        <v>1.0138497466722356</v>
      </c>
      <c r="K22" s="12">
        <f t="shared" si="22"/>
        <v>0.98832748742441023</v>
      </c>
      <c r="L22" s="12">
        <f t="shared" si="22"/>
        <v>1.0191302141028202</v>
      </c>
      <c r="M22" s="41" t="e">
        <f t="shared" si="3"/>
        <v>#DIV/0!</v>
      </c>
    </row>
    <row r="23" spans="1:13" ht="16.5">
      <c r="A23" s="40">
        <v>42887</v>
      </c>
      <c r="B23" s="40">
        <f t="shared" si="0"/>
        <v>42887</v>
      </c>
      <c r="C23" s="5">
        <f>'Índice salarios (INDEC)'!C26</f>
        <v>117.2</v>
      </c>
      <c r="D23" s="5">
        <f>'Índice salarios (INDEC)'!D26</f>
        <v>115.3</v>
      </c>
      <c r="E23" s="5">
        <f>'Índice salarios (INDEC)'!F26</f>
        <v>116.2</v>
      </c>
      <c r="F23" s="7">
        <f>'Índice salarios (INDEC)'!H26</f>
        <v>2229.11</v>
      </c>
      <c r="G23" s="13"/>
      <c r="H23" s="5" t="e">
        <f t="shared" si="1"/>
        <v>#DIV/0!</v>
      </c>
      <c r="J23" s="12">
        <f t="shared" ref="J23:L23" si="23">(C23/$F23)/(C$15/$F$15)</f>
        <v>1.0192216445128324</v>
      </c>
      <c r="K23" s="12">
        <f t="shared" si="23"/>
        <v>1.0026984267263614</v>
      </c>
      <c r="L23" s="12">
        <f t="shared" si="23"/>
        <v>1.0105252140989003</v>
      </c>
      <c r="M23" s="41" t="e">
        <f t="shared" si="3"/>
        <v>#DIV/0!</v>
      </c>
    </row>
    <row r="24" spans="1:13" ht="16.5">
      <c r="A24" s="40">
        <v>42917</v>
      </c>
      <c r="B24" s="40">
        <f t="shared" si="0"/>
        <v>42917</v>
      </c>
      <c r="C24" s="5">
        <f>'Índice salarios (INDEC)'!C27</f>
        <v>122.8</v>
      </c>
      <c r="D24" s="5">
        <f>'Índice salarios (INDEC)'!D27</f>
        <v>118.5</v>
      </c>
      <c r="E24" s="5">
        <f>'Índice salarios (INDEC)'!F27</f>
        <v>120.7</v>
      </c>
      <c r="F24" s="7">
        <f>'Índice salarios (INDEC)'!H27</f>
        <v>2269.23</v>
      </c>
      <c r="G24" s="13"/>
      <c r="H24" s="5" t="e">
        <f t="shared" si="1"/>
        <v>#DIV/0!</v>
      </c>
      <c r="J24" s="12">
        <f t="shared" ref="J24:L24" si="24">(C24/$F24)/(C$15/$F$15)</f>
        <v>1.0490407935731503</v>
      </c>
      <c r="K24" s="12">
        <f t="shared" si="24"/>
        <v>1.0123072804431459</v>
      </c>
      <c r="L24" s="12">
        <f t="shared" si="24"/>
        <v>1.0311011708817528</v>
      </c>
      <c r="M24" s="41" t="e">
        <f t="shared" si="3"/>
        <v>#DIV/0!</v>
      </c>
    </row>
    <row r="25" spans="1:13" ht="16.5">
      <c r="A25" s="40">
        <v>42948</v>
      </c>
      <c r="B25" s="40">
        <f t="shared" si="0"/>
        <v>42948</v>
      </c>
      <c r="C25" s="5">
        <f>'Índice salarios (INDEC)'!C28</f>
        <v>124.6</v>
      </c>
      <c r="D25" s="5">
        <f>'Índice salarios (INDEC)'!D28</f>
        <v>121.5</v>
      </c>
      <c r="E25" s="5">
        <f>'Índice salarios (INDEC)'!F28</f>
        <v>126.1</v>
      </c>
      <c r="F25" s="7">
        <f>'Índice salarios (INDEC)'!H28</f>
        <v>2301</v>
      </c>
      <c r="G25" s="13"/>
      <c r="H25" s="5" t="e">
        <f t="shared" si="1"/>
        <v>#DIV/0!</v>
      </c>
      <c r="J25" s="12">
        <f t="shared" ref="J25:L25" si="25">(C25/$F25)/(C$15/$F$15)</f>
        <v>1.049721156019122</v>
      </c>
      <c r="K25" s="12">
        <f t="shared" si="25"/>
        <v>1.0236044980443284</v>
      </c>
      <c r="L25" s="12">
        <f t="shared" si="25"/>
        <v>1.0623582485875704</v>
      </c>
      <c r="M25" s="41" t="e">
        <f t="shared" si="3"/>
        <v>#DIV/0!</v>
      </c>
    </row>
    <row r="26" spans="1:13" ht="16.5">
      <c r="A26" s="40">
        <v>42979</v>
      </c>
      <c r="B26" s="40">
        <f t="shared" si="0"/>
        <v>42979</v>
      </c>
      <c r="C26" s="5">
        <f>'Índice salarios (INDEC)'!C29</f>
        <v>126</v>
      </c>
      <c r="D26" s="5">
        <f>'Índice salarios (INDEC)'!D29</f>
        <v>123.9</v>
      </c>
      <c r="E26" s="5">
        <f>'Índice salarios (INDEC)'!F29</f>
        <v>127.7</v>
      </c>
      <c r="F26" s="7">
        <f>'Índice salarios (INDEC)'!H29</f>
        <v>2344.7199999999998</v>
      </c>
      <c r="G26" s="13"/>
      <c r="H26" s="5" t="e">
        <f t="shared" si="1"/>
        <v>#DIV/0!</v>
      </c>
      <c r="J26" s="12">
        <f t="shared" ref="J26:L26" si="26">(C26/$F26)/(C$15/$F$15)</f>
        <v>1.0417225937425365</v>
      </c>
      <c r="K26" s="12">
        <f t="shared" si="26"/>
        <v>1.0243605505134943</v>
      </c>
      <c r="L26" s="12">
        <f t="shared" si="26"/>
        <v>1.0557775811184278</v>
      </c>
      <c r="M26" s="41" t="e">
        <f t="shared" si="3"/>
        <v>#DIV/0!</v>
      </c>
    </row>
    <row r="27" spans="1:13" ht="16.5">
      <c r="A27" s="40">
        <v>43009</v>
      </c>
      <c r="B27" s="40">
        <f t="shared" si="0"/>
        <v>43009</v>
      </c>
      <c r="C27" s="5">
        <f>'Índice salarios (INDEC)'!C30</f>
        <v>128.19999999999999</v>
      </c>
      <c r="D27" s="5">
        <f>'Índice salarios (INDEC)'!D30</f>
        <v>126</v>
      </c>
      <c r="E27" s="5">
        <f>'Índice salarios (INDEC)'!F30</f>
        <v>128.5</v>
      </c>
      <c r="F27" s="7">
        <f>'Índice salarios (INDEC)'!H30</f>
        <v>2379.89</v>
      </c>
      <c r="G27" s="13"/>
      <c r="H27" s="5" t="e">
        <f t="shared" si="1"/>
        <v>#DIV/0!</v>
      </c>
      <c r="J27" s="12">
        <f t="shared" ref="J27:L27" si="27">(C27/$F27)/(C$15/$F$15)</f>
        <v>1.0442480366739637</v>
      </c>
      <c r="K27" s="12">
        <f t="shared" si="27"/>
        <v>1.0263280235641143</v>
      </c>
      <c r="L27" s="12">
        <f t="shared" si="27"/>
        <v>1.046691674825307</v>
      </c>
      <c r="M27" s="41" t="e">
        <f t="shared" si="3"/>
        <v>#DIV/0!</v>
      </c>
    </row>
    <row r="28" spans="1:13" ht="16.5">
      <c r="A28" s="40">
        <v>43040</v>
      </c>
      <c r="B28" s="40">
        <f t="shared" si="0"/>
        <v>43040</v>
      </c>
      <c r="C28" s="5">
        <f>'Índice salarios (INDEC)'!C31</f>
        <v>130</v>
      </c>
      <c r="D28" s="5">
        <f>'Índice salarios (INDEC)'!D31</f>
        <v>127.3</v>
      </c>
      <c r="E28" s="5">
        <f>'Índice salarios (INDEC)'!F31</f>
        <v>132</v>
      </c>
      <c r="F28" s="7">
        <f>'Índice salarios (INDEC)'!H31</f>
        <v>2413.21</v>
      </c>
      <c r="G28" s="13"/>
      <c r="H28" s="5" t="e">
        <f t="shared" si="1"/>
        <v>#DIV/0!</v>
      </c>
      <c r="J28" s="12">
        <f t="shared" ref="J28:L28" si="28">(C28/$F28)/(C$15/$F$15)</f>
        <v>1.0442891418484093</v>
      </c>
      <c r="K28" s="12">
        <f t="shared" si="28"/>
        <v>1.0226000596715576</v>
      </c>
      <c r="L28" s="12">
        <f t="shared" si="28"/>
        <v>1.0603551286460771</v>
      </c>
      <c r="M28" s="41" t="e">
        <f t="shared" si="3"/>
        <v>#DIV/0!</v>
      </c>
    </row>
    <row r="29" spans="1:13" ht="16.5">
      <c r="A29" s="40">
        <v>43070</v>
      </c>
      <c r="B29" s="40">
        <f t="shared" si="0"/>
        <v>43070</v>
      </c>
      <c r="C29" s="5">
        <f>'Índice salarios (INDEC)'!C32</f>
        <v>131</v>
      </c>
      <c r="D29" s="5">
        <f>'Índice salarios (INDEC)'!D32</f>
        <v>127.9</v>
      </c>
      <c r="E29" s="5">
        <f>'Índice salarios (INDEC)'!F32</f>
        <v>135.69999999999999</v>
      </c>
      <c r="F29" s="7">
        <f>'Índice salarios (INDEC)'!H32</f>
        <v>2488.02</v>
      </c>
      <c r="G29" s="13"/>
      <c r="H29" s="5" t="e">
        <f t="shared" si="1"/>
        <v>#DIV/0!</v>
      </c>
      <c r="J29" s="12">
        <f t="shared" ref="J29:L29" si="29">(C29/$F29)/(C$15/$F$15)</f>
        <v>1.0206808225014268</v>
      </c>
      <c r="K29" s="12">
        <f t="shared" si="29"/>
        <v>0.99652730685444646</v>
      </c>
      <c r="L29" s="12">
        <f t="shared" si="29"/>
        <v>1.0573006688049129</v>
      </c>
      <c r="M29" s="41" t="e">
        <f t="shared" si="3"/>
        <v>#DIV/0!</v>
      </c>
    </row>
    <row r="30" spans="1:13" ht="16.5">
      <c r="A30" s="40">
        <v>43101</v>
      </c>
      <c r="B30" s="40">
        <f t="shared" si="0"/>
        <v>43101</v>
      </c>
      <c r="C30" s="5">
        <f>'Índice salarios (INDEC)'!C33</f>
        <v>133.30000000000001</v>
      </c>
      <c r="D30" s="5">
        <f>'Índice salarios (INDEC)'!D33</f>
        <v>128.5</v>
      </c>
      <c r="E30" s="5">
        <f>'Índice salarios (INDEC)'!F33</f>
        <v>136.6</v>
      </c>
      <c r="F30" s="7">
        <f>'Índice salarios (INDEC)'!H33</f>
        <v>2532.8000000000002</v>
      </c>
      <c r="G30" s="13"/>
      <c r="H30" s="5" t="e">
        <f t="shared" si="1"/>
        <v>#DIV/0!</v>
      </c>
      <c r="J30" s="12">
        <f t="shared" ref="J30:L30" si="30">(C30/$F30)/(C$15/$F$15)</f>
        <v>1.0202386647188881</v>
      </c>
      <c r="K30" s="12">
        <f t="shared" si="30"/>
        <v>0.98350088834491456</v>
      </c>
      <c r="L30" s="12">
        <f t="shared" si="30"/>
        <v>1.0454958859759949</v>
      </c>
      <c r="M30" s="41" t="e">
        <f t="shared" si="3"/>
        <v>#DIV/0!</v>
      </c>
    </row>
    <row r="31" spans="1:13" ht="16.5">
      <c r="A31" s="40">
        <v>43132</v>
      </c>
      <c r="B31" s="40">
        <f t="shared" si="0"/>
        <v>43132</v>
      </c>
      <c r="C31" s="5">
        <f>'Índice salarios (INDEC)'!C34</f>
        <v>134.30000000000001</v>
      </c>
      <c r="D31" s="5">
        <f>'Índice salarios (INDEC)'!D34</f>
        <v>129.30000000000001</v>
      </c>
      <c r="E31" s="5">
        <f>'Índice salarios (INDEC)'!F34</f>
        <v>138.19999999999999</v>
      </c>
      <c r="F31" s="7">
        <f>'Índice salarios (INDEC)'!H34</f>
        <v>2593.59</v>
      </c>
      <c r="G31" s="13"/>
      <c r="H31" s="5" t="e">
        <f t="shared" si="1"/>
        <v>#DIV/0!</v>
      </c>
      <c r="J31" s="12">
        <f t="shared" ref="J31:L31" si="31">(C31/$F31)/(C$15/$F$15)</f>
        <v>1.0038000570637609</v>
      </c>
      <c r="K31" s="12">
        <f t="shared" si="31"/>
        <v>0.96642849872184877</v>
      </c>
      <c r="L31" s="12">
        <f t="shared" si="31"/>
        <v>1.0329498725704525</v>
      </c>
      <c r="M31" s="41" t="e">
        <f t="shared" si="3"/>
        <v>#DIV/0!</v>
      </c>
    </row>
    <row r="32" spans="1:13" ht="16.5">
      <c r="A32" s="40">
        <v>43160</v>
      </c>
      <c r="B32" s="40">
        <f t="shared" si="0"/>
        <v>43160</v>
      </c>
      <c r="C32" s="5">
        <f>'Índice salarios (INDEC)'!C35</f>
        <v>136.19999999999999</v>
      </c>
      <c r="D32" s="5">
        <f>'Índice salarios (INDEC)'!D35</f>
        <v>133</v>
      </c>
      <c r="E32" s="5">
        <f>'Índice salarios (INDEC)'!F35</f>
        <v>140.69999999999999</v>
      </c>
      <c r="F32" s="7">
        <f>'Índice salarios (INDEC)'!H35</f>
        <v>2653.24</v>
      </c>
      <c r="G32" s="13"/>
      <c r="H32" s="5" t="e">
        <f t="shared" si="1"/>
        <v>#DIV/0!</v>
      </c>
      <c r="J32" s="12">
        <f t="shared" ref="J32:L32" si="32">(C32/$F32)/(C$15/$F$15)</f>
        <v>0.99511459950852532</v>
      </c>
      <c r="K32" s="12">
        <f t="shared" si="32"/>
        <v>0.97173452081228984</v>
      </c>
      <c r="L32" s="12">
        <f t="shared" si="32"/>
        <v>1.0279928351751066</v>
      </c>
      <c r="M32" s="41" t="e">
        <f t="shared" si="3"/>
        <v>#DIV/0!</v>
      </c>
    </row>
    <row r="33" spans="1:13" ht="16.5">
      <c r="A33" s="40">
        <v>43191</v>
      </c>
      <c r="B33" s="40">
        <f t="shared" si="0"/>
        <v>43191</v>
      </c>
      <c r="C33" s="5">
        <f>'Índice salarios (INDEC)'!C36</f>
        <v>141</v>
      </c>
      <c r="D33" s="5">
        <f>'Índice salarios (INDEC)'!D36</f>
        <v>135</v>
      </c>
      <c r="E33" s="5">
        <f>'Índice salarios (INDEC)'!F36</f>
        <v>144</v>
      </c>
      <c r="F33" s="7">
        <f>'Índice salarios (INDEC)'!H36</f>
        <v>2724.88</v>
      </c>
      <c r="G33" s="13"/>
      <c r="H33" s="5" t="e">
        <f t="shared" si="1"/>
        <v>#DIV/0!</v>
      </c>
      <c r="J33" s="12">
        <f t="shared" ref="J33:L33" si="33">(C33/$F33)/(C$15/$F$15)</f>
        <v>1.0031000631220457</v>
      </c>
      <c r="K33" s="12">
        <f t="shared" si="33"/>
        <v>0.96041495405302235</v>
      </c>
      <c r="L33" s="12">
        <f t="shared" si="33"/>
        <v>1.0244426176565571</v>
      </c>
      <c r="M33" s="41" t="e">
        <f t="shared" si="3"/>
        <v>#DIV/0!</v>
      </c>
    </row>
    <row r="34" spans="1:13" ht="16.5">
      <c r="A34" s="40">
        <v>43221</v>
      </c>
      <c r="B34" s="40">
        <f t="shared" si="0"/>
        <v>43221</v>
      </c>
      <c r="C34" s="5">
        <f>'Índice salarios (INDEC)'!C37</f>
        <v>144.5</v>
      </c>
      <c r="D34" s="5">
        <f>'Índice salarios (INDEC)'!D37</f>
        <v>137.19999999999999</v>
      </c>
      <c r="E34" s="5">
        <f>'Índice salarios (INDEC)'!F37</f>
        <v>142.69999999999999</v>
      </c>
      <c r="F34" s="7">
        <f>'Índice salarios (INDEC)'!H37</f>
        <v>2782.1</v>
      </c>
      <c r="G34" s="13"/>
      <c r="H34" s="5" t="e">
        <f t="shared" si="1"/>
        <v>#DIV/0!</v>
      </c>
      <c r="J34" s="12">
        <f t="shared" ref="J34:L34" si="34">(C34/$F34)/(C$15/$F$15)</f>
        <v>1.0068566370727148</v>
      </c>
      <c r="K34" s="12">
        <f t="shared" si="34"/>
        <v>0.95599121526904118</v>
      </c>
      <c r="L34" s="12">
        <f t="shared" si="34"/>
        <v>0.99431447827180897</v>
      </c>
      <c r="M34" s="41" t="e">
        <f t="shared" si="3"/>
        <v>#DIV/0!</v>
      </c>
    </row>
    <row r="35" spans="1:13" ht="16.5">
      <c r="A35" s="40">
        <v>43252</v>
      </c>
      <c r="B35" s="40">
        <f t="shared" si="0"/>
        <v>43252</v>
      </c>
      <c r="C35" s="5">
        <f>'Índice salarios (INDEC)'!C38</f>
        <v>146.5</v>
      </c>
      <c r="D35" s="5">
        <f>'Índice salarios (INDEC)'!D38</f>
        <v>139</v>
      </c>
      <c r="E35" s="5">
        <f>'Índice salarios (INDEC)'!F38</f>
        <v>141</v>
      </c>
      <c r="F35" s="7">
        <f>'Índice salarios (INDEC)'!H38</f>
        <v>2885.04</v>
      </c>
      <c r="G35" s="13"/>
      <c r="H35" s="5" t="e">
        <f t="shared" si="1"/>
        <v>#DIV/0!</v>
      </c>
      <c r="J35" s="12">
        <f t="shared" ref="J35:L35" si="35">(C35/$F35)/(C$15/$F$15)</f>
        <v>0.98436987008845633</v>
      </c>
      <c r="K35" s="12">
        <f t="shared" si="35"/>
        <v>0.93397550813853525</v>
      </c>
      <c r="L35" s="12">
        <f t="shared" si="35"/>
        <v>0.94741400465851422</v>
      </c>
      <c r="M35" s="41" t="e">
        <f t="shared" si="3"/>
        <v>#DIV/0!</v>
      </c>
    </row>
    <row r="36" spans="1:13" ht="16.5">
      <c r="A36" s="40">
        <v>43282</v>
      </c>
      <c r="B36" s="40">
        <f t="shared" si="0"/>
        <v>43282</v>
      </c>
      <c r="C36" s="5">
        <f>'Índice salarios (INDEC)'!C39</f>
        <v>149.9</v>
      </c>
      <c r="D36" s="5">
        <f>'Índice salarios (INDEC)'!D39</f>
        <v>143</v>
      </c>
      <c r="E36" s="5">
        <f>'Índice salarios (INDEC)'!F39</f>
        <v>145.1</v>
      </c>
      <c r="F36" s="7">
        <f>'Índice salarios (INDEC)'!H39</f>
        <v>2974.48</v>
      </c>
      <c r="G36" s="13"/>
      <c r="H36" s="5" t="e">
        <f t="shared" si="1"/>
        <v>#DIV/0!</v>
      </c>
      <c r="J36" s="12">
        <f t="shared" ref="J36:L36" si="36">(C36/$F36)/(C$15/$F$15)</f>
        <v>0.97692923468976089</v>
      </c>
      <c r="K36" s="12">
        <f t="shared" si="36"/>
        <v>0.93196051074473507</v>
      </c>
      <c r="L36" s="12">
        <f t="shared" si="36"/>
        <v>0.9456466441193081</v>
      </c>
      <c r="M36" s="41" t="e">
        <f t="shared" si="3"/>
        <v>#DIV/0!</v>
      </c>
    </row>
    <row r="37" spans="1:13" ht="16.5">
      <c r="A37" s="40">
        <v>43313</v>
      </c>
      <c r="B37" s="40">
        <f t="shared" si="0"/>
        <v>43313</v>
      </c>
      <c r="C37" s="5">
        <f>'Índice salarios (INDEC)'!C40</f>
        <v>154.19999999999999</v>
      </c>
      <c r="D37" s="5">
        <f>'Índice salarios (INDEC)'!D40</f>
        <v>147.30000000000001</v>
      </c>
      <c r="E37" s="5">
        <f>'Índice salarios (INDEC)'!F40</f>
        <v>148.80000000000001</v>
      </c>
      <c r="F37" s="7">
        <f>'Índice salarios (INDEC)'!H40</f>
        <v>3090.48</v>
      </c>
      <c r="G37" s="13"/>
      <c r="H37" s="5" t="e">
        <f t="shared" si="1"/>
        <v>#DIV/0!</v>
      </c>
      <c r="J37" s="12">
        <f t="shared" ref="J37:L37" si="37">(C37/$F37)/(C$15/$F$15)</f>
        <v>0.96723268230177817</v>
      </c>
      <c r="K37" s="12">
        <f t="shared" si="37"/>
        <v>0.92395184243224349</v>
      </c>
      <c r="L37" s="12">
        <f t="shared" si="37"/>
        <v>0.93336072066475106</v>
      </c>
      <c r="M37" s="41" t="e">
        <f t="shared" si="3"/>
        <v>#DIV/0!</v>
      </c>
    </row>
    <row r="38" spans="1:13" ht="16.5">
      <c r="A38" s="40">
        <v>43344</v>
      </c>
      <c r="B38" s="40">
        <f t="shared" si="0"/>
        <v>43344</v>
      </c>
      <c r="C38" s="5">
        <f>'Índice salarios (INDEC)'!C41</f>
        <v>157.80000000000001</v>
      </c>
      <c r="D38" s="5">
        <f>'Índice salarios (INDEC)'!D41</f>
        <v>152.4</v>
      </c>
      <c r="E38" s="5">
        <f>'Índice salarios (INDEC)'!F41</f>
        <v>154</v>
      </c>
      <c r="F38" s="7">
        <f>'Índice salarios (INDEC)'!H41</f>
        <v>3291.36</v>
      </c>
      <c r="G38" s="13"/>
      <c r="H38" s="5" t="e">
        <f t="shared" si="1"/>
        <v>#DIV/0!</v>
      </c>
      <c r="J38" s="12">
        <f t="shared" ref="J38:L38" si="38">(C38/$F38)/(C$15/$F$15)</f>
        <v>0.92940314641971711</v>
      </c>
      <c r="K38" s="12">
        <f t="shared" si="38"/>
        <v>0.89759847600991682</v>
      </c>
      <c r="L38" s="12">
        <f t="shared" si="38"/>
        <v>0.90702208205726498</v>
      </c>
      <c r="M38" s="41" t="e">
        <f t="shared" si="3"/>
        <v>#DIV/0!</v>
      </c>
    </row>
    <row r="39" spans="1:13" ht="16.5">
      <c r="A39" s="40">
        <v>43374</v>
      </c>
      <c r="B39" s="40">
        <f t="shared" si="0"/>
        <v>43374</v>
      </c>
      <c r="C39" s="5">
        <f>'Índice salarios (INDEC)'!C42</f>
        <v>163.9</v>
      </c>
      <c r="D39" s="5">
        <f>'Índice salarios (INDEC)'!D42</f>
        <v>159.5</v>
      </c>
      <c r="E39" s="5">
        <f>'Índice salarios (INDEC)'!F42</f>
        <v>156.6</v>
      </c>
      <c r="F39" s="7">
        <f>'Índice salarios (INDEC)'!H42</f>
        <v>3469.1</v>
      </c>
      <c r="G39" s="13"/>
      <c r="H39" s="5" t="e">
        <f t="shared" si="1"/>
        <v>#DIV/0!</v>
      </c>
      <c r="J39" s="12">
        <f t="shared" ref="J39:L39" si="39">(C39/$F39)/(C$15/$F$15)</f>
        <v>0.91587174483295375</v>
      </c>
      <c r="K39" s="12">
        <f t="shared" si="39"/>
        <v>0.89128458389784093</v>
      </c>
      <c r="L39" s="12">
        <f t="shared" si="39"/>
        <v>0.87507940964515285</v>
      </c>
      <c r="M39" s="41" t="e">
        <f t="shared" si="3"/>
        <v>#DIV/0!</v>
      </c>
    </row>
    <row r="40" spans="1:13" ht="16.5">
      <c r="A40" s="40">
        <v>43405</v>
      </c>
      <c r="B40" s="40">
        <f t="shared" si="0"/>
        <v>43405</v>
      </c>
      <c r="C40" s="5">
        <f>'Índice salarios (INDEC)'!C43</f>
        <v>168.1</v>
      </c>
      <c r="D40" s="5">
        <f>'Índice salarios (INDEC)'!D43</f>
        <v>162.69999999999999</v>
      </c>
      <c r="E40" s="5">
        <f>'Índice salarios (INDEC)'!F43</f>
        <v>164.9</v>
      </c>
      <c r="F40" s="7">
        <f>'Índice salarios (INDEC)'!H43</f>
        <v>3580.11</v>
      </c>
      <c r="G40" s="13"/>
      <c r="H40" s="5" t="e">
        <f t="shared" si="1"/>
        <v>#DIV/0!</v>
      </c>
      <c r="J40" s="12">
        <f t="shared" ref="J40:L40" si="40">(C40/$F40)/(C$15/$F$15)</f>
        <v>0.91021475038476463</v>
      </c>
      <c r="K40" s="12">
        <f t="shared" si="40"/>
        <v>0.88097525215705641</v>
      </c>
      <c r="L40" s="12">
        <f t="shared" si="40"/>
        <v>0.89288764032390056</v>
      </c>
      <c r="M40" s="41" t="e">
        <f t="shared" si="3"/>
        <v>#DIV/0!</v>
      </c>
    </row>
    <row r="41" spans="1:13" ht="16.5">
      <c r="A41" s="40">
        <v>43435</v>
      </c>
      <c r="B41" s="40">
        <f t="shared" si="0"/>
        <v>43435</v>
      </c>
      <c r="C41" s="5">
        <f>'Índice salarios (INDEC)'!C44</f>
        <v>170.9</v>
      </c>
      <c r="D41" s="5">
        <f>'Índice salarios (INDEC)'!D44</f>
        <v>166.7</v>
      </c>
      <c r="E41" s="5">
        <f>'Índice salarios (INDEC)'!F44</f>
        <v>172.6</v>
      </c>
      <c r="F41" s="7">
        <f>'Índice salarios (INDEC)'!H44</f>
        <v>3673.19</v>
      </c>
      <c r="G41" s="13"/>
      <c r="H41" s="5" t="e">
        <f t="shared" si="1"/>
        <v>#DIV/0!</v>
      </c>
      <c r="J41" s="12">
        <f t="shared" ref="J41:L41" si="41">(C41/$F41)/(C$15/$F$15)</f>
        <v>0.90192660058423324</v>
      </c>
      <c r="K41" s="12">
        <f t="shared" si="41"/>
        <v>0.87976105510469094</v>
      </c>
      <c r="L41" s="12">
        <f t="shared" si="41"/>
        <v>0.91089836899261933</v>
      </c>
      <c r="M41" s="41" t="e">
        <f t="shared" si="3"/>
        <v>#DIV/0!</v>
      </c>
    </row>
    <row r="42" spans="1:13" ht="16.5">
      <c r="A42" s="40">
        <v>43466</v>
      </c>
      <c r="B42" s="40">
        <f t="shared" si="0"/>
        <v>43466</v>
      </c>
      <c r="C42" s="5">
        <f>'Índice salarios (INDEC)'!C45</f>
        <v>176.9</v>
      </c>
      <c r="D42" s="5">
        <f>'Índice salarios (INDEC)'!D45</f>
        <v>171</v>
      </c>
      <c r="E42" s="5">
        <f>'Índice salarios (INDEC)'!F45</f>
        <v>177.2</v>
      </c>
      <c r="F42" s="7">
        <f>'Índice salarios (INDEC)'!H45</f>
        <v>3779.94</v>
      </c>
      <c r="G42" s="13"/>
      <c r="H42" s="5" t="e">
        <f t="shared" si="1"/>
        <v>#DIV/0!</v>
      </c>
      <c r="J42" s="12">
        <f t="shared" ref="J42:L42" si="42">(C42/$F42)/(C$15/$F$15)</f>
        <v>0.90722592686656389</v>
      </c>
      <c r="K42" s="12">
        <f t="shared" si="42"/>
        <v>0.87696796774551977</v>
      </c>
      <c r="L42" s="12">
        <f t="shared" si="42"/>
        <v>0.90876446716085435</v>
      </c>
      <c r="M42" s="41" t="e">
        <f t="shared" si="3"/>
        <v>#DIV/0!</v>
      </c>
    </row>
    <row r="43" spans="1:13" ht="16.5">
      <c r="A43" s="40">
        <v>43497</v>
      </c>
      <c r="B43" s="40">
        <f t="shared" si="0"/>
        <v>43497</v>
      </c>
      <c r="C43" s="5">
        <f>'Índice salarios (INDEC)'!C46</f>
        <v>181.8</v>
      </c>
      <c r="D43" s="5">
        <f>'Índice salarios (INDEC)'!D46</f>
        <v>175.4</v>
      </c>
      <c r="E43" s="5">
        <f>'Índice salarios (INDEC)'!F46</f>
        <v>181.7</v>
      </c>
      <c r="F43" s="7">
        <f>'Índice salarios (INDEC)'!H46</f>
        <v>3922.28</v>
      </c>
      <c r="G43" s="13"/>
      <c r="H43" s="5" t="e">
        <f t="shared" si="1"/>
        <v>#DIV/0!</v>
      </c>
      <c r="J43" s="12">
        <f t="shared" ref="J43:L43" si="43">(C43/$F43)/(C$15/$F$15)</f>
        <v>0.89852013114820972</v>
      </c>
      <c r="K43" s="12">
        <f t="shared" si="43"/>
        <v>0.86688905942462036</v>
      </c>
      <c r="L43" s="12">
        <f t="shared" si="43"/>
        <v>0.89802589565252844</v>
      </c>
      <c r="M43" s="41" t="e">
        <f t="shared" si="3"/>
        <v>#DIV/0!</v>
      </c>
    </row>
    <row r="44" spans="1:13" ht="16.5">
      <c r="A44" s="40">
        <v>43525</v>
      </c>
      <c r="B44" s="40">
        <f t="shared" si="0"/>
        <v>43525</v>
      </c>
      <c r="C44" s="5">
        <f>'Índice salarios (INDEC)'!C47</f>
        <v>188.3</v>
      </c>
      <c r="D44" s="5">
        <f>'Índice salarios (INDEC)'!D47</f>
        <v>185</v>
      </c>
      <c r="E44" s="5">
        <f>'Índice salarios (INDEC)'!F47</f>
        <v>186.6</v>
      </c>
      <c r="F44" s="7">
        <f>'Índice salarios (INDEC)'!H47</f>
        <v>4105.82</v>
      </c>
      <c r="G44" s="13"/>
      <c r="H44" s="5" t="e">
        <f t="shared" si="1"/>
        <v>#DIV/0!</v>
      </c>
      <c r="J44" s="12">
        <f t="shared" ref="J44:L44" si="44">(C44/$F44)/(C$15/$F$15)</f>
        <v>0.889043355529468</v>
      </c>
      <c r="K44" s="12">
        <f t="shared" si="44"/>
        <v>0.87346267006347089</v>
      </c>
      <c r="L44" s="12">
        <f t="shared" si="44"/>
        <v>0.88101694180456036</v>
      </c>
      <c r="M44" s="41" t="e">
        <f t="shared" si="3"/>
        <v>#DIV/0!</v>
      </c>
    </row>
    <row r="45" spans="1:13" ht="16.5">
      <c r="A45" s="40">
        <v>43556</v>
      </c>
      <c r="B45" s="40">
        <f t="shared" si="0"/>
        <v>43556</v>
      </c>
      <c r="C45" s="5">
        <f>'Índice salarios (INDEC)'!C48</f>
        <v>193.5</v>
      </c>
      <c r="D45" s="5">
        <f>'Índice salarios (INDEC)'!D48</f>
        <v>188.7</v>
      </c>
      <c r="E45" s="5">
        <f>'Índice salarios (INDEC)'!F48</f>
        <v>188.9</v>
      </c>
      <c r="F45" s="7">
        <f>'Índice salarios (INDEC)'!H48</f>
        <v>4247.25</v>
      </c>
      <c r="G45" s="13"/>
      <c r="H45" s="5" t="e">
        <f t="shared" si="1"/>
        <v>#DIV/0!</v>
      </c>
      <c r="J45" s="12">
        <f t="shared" ref="J45:L45" si="45">(C45/$F45)/(C$15/$F$15)</f>
        <v>0.88317277061628108</v>
      </c>
      <c r="K45" s="12">
        <f t="shared" si="45"/>
        <v>0.86126460886455924</v>
      </c>
      <c r="L45" s="12">
        <f t="shared" si="45"/>
        <v>0.86217744893754789</v>
      </c>
      <c r="M45" s="41" t="e">
        <f t="shared" si="3"/>
        <v>#DIV/0!</v>
      </c>
    </row>
    <row r="46" spans="1:13" ht="16.5">
      <c r="A46" s="40">
        <v>43586</v>
      </c>
      <c r="B46" s="40">
        <f t="shared" si="0"/>
        <v>43586</v>
      </c>
      <c r="C46" s="5">
        <f>'Índice salarios (INDEC)'!C49</f>
        <v>201.7</v>
      </c>
      <c r="D46" s="5">
        <f>'Índice salarios (INDEC)'!D49</f>
        <v>193.2</v>
      </c>
      <c r="E46" s="5">
        <f>'Índice salarios (INDEC)'!F49</f>
        <v>188.4</v>
      </c>
      <c r="F46" s="7">
        <f>'Índice salarios (INDEC)'!H49</f>
        <v>4377.18</v>
      </c>
      <c r="G46" s="13"/>
      <c r="H46" s="5" t="e">
        <f t="shared" si="1"/>
        <v>#DIV/0!</v>
      </c>
      <c r="J46" s="12">
        <f t="shared" ref="J46:L46" si="46">(C46/$F46)/(C$15/$F$15)</f>
        <v>0.8932726115901104</v>
      </c>
      <c r="K46" s="12">
        <f t="shared" si="46"/>
        <v>0.85562850054144435</v>
      </c>
      <c r="L46" s="12">
        <f t="shared" si="46"/>
        <v>0.83437064959631535</v>
      </c>
      <c r="M46" s="41" t="e">
        <f t="shared" si="3"/>
        <v>#DIV/0!</v>
      </c>
    </row>
    <row r="47" spans="1:13" ht="16.5">
      <c r="A47" s="40">
        <v>43617</v>
      </c>
      <c r="B47" s="40">
        <f t="shared" si="0"/>
        <v>43617</v>
      </c>
      <c r="C47" s="5">
        <f>'Índice salarios (INDEC)'!C50</f>
        <v>207</v>
      </c>
      <c r="D47" s="5">
        <f>'Índice salarios (INDEC)'!D50</f>
        <v>197.2</v>
      </c>
      <c r="E47" s="5">
        <f>'Índice salarios (INDEC)'!F50</f>
        <v>188.8</v>
      </c>
      <c r="F47" s="7">
        <f>'Índice salarios (INDEC)'!H50</f>
        <v>4496.1499999999996</v>
      </c>
      <c r="G47" s="13"/>
      <c r="H47" s="5" t="e">
        <f t="shared" si="1"/>
        <v>#DIV/0!</v>
      </c>
      <c r="J47" s="12">
        <f t="shared" ref="J47:L47" si="47">(C47/$F47)/(C$15/$F$15)</f>
        <v>0.89248737252983112</v>
      </c>
      <c r="K47" s="12">
        <f t="shared" si="47"/>
        <v>0.85023434716368451</v>
      </c>
      <c r="L47" s="12">
        <f t="shared" si="47"/>
        <v>0.81401746827841603</v>
      </c>
      <c r="M47" s="41" t="e">
        <f t="shared" si="3"/>
        <v>#DIV/0!</v>
      </c>
    </row>
    <row r="48" spans="1:13" ht="16.5">
      <c r="A48" s="40">
        <v>43647</v>
      </c>
      <c r="B48" s="40">
        <f t="shared" si="0"/>
        <v>43647</v>
      </c>
      <c r="C48" s="5">
        <f>'Índice salarios (INDEC)'!C51</f>
        <v>215.9</v>
      </c>
      <c r="D48" s="5">
        <f>'Índice salarios (INDEC)'!D51</f>
        <v>209.5</v>
      </c>
      <c r="E48" s="5">
        <f>'Índice salarios (INDEC)'!F51</f>
        <v>195.5</v>
      </c>
      <c r="F48" s="7">
        <f>'Índice salarios (INDEC)'!H51</f>
        <v>4594.97</v>
      </c>
      <c r="G48" s="13"/>
      <c r="H48" s="5" t="e">
        <f t="shared" si="1"/>
        <v>#DIV/0!</v>
      </c>
      <c r="J48" s="12">
        <f t="shared" ref="J48:L48" si="48">(C48/$F48)/(C$15/$F$15)</f>
        <v>0.91084082594663296</v>
      </c>
      <c r="K48" s="12">
        <f t="shared" si="48"/>
        <v>0.88384044944798312</v>
      </c>
      <c r="L48" s="12">
        <f t="shared" si="48"/>
        <v>0.82477712585718732</v>
      </c>
      <c r="M48" s="41" t="e">
        <f t="shared" si="3"/>
        <v>#DIV/0!</v>
      </c>
    </row>
    <row r="49" spans="1:13" ht="16.5">
      <c r="A49" s="40">
        <v>43678</v>
      </c>
      <c r="B49" s="40">
        <f t="shared" si="0"/>
        <v>43678</v>
      </c>
      <c r="C49" s="5">
        <f>'Índice salarios (INDEC)'!C52</f>
        <v>221.9</v>
      </c>
      <c r="D49" s="5">
        <f>'Índice salarios (INDEC)'!D52</f>
        <v>213.2</v>
      </c>
      <c r="E49" s="5">
        <f>'Índice salarios (INDEC)'!F52</f>
        <v>200.5</v>
      </c>
      <c r="F49" s="7">
        <f>'Índice salarios (INDEC)'!H52</f>
        <v>4776.66</v>
      </c>
      <c r="G49" s="13"/>
      <c r="H49" s="5" t="e">
        <f t="shared" si="1"/>
        <v>#DIV/0!</v>
      </c>
      <c r="J49" s="12">
        <f t="shared" ref="J49:L49" si="49">(C49/$F49)/(C$15/$F$15)</f>
        <v>0.90054516545033558</v>
      </c>
      <c r="K49" s="12">
        <f t="shared" si="49"/>
        <v>0.86523762629117418</v>
      </c>
      <c r="L49" s="12">
        <f t="shared" si="49"/>
        <v>0.81369673579446722</v>
      </c>
      <c r="M49" s="41" t="e">
        <f t="shared" si="3"/>
        <v>#DIV/0!</v>
      </c>
    </row>
    <row r="50" spans="1:13" ht="16.5">
      <c r="A50" s="40">
        <v>43709</v>
      </c>
      <c r="B50" s="40">
        <f t="shared" si="0"/>
        <v>43709</v>
      </c>
      <c r="C50" s="5">
        <f>'Índice salarios (INDEC)'!C53</f>
        <v>227.7</v>
      </c>
      <c r="D50" s="5">
        <f>'Índice salarios (INDEC)'!D53</f>
        <v>220.8</v>
      </c>
      <c r="E50" s="5">
        <f>'Índice salarios (INDEC)'!F53</f>
        <v>203.3</v>
      </c>
      <c r="F50" s="7">
        <f>'Índice salarios (INDEC)'!H53</f>
        <v>5057.8</v>
      </c>
      <c r="G50" s="13"/>
      <c r="H50" s="5" t="e">
        <f t="shared" si="1"/>
        <v>#DIV/0!</v>
      </c>
      <c r="J50" s="12">
        <f t="shared" ref="J50:L50" si="50">(C50/$F50)/(C$15/$F$15)</f>
        <v>0.87271794258373192</v>
      </c>
      <c r="K50" s="12">
        <f t="shared" si="50"/>
        <v>0.84627194432361896</v>
      </c>
      <c r="L50" s="12">
        <f t="shared" si="50"/>
        <v>0.77919876033057844</v>
      </c>
      <c r="M50" s="41" t="e">
        <f t="shared" si="3"/>
        <v>#DIV/0!</v>
      </c>
    </row>
    <row r="51" spans="1:13" ht="16.5">
      <c r="A51" s="40">
        <v>43739</v>
      </c>
      <c r="B51" s="40">
        <f t="shared" si="0"/>
        <v>43739</v>
      </c>
      <c r="C51" s="5">
        <f>'Índice salarios (INDEC)'!C54</f>
        <v>236.3</v>
      </c>
      <c r="D51" s="5">
        <f>'Índice salarios (INDEC)'!D54</f>
        <v>227.5</v>
      </c>
      <c r="E51" s="5">
        <f>'Índice salarios (INDEC)'!F54</f>
        <v>207.5</v>
      </c>
      <c r="F51" s="7">
        <f>'Índice salarios (INDEC)'!H54</f>
        <v>5224.38</v>
      </c>
      <c r="G51" s="13"/>
      <c r="H51" s="5" t="e">
        <f t="shared" si="1"/>
        <v>#DIV/0!</v>
      </c>
      <c r="J51" s="12">
        <f t="shared" ref="J51:L51" si="51">(C51/$F51)/(C$15/$F$15)</f>
        <v>0.87680191525118756</v>
      </c>
      <c r="K51" s="12">
        <f t="shared" si="51"/>
        <v>0.84414911434466855</v>
      </c>
      <c r="L51" s="12">
        <f t="shared" si="51"/>
        <v>0.76993820319348893</v>
      </c>
      <c r="M51" s="41" t="e">
        <f t="shared" si="3"/>
        <v>#DIV/0!</v>
      </c>
    </row>
    <row r="52" spans="1:13" ht="16.5">
      <c r="A52" s="40">
        <v>43770</v>
      </c>
      <c r="B52" s="40">
        <f t="shared" si="0"/>
        <v>43770</v>
      </c>
      <c r="C52" s="5">
        <f>'Índice salarios (INDEC)'!C55</f>
        <v>242.9</v>
      </c>
      <c r="D52" s="5">
        <f>'Índice salarios (INDEC)'!D55</f>
        <v>231.4</v>
      </c>
      <c r="E52" s="5">
        <f>'Índice salarios (INDEC)'!F55</f>
        <v>212.2</v>
      </c>
      <c r="F52" s="7">
        <f>'Índice salarios (INDEC)'!H55</f>
        <v>5446.65</v>
      </c>
      <c r="G52" s="13"/>
      <c r="H52" s="5" t="e">
        <f t="shared" si="1"/>
        <v>#DIV/0!</v>
      </c>
      <c r="J52" s="12">
        <f t="shared" ref="J52:L52" si="52">(C52/$F52)/(C$15/$F$15)</f>
        <v>0.86451109764717771</v>
      </c>
      <c r="K52" s="12">
        <f t="shared" si="52"/>
        <v>0.82358117742098358</v>
      </c>
      <c r="L52" s="12">
        <f t="shared" si="52"/>
        <v>0.75524600626072902</v>
      </c>
      <c r="M52" s="41" t="e">
        <f t="shared" si="3"/>
        <v>#DIV/0!</v>
      </c>
    </row>
    <row r="53" spans="1:13" ht="16.5">
      <c r="A53" s="40">
        <v>43800</v>
      </c>
      <c r="B53" s="40">
        <f t="shared" si="0"/>
        <v>43800</v>
      </c>
      <c r="C53" s="5">
        <f>'Índice salarios (INDEC)'!C56</f>
        <v>246.5</v>
      </c>
      <c r="D53" s="5">
        <f>'Índice salarios (INDEC)'!D56</f>
        <v>238.1</v>
      </c>
      <c r="E53" s="5">
        <f>'Índice salarios (INDEC)'!F56</f>
        <v>223.5</v>
      </c>
      <c r="F53" s="7">
        <f>'Índice salarios (INDEC)'!H56</f>
        <v>5650.56</v>
      </c>
      <c r="G53" s="13"/>
      <c r="H53" s="5" t="e">
        <f t="shared" si="1"/>
        <v>#DIV/0!</v>
      </c>
      <c r="J53" s="12">
        <f t="shared" ref="J53:L53" si="53">(C53/$F53)/(C$15/$F$15)</f>
        <v>0.84566422620058879</v>
      </c>
      <c r="K53" s="12">
        <f t="shared" si="53"/>
        <v>0.81684645946596435</v>
      </c>
      <c r="L53" s="12">
        <f t="shared" si="53"/>
        <v>0.76675843633197416</v>
      </c>
      <c r="M53" s="41" t="e">
        <f t="shared" si="3"/>
        <v>#DIV/0!</v>
      </c>
    </row>
    <row r="54" spans="1:13" ht="16.5">
      <c r="A54" s="40">
        <v>43831</v>
      </c>
      <c r="B54" s="40">
        <f t="shared" si="0"/>
        <v>43831</v>
      </c>
      <c r="C54" s="5">
        <f>'Índice salarios (INDEC)'!C57</f>
        <v>267.60000000000002</v>
      </c>
      <c r="D54" s="5">
        <f>'Índice salarios (INDEC)'!D57</f>
        <v>244.6</v>
      </c>
      <c r="E54" s="5">
        <f>'Índice salarios (INDEC)'!F57</f>
        <v>232.8</v>
      </c>
      <c r="F54" s="7">
        <f>'Índice salarios (INDEC)'!H57</f>
        <v>5777.86</v>
      </c>
      <c r="G54" s="13"/>
      <c r="H54" s="5" t="e">
        <f t="shared" si="1"/>
        <v>#DIV/0!</v>
      </c>
      <c r="J54" s="12">
        <f t="shared" ref="J54:L54" si="54">(C54/$F54)/(C$15/$F$15)</f>
        <v>0.89782484864638468</v>
      </c>
      <c r="K54" s="12">
        <f t="shared" si="54"/>
        <v>0.82065754102730071</v>
      </c>
      <c r="L54" s="12">
        <f t="shared" si="54"/>
        <v>0.78106735711837949</v>
      </c>
      <c r="M54" s="41" t="e">
        <f t="shared" si="3"/>
        <v>#DIV/0!</v>
      </c>
    </row>
    <row r="55" spans="1:13" ht="16.5">
      <c r="A55" s="40">
        <v>43862</v>
      </c>
      <c r="B55" s="40">
        <f t="shared" si="0"/>
        <v>43862</v>
      </c>
      <c r="C55" s="5">
        <f>'Índice salarios (INDEC)'!C58</f>
        <v>280</v>
      </c>
      <c r="D55" s="5">
        <f>'Índice salarios (INDEC)'!D58</f>
        <v>251.6</v>
      </c>
      <c r="E55" s="5">
        <f>'Índice salarios (INDEC)'!F58</f>
        <v>240.2</v>
      </c>
      <c r="F55" s="7">
        <f>'Índice salarios (INDEC)'!H58</f>
        <v>5894.2</v>
      </c>
      <c r="G55" s="13"/>
      <c r="H55" s="5" t="e">
        <f t="shared" si="1"/>
        <v>#DIV/0!</v>
      </c>
      <c r="J55" s="12">
        <f t="shared" ref="J55:L55" si="55">(C55/$F55)/(C$15/$F$15)</f>
        <v>0.92088561636863353</v>
      </c>
      <c r="K55" s="12">
        <f t="shared" si="55"/>
        <v>0.82748150385124353</v>
      </c>
      <c r="L55" s="12">
        <f t="shared" si="55"/>
        <v>0.78998830375623486</v>
      </c>
      <c r="M55" s="41" t="e">
        <f t="shared" si="3"/>
        <v>#DIV/0!</v>
      </c>
    </row>
    <row r="56" spans="1:13" ht="16.5">
      <c r="A56" s="40">
        <v>43891</v>
      </c>
      <c r="B56" s="40">
        <f t="shared" si="0"/>
        <v>43891</v>
      </c>
      <c r="C56" s="5">
        <f>'Índice salarios (INDEC)'!C59</f>
        <v>286.39999999999998</v>
      </c>
      <c r="D56" s="5">
        <f>'Índice salarios (INDEC)'!D59</f>
        <v>262.10000000000002</v>
      </c>
      <c r="E56" s="5">
        <f>'Índice salarios (INDEC)'!F59</f>
        <v>248.5</v>
      </c>
      <c r="F56" s="7">
        <f>'Índice salarios (INDEC)'!H59</f>
        <v>6091.27</v>
      </c>
      <c r="G56" s="13"/>
      <c r="H56" s="5" t="e">
        <f t="shared" si="1"/>
        <v>#DIV/0!</v>
      </c>
      <c r="J56" s="12">
        <f t="shared" ref="J56:L56" si="56">(C56/$F56)/(C$15/$F$15)</f>
        <v>0.91146015855478402</v>
      </c>
      <c r="K56" s="12">
        <f t="shared" si="56"/>
        <v>0.83412607387293625</v>
      </c>
      <c r="L56" s="12">
        <f t="shared" si="56"/>
        <v>0.7908444462320664</v>
      </c>
      <c r="M56" s="41" t="e">
        <f t="shared" si="3"/>
        <v>#DIV/0!</v>
      </c>
    </row>
    <row r="57" spans="1:13" ht="16.5">
      <c r="A57" s="40">
        <v>43922</v>
      </c>
      <c r="B57" s="40">
        <f t="shared" si="0"/>
        <v>43922</v>
      </c>
      <c r="C57" s="5">
        <f>'Índice salarios (INDEC)'!C60</f>
        <v>285.7</v>
      </c>
      <c r="D57" s="5">
        <f>'Índice salarios (INDEC)'!D60</f>
        <v>263.5</v>
      </c>
      <c r="E57" s="5">
        <f>'Índice salarios (INDEC)'!F60</f>
        <v>250.2</v>
      </c>
      <c r="F57" s="7">
        <f>'Índice salarios (INDEC)'!H60</f>
        <v>6182.43</v>
      </c>
      <c r="G57" s="13"/>
      <c r="H57" s="5" t="e">
        <f t="shared" si="1"/>
        <v>#DIV/0!</v>
      </c>
      <c r="J57" s="12">
        <f t="shared" ref="J57:L57" si="57">(C57/$F57)/(C$15/$F$15)</f>
        <v>0.89582578533036361</v>
      </c>
      <c r="K57" s="12">
        <f t="shared" si="57"/>
        <v>0.82621664135299544</v>
      </c>
      <c r="L57" s="12">
        <f t="shared" si="57"/>
        <v>0.7845138659070946</v>
      </c>
      <c r="M57" s="41" t="e">
        <f t="shared" si="3"/>
        <v>#DIV/0!</v>
      </c>
    </row>
    <row r="58" spans="1:13" ht="16.5">
      <c r="A58" s="40">
        <v>43952</v>
      </c>
      <c r="B58" s="40">
        <f t="shared" si="0"/>
        <v>43952</v>
      </c>
      <c r="C58" s="5">
        <f>'Índice salarios (INDEC)'!C61</f>
        <v>285.10000000000002</v>
      </c>
      <c r="D58" s="5">
        <f>'Índice salarios (INDEC)'!D61</f>
        <v>264.89999999999998</v>
      </c>
      <c r="E58" s="5">
        <f>'Índice salarios (INDEC)'!F61</f>
        <v>249</v>
      </c>
      <c r="F58" s="7">
        <f>'Índice salarios (INDEC)'!H61</f>
        <v>6277.81</v>
      </c>
      <c r="G58" s="13"/>
      <c r="H58" s="5" t="e">
        <f t="shared" si="1"/>
        <v>#DIV/0!</v>
      </c>
      <c r="J58" s="12">
        <f t="shared" ref="J58:L58" si="58">(C58/$F58)/(C$15/$F$15)</f>
        <v>0.88036258344868668</v>
      </c>
      <c r="K58" s="12">
        <f t="shared" si="58"/>
        <v>0.81798684095249763</v>
      </c>
      <c r="L58" s="12">
        <f t="shared" si="58"/>
        <v>0.76888910304708158</v>
      </c>
      <c r="M58" s="41" t="e">
        <f t="shared" si="3"/>
        <v>#DIV/0!</v>
      </c>
    </row>
    <row r="59" spans="1:13" ht="16.5">
      <c r="A59" s="40">
        <v>43983</v>
      </c>
      <c r="B59" s="40">
        <f t="shared" si="0"/>
        <v>43983</v>
      </c>
      <c r="C59" s="5">
        <f>'Índice salarios (INDEC)'!C62</f>
        <v>285.39999999999998</v>
      </c>
      <c r="D59" s="5">
        <f>'Índice salarios (INDEC)'!D62</f>
        <v>267.2</v>
      </c>
      <c r="E59" s="5">
        <f>'Índice salarios (INDEC)'!F62</f>
        <v>252.7</v>
      </c>
      <c r="F59" s="7">
        <f>'Índice salarios (INDEC)'!H62</f>
        <v>6418.65</v>
      </c>
      <c r="G59" s="13"/>
      <c r="H59" s="5" t="e">
        <f t="shared" si="1"/>
        <v>#DIV/0!</v>
      </c>
      <c r="J59" s="12">
        <f t="shared" ref="J59:L59" si="59">(C59/$F59)/(C$15/$F$15)</f>
        <v>0.86195144150249658</v>
      </c>
      <c r="K59" s="12">
        <f t="shared" si="59"/>
        <v>0.80698467123148943</v>
      </c>
      <c r="L59" s="12">
        <f t="shared" si="59"/>
        <v>0.76319246414744524</v>
      </c>
      <c r="M59" s="41" t="e">
        <f t="shared" si="3"/>
        <v>#DIV/0!</v>
      </c>
    </row>
    <row r="60" spans="1:13" ht="16.5">
      <c r="A60" s="40">
        <v>44013</v>
      </c>
      <c r="B60" s="40">
        <f t="shared" si="0"/>
        <v>44013</v>
      </c>
      <c r="C60" s="5">
        <f>'Índice salarios (INDEC)'!C63</f>
        <v>289.2</v>
      </c>
      <c r="D60" s="5">
        <f>'Índice salarios (INDEC)'!D63</f>
        <v>270.10000000000002</v>
      </c>
      <c r="E60" s="5">
        <f>'Índice salarios (INDEC)'!F63</f>
        <v>263.5</v>
      </c>
      <c r="F60" s="7">
        <f>'Índice salarios (INDEC)'!H63</f>
        <v>6542.8</v>
      </c>
      <c r="G60" s="13"/>
      <c r="H60" s="5" t="e">
        <f t="shared" si="1"/>
        <v>#DIV/0!</v>
      </c>
      <c r="J60" s="12">
        <f t="shared" ref="J60:L60" si="60">(C60/$F60)/(C$15/$F$15)</f>
        <v>0.85685467383994607</v>
      </c>
      <c r="K60" s="12">
        <f t="shared" si="60"/>
        <v>0.80026434095494281</v>
      </c>
      <c r="L60" s="12">
        <f t="shared" si="60"/>
        <v>0.78070956624075316</v>
      </c>
      <c r="M60" s="41" t="e">
        <f t="shared" si="3"/>
        <v>#DIV/0!</v>
      </c>
    </row>
    <row r="61" spans="1:13" ht="16.5">
      <c r="A61" s="40">
        <v>44044</v>
      </c>
      <c r="B61" s="40">
        <f t="shared" si="0"/>
        <v>44044</v>
      </c>
      <c r="C61" s="5">
        <f>'Índice salarios (INDEC)'!C64</f>
        <v>295.10000000000002</v>
      </c>
      <c r="D61" s="5">
        <f>'Índice salarios (INDEC)'!D64</f>
        <v>272.2</v>
      </c>
      <c r="E61" s="5">
        <f>'Índice salarios (INDEC)'!F64</f>
        <v>273.3</v>
      </c>
      <c r="F61" s="7">
        <f>'Índice salarios (INDEC)'!H64</f>
        <v>6719.46</v>
      </c>
      <c r="G61" s="13"/>
      <c r="H61" s="5" t="e">
        <f t="shared" si="1"/>
        <v>#DIV/0!</v>
      </c>
      <c r="J61" s="12">
        <f t="shared" ref="J61:L61" si="61">(C61/$F61)/(C$15/$F$15)</f>
        <v>0.85134847591919594</v>
      </c>
      <c r="K61" s="12">
        <f t="shared" si="61"/>
        <v>0.78528314180008507</v>
      </c>
      <c r="L61" s="12">
        <f t="shared" si="61"/>
        <v>0.78845658579707301</v>
      </c>
      <c r="M61" s="41" t="e">
        <f t="shared" si="3"/>
        <v>#DIV/0!</v>
      </c>
    </row>
    <row r="62" spans="1:13" ht="16.5">
      <c r="A62" s="40">
        <v>44075</v>
      </c>
      <c r="B62" s="40">
        <f t="shared" si="0"/>
        <v>44075</v>
      </c>
      <c r="C62" s="5">
        <f>'Índice salarios (INDEC)'!C65</f>
        <v>301.5</v>
      </c>
      <c r="D62" s="5">
        <f>'Índice salarios (INDEC)'!D65</f>
        <v>280.89999999999998</v>
      </c>
      <c r="E62" s="5">
        <f>'Índice salarios (INDEC)'!F65</f>
        <v>279.7</v>
      </c>
      <c r="F62" s="7">
        <f>'Índice salarios (INDEC)'!H65</f>
        <v>6909.99</v>
      </c>
      <c r="G62" s="13"/>
      <c r="H62" s="5" t="e">
        <f t="shared" si="1"/>
        <v>#DIV/0!</v>
      </c>
      <c r="J62" s="12">
        <f t="shared" ref="J62:L62" si="62">(C62/$F62)/(C$15/$F$15)</f>
        <v>0.84582871321087294</v>
      </c>
      <c r="K62" s="12">
        <f t="shared" si="62"/>
        <v>0.78803743131321446</v>
      </c>
      <c r="L62" s="12">
        <f t="shared" si="62"/>
        <v>0.78467094887257427</v>
      </c>
      <c r="M62" s="41" t="e">
        <f t="shared" si="3"/>
        <v>#DIV/0!</v>
      </c>
    </row>
    <row r="63" spans="1:13" ht="16.5">
      <c r="A63" s="40">
        <v>44105</v>
      </c>
      <c r="B63" s="40">
        <f t="shared" si="0"/>
        <v>44105</v>
      </c>
      <c r="C63" s="5">
        <f>'Índice salarios (INDEC)'!C66</f>
        <v>317.7</v>
      </c>
      <c r="D63" s="5">
        <f>'Índice salarios (INDEC)'!D66</f>
        <v>289.7</v>
      </c>
      <c r="E63" s="5">
        <f>'Índice salarios (INDEC)'!F66</f>
        <v>285.7</v>
      </c>
      <c r="F63" s="7">
        <f>'Índice salarios (INDEC)'!H66</f>
        <v>7169.87</v>
      </c>
      <c r="G63" s="13"/>
      <c r="H63" s="5" t="e">
        <f t="shared" si="1"/>
        <v>#DIV/0!</v>
      </c>
      <c r="J63" s="12">
        <f t="shared" ref="J63:L63" si="63">(C63/$F63)/(C$15/$F$15)</f>
        <v>0.85897091718538821</v>
      </c>
      <c r="K63" s="12">
        <f t="shared" si="63"/>
        <v>0.78326683886876602</v>
      </c>
      <c r="L63" s="12">
        <f t="shared" si="63"/>
        <v>0.77245197053782011</v>
      </c>
      <c r="M63" s="41" t="e">
        <f t="shared" si="3"/>
        <v>#DIV/0!</v>
      </c>
    </row>
    <row r="64" spans="1:13" ht="16.5">
      <c r="A64" s="40">
        <v>44136</v>
      </c>
      <c r="B64" s="40">
        <f t="shared" si="0"/>
        <v>44136</v>
      </c>
      <c r="C64" s="5">
        <f>'Índice salarios (INDEC)'!C67</f>
        <v>326</v>
      </c>
      <c r="D64" s="5">
        <f>'Índice salarios (INDEC)'!D67</f>
        <v>294.89999999999998</v>
      </c>
      <c r="E64" s="5">
        <f>'Índice salarios (INDEC)'!F67</f>
        <v>307</v>
      </c>
      <c r="F64" s="7">
        <f>'Índice salarios (INDEC)'!H67</f>
        <v>7396.42</v>
      </c>
      <c r="G64" s="13"/>
      <c r="H64" s="5" t="e">
        <f t="shared" si="1"/>
        <v>#DIV/0!</v>
      </c>
      <c r="J64" s="12">
        <f t="shared" ref="J64:L64" si="64">(C64/$F64)/(C$15/$F$15)</f>
        <v>0.85441440588825401</v>
      </c>
      <c r="K64" s="12">
        <f t="shared" si="64"/>
        <v>0.77290431992774866</v>
      </c>
      <c r="L64" s="12">
        <f t="shared" si="64"/>
        <v>0.80461724726286499</v>
      </c>
      <c r="M64" s="41" t="e">
        <f t="shared" si="3"/>
        <v>#DIV/0!</v>
      </c>
    </row>
    <row r="65" spans="1:13" ht="16.5">
      <c r="A65" s="40">
        <v>44166</v>
      </c>
      <c r="B65" s="40">
        <f t="shared" si="0"/>
        <v>44166</v>
      </c>
      <c r="C65" s="5">
        <f>'Índice salarios (INDEC)'!C68</f>
        <v>331.3</v>
      </c>
      <c r="D65" s="5">
        <f>'Índice salarios (INDEC)'!D68</f>
        <v>302</v>
      </c>
      <c r="E65" s="5">
        <f>'Índice salarios (INDEC)'!F68</f>
        <v>310.8</v>
      </c>
      <c r="F65" s="7">
        <f>'Índice salarios (INDEC)'!H68</f>
        <v>7692.69</v>
      </c>
      <c r="G65" s="13"/>
      <c r="H65" s="5" t="e">
        <f t="shared" si="1"/>
        <v>#DIV/0!</v>
      </c>
      <c r="J65" s="12">
        <f t="shared" ref="J65:L65" si="65">(C65/$F65)/(C$15/$F$15)</f>
        <v>0.83486399295954994</v>
      </c>
      <c r="K65" s="12">
        <f t="shared" si="65"/>
        <v>0.76102905485597372</v>
      </c>
      <c r="L65" s="12">
        <f t="shared" si="65"/>
        <v>0.78320473592462458</v>
      </c>
      <c r="M65" s="41" t="e">
        <f t="shared" si="3"/>
        <v>#DIV/0!</v>
      </c>
    </row>
    <row r="66" spans="1:13" ht="16.5">
      <c r="A66" s="40">
        <v>44197</v>
      </c>
      <c r="B66" s="40">
        <f t="shared" si="0"/>
        <v>44197</v>
      </c>
      <c r="C66" s="5">
        <f>'Índice salarios (INDEC)'!C69</f>
        <v>344.6</v>
      </c>
      <c r="D66" s="5">
        <f>'Índice salarios (INDEC)'!D69</f>
        <v>309.3</v>
      </c>
      <c r="E66" s="5">
        <f>'Índice salarios (INDEC)'!F69</f>
        <v>318.39999999999998</v>
      </c>
      <c r="F66" s="7">
        <f>'Índice salarios (INDEC)'!H69</f>
        <v>8004.17</v>
      </c>
      <c r="G66" s="13"/>
      <c r="H66" s="5" t="e">
        <f t="shared" si="1"/>
        <v>#DIV/0!</v>
      </c>
      <c r="J66" s="12">
        <f t="shared" ref="J66:L66" si="66">(C66/$F66)/(C$15/$F$15)</f>
        <v>0.83458676914658236</v>
      </c>
      <c r="K66" s="12">
        <f t="shared" si="66"/>
        <v>0.74909369616087607</v>
      </c>
      <c r="L66" s="12">
        <f t="shared" si="66"/>
        <v>0.77113298693056231</v>
      </c>
      <c r="M66" s="41" t="e">
        <f t="shared" si="3"/>
        <v>#DIV/0!</v>
      </c>
    </row>
    <row r="67" spans="1:13" ht="16.5">
      <c r="A67" s="40">
        <v>44228</v>
      </c>
      <c r="B67" s="40">
        <f t="shared" si="0"/>
        <v>44228</v>
      </c>
      <c r="C67" s="5">
        <f>'Índice salarios (INDEC)'!C70</f>
        <v>362.3</v>
      </c>
      <c r="D67" s="5">
        <f>'Índice salarios (INDEC)'!D70</f>
        <v>321.10000000000002</v>
      </c>
      <c r="E67" s="5">
        <f>'Índice salarios (INDEC)'!F70</f>
        <v>327.39999999999998</v>
      </c>
      <c r="F67" s="7">
        <f>'Índice salarios (INDEC)'!H70</f>
        <v>8292.32</v>
      </c>
      <c r="G67" s="13"/>
      <c r="H67" s="5" t="e">
        <f t="shared" si="1"/>
        <v>#DIV/0!</v>
      </c>
      <c r="J67" s="12">
        <f t="shared" ref="J67:L67" si="67">(C67/$F67)/(C$15/$F$15)</f>
        <v>0.84696371944160376</v>
      </c>
      <c r="K67" s="12">
        <f t="shared" si="67"/>
        <v>0.75064877259922436</v>
      </c>
      <c r="L67" s="12">
        <f t="shared" si="67"/>
        <v>0.76537654359696683</v>
      </c>
      <c r="M67" s="41" t="e">
        <f t="shared" si="3"/>
        <v>#DIV/0!</v>
      </c>
    </row>
    <row r="68" spans="1:13" ht="16.5">
      <c r="A68" s="40">
        <v>44256</v>
      </c>
      <c r="B68" s="40">
        <f t="shared" si="0"/>
        <v>44256</v>
      </c>
      <c r="C68" s="5">
        <f>'Índice salarios (INDEC)'!C71</f>
        <v>376.7</v>
      </c>
      <c r="D68" s="5">
        <f>'Índice salarios (INDEC)'!D71</f>
        <v>345.4</v>
      </c>
      <c r="E68" s="5">
        <f>'Índice salarios (INDEC)'!F71</f>
        <v>341.4</v>
      </c>
      <c r="F68" s="7">
        <f>'Índice salarios (INDEC)'!H71</f>
        <v>8690.35</v>
      </c>
      <c r="G68" s="13"/>
      <c r="H68" s="5" t="e">
        <f t="shared" si="1"/>
        <v>#DIV/0!</v>
      </c>
      <c r="J68" s="12">
        <f t="shared" ref="J68:L68" si="68">(C68/$F68)/(C$15/$F$15)</f>
        <v>0.84029325746373851</v>
      </c>
      <c r="K68" s="12">
        <f t="shared" si="68"/>
        <v>0.77047329739308523</v>
      </c>
      <c r="L68" s="12">
        <f t="shared" si="68"/>
        <v>0.7615506187898069</v>
      </c>
      <c r="M68" s="41" t="e">
        <f t="shared" si="3"/>
        <v>#DIV/0!</v>
      </c>
    </row>
    <row r="69" spans="1:13" ht="16.5">
      <c r="A69" s="40">
        <v>44287</v>
      </c>
      <c r="B69" s="40">
        <f t="shared" si="0"/>
        <v>44287</v>
      </c>
      <c r="C69" s="5">
        <f>'Índice salarios (INDEC)'!C72</f>
        <v>394.5</v>
      </c>
      <c r="D69" s="5">
        <f>'Índice salarios (INDEC)'!D72</f>
        <v>350.7</v>
      </c>
      <c r="E69" s="5">
        <f>'Índice salarios (INDEC)'!F72</f>
        <v>346.3</v>
      </c>
      <c r="F69" s="7">
        <f>'Índice salarios (INDEC)'!H72</f>
        <v>9046.65</v>
      </c>
      <c r="G69" s="13"/>
      <c r="H69" s="5" t="e">
        <f t="shared" si="1"/>
        <v>#DIV/0!</v>
      </c>
      <c r="J69" s="12">
        <f t="shared" ref="J69:L69" si="69">(C69/$F69)/(C$15/$F$15)</f>
        <v>0.84534063437847151</v>
      </c>
      <c r="K69" s="12">
        <f t="shared" si="69"/>
        <v>0.75148532440185034</v>
      </c>
      <c r="L69" s="12">
        <f t="shared" si="69"/>
        <v>0.74205693709826293</v>
      </c>
      <c r="M69" s="41" t="e">
        <f t="shared" si="3"/>
        <v>#DIV/0!</v>
      </c>
    </row>
    <row r="70" spans="1:13" ht="16.5">
      <c r="A70" s="40">
        <v>44317</v>
      </c>
      <c r="B70" s="40">
        <f t="shared" si="0"/>
        <v>44317</v>
      </c>
      <c r="C70" s="5">
        <f>'Índice salarios (INDEC)'!C73</f>
        <v>408.4</v>
      </c>
      <c r="D70" s="5">
        <f>'Índice salarios (INDEC)'!D73</f>
        <v>360.8</v>
      </c>
      <c r="E70" s="5">
        <f>'Índice salarios (INDEC)'!F73</f>
        <v>349.5</v>
      </c>
      <c r="F70" s="7">
        <f>'Índice salarios (INDEC)'!H73</f>
        <v>9345.19</v>
      </c>
      <c r="G70" s="13"/>
      <c r="H70" s="5" t="e">
        <f t="shared" si="1"/>
        <v>#DIV/0!</v>
      </c>
      <c r="J70" s="12">
        <f t="shared" ref="J70:L70" si="70">(C70/$F70)/(C$15/$F$15)</f>
        <v>0.84716913406789995</v>
      </c>
      <c r="K70" s="12">
        <f t="shared" si="70"/>
        <v>0.74842953861826245</v>
      </c>
      <c r="L70" s="12">
        <f t="shared" si="70"/>
        <v>0.72498925650521806</v>
      </c>
      <c r="M70" s="41" t="e">
        <f t="shared" si="3"/>
        <v>#DIV/0!</v>
      </c>
    </row>
    <row r="71" spans="1:13" ht="16.5">
      <c r="A71" s="40">
        <v>44348</v>
      </c>
      <c r="B71" s="40">
        <f t="shared" si="0"/>
        <v>44348</v>
      </c>
      <c r="C71" s="5">
        <f>'Índice salarios (INDEC)'!C74</f>
        <v>415.6</v>
      </c>
      <c r="D71" s="5">
        <f>'Índice salarios (INDEC)'!D74</f>
        <v>375.3</v>
      </c>
      <c r="E71" s="5">
        <f>'Índice salarios (INDEC)'!F74</f>
        <v>353.5</v>
      </c>
      <c r="F71" s="7">
        <f>'Índice salarios (INDEC)'!H74</f>
        <v>9644.24</v>
      </c>
      <c r="G71" s="13"/>
      <c r="H71" s="5" t="e">
        <f t="shared" si="1"/>
        <v>#DIV/0!</v>
      </c>
      <c r="J71" s="12">
        <f t="shared" ref="J71:L71" si="71">(C71/$F71)/(C$15/$F$15)</f>
        <v>0.83537227194677854</v>
      </c>
      <c r="K71" s="12">
        <f t="shared" si="71"/>
        <v>0.75436769408475934</v>
      </c>
      <c r="L71" s="12">
        <f t="shared" si="71"/>
        <v>0.71054884055145862</v>
      </c>
      <c r="M71" s="41" t="e">
        <f t="shared" si="3"/>
        <v>#DIV/0!</v>
      </c>
    </row>
    <row r="72" spans="1:13" ht="16.5">
      <c r="A72" s="40">
        <v>44378</v>
      </c>
      <c r="B72" s="40">
        <f t="shared" si="0"/>
        <v>44378</v>
      </c>
      <c r="C72" s="5">
        <f>'Índice salarios (INDEC)'!C75</f>
        <v>437</v>
      </c>
      <c r="D72" s="5">
        <f>'Índice salarios (INDEC)'!D75</f>
        <v>397.9</v>
      </c>
      <c r="E72" s="5">
        <f>'Índice salarios (INDEC)'!F75</f>
        <v>362</v>
      </c>
      <c r="F72" s="7">
        <f>'Índice salarios (INDEC)'!H75</f>
        <v>9933.57</v>
      </c>
      <c r="G72" s="13"/>
      <c r="H72" s="5" t="e">
        <f t="shared" si="1"/>
        <v>#DIV/0!</v>
      </c>
      <c r="J72" s="12">
        <f t="shared" ref="J72:L72" si="72">(C72/$F72)/(C$15/$F$15)</f>
        <v>0.8528027788599668</v>
      </c>
      <c r="K72" s="12">
        <f t="shared" si="72"/>
        <v>0.77649937233039068</v>
      </c>
      <c r="L72" s="12">
        <f t="shared" si="72"/>
        <v>0.70644074587484662</v>
      </c>
      <c r="M72" s="41" t="e">
        <f t="shared" si="3"/>
        <v>#DIV/0!</v>
      </c>
    </row>
    <row r="73" spans="1:13" ht="16.5">
      <c r="A73" s="40">
        <v>44409</v>
      </c>
      <c r="B73" s="40">
        <f t="shared" si="0"/>
        <v>44409</v>
      </c>
      <c r="C73" s="5">
        <f>'Índice salarios (INDEC)'!C76</f>
        <v>451.6</v>
      </c>
      <c r="D73" s="5">
        <f>'Índice salarios (INDEC)'!D76</f>
        <v>410.8</v>
      </c>
      <c r="E73" s="5">
        <f>'Índice salarios (INDEC)'!F76</f>
        <v>371.2</v>
      </c>
      <c r="F73" s="7">
        <f>'Índice salarios (INDEC)'!H76</f>
        <v>10181.91</v>
      </c>
      <c r="G73" s="13"/>
      <c r="H73" s="5" t="e">
        <f t="shared" si="1"/>
        <v>#DIV/0!</v>
      </c>
      <c r="J73" s="12">
        <f t="shared" ref="J73:L73" si="73">(C73/$F73)/(C$15/$F$15)</f>
        <v>0.85979953466491066</v>
      </c>
      <c r="K73" s="12">
        <f t="shared" si="73"/>
        <v>0.78212056873415703</v>
      </c>
      <c r="L73" s="12">
        <f t="shared" si="73"/>
        <v>0.70672627827195489</v>
      </c>
      <c r="M73" s="41" t="e">
        <f t="shared" si="3"/>
        <v>#DIV/0!</v>
      </c>
    </row>
    <row r="74" spans="1:13" ht="16.5">
      <c r="A74" s="40">
        <v>44440</v>
      </c>
      <c r="B74" s="40">
        <f t="shared" si="0"/>
        <v>44440</v>
      </c>
      <c r="C74" s="5">
        <f>'Índice salarios (INDEC)'!C77</f>
        <v>467.9</v>
      </c>
      <c r="D74" s="5">
        <f>'Índice salarios (INDEC)'!D77</f>
        <v>438.1</v>
      </c>
      <c r="E74" s="5">
        <f>'Índice salarios (INDEC)'!F77</f>
        <v>374.3</v>
      </c>
      <c r="F74" s="7">
        <f>'Índice salarios (INDEC)'!H77</f>
        <v>10538.27</v>
      </c>
      <c r="G74" s="13"/>
      <c r="H74" s="5" t="e">
        <f t="shared" si="1"/>
        <v>#DIV/0!</v>
      </c>
      <c r="J74" s="12">
        <f t="shared" ref="J74:L74" si="74">(C74/$F74)/(C$15/$F$15)</f>
        <v>0.86070881368573771</v>
      </c>
      <c r="K74" s="12">
        <f t="shared" si="74"/>
        <v>0.80589128291455803</v>
      </c>
      <c r="L74" s="12">
        <f t="shared" si="74"/>
        <v>0.68853026065948197</v>
      </c>
      <c r="M74" s="41" t="e">
        <f t="shared" si="3"/>
        <v>#DIV/0!</v>
      </c>
    </row>
    <row r="75" spans="1:13" ht="16.5">
      <c r="A75" s="40">
        <v>44470</v>
      </c>
      <c r="B75" s="40">
        <f t="shared" si="0"/>
        <v>44470</v>
      </c>
      <c r="C75" s="5">
        <f>'Índice salarios (INDEC)'!C78</f>
        <v>485.3</v>
      </c>
      <c r="D75" s="5">
        <f>'Índice salarios (INDEC)'!D78</f>
        <v>454.1</v>
      </c>
      <c r="E75" s="5">
        <f>'Índice salarios (INDEC)'!F78</f>
        <v>395.5</v>
      </c>
      <c r="F75" s="7">
        <f>'Índice salarios (INDEC)'!H78</f>
        <v>10907.11</v>
      </c>
      <c r="G75" s="13"/>
      <c r="H75" s="5" t="e">
        <f t="shared" si="1"/>
        <v>#DIV/0!</v>
      </c>
      <c r="J75" s="12">
        <f t="shared" ref="J75:L75" si="75">(C75/$F75)/(C$15/$F$15)</f>
        <v>0.86252784559796314</v>
      </c>
      <c r="K75" s="12">
        <f t="shared" si="75"/>
        <v>0.80707581843403065</v>
      </c>
      <c r="L75" s="12">
        <f t="shared" si="75"/>
        <v>0.70292553664536239</v>
      </c>
      <c r="M75" s="41" t="e">
        <f t="shared" si="3"/>
        <v>#DIV/0!</v>
      </c>
    </row>
    <row r="76" spans="1:13" ht="16.5">
      <c r="A76" s="40">
        <v>44501</v>
      </c>
      <c r="B76" s="40">
        <f t="shared" si="0"/>
        <v>44501</v>
      </c>
      <c r="C76" s="5">
        <f>'Índice salarios (INDEC)'!C79</f>
        <v>507</v>
      </c>
      <c r="D76" s="5">
        <f>'Índice salarios (INDEC)'!D79</f>
        <v>466.5</v>
      </c>
      <c r="E76" s="5">
        <f>'Índice salarios (INDEC)'!F79</f>
        <v>412.7</v>
      </c>
      <c r="F76" s="7">
        <f>'Índice salarios (INDEC)'!H79</f>
        <v>11179.79</v>
      </c>
      <c r="G76" s="13"/>
      <c r="H76" s="5" t="e">
        <f t="shared" si="1"/>
        <v>#DIV/0!</v>
      </c>
      <c r="J76" s="12">
        <f t="shared" ref="J76:L76" si="76">(C76/$F76)/(C$15/$F$15)</f>
        <v>0.87911732689075539</v>
      </c>
      <c r="K76" s="12">
        <f t="shared" si="76"/>
        <v>0.8088919782929731</v>
      </c>
      <c r="L76" s="12">
        <f t="shared" si="76"/>
        <v>0.71560497200752426</v>
      </c>
      <c r="M76" s="41" t="e">
        <f t="shared" si="3"/>
        <v>#DIV/0!</v>
      </c>
    </row>
    <row r="77" spans="1:13" ht="16.5">
      <c r="A77" s="40">
        <v>44531</v>
      </c>
      <c r="B77" s="40">
        <f t="shared" si="0"/>
        <v>44531</v>
      </c>
      <c r="C77" s="5">
        <f>'Índice salarios (INDEC)'!C80</f>
        <v>514.29999999999995</v>
      </c>
      <c r="D77" s="5">
        <f>'Índice salarios (INDEC)'!D80</f>
        <v>479.1</v>
      </c>
      <c r="E77" s="5">
        <f>'Índice salarios (INDEC)'!F80</f>
        <v>436.8</v>
      </c>
      <c r="F77" s="7">
        <f>'Índice salarios (INDEC)'!H80</f>
        <v>11604.62</v>
      </c>
      <c r="G77" s="13"/>
      <c r="H77" s="5" t="e">
        <f t="shared" si="1"/>
        <v>#DIV/0!</v>
      </c>
      <c r="J77" s="12">
        <f t="shared" ref="J77:L77" si="77">(C77/$F77)/(C$15/$F$15)</f>
        <v>0.85912850140719799</v>
      </c>
      <c r="K77" s="12">
        <f t="shared" si="77"/>
        <v>0.80032756178142839</v>
      </c>
      <c r="L77" s="12">
        <f t="shared" si="77"/>
        <v>0.72966620535614257</v>
      </c>
      <c r="M77" s="41" t="e">
        <f t="shared" si="3"/>
        <v>#DIV/0!</v>
      </c>
    </row>
    <row r="78" spans="1:13" ht="16.5">
      <c r="A78" s="40">
        <v>44562</v>
      </c>
      <c r="B78" s="40">
        <f t="shared" si="0"/>
        <v>44562</v>
      </c>
      <c r="C78" s="5">
        <f>'Índice salarios (INDEC)'!C81</f>
        <v>538.20000000000005</v>
      </c>
      <c r="D78" s="5">
        <f>'Índice salarios (INDEC)'!D81</f>
        <v>493</v>
      </c>
      <c r="E78" s="5">
        <f>'Índice salarios (INDEC)'!F81</f>
        <v>447.9</v>
      </c>
      <c r="F78" s="7">
        <f>'Índice salarios (INDEC)'!H81</f>
        <v>12057.2</v>
      </c>
      <c r="G78" s="13"/>
      <c r="H78" s="5" t="e">
        <f t="shared" si="1"/>
        <v>#DIV/0!</v>
      </c>
      <c r="J78" s="12">
        <f t="shared" ref="J78:L78" si="78">(C78/$F78)/(C$15/$F$15)</f>
        <v>0.86530607935507409</v>
      </c>
      <c r="K78" s="12">
        <f t="shared" si="78"/>
        <v>0.79263451713498978</v>
      </c>
      <c r="L78" s="12">
        <f t="shared" si="78"/>
        <v>0.7201237327074278</v>
      </c>
      <c r="M78" s="41" t="e">
        <f t="shared" si="3"/>
        <v>#DIV/0!</v>
      </c>
    </row>
    <row r="79" spans="1:13" ht="16.5">
      <c r="A79" s="40">
        <v>44593</v>
      </c>
      <c r="B79" s="40">
        <f t="shared" si="0"/>
        <v>44593</v>
      </c>
      <c r="C79" s="5">
        <f>'Índice salarios (INDEC)'!C82</f>
        <v>559</v>
      </c>
      <c r="D79" s="5">
        <f>'Índice salarios (INDEC)'!D82</f>
        <v>504.7</v>
      </c>
      <c r="E79" s="5">
        <f>'Índice salarios (INDEC)'!F82</f>
        <v>457.6</v>
      </c>
      <c r="F79" s="7">
        <f>'Índice salarios (INDEC)'!H82</f>
        <v>12623.89</v>
      </c>
      <c r="G79" s="13"/>
      <c r="H79" s="5" t="e">
        <f t="shared" si="1"/>
        <v>#DIV/0!</v>
      </c>
      <c r="J79" s="12">
        <f t="shared" ref="J79:L79" si="79">(C79/$F79)/(C$15/$F$15)</f>
        <v>0.85840281402958996</v>
      </c>
      <c r="K79" s="12">
        <f t="shared" si="79"/>
        <v>0.77501949953619675</v>
      </c>
      <c r="L79" s="12">
        <f t="shared" si="79"/>
        <v>0.70269253613585048</v>
      </c>
      <c r="M79" s="41" t="e">
        <f t="shared" si="3"/>
        <v>#DIV/0!</v>
      </c>
    </row>
    <row r="80" spans="1:13" ht="16.5">
      <c r="A80" s="40">
        <v>44621</v>
      </c>
      <c r="B80" s="40">
        <f t="shared" si="0"/>
        <v>44621</v>
      </c>
      <c r="C80" s="5">
        <f>'Índice salarios (INDEC)'!C83</f>
        <v>589.29999999999995</v>
      </c>
      <c r="D80" s="5">
        <f>'Índice salarios (INDEC)'!D83</f>
        <v>565.79999999999995</v>
      </c>
      <c r="E80" s="5">
        <f>'Índice salarios (INDEC)'!F83</f>
        <v>483.4</v>
      </c>
      <c r="F80" s="7">
        <f>'Índice salarios (INDEC)'!H83</f>
        <v>13469.69</v>
      </c>
      <c r="G80" s="13"/>
      <c r="H80" s="5" t="e">
        <f t="shared" si="1"/>
        <v>#DIV/0!</v>
      </c>
      <c r="J80" s="12">
        <f t="shared" ref="J80:L80" si="80">(C80/$F80)/(C$15/$F$15)</f>
        <v>0.84810840412808308</v>
      </c>
      <c r="K80" s="12">
        <f t="shared" si="80"/>
        <v>0.81428768887776914</v>
      </c>
      <c r="L80" s="12">
        <f t="shared" si="80"/>
        <v>0.69569930859581752</v>
      </c>
      <c r="M80" s="41" t="e">
        <f t="shared" si="3"/>
        <v>#DIV/0!</v>
      </c>
    </row>
    <row r="81" spans="1:13" ht="16.5">
      <c r="A81" s="40">
        <v>44652</v>
      </c>
      <c r="B81" s="40">
        <f t="shared" si="0"/>
        <v>44652</v>
      </c>
      <c r="C81" s="5">
        <f>'Índice salarios (INDEC)'!C84</f>
        <v>622.29999999999995</v>
      </c>
      <c r="D81" s="5">
        <f>'Índice salarios (INDEC)'!D84</f>
        <v>580.9</v>
      </c>
      <c r="E81" s="5">
        <f>'Índice salarios (INDEC)'!F84</f>
        <v>517.5</v>
      </c>
      <c r="F81" s="7">
        <f>'Índice salarios (INDEC)'!H84</f>
        <v>14277.87</v>
      </c>
      <c r="G81" s="13"/>
      <c r="H81" s="5" t="e">
        <f t="shared" si="1"/>
        <v>#DIV/0!</v>
      </c>
      <c r="J81" s="12">
        <f t="shared" ref="J81:L81" si="81">(C81/$F81)/(C$15/$F$15)</f>
        <v>0.84490699172915829</v>
      </c>
      <c r="K81" s="12">
        <f t="shared" si="81"/>
        <v>0.78869752771246682</v>
      </c>
      <c r="L81" s="12">
        <f t="shared" si="81"/>
        <v>0.70261830020864446</v>
      </c>
      <c r="M81" s="41" t="e">
        <f t="shared" si="3"/>
        <v>#DIV/0!</v>
      </c>
    </row>
    <row r="82" spans="1:13" ht="16.5">
      <c r="A82" s="40">
        <v>44682</v>
      </c>
      <c r="B82" s="40">
        <f t="shared" si="0"/>
        <v>44682</v>
      </c>
      <c r="C82" s="5">
        <f>'Índice salarios (INDEC)'!C85</f>
        <v>665.7</v>
      </c>
      <c r="D82" s="5">
        <f>'Índice salarios (INDEC)'!D85</f>
        <v>619.4</v>
      </c>
      <c r="E82" s="5">
        <f>'Índice salarios (INDEC)'!F85</f>
        <v>534.20000000000005</v>
      </c>
      <c r="F82" s="7">
        <f>'Índice salarios (INDEC)'!H85</f>
        <v>15006.05</v>
      </c>
      <c r="G82" s="13"/>
      <c r="H82" s="5" t="e">
        <f t="shared" si="1"/>
        <v>#DIV/0!</v>
      </c>
      <c r="J82" s="12">
        <f t="shared" ref="J82:L82" si="82">(C82/$F82)/(C$15/$F$15)</f>
        <v>0.85997275832081066</v>
      </c>
      <c r="K82" s="12">
        <f t="shared" si="82"/>
        <v>0.80016092309435194</v>
      </c>
      <c r="L82" s="12">
        <f t="shared" si="82"/>
        <v>0.69009681161931369</v>
      </c>
      <c r="M82" s="41" t="e">
        <f t="shared" si="3"/>
        <v>#DIV/0!</v>
      </c>
    </row>
    <row r="83" spans="1:13" ht="16.5">
      <c r="A83" s="40">
        <v>44713</v>
      </c>
      <c r="B83" s="40">
        <f t="shared" si="0"/>
        <v>44713</v>
      </c>
      <c r="C83" s="5">
        <f>'Índice salarios (INDEC)'!C86</f>
        <v>699.4</v>
      </c>
      <c r="D83" s="5">
        <f>'Índice salarios (INDEC)'!D86</f>
        <v>647.9</v>
      </c>
      <c r="E83" s="5">
        <f>'Índice salarios (INDEC)'!F86</f>
        <v>558.70000000000005</v>
      </c>
      <c r="F83" s="7">
        <f>'Índice salarios (INDEC)'!H86</f>
        <v>15801.37</v>
      </c>
      <c r="G83" s="13"/>
      <c r="H83" s="5" t="e">
        <f t="shared" si="1"/>
        <v>#DIV/0!</v>
      </c>
      <c r="J83" s="12">
        <f t="shared" ref="J83:L83" si="83">(C83/$F83)/(C$15/$F$15)</f>
        <v>0.85803185546569682</v>
      </c>
      <c r="K83" s="12">
        <f t="shared" si="83"/>
        <v>0.7948510711412996</v>
      </c>
      <c r="L83" s="12">
        <f t="shared" si="83"/>
        <v>0.68541949906875155</v>
      </c>
      <c r="M83" s="41" t="e">
        <f t="shared" si="3"/>
        <v>#DIV/0!</v>
      </c>
    </row>
    <row r="84" spans="1:13" ht="16.5">
      <c r="A84" s="40">
        <v>44743</v>
      </c>
      <c r="B84" s="40">
        <f t="shared" si="0"/>
        <v>44743</v>
      </c>
      <c r="C84" s="5">
        <f>'Índice salarios (INDEC)'!C87</f>
        <v>737</v>
      </c>
      <c r="D84" s="5">
        <f>'Índice salarios (INDEC)'!D87</f>
        <v>695.3</v>
      </c>
      <c r="E84" s="5">
        <f>'Índice salarios (INDEC)'!F87</f>
        <v>575.29999999999995</v>
      </c>
      <c r="F84" s="7">
        <f>'Índice salarios (INDEC)'!H87</f>
        <v>16970.669999999998</v>
      </c>
      <c r="G84" s="13"/>
      <c r="H84" s="5" t="e">
        <f t="shared" si="1"/>
        <v>#DIV/0!</v>
      </c>
      <c r="J84" s="12">
        <f t="shared" ref="J84:L84" si="84">(C84/$F84)/(C$15/$F$15)</f>
        <v>0.84186223054245946</v>
      </c>
      <c r="K84" s="12">
        <f t="shared" si="84"/>
        <v>0.79422904870579647</v>
      </c>
      <c r="L84" s="12">
        <f t="shared" si="84"/>
        <v>0.65715514413986009</v>
      </c>
      <c r="M84" s="41" t="e">
        <f t="shared" si="3"/>
        <v>#DIV/0!</v>
      </c>
    </row>
    <row r="85" spans="1:13" ht="16.5">
      <c r="A85" s="40">
        <v>44774</v>
      </c>
      <c r="B85" s="40">
        <f t="shared" si="0"/>
        <v>44774</v>
      </c>
      <c r="C85" s="5">
        <f>'Índice salarios (INDEC)'!C88</f>
        <v>797</v>
      </c>
      <c r="D85" s="5">
        <f>'Índice salarios (INDEC)'!D88</f>
        <v>724.8</v>
      </c>
      <c r="E85" s="5">
        <f>'Índice salarios (INDEC)'!F88</f>
        <v>606.4</v>
      </c>
      <c r="F85" s="7">
        <f>'Índice salarios (INDEC)'!H88</f>
        <v>18158.61</v>
      </c>
      <c r="G85" s="13"/>
      <c r="H85" s="5" t="e">
        <f t="shared" si="1"/>
        <v>#DIV/0!</v>
      </c>
      <c r="J85" s="12">
        <f t="shared" ref="J85:L85" si="85">(C85/$F85)/(C$15/$F$15)</f>
        <v>0.85084068108737387</v>
      </c>
      <c r="K85" s="12">
        <f t="shared" si="85"/>
        <v>0.77376326932512995</v>
      </c>
      <c r="L85" s="12">
        <f t="shared" si="85"/>
        <v>0.64736485446848624</v>
      </c>
      <c r="M85" s="41" t="e">
        <f t="shared" si="3"/>
        <v>#DIV/0!</v>
      </c>
    </row>
    <row r="86" spans="1:13" ht="16.5">
      <c r="A86" s="40">
        <v>44805</v>
      </c>
      <c r="B86" s="40">
        <f t="shared" si="0"/>
        <v>44805</v>
      </c>
      <c r="C86" s="5">
        <f>'Índice salarios (INDEC)'!C89</f>
        <v>843.4</v>
      </c>
      <c r="D86" s="5">
        <f>'Índice salarios (INDEC)'!D89</f>
        <v>780.8</v>
      </c>
      <c r="E86" s="5">
        <f>'Índice salarios (INDEC)'!F89</f>
        <v>654.70000000000005</v>
      </c>
      <c r="F86" s="7">
        <f>'Índice salarios (INDEC)'!H89</f>
        <v>19284.45</v>
      </c>
      <c r="G86" s="13"/>
      <c r="H86" s="5" t="e">
        <f t="shared" si="1"/>
        <v>#DIV/0!</v>
      </c>
      <c r="J86" s="12">
        <f t="shared" ref="J86:L86" si="86">(C86/$F86)/(C$15/$F$15)</f>
        <v>0.84781064640163428</v>
      </c>
      <c r="K86" s="12">
        <f t="shared" si="86"/>
        <v>0.78488327331087993</v>
      </c>
      <c r="L86" s="12">
        <f t="shared" si="86"/>
        <v>0.65812382048749118</v>
      </c>
      <c r="M86" s="41" t="e">
        <f t="shared" si="3"/>
        <v>#DIV/0!</v>
      </c>
    </row>
    <row r="87" spans="1:13" ht="16.5">
      <c r="A87" s="40">
        <v>44835</v>
      </c>
      <c r="B87" s="40">
        <f t="shared" si="0"/>
        <v>44835</v>
      </c>
      <c r="C87" s="5">
        <f>'Índice salarios (INDEC)'!C90</f>
        <v>888.1</v>
      </c>
      <c r="D87" s="5">
        <f>'Índice salarios (INDEC)'!D90</f>
        <v>827.5</v>
      </c>
      <c r="E87" s="5">
        <f>'Índice salarios (INDEC)'!F90</f>
        <v>675.2</v>
      </c>
      <c r="F87" s="7">
        <f>'Índice salarios (INDEC)'!H90</f>
        <v>20499.37</v>
      </c>
      <c r="G87" s="13"/>
      <c r="H87" s="5" t="e">
        <f t="shared" si="1"/>
        <v>#DIV/0!</v>
      </c>
      <c r="J87" s="12">
        <f t="shared" ref="J87:L87" si="87">(C87/$F87)/(C$15/$F$15)</f>
        <v>0.83983483053381647</v>
      </c>
      <c r="K87" s="12">
        <f t="shared" si="87"/>
        <v>0.78252823135540273</v>
      </c>
      <c r="L87" s="12">
        <f t="shared" si="87"/>
        <v>0.63850521064793708</v>
      </c>
      <c r="M87" s="41" t="e">
        <f t="shared" si="3"/>
        <v>#DIV/0!</v>
      </c>
    </row>
    <row r="88" spans="1:13" ht="16.5">
      <c r="A88" s="40">
        <v>44866</v>
      </c>
      <c r="B88" s="40">
        <f t="shared" si="0"/>
        <v>44866</v>
      </c>
      <c r="C88" s="5">
        <f>'Índice salarios (INDEC)'!C91</f>
        <v>953.3</v>
      </c>
      <c r="D88" s="5">
        <f>'Índice salarios (INDEC)'!D91</f>
        <v>874.8</v>
      </c>
      <c r="E88" s="5">
        <f>'Índice salarios (INDEC)'!F91</f>
        <v>718.7</v>
      </c>
      <c r="F88" s="7">
        <f>'Índice salarios (INDEC)'!H91</f>
        <v>21503.84</v>
      </c>
      <c r="G88" s="13"/>
      <c r="H88" s="5" t="e">
        <f t="shared" si="1"/>
        <v>#DIV/0!</v>
      </c>
      <c r="J88" s="12">
        <f t="shared" ref="J88:L88" si="88">(C88/$F88)/(C$15/$F$15)</f>
        <v>0.85938169601336312</v>
      </c>
      <c r="K88" s="12">
        <f t="shared" si="88"/>
        <v>0.788615449147687</v>
      </c>
      <c r="L88" s="12">
        <f t="shared" si="88"/>
        <v>0.6478942881829477</v>
      </c>
      <c r="M88" s="41" t="e">
        <f t="shared" si="3"/>
        <v>#DIV/0!</v>
      </c>
    </row>
    <row r="89" spans="1:13" ht="16.5">
      <c r="A89" s="40">
        <v>44896</v>
      </c>
      <c r="B89" s="40">
        <f t="shared" si="0"/>
        <v>44896</v>
      </c>
      <c r="C89" s="5">
        <f>'Índice salarios (INDEC)'!C92</f>
        <v>996.6</v>
      </c>
      <c r="D89" s="5">
        <f>'Índice salarios (INDEC)'!D92</f>
        <v>955</v>
      </c>
      <c r="E89" s="5">
        <f>'Índice salarios (INDEC)'!F92</f>
        <v>722.6</v>
      </c>
      <c r="F89" s="7">
        <f>'Índice salarios (INDEC)'!H92</f>
        <v>22600.53584</v>
      </c>
      <c r="G89" s="13"/>
      <c r="H89" s="5" t="e">
        <f t="shared" si="1"/>
        <v>#DIV/0!</v>
      </c>
      <c r="J89" s="12">
        <f t="shared" ref="J89:L89" si="89">(C89/$F89)/(C$15/$F$15)</f>
        <v>0.85481999704658329</v>
      </c>
      <c r="K89" s="12">
        <f t="shared" si="89"/>
        <v>0.81913816694710717</v>
      </c>
      <c r="L89" s="12">
        <f t="shared" si="89"/>
        <v>0.61980025071830336</v>
      </c>
      <c r="M89" s="41" t="e">
        <f t="shared" si="3"/>
        <v>#DIV/0!</v>
      </c>
    </row>
    <row r="90" spans="1:13" ht="16.5">
      <c r="A90" s="40">
        <v>44927</v>
      </c>
      <c r="B90" s="40">
        <f t="shared" si="0"/>
        <v>44927</v>
      </c>
      <c r="C90" s="13">
        <f>'Índice salarios (INDEC)'!C93</f>
        <v>1042.4000000000001</v>
      </c>
      <c r="D90" s="5">
        <f>'Índice salarios (INDEC)'!D93</f>
        <v>992.3</v>
      </c>
      <c r="E90" s="5">
        <f>'Índice salarios (INDEC)'!F93</f>
        <v>771.2</v>
      </c>
      <c r="F90" s="7">
        <f>'Índice salarios (INDEC)'!H93</f>
        <v>23956.57</v>
      </c>
      <c r="G90" s="13"/>
      <c r="H90" s="5" t="e">
        <f t="shared" si="1"/>
        <v>#DIV/0!</v>
      </c>
      <c r="J90" s="12">
        <f t="shared" ref="J90:L90" si="90">(C90/$F90)/(C$15/$F$15)</f>
        <v>0.84349457038298892</v>
      </c>
      <c r="K90" s="12">
        <f t="shared" si="90"/>
        <v>0.80295439580874883</v>
      </c>
      <c r="L90" s="12">
        <f t="shared" si="90"/>
        <v>0.62404356550207318</v>
      </c>
      <c r="M90" s="41" t="e">
        <f t="shared" si="3"/>
        <v>#DIV/0!</v>
      </c>
    </row>
    <row r="91" spans="1:13" ht="16.5">
      <c r="A91" s="40">
        <v>44958</v>
      </c>
      <c r="B91" s="40">
        <f t="shared" si="0"/>
        <v>44958</v>
      </c>
      <c r="C91" s="5">
        <f>'Índice salarios (INDEC)'!C94</f>
        <v>1114.3</v>
      </c>
      <c r="D91" s="5">
        <f>'Índice salarios (INDEC)'!D94</f>
        <v>1030.5</v>
      </c>
      <c r="E91" s="5">
        <f>'Índice salarios (INDEC)'!F94</f>
        <v>825.9</v>
      </c>
      <c r="F91" s="7">
        <f>'Índice salarios (INDEC)'!H94</f>
        <v>25537.70362</v>
      </c>
      <c r="G91" s="13"/>
      <c r="H91" s="5" t="e">
        <f t="shared" si="1"/>
        <v>#DIV/0!</v>
      </c>
      <c r="J91" s="12">
        <f t="shared" ref="J91:L91" si="91">(C91/$F91)/(C$15/$F$15)</f>
        <v>0.8458489499064834</v>
      </c>
      <c r="K91" s="12">
        <f t="shared" si="91"/>
        <v>0.78223758671689048</v>
      </c>
      <c r="L91" s="12">
        <f t="shared" si="91"/>
        <v>0.62692869759289649</v>
      </c>
      <c r="M91" s="41" t="e">
        <f t="shared" si="3"/>
        <v>#DIV/0!</v>
      </c>
    </row>
    <row r="92" spans="1:13" ht="16.5">
      <c r="A92" s="40">
        <v>44986</v>
      </c>
      <c r="B92" s="40">
        <f t="shared" si="0"/>
        <v>44986</v>
      </c>
      <c r="C92" s="5">
        <f>'Índice salarios (INDEC)'!C95</f>
        <v>1202.0999999999999</v>
      </c>
      <c r="D92" s="5">
        <f>'Índice salarios (INDEC)'!D95</f>
        <v>1198.5999999999999</v>
      </c>
      <c r="E92" s="5">
        <f>'Índice salarios (INDEC)'!F95</f>
        <v>876</v>
      </c>
      <c r="F92" s="7">
        <f>'Índice salarios (INDEC)'!H95</f>
        <v>27504.106798739998</v>
      </c>
      <c r="G92" s="13"/>
      <c r="H92" s="5" t="e">
        <f t="shared" si="1"/>
        <v>#DIV/0!</v>
      </c>
      <c r="J92" s="12">
        <f t="shared" ref="J92:L92" si="92">(C92/$F92)/(C$15/$F$15)</f>
        <v>0.84725780409882434</v>
      </c>
      <c r="K92" s="12">
        <f t="shared" si="92"/>
        <v>0.84479095249384473</v>
      </c>
      <c r="L92" s="12">
        <f t="shared" si="92"/>
        <v>0.61741771598916084</v>
      </c>
      <c r="M92" s="41" t="e">
        <f t="shared" si="3"/>
        <v>#DIV/0!</v>
      </c>
    </row>
    <row r="93" spans="1:13" ht="16.5">
      <c r="A93" s="40">
        <v>45017</v>
      </c>
      <c r="B93" s="40">
        <f t="shared" si="0"/>
        <v>45017</v>
      </c>
      <c r="C93" s="5">
        <f>'Índice salarios (INDEC)'!C96</f>
        <v>1284.5999999999999</v>
      </c>
      <c r="D93" s="5">
        <f>'Índice salarios (INDEC)'!D96</f>
        <v>1247.4000000000001</v>
      </c>
      <c r="E93" s="5">
        <f>'Índice salarios (INDEC)'!F96</f>
        <v>918.5</v>
      </c>
      <c r="F93" s="7">
        <f>'Índice salarios (INDEC)'!H96</f>
        <v>29814.451769834159</v>
      </c>
      <c r="G93" s="13"/>
      <c r="H93" s="5" t="e">
        <f t="shared" si="1"/>
        <v>#DIV/0!</v>
      </c>
      <c r="J93" s="12">
        <f t="shared" ref="J93:L93" si="93">(C93/$F93)/(C$15/$F$15)</f>
        <v>0.83524448385785344</v>
      </c>
      <c r="K93" s="12">
        <f t="shared" si="93"/>
        <v>0.81105711440470696</v>
      </c>
      <c r="L93" s="12">
        <f t="shared" si="93"/>
        <v>0.59720695813750457</v>
      </c>
      <c r="M93" s="41" t="e">
        <f t="shared" si="3"/>
        <v>#DIV/0!</v>
      </c>
    </row>
    <row r="94" spans="1:13" ht="16.5">
      <c r="A94" s="40">
        <v>45047</v>
      </c>
      <c r="B94" s="40">
        <f t="shared" si="0"/>
        <v>45047</v>
      </c>
      <c r="C94" s="5">
        <f>'Índice salarios (INDEC)'!C97</f>
        <v>1389.2</v>
      </c>
      <c r="D94" s="5">
        <f>'Índice salarios (INDEC)'!D97</f>
        <v>1353.1</v>
      </c>
      <c r="E94" s="5">
        <f>'Índice salarios (INDEC)'!F97</f>
        <v>947.8</v>
      </c>
      <c r="F94" s="7">
        <f>'Índice salarios (INDEC)'!H97</f>
        <v>32139.979007881226</v>
      </c>
      <c r="G94" s="13"/>
      <c r="H94" s="5" t="e">
        <f t="shared" si="1"/>
        <v>#DIV/0!</v>
      </c>
      <c r="J94" s="12">
        <f t="shared" ref="J94:L94" si="94">(C94/$F94)/(C$15/$F$15)</f>
        <v>0.83789907745105641</v>
      </c>
      <c r="K94" s="12">
        <f t="shared" si="94"/>
        <v>0.81612528196013845</v>
      </c>
      <c r="L94" s="12">
        <f t="shared" si="94"/>
        <v>0.57166768327678608</v>
      </c>
      <c r="M94" s="41" t="e">
        <f t="shared" si="3"/>
        <v>#DIV/0!</v>
      </c>
    </row>
    <row r="95" spans="1:13" ht="16.5">
      <c r="A95" s="40">
        <v>45078</v>
      </c>
      <c r="B95" s="40">
        <f t="shared" si="0"/>
        <v>45078</v>
      </c>
      <c r="C95" s="5">
        <f>'Índice salarios (INDEC)'!C98</f>
        <v>1468.5</v>
      </c>
      <c r="D95" s="5">
        <f>'Índice salarios (INDEC)'!D98</f>
        <v>1434.5</v>
      </c>
      <c r="E95" s="5">
        <f>'Índice salarios (INDEC)'!F98</f>
        <v>1018.9</v>
      </c>
      <c r="F95" s="7">
        <f>'Índice salarios (INDEC)'!H98</f>
        <v>34068.377748354098</v>
      </c>
      <c r="G95" s="13"/>
      <c r="H95" s="5" t="e">
        <f t="shared" si="1"/>
        <v>#DIV/0!</v>
      </c>
      <c r="J95" s="12">
        <f t="shared" ref="J95:L95" si="95">(C95/$F95)/(C$15/$F$15)</f>
        <v>0.83559344270143021</v>
      </c>
      <c r="K95" s="12">
        <f t="shared" si="95"/>
        <v>0.81624705042914647</v>
      </c>
      <c r="L95" s="12">
        <f t="shared" si="95"/>
        <v>0.57976585547734905</v>
      </c>
      <c r="M95" s="41" t="e">
        <f t="shared" si="3"/>
        <v>#DIV/0!</v>
      </c>
    </row>
    <row r="96" spans="1:13" ht="16.5">
      <c r="A96" s="40">
        <v>45108</v>
      </c>
      <c r="B96" s="40">
        <f t="shared" si="0"/>
        <v>45108</v>
      </c>
      <c r="C96" s="5">
        <f>'Índice salarios (INDEC)'!C99</f>
        <v>1626.8</v>
      </c>
      <c r="D96" s="5">
        <f>'Índice salarios (INDEC)'!D99</f>
        <v>1625.5</v>
      </c>
      <c r="E96" s="5">
        <f>'Índice salarios (INDEC)'!F99</f>
        <v>1090.3</v>
      </c>
      <c r="F96" s="7">
        <f>'Índice salarios (INDEC)'!H99</f>
        <v>36214.685546500405</v>
      </c>
      <c r="G96" s="13"/>
      <c r="H96" s="5" t="e">
        <f t="shared" si="1"/>
        <v>#DIV/0!</v>
      </c>
      <c r="J96" s="12">
        <f t="shared" ref="J96:L96" si="96">(C96/$F96)/(C$15/$F$15)</f>
        <v>0.87080712048450926</v>
      </c>
      <c r="K96" s="12">
        <f t="shared" si="96"/>
        <v>0.87011124560337472</v>
      </c>
      <c r="L96" s="12">
        <f t="shared" si="96"/>
        <v>0.5836249099239369</v>
      </c>
      <c r="M96" s="41" t="e">
        <f t="shared" si="3"/>
        <v>#DIV/0!</v>
      </c>
    </row>
    <row r="97" spans="1:13" ht="16.5">
      <c r="A97" s="40">
        <v>45139</v>
      </c>
      <c r="B97" s="40">
        <f t="shared" si="0"/>
        <v>45139</v>
      </c>
      <c r="C97" s="5">
        <f>'Índice salarios (INDEC)'!C100</f>
        <v>1762.5</v>
      </c>
      <c r="D97" s="5">
        <f>'Índice salarios (INDEC)'!D100</f>
        <v>1723.3</v>
      </c>
      <c r="E97" s="5">
        <f>'Índice salarios (INDEC)'!F100</f>
        <v>1183.4000000000001</v>
      </c>
      <c r="F97" s="7">
        <f>'Índice salarios (INDEC)'!H100</f>
        <v>40705.306554266455</v>
      </c>
      <c r="G97" s="13"/>
      <c r="H97" s="5" t="e">
        <f t="shared" si="1"/>
        <v>#DIV/0!</v>
      </c>
      <c r="J97" s="12">
        <f t="shared" ref="J97:L97" si="97">(C97/$F97)/(C$15/$F$15)</f>
        <v>0.83936454831633955</v>
      </c>
      <c r="K97" s="12">
        <f t="shared" si="97"/>
        <v>0.82069612829137473</v>
      </c>
      <c r="L97" s="12">
        <f t="shared" si="97"/>
        <v>0.5635767412638617</v>
      </c>
      <c r="M97" s="41" t="e">
        <f t="shared" si="3"/>
        <v>#DIV/0!</v>
      </c>
    </row>
    <row r="98" spans="1:13" ht="16.5">
      <c r="A98" s="40">
        <v>45170</v>
      </c>
      <c r="B98" s="40">
        <f t="shared" si="0"/>
        <v>45170</v>
      </c>
      <c r="C98" s="5">
        <f>'Índice salarios (INDEC)'!C101</f>
        <v>1995.58</v>
      </c>
      <c r="D98" s="5">
        <f>'Índice salarios (INDEC)'!D101</f>
        <v>1911.97</v>
      </c>
      <c r="E98" s="5">
        <f>'Índice salarios (INDEC)'!F101</f>
        <v>1271.6300000000001</v>
      </c>
      <c r="F98" s="7">
        <f>'Índice salarios (INDEC)'!H101</f>
        <v>45874.880486658294</v>
      </c>
      <c r="G98" s="13"/>
      <c r="H98" s="5" t="e">
        <f t="shared" si="1"/>
        <v>#DIV/0!</v>
      </c>
      <c r="J98" s="12">
        <f t="shared" ref="J98:L98" si="98">(C98/$F98)/(C$15/$F$15)</f>
        <v>0.84327014182087434</v>
      </c>
      <c r="K98" s="12">
        <f t="shared" si="98"/>
        <v>0.80793915205466926</v>
      </c>
      <c r="L98" s="12">
        <f t="shared" si="98"/>
        <v>0.53735135170911641</v>
      </c>
      <c r="M98" s="41" t="e">
        <f t="shared" si="3"/>
        <v>#DIV/0!</v>
      </c>
    </row>
    <row r="99" spans="1:13" ht="16.5">
      <c r="A99" s="40">
        <v>45200</v>
      </c>
      <c r="B99" s="40">
        <f t="shared" si="0"/>
        <v>45200</v>
      </c>
      <c r="C99" s="5">
        <f>'Índice salarios (INDEC)'!C102</f>
        <v>2169.81</v>
      </c>
      <c r="D99" s="5">
        <f>'Índice salarios (INDEC)'!D102</f>
        <v>2086.8200000000002</v>
      </c>
      <c r="E99" s="5">
        <f>'Índice salarios (INDEC)'!F102</f>
        <v>1334.03</v>
      </c>
      <c r="F99" s="7">
        <f>'Índice salarios (INDEC)'!H102</f>
        <v>49682.49</v>
      </c>
      <c r="G99" s="13"/>
      <c r="H99" s="5" t="e">
        <f t="shared" si="1"/>
        <v>#DIV/0!</v>
      </c>
      <c r="J99" s="12">
        <f t="shared" ref="J99:L99" si="99">(C99/$F99)/(C$15/$F$15)</f>
        <v>0.84662459133992674</v>
      </c>
      <c r="K99" s="12">
        <f t="shared" si="99"/>
        <v>0.81424324235761947</v>
      </c>
      <c r="L99" s="12">
        <f t="shared" si="99"/>
        <v>0.52051682109733222</v>
      </c>
      <c r="M99" s="41" t="e">
        <f t="shared" si="3"/>
        <v>#DIV/0!</v>
      </c>
    </row>
    <row r="100" spans="1:13" ht="16.5">
      <c r="A100" s="40">
        <v>45231</v>
      </c>
      <c r="B100" s="40">
        <f t="shared" si="0"/>
        <v>45231</v>
      </c>
      <c r="C100" s="5">
        <f>'Índice salarios (INDEC)'!C103</f>
        <v>2385.5500000000002</v>
      </c>
      <c r="D100" s="5">
        <f>'Índice salarios (INDEC)'!D103</f>
        <v>2250.34</v>
      </c>
      <c r="E100" s="5">
        <f>'Índice salarios (INDEC)'!F103</f>
        <v>1445.34</v>
      </c>
      <c r="F100" s="7">
        <f>'Índice salarios (INDEC)'!H103</f>
        <v>56041.84</v>
      </c>
      <c r="G100" s="13"/>
      <c r="H100" s="5" t="e">
        <f t="shared" si="1"/>
        <v>#DIV/0!</v>
      </c>
      <c r="J100" s="12">
        <f t="shared" ref="J100:L100" si="100">(C100/$F100)/(C$15/$F$15)</f>
        <v>0.82517994439511633</v>
      </c>
      <c r="K100" s="12">
        <f t="shared" si="100"/>
        <v>0.77840977387608978</v>
      </c>
      <c r="L100" s="12">
        <f t="shared" si="100"/>
        <v>0.49995413251956033</v>
      </c>
      <c r="M100" s="41" t="e">
        <f t="shared" si="3"/>
        <v>#DIV/0!</v>
      </c>
    </row>
    <row r="101" spans="1:13" ht="12.5">
      <c r="A101" s="40">
        <v>45261</v>
      </c>
      <c r="B101" s="40">
        <f t="shared" si="0"/>
        <v>45261</v>
      </c>
      <c r="C101" s="5">
        <f>'Índice salarios (INDEC)'!C104</f>
        <v>2648.87</v>
      </c>
      <c r="D101" s="5">
        <f>'Índice salarios (INDEC)'!D104</f>
        <v>2374.02</v>
      </c>
      <c r="E101" s="5">
        <f>'Índice salarios (INDEC)'!F104</f>
        <v>1555.65</v>
      </c>
      <c r="F101" s="7">
        <f>'Índice salarios (INDEC)'!H104</f>
        <v>70332.509999999995</v>
      </c>
      <c r="G101" s="13"/>
      <c r="J101" s="12">
        <f t="shared" ref="J101:L101" si="101">(C101/$F101)/(C$15/$F$15)</f>
        <v>0.73009110027496527</v>
      </c>
      <c r="K101" s="12">
        <f t="shared" si="101"/>
        <v>0.65433595226446484</v>
      </c>
      <c r="L101" s="12">
        <f t="shared" si="101"/>
        <v>0.42877386211582669</v>
      </c>
      <c r="M101" s="42" t="str">
        <f t="shared" ref="M101:M103" si="102">IF(H101="","",(H101/$F100)/(H$15/$F$15))</f>
        <v/>
      </c>
    </row>
    <row r="102" spans="1:13" ht="12.5">
      <c r="A102" s="40">
        <v>45292</v>
      </c>
      <c r="B102" s="40">
        <f t="shared" si="0"/>
        <v>45292</v>
      </c>
      <c r="C102" s="5">
        <f>'Índice salarios (INDEC)'!C105</f>
        <v>3178.3</v>
      </c>
      <c r="D102" s="5">
        <f>'Índice salarios (INDEC)'!D105</f>
        <v>2660.9</v>
      </c>
      <c r="E102" s="5">
        <f>'Índice salarios (INDEC)'!F105</f>
        <v>1730.5</v>
      </c>
      <c r="F102" s="7">
        <f>'Índice salarios (INDEC)'!H105</f>
        <v>84821.01</v>
      </c>
      <c r="G102" s="13"/>
      <c r="J102" s="42">
        <f t="shared" ref="J102:L102" si="103">IF(C102="","",(C102/$F101)/(C$15/$F$15))</f>
        <v>0.87601450580961782</v>
      </c>
      <c r="K102" s="42">
        <f t="shared" si="103"/>
        <v>0.73340685225082969</v>
      </c>
      <c r="L102" s="42">
        <f t="shared" si="103"/>
        <v>0.47696664956220103</v>
      </c>
      <c r="M102" s="42" t="str">
        <f t="shared" si="102"/>
        <v/>
      </c>
    </row>
    <row r="103" spans="1:13" ht="12.5">
      <c r="A103" s="40">
        <v>45323</v>
      </c>
      <c r="B103" s="40">
        <f t="shared" si="0"/>
        <v>45323</v>
      </c>
      <c r="C103" s="5">
        <f>'Índice salarios (INDEC)'!C106</f>
        <v>3625.4</v>
      </c>
      <c r="D103" s="5">
        <f>'Índice salarios (INDEC)'!D106</f>
        <v>3062.8</v>
      </c>
      <c r="E103" s="5">
        <f>'Índice salarios (INDEC)'!F106</f>
        <v>1829.4</v>
      </c>
      <c r="F103" s="7">
        <f>'Índice salarios (INDEC)'!H106</f>
        <v>96017.383319999979</v>
      </c>
      <c r="G103" s="13"/>
      <c r="J103" s="42">
        <f t="shared" ref="J103:L103" si="104">IF(C103="","",(C103/$F102)/(C$15/$F$15))</f>
        <v>0.82856201099232385</v>
      </c>
      <c r="K103" s="42">
        <f t="shared" si="104"/>
        <v>0.69998337487374895</v>
      </c>
      <c r="L103" s="42">
        <f t="shared" si="104"/>
        <v>0.41809768381678075</v>
      </c>
      <c r="M103" s="42" t="str">
        <f t="shared" si="102"/>
        <v/>
      </c>
    </row>
    <row r="104" spans="1:13" ht="12.5">
      <c r="A104" s="40">
        <v>45352</v>
      </c>
      <c r="B104" s="40">
        <f t="shared" si="0"/>
        <v>45352</v>
      </c>
      <c r="C104" s="5">
        <f>'Índice salarios (INDEC)'!C107</f>
        <v>3987.5</v>
      </c>
      <c r="D104" s="5">
        <f>'Índice salarios (INDEC)'!D107</f>
        <v>3400.5</v>
      </c>
      <c r="E104" s="5">
        <f>'Índice salarios (INDEC)'!F107</f>
        <v>2007.7</v>
      </c>
      <c r="F104" s="7">
        <f>'Índice salarios (INDEC)'!H107</f>
        <v>106579.29548519998</v>
      </c>
      <c r="G104" s="13"/>
      <c r="J104" s="42">
        <f t="shared" ref="J104:L104" si="105">IF(C104="","",(C104/$F104)/(C$15/$F$15))</f>
        <v>0.72527110822133389</v>
      </c>
      <c r="K104" s="42">
        <f t="shared" si="105"/>
        <v>0.6185039256442999</v>
      </c>
      <c r="L104" s="42">
        <f t="shared" si="105"/>
        <v>0.36517286620087069</v>
      </c>
      <c r="M104" s="42" t="str">
        <f t="shared" ref="M104:M183" si="106">IF(H104="","",(H104/$F104)/(H$15/$F$15))</f>
        <v/>
      </c>
    </row>
    <row r="105" spans="1:13" ht="12.5">
      <c r="A105" s="40">
        <v>45383</v>
      </c>
      <c r="B105" s="40">
        <f t="shared" si="0"/>
        <v>45383</v>
      </c>
      <c r="C105" s="5">
        <f>'Índice salarios (INDEC)'!C108</f>
        <v>4464.6000000000004</v>
      </c>
      <c r="D105" s="5">
        <f>'Índice salarios (INDEC)'!D108</f>
        <v>3656.1</v>
      </c>
      <c r="E105" s="5">
        <f>'Índice salarios (INDEC)'!F108</f>
        <v>2163.8000000000002</v>
      </c>
      <c r="F105" s="7">
        <f>'Índice salarios (INDEC)'!H108</f>
        <v>115958.27348789759</v>
      </c>
      <c r="G105" s="13"/>
      <c r="J105" s="42">
        <f t="shared" ref="J105:L105" si="107">IF(C105="","",(C105/$F105)/(C$15/$F$15))</f>
        <v>0.74636856669854479</v>
      </c>
      <c r="K105" s="42">
        <f t="shared" si="107"/>
        <v>0.61120774911672937</v>
      </c>
      <c r="L105" s="42">
        <f t="shared" si="107"/>
        <v>0.36173281024555648</v>
      </c>
      <c r="M105" s="42" t="str">
        <f t="shared" si="106"/>
        <v/>
      </c>
    </row>
    <row r="106" spans="1:13" ht="12.5">
      <c r="A106" s="40">
        <v>45413</v>
      </c>
      <c r="B106" s="40">
        <f t="shared" si="0"/>
        <v>45413</v>
      </c>
      <c r="C106" s="5">
        <f>'Índice salarios (INDEC)'!C109</f>
        <v>4807.3</v>
      </c>
      <c r="D106" s="5">
        <f>'Índice salarios (INDEC)'!D109</f>
        <v>3957.9</v>
      </c>
      <c r="E106" s="5">
        <f>'Índice salarios (INDEC)'!F109</f>
        <v>2419.1999999999998</v>
      </c>
      <c r="F106" s="7">
        <f>'Índice salarios (INDEC)'!H109</f>
        <v>120828.52097438929</v>
      </c>
      <c r="G106" s="13"/>
      <c r="J106" s="42">
        <f t="shared" ref="J106:L106" si="108">IF(C106="","",(C106/$F106)/(C$15/$F$15))</f>
        <v>0.77126618730814944</v>
      </c>
      <c r="K106" s="42">
        <f t="shared" si="108"/>
        <v>0.6349914593944469</v>
      </c>
      <c r="L106" s="42">
        <f t="shared" si="108"/>
        <v>0.38812788058491771</v>
      </c>
      <c r="M106" s="42" t="str">
        <f t="shared" si="106"/>
        <v/>
      </c>
    </row>
    <row r="107" spans="1:13" ht="12.5">
      <c r="A107" s="40">
        <v>45444</v>
      </c>
      <c r="B107" s="40">
        <f t="shared" si="0"/>
        <v>45444</v>
      </c>
      <c r="C107" s="5">
        <f>'Índice salarios (INDEC)'!C110</f>
        <v>5129</v>
      </c>
      <c r="D107" s="5">
        <f>'Índice salarios (INDEC)'!D110</f>
        <v>4114</v>
      </c>
      <c r="E107" s="5">
        <f>'Índice salarios (INDEC)'!F110</f>
        <v>2642.1</v>
      </c>
      <c r="F107" s="7">
        <f>'Índice salarios (INDEC)'!H110</f>
        <v>126386.63293921121</v>
      </c>
      <c r="G107" s="13"/>
      <c r="J107" s="42">
        <f t="shared" ref="J107:L107" si="109">IF(C107="","",(C107/$F107)/(C$15/$F$15))</f>
        <v>0.78669081838600741</v>
      </c>
      <c r="K107" s="42">
        <f t="shared" si="109"/>
        <v>0.6310091688126408</v>
      </c>
      <c r="L107" s="42">
        <f t="shared" si="109"/>
        <v>0.40524776979092808</v>
      </c>
      <c r="M107" s="42" t="str">
        <f t="shared" si="106"/>
        <v/>
      </c>
    </row>
    <row r="108" spans="1:13" ht="12.5">
      <c r="A108" s="40">
        <v>45474</v>
      </c>
      <c r="B108" s="5">
        <f t="shared" si="0"/>
        <v>45474</v>
      </c>
      <c r="C108" s="5">
        <f>'Índice salarios (INDEC)'!C111</f>
        <v>0</v>
      </c>
      <c r="D108" s="5">
        <f>'Índice salarios (INDEC)'!D111</f>
        <v>0</v>
      </c>
      <c r="E108" s="5">
        <f>'Índice salarios (INDEC)'!F111</f>
        <v>0</v>
      </c>
      <c r="F108" s="7">
        <f>'Índice salarios (INDEC)'!H111</f>
        <v>0</v>
      </c>
      <c r="G108" s="13"/>
      <c r="J108" s="42" t="e">
        <f t="shared" ref="J108:L108" si="110">IF(C108="","",(C108/$F108)/(C$15/$F$15))</f>
        <v>#DIV/0!</v>
      </c>
      <c r="K108" s="42" t="e">
        <f t="shared" si="110"/>
        <v>#DIV/0!</v>
      </c>
      <c r="L108" s="42" t="e">
        <f t="shared" si="110"/>
        <v>#DIV/0!</v>
      </c>
      <c r="M108" s="42" t="str">
        <f t="shared" si="106"/>
        <v/>
      </c>
    </row>
    <row r="109" spans="1:13" ht="12.5">
      <c r="A109" s="40">
        <v>45505</v>
      </c>
      <c r="B109" s="5">
        <f t="shared" si="0"/>
        <v>45505</v>
      </c>
      <c r="C109" s="5">
        <f>'Índice salarios (INDEC)'!C112</f>
        <v>0</v>
      </c>
      <c r="D109" s="5">
        <f>'Índice salarios (INDEC)'!D112</f>
        <v>0</v>
      </c>
      <c r="E109" s="5">
        <f>'Índice salarios (INDEC)'!F112</f>
        <v>0</v>
      </c>
      <c r="F109" s="7">
        <f>'Índice salarios (INDEC)'!H112</f>
        <v>0</v>
      </c>
      <c r="G109" s="13"/>
      <c r="J109" s="42" t="e">
        <f t="shared" ref="J109:L109" si="111">IF(C109="","",(C109/$F109)/(C$15/$F$15))</f>
        <v>#DIV/0!</v>
      </c>
      <c r="K109" s="42" t="e">
        <f t="shared" si="111"/>
        <v>#DIV/0!</v>
      </c>
      <c r="L109" s="42" t="e">
        <f t="shared" si="111"/>
        <v>#DIV/0!</v>
      </c>
      <c r="M109" s="42" t="str">
        <f t="shared" si="106"/>
        <v/>
      </c>
    </row>
    <row r="110" spans="1:13" ht="12.5">
      <c r="A110" s="40">
        <v>45536</v>
      </c>
      <c r="B110" s="5">
        <f t="shared" si="0"/>
        <v>45536</v>
      </c>
      <c r="C110" s="5">
        <f>'Índice salarios (INDEC)'!C113</f>
        <v>0</v>
      </c>
      <c r="D110" s="5">
        <f>'Índice salarios (INDEC)'!D113</f>
        <v>0</v>
      </c>
      <c r="E110" s="5">
        <f>'Índice salarios (INDEC)'!F113</f>
        <v>0</v>
      </c>
      <c r="F110" s="7">
        <f>'Índice salarios (INDEC)'!H113</f>
        <v>0</v>
      </c>
      <c r="G110" s="13"/>
      <c r="J110" s="42" t="e">
        <f t="shared" ref="J110:L110" si="112">IF(C110="","",(C110/$F110)/(C$15/$F$15))</f>
        <v>#DIV/0!</v>
      </c>
      <c r="K110" s="42" t="e">
        <f t="shared" si="112"/>
        <v>#DIV/0!</v>
      </c>
      <c r="L110" s="42" t="e">
        <f t="shared" si="112"/>
        <v>#DIV/0!</v>
      </c>
      <c r="M110" s="42" t="str">
        <f t="shared" si="106"/>
        <v/>
      </c>
    </row>
    <row r="111" spans="1:13" ht="12.5">
      <c r="A111" s="40">
        <v>45566</v>
      </c>
      <c r="B111" s="5">
        <f t="shared" si="0"/>
        <v>45566</v>
      </c>
      <c r="C111" s="5">
        <f>'Índice salarios (INDEC)'!C114</f>
        <v>0</v>
      </c>
      <c r="D111" s="5">
        <f>'Índice salarios (INDEC)'!D114</f>
        <v>0</v>
      </c>
      <c r="E111" s="5">
        <f>'Índice salarios (INDEC)'!F114</f>
        <v>0</v>
      </c>
      <c r="F111" s="7">
        <f>'Índice salarios (INDEC)'!H114</f>
        <v>0</v>
      </c>
      <c r="G111" s="13"/>
      <c r="J111" s="42" t="e">
        <f t="shared" ref="J111:L111" si="113">IF(C111="","",(C111/$F111)/(C$15/$F$15))</f>
        <v>#DIV/0!</v>
      </c>
      <c r="K111" s="42" t="e">
        <f t="shared" si="113"/>
        <v>#DIV/0!</v>
      </c>
      <c r="L111" s="42" t="e">
        <f t="shared" si="113"/>
        <v>#DIV/0!</v>
      </c>
      <c r="M111" s="42" t="str">
        <f t="shared" si="106"/>
        <v/>
      </c>
    </row>
    <row r="112" spans="1:13" ht="12.5">
      <c r="A112" s="40">
        <v>45597</v>
      </c>
      <c r="B112" s="5">
        <f t="shared" si="0"/>
        <v>45597</v>
      </c>
      <c r="C112" s="5">
        <f>'Índice salarios (INDEC)'!C115</f>
        <v>0</v>
      </c>
      <c r="D112" s="5">
        <f>'Índice salarios (INDEC)'!D115</f>
        <v>0</v>
      </c>
      <c r="E112" s="5">
        <f>'Índice salarios (INDEC)'!F115</f>
        <v>0</v>
      </c>
      <c r="F112" s="7">
        <f>'Índice salarios (INDEC)'!H115</f>
        <v>0</v>
      </c>
      <c r="G112" s="13"/>
      <c r="J112" s="42" t="e">
        <f t="shared" ref="J112:L112" si="114">IF(C112="","",(C112/$F112)/(C$15/$F$15))</f>
        <v>#DIV/0!</v>
      </c>
      <c r="K112" s="42" t="e">
        <f t="shared" si="114"/>
        <v>#DIV/0!</v>
      </c>
      <c r="L112" s="42" t="e">
        <f t="shared" si="114"/>
        <v>#DIV/0!</v>
      </c>
      <c r="M112" s="42" t="str">
        <f t="shared" si="106"/>
        <v/>
      </c>
    </row>
    <row r="113" spans="1:13" ht="12.5">
      <c r="A113" s="40">
        <v>45627</v>
      </c>
      <c r="B113" s="5">
        <f t="shared" si="0"/>
        <v>45627</v>
      </c>
      <c r="C113" s="5">
        <f>'Índice salarios (INDEC)'!C116</f>
        <v>0</v>
      </c>
      <c r="D113" s="5">
        <f>'Índice salarios (INDEC)'!D116</f>
        <v>0</v>
      </c>
      <c r="E113" s="5">
        <f>'Índice salarios (INDEC)'!F116</f>
        <v>0</v>
      </c>
      <c r="F113" s="7">
        <f>'Índice salarios (INDEC)'!H116</f>
        <v>0</v>
      </c>
      <c r="G113" s="13"/>
      <c r="J113" s="42" t="e">
        <f t="shared" ref="J113:L113" si="115">IF(C113="","",(C113/$F113)/(C$15/$F$15))</f>
        <v>#DIV/0!</v>
      </c>
      <c r="K113" s="42" t="e">
        <f t="shared" si="115"/>
        <v>#DIV/0!</v>
      </c>
      <c r="L113" s="42" t="e">
        <f t="shared" si="115"/>
        <v>#DIV/0!</v>
      </c>
      <c r="M113" s="42" t="str">
        <f t="shared" si="106"/>
        <v/>
      </c>
    </row>
    <row r="114" spans="1:13" ht="12.5">
      <c r="A114" s="40">
        <v>45658</v>
      </c>
      <c r="B114" s="5">
        <f t="shared" si="0"/>
        <v>45658</v>
      </c>
      <c r="C114" s="5">
        <f>'Índice salarios (INDEC)'!C117</f>
        <v>0</v>
      </c>
      <c r="D114" s="5">
        <f>'Índice salarios (INDEC)'!D117</f>
        <v>0</v>
      </c>
      <c r="E114" s="5">
        <f>'Índice salarios (INDEC)'!F117</f>
        <v>0</v>
      </c>
      <c r="F114" s="7">
        <f>'Índice salarios (INDEC)'!H117</f>
        <v>0</v>
      </c>
      <c r="G114" s="13"/>
      <c r="J114" s="42" t="e">
        <f t="shared" ref="J114:L114" si="116">IF(C114="","",(C114/$F114)/(C$15/$F$15))</f>
        <v>#DIV/0!</v>
      </c>
      <c r="K114" s="42" t="e">
        <f t="shared" si="116"/>
        <v>#DIV/0!</v>
      </c>
      <c r="L114" s="42" t="e">
        <f t="shared" si="116"/>
        <v>#DIV/0!</v>
      </c>
      <c r="M114" s="42" t="str">
        <f t="shared" si="106"/>
        <v/>
      </c>
    </row>
    <row r="115" spans="1:13" ht="12.5">
      <c r="A115" s="40">
        <v>45689</v>
      </c>
      <c r="B115" s="5">
        <f t="shared" si="0"/>
        <v>45689</v>
      </c>
      <c r="C115" s="5">
        <f>'Índice salarios (INDEC)'!C118</f>
        <v>0</v>
      </c>
      <c r="D115" s="5">
        <f>'Índice salarios (INDEC)'!D118</f>
        <v>0</v>
      </c>
      <c r="E115" s="5">
        <f>'Índice salarios (INDEC)'!F118</f>
        <v>0</v>
      </c>
      <c r="F115" s="7">
        <f>'Índice salarios (INDEC)'!H118</f>
        <v>0</v>
      </c>
      <c r="G115" s="13"/>
      <c r="J115" s="42" t="e">
        <f t="shared" ref="J115:L115" si="117">IF(C115="","",(C115/$F115)/(C$15/$F$15))</f>
        <v>#DIV/0!</v>
      </c>
      <c r="K115" s="42" t="e">
        <f t="shared" si="117"/>
        <v>#DIV/0!</v>
      </c>
      <c r="L115" s="42" t="e">
        <f t="shared" si="117"/>
        <v>#DIV/0!</v>
      </c>
      <c r="M115" s="42" t="str">
        <f t="shared" si="106"/>
        <v/>
      </c>
    </row>
    <row r="116" spans="1:13" ht="12.5">
      <c r="A116" s="40">
        <v>45717</v>
      </c>
      <c r="B116" s="5">
        <f t="shared" si="0"/>
        <v>45717</v>
      </c>
      <c r="C116" s="5">
        <f>'Índice salarios (INDEC)'!C119</f>
        <v>0</v>
      </c>
      <c r="D116" s="5">
        <f>'Índice salarios (INDEC)'!D119</f>
        <v>0</v>
      </c>
      <c r="E116" s="5">
        <f>'Índice salarios (INDEC)'!F119</f>
        <v>0</v>
      </c>
      <c r="F116" s="7">
        <f>'Índice salarios (INDEC)'!H119</f>
        <v>0</v>
      </c>
      <c r="G116" s="13"/>
      <c r="J116" s="42" t="e">
        <f t="shared" ref="J116:L116" si="118">IF(C116="","",(C116/$F116)/(C$15/$F$15))</f>
        <v>#DIV/0!</v>
      </c>
      <c r="K116" s="42" t="e">
        <f t="shared" si="118"/>
        <v>#DIV/0!</v>
      </c>
      <c r="L116" s="42" t="e">
        <f t="shared" si="118"/>
        <v>#DIV/0!</v>
      </c>
      <c r="M116" s="42" t="str">
        <f t="shared" si="106"/>
        <v/>
      </c>
    </row>
    <row r="117" spans="1:13" ht="12.5">
      <c r="A117" s="40">
        <v>45748</v>
      </c>
      <c r="B117" s="5">
        <f t="shared" si="0"/>
        <v>45748</v>
      </c>
      <c r="C117" s="5">
        <f>'Índice salarios (INDEC)'!C120</f>
        <v>0</v>
      </c>
      <c r="D117" s="5">
        <f>'Índice salarios (INDEC)'!D120</f>
        <v>0</v>
      </c>
      <c r="E117" s="5">
        <f>'Índice salarios (INDEC)'!F120</f>
        <v>0</v>
      </c>
      <c r="F117" s="7">
        <f>'Índice salarios (INDEC)'!H120</f>
        <v>0</v>
      </c>
      <c r="G117" s="13"/>
      <c r="J117" s="42" t="e">
        <f t="shared" ref="J117:L117" si="119">IF(C117="","",(C117/$F117)/(C$15/$F$15))</f>
        <v>#DIV/0!</v>
      </c>
      <c r="K117" s="42" t="e">
        <f t="shared" si="119"/>
        <v>#DIV/0!</v>
      </c>
      <c r="L117" s="42" t="e">
        <f t="shared" si="119"/>
        <v>#DIV/0!</v>
      </c>
      <c r="M117" s="42" t="str">
        <f t="shared" si="106"/>
        <v/>
      </c>
    </row>
    <row r="118" spans="1:13" ht="12.5">
      <c r="A118" s="40">
        <v>45778</v>
      </c>
      <c r="B118" s="5">
        <f t="shared" si="0"/>
        <v>45778</v>
      </c>
      <c r="C118" s="5">
        <f>'Índice salarios (INDEC)'!C121</f>
        <v>0</v>
      </c>
      <c r="D118" s="5">
        <f>'Índice salarios (INDEC)'!D121</f>
        <v>0</v>
      </c>
      <c r="E118" s="5">
        <f>'Índice salarios (INDEC)'!F121</f>
        <v>0</v>
      </c>
      <c r="F118" s="7">
        <f>'Índice salarios (INDEC)'!H121</f>
        <v>0</v>
      </c>
      <c r="G118" s="13"/>
      <c r="J118" s="42" t="e">
        <f t="shared" ref="J118:L118" si="120">IF(C118="","",(C118/$F118)/(C$15/$F$15))</f>
        <v>#DIV/0!</v>
      </c>
      <c r="K118" s="42" t="e">
        <f t="shared" si="120"/>
        <v>#DIV/0!</v>
      </c>
      <c r="L118" s="42" t="e">
        <f t="shared" si="120"/>
        <v>#DIV/0!</v>
      </c>
      <c r="M118" s="42" t="str">
        <f t="shared" si="106"/>
        <v/>
      </c>
    </row>
    <row r="119" spans="1:13" ht="12.5">
      <c r="A119" s="40">
        <v>45809</v>
      </c>
      <c r="B119" s="5">
        <f t="shared" si="0"/>
        <v>45809</v>
      </c>
      <c r="C119" s="5">
        <f>'Índice salarios (INDEC)'!C122</f>
        <v>0</v>
      </c>
      <c r="D119" s="5">
        <f>'Índice salarios (INDEC)'!D122</f>
        <v>0</v>
      </c>
      <c r="E119" s="5">
        <f>'Índice salarios (INDEC)'!F122</f>
        <v>0</v>
      </c>
      <c r="F119" s="7">
        <f>'Índice salarios (INDEC)'!H122</f>
        <v>0</v>
      </c>
      <c r="G119" s="13"/>
      <c r="J119" s="42" t="e">
        <f t="shared" ref="J119:L119" si="121">IF(C119="","",(C119/$F119)/(C$15/$F$15))</f>
        <v>#DIV/0!</v>
      </c>
      <c r="K119" s="42" t="e">
        <f t="shared" si="121"/>
        <v>#DIV/0!</v>
      </c>
      <c r="L119" s="42" t="e">
        <f t="shared" si="121"/>
        <v>#DIV/0!</v>
      </c>
      <c r="M119" s="42" t="str">
        <f t="shared" si="106"/>
        <v/>
      </c>
    </row>
    <row r="120" spans="1:13" ht="12.5">
      <c r="A120" s="40">
        <v>45839</v>
      </c>
      <c r="B120" s="5">
        <f t="shared" si="0"/>
        <v>45839</v>
      </c>
      <c r="C120" s="5">
        <f>'Índice salarios (INDEC)'!C123</f>
        <v>0</v>
      </c>
      <c r="D120" s="5">
        <f>'Índice salarios (INDEC)'!D123</f>
        <v>0</v>
      </c>
      <c r="E120" s="5">
        <f>'Índice salarios (INDEC)'!F123</f>
        <v>0</v>
      </c>
      <c r="F120" s="7">
        <f>'Índice salarios (INDEC)'!H123</f>
        <v>0</v>
      </c>
      <c r="G120" s="13"/>
      <c r="J120" s="42" t="e">
        <f t="shared" ref="J120:L120" si="122">IF(C120="","",(C120/$F120)/(C$15/$F$15))</f>
        <v>#DIV/0!</v>
      </c>
      <c r="K120" s="42" t="e">
        <f t="shared" si="122"/>
        <v>#DIV/0!</v>
      </c>
      <c r="L120" s="42" t="e">
        <f t="shared" si="122"/>
        <v>#DIV/0!</v>
      </c>
      <c r="M120" s="42" t="str">
        <f t="shared" si="106"/>
        <v/>
      </c>
    </row>
    <row r="121" spans="1:13" ht="12.5">
      <c r="A121" s="40">
        <v>45870</v>
      </c>
      <c r="B121" s="5">
        <f t="shared" si="0"/>
        <v>45870</v>
      </c>
      <c r="C121" s="5">
        <f>'Índice salarios (INDEC)'!C124</f>
        <v>0</v>
      </c>
      <c r="D121" s="5">
        <f>'Índice salarios (INDEC)'!D124</f>
        <v>0</v>
      </c>
      <c r="E121" s="5">
        <f>'Índice salarios (INDEC)'!F124</f>
        <v>0</v>
      </c>
      <c r="F121" s="7">
        <f>'Índice salarios (INDEC)'!H124</f>
        <v>0</v>
      </c>
      <c r="G121" s="13"/>
      <c r="J121" s="42" t="e">
        <f t="shared" ref="J121:L121" si="123">IF(C121="","",(C121/$F121)/(C$15/$F$15))</f>
        <v>#DIV/0!</v>
      </c>
      <c r="K121" s="42" t="e">
        <f t="shared" si="123"/>
        <v>#DIV/0!</v>
      </c>
      <c r="L121" s="42" t="e">
        <f t="shared" si="123"/>
        <v>#DIV/0!</v>
      </c>
      <c r="M121" s="42" t="str">
        <f t="shared" si="106"/>
        <v/>
      </c>
    </row>
    <row r="122" spans="1:13" ht="12.5">
      <c r="A122" s="40">
        <v>45901</v>
      </c>
      <c r="B122" s="5">
        <f t="shared" si="0"/>
        <v>45901</v>
      </c>
      <c r="C122" s="5">
        <f>'Índice salarios (INDEC)'!C125</f>
        <v>0</v>
      </c>
      <c r="D122" s="5">
        <f>'Índice salarios (INDEC)'!D125</f>
        <v>0</v>
      </c>
      <c r="E122" s="5">
        <f>'Índice salarios (INDEC)'!F125</f>
        <v>0</v>
      </c>
      <c r="F122" s="7">
        <f>'Índice salarios (INDEC)'!H125</f>
        <v>0</v>
      </c>
      <c r="G122" s="13"/>
      <c r="J122" s="42" t="e">
        <f t="shared" ref="J122:L122" si="124">IF(C122="","",(C122/$F122)/(C$15/$F$15))</f>
        <v>#DIV/0!</v>
      </c>
      <c r="K122" s="42" t="e">
        <f t="shared" si="124"/>
        <v>#DIV/0!</v>
      </c>
      <c r="L122" s="42" t="e">
        <f t="shared" si="124"/>
        <v>#DIV/0!</v>
      </c>
      <c r="M122" s="42" t="str">
        <f t="shared" si="106"/>
        <v/>
      </c>
    </row>
    <row r="123" spans="1:13" ht="12.5">
      <c r="A123" s="40">
        <v>45931</v>
      </c>
      <c r="B123" s="5">
        <f t="shared" si="0"/>
        <v>45931</v>
      </c>
      <c r="C123" s="5">
        <f>'Índice salarios (INDEC)'!C126</f>
        <v>0</v>
      </c>
      <c r="D123" s="5">
        <f>'Índice salarios (INDEC)'!D126</f>
        <v>0</v>
      </c>
      <c r="E123" s="5">
        <f>'Índice salarios (INDEC)'!F126</f>
        <v>0</v>
      </c>
      <c r="F123" s="7">
        <f>'Índice salarios (INDEC)'!H126</f>
        <v>0</v>
      </c>
      <c r="G123" s="13"/>
      <c r="J123" s="42" t="e">
        <f t="shared" ref="J123:L123" si="125">IF(C123="","",(C123/$F123)/(C$15/$F$15))</f>
        <v>#DIV/0!</v>
      </c>
      <c r="K123" s="42" t="e">
        <f t="shared" si="125"/>
        <v>#DIV/0!</v>
      </c>
      <c r="L123" s="42" t="e">
        <f t="shared" si="125"/>
        <v>#DIV/0!</v>
      </c>
      <c r="M123" s="42" t="str">
        <f t="shared" si="106"/>
        <v/>
      </c>
    </row>
    <row r="124" spans="1:13" ht="12.5">
      <c r="A124" s="40">
        <v>45962</v>
      </c>
      <c r="B124" s="5">
        <f t="shared" si="0"/>
        <v>45962</v>
      </c>
      <c r="C124" s="5">
        <f>'Índice salarios (INDEC)'!C127</f>
        <v>0</v>
      </c>
      <c r="D124" s="5">
        <f>'Índice salarios (INDEC)'!D127</f>
        <v>0</v>
      </c>
      <c r="E124" s="5">
        <f>'Índice salarios (INDEC)'!F127</f>
        <v>0</v>
      </c>
      <c r="F124" s="7">
        <f>'Índice salarios (INDEC)'!H127</f>
        <v>0</v>
      </c>
      <c r="G124" s="13"/>
      <c r="J124" s="42" t="e">
        <f t="shared" ref="J124:L124" si="126">IF(C124="","",(C124/$F124)/(C$15/$F$15))</f>
        <v>#DIV/0!</v>
      </c>
      <c r="K124" s="42" t="e">
        <f t="shared" si="126"/>
        <v>#DIV/0!</v>
      </c>
      <c r="L124" s="42" t="e">
        <f t="shared" si="126"/>
        <v>#DIV/0!</v>
      </c>
      <c r="M124" s="42" t="str">
        <f t="shared" si="106"/>
        <v/>
      </c>
    </row>
    <row r="125" spans="1:13" ht="12.5">
      <c r="A125" s="40">
        <v>45992</v>
      </c>
      <c r="B125" s="5">
        <f t="shared" si="0"/>
        <v>45992</v>
      </c>
      <c r="C125" s="5">
        <f>'Índice salarios (INDEC)'!C128</f>
        <v>0</v>
      </c>
      <c r="D125" s="5">
        <f>'Índice salarios (INDEC)'!D128</f>
        <v>0</v>
      </c>
      <c r="E125" s="5">
        <f>'Índice salarios (INDEC)'!F128</f>
        <v>0</v>
      </c>
      <c r="F125" s="7">
        <f>'Índice salarios (INDEC)'!H128</f>
        <v>0</v>
      </c>
      <c r="G125" s="13"/>
      <c r="J125" s="42" t="e">
        <f t="shared" ref="J125:L125" si="127">IF(C125="","",(C125/$F125)/(C$15/$F$15))</f>
        <v>#DIV/0!</v>
      </c>
      <c r="K125" s="42" t="e">
        <f t="shared" si="127"/>
        <v>#DIV/0!</v>
      </c>
      <c r="L125" s="42" t="e">
        <f t="shared" si="127"/>
        <v>#DIV/0!</v>
      </c>
      <c r="M125" s="42" t="str">
        <f t="shared" si="106"/>
        <v/>
      </c>
    </row>
    <row r="126" spans="1:13" ht="12.5">
      <c r="A126" s="40">
        <v>46023</v>
      </c>
      <c r="B126" s="5">
        <f t="shared" si="0"/>
        <v>46023</v>
      </c>
      <c r="C126" s="5">
        <f>'Índice salarios (INDEC)'!C129</f>
        <v>0</v>
      </c>
      <c r="D126" s="5">
        <f>'Índice salarios (INDEC)'!D129</f>
        <v>0</v>
      </c>
      <c r="E126" s="5">
        <f>'Índice salarios (INDEC)'!F129</f>
        <v>0</v>
      </c>
      <c r="F126" s="7">
        <f>'Índice salarios (INDEC)'!H129</f>
        <v>0</v>
      </c>
      <c r="G126" s="13"/>
      <c r="J126" s="42" t="e">
        <f t="shared" ref="J126:L126" si="128">IF(C126="","",(C126/$F126)/(C$15/$F$15))</f>
        <v>#DIV/0!</v>
      </c>
      <c r="K126" s="42" t="e">
        <f t="shared" si="128"/>
        <v>#DIV/0!</v>
      </c>
      <c r="L126" s="42" t="e">
        <f t="shared" si="128"/>
        <v>#DIV/0!</v>
      </c>
      <c r="M126" s="42" t="str">
        <f t="shared" si="106"/>
        <v/>
      </c>
    </row>
    <row r="127" spans="1:13" ht="12.5">
      <c r="A127" s="40">
        <v>46054</v>
      </c>
      <c r="B127" s="5">
        <f t="shared" si="0"/>
        <v>46054</v>
      </c>
      <c r="C127" s="5">
        <f>'Índice salarios (INDEC)'!C130</f>
        <v>0</v>
      </c>
      <c r="D127" s="5">
        <f>'Índice salarios (INDEC)'!D130</f>
        <v>0</v>
      </c>
      <c r="E127" s="5">
        <f>'Índice salarios (INDEC)'!F130</f>
        <v>0</v>
      </c>
      <c r="F127" s="7">
        <f>'Índice salarios (INDEC)'!H130</f>
        <v>0</v>
      </c>
      <c r="G127" s="13"/>
      <c r="J127" s="42" t="e">
        <f t="shared" ref="J127:L127" si="129">IF(C127="","",(C127/$F127)/(C$15/$F$15))</f>
        <v>#DIV/0!</v>
      </c>
      <c r="K127" s="42" t="e">
        <f t="shared" si="129"/>
        <v>#DIV/0!</v>
      </c>
      <c r="L127" s="42" t="e">
        <f t="shared" si="129"/>
        <v>#DIV/0!</v>
      </c>
      <c r="M127" s="42" t="str">
        <f t="shared" si="106"/>
        <v/>
      </c>
    </row>
    <row r="128" spans="1:13" ht="12.5">
      <c r="A128" s="40">
        <v>46082</v>
      </c>
      <c r="B128" s="5">
        <f t="shared" si="0"/>
        <v>46082</v>
      </c>
      <c r="C128" s="5">
        <f>'Índice salarios (INDEC)'!C131</f>
        <v>0</v>
      </c>
      <c r="D128" s="5">
        <f>'Índice salarios (INDEC)'!D131</f>
        <v>0</v>
      </c>
      <c r="E128" s="5">
        <f>'Índice salarios (INDEC)'!F131</f>
        <v>0</v>
      </c>
      <c r="F128" s="7">
        <f>'Índice salarios (INDEC)'!H131</f>
        <v>0</v>
      </c>
      <c r="G128" s="13"/>
      <c r="J128" s="42" t="e">
        <f t="shared" ref="J128:L128" si="130">IF(C128="","",(C128/$F128)/(C$15/$F$15))</f>
        <v>#DIV/0!</v>
      </c>
      <c r="K128" s="42" t="e">
        <f t="shared" si="130"/>
        <v>#DIV/0!</v>
      </c>
      <c r="L128" s="42" t="e">
        <f t="shared" si="130"/>
        <v>#DIV/0!</v>
      </c>
      <c r="M128" s="42" t="str">
        <f t="shared" si="106"/>
        <v/>
      </c>
    </row>
    <row r="129" spans="1:13" ht="12.5">
      <c r="A129" s="40">
        <v>46113</v>
      </c>
      <c r="B129" s="5">
        <f t="shared" si="0"/>
        <v>46113</v>
      </c>
      <c r="C129" s="5">
        <f>'Índice salarios (INDEC)'!C132</f>
        <v>0</v>
      </c>
      <c r="D129" s="5">
        <f>'Índice salarios (INDEC)'!D132</f>
        <v>0</v>
      </c>
      <c r="E129" s="5">
        <f>'Índice salarios (INDEC)'!F132</f>
        <v>0</v>
      </c>
      <c r="F129" s="7">
        <f>'Índice salarios (INDEC)'!H132</f>
        <v>0</v>
      </c>
      <c r="G129" s="13"/>
      <c r="J129" s="42" t="e">
        <f t="shared" ref="J129:L129" si="131">IF(C129="","",(C129/$F129)/(C$15/$F$15))</f>
        <v>#DIV/0!</v>
      </c>
      <c r="K129" s="42" t="e">
        <f t="shared" si="131"/>
        <v>#DIV/0!</v>
      </c>
      <c r="L129" s="42" t="e">
        <f t="shared" si="131"/>
        <v>#DIV/0!</v>
      </c>
      <c r="M129" s="42" t="str">
        <f t="shared" si="106"/>
        <v/>
      </c>
    </row>
    <row r="130" spans="1:13" ht="12.5">
      <c r="A130" s="40">
        <v>46143</v>
      </c>
      <c r="B130" s="5">
        <f t="shared" si="0"/>
        <v>46143</v>
      </c>
      <c r="C130" s="5">
        <f>'Índice salarios (INDEC)'!C133</f>
        <v>0</v>
      </c>
      <c r="D130" s="5">
        <f>'Índice salarios (INDEC)'!D133</f>
        <v>0</v>
      </c>
      <c r="E130" s="5">
        <f>'Índice salarios (INDEC)'!F133</f>
        <v>0</v>
      </c>
      <c r="F130" s="7">
        <f>'Índice salarios (INDEC)'!H133</f>
        <v>0</v>
      </c>
      <c r="G130" s="13"/>
      <c r="J130" s="42" t="e">
        <f t="shared" ref="J130:L130" si="132">IF(C130="","",(C130/$F130)/(C$15/$F$15))</f>
        <v>#DIV/0!</v>
      </c>
      <c r="K130" s="42" t="e">
        <f t="shared" si="132"/>
        <v>#DIV/0!</v>
      </c>
      <c r="L130" s="42" t="e">
        <f t="shared" si="132"/>
        <v>#DIV/0!</v>
      </c>
      <c r="M130" s="42" t="str">
        <f t="shared" si="106"/>
        <v/>
      </c>
    </row>
    <row r="131" spans="1:13" ht="12.5">
      <c r="A131" s="40">
        <v>46174</v>
      </c>
      <c r="B131" s="5">
        <f t="shared" si="0"/>
        <v>46174</v>
      </c>
      <c r="C131" s="5">
        <f>'Índice salarios (INDEC)'!C134</f>
        <v>0</v>
      </c>
      <c r="D131" s="5">
        <f>'Índice salarios (INDEC)'!D134</f>
        <v>0</v>
      </c>
      <c r="E131" s="5">
        <f>'Índice salarios (INDEC)'!F134</f>
        <v>0</v>
      </c>
      <c r="F131" s="7">
        <f>'Índice salarios (INDEC)'!H134</f>
        <v>0</v>
      </c>
      <c r="G131" s="13"/>
      <c r="J131" s="42" t="e">
        <f t="shared" ref="J131:L131" si="133">IF(C131="","",(C131/$F131)/(C$15/$F$15))</f>
        <v>#DIV/0!</v>
      </c>
      <c r="K131" s="42" t="e">
        <f t="shared" si="133"/>
        <v>#DIV/0!</v>
      </c>
      <c r="L131" s="42" t="e">
        <f t="shared" si="133"/>
        <v>#DIV/0!</v>
      </c>
      <c r="M131" s="42" t="str">
        <f t="shared" si="106"/>
        <v/>
      </c>
    </row>
    <row r="132" spans="1:13" ht="12.5">
      <c r="A132" s="40">
        <v>46204</v>
      </c>
      <c r="B132" s="5">
        <f t="shared" si="0"/>
        <v>46204</v>
      </c>
      <c r="C132" s="5">
        <f>'Índice salarios (INDEC)'!C135</f>
        <v>0</v>
      </c>
      <c r="D132" s="5">
        <f>'Índice salarios (INDEC)'!D135</f>
        <v>0</v>
      </c>
      <c r="E132" s="5">
        <f>'Índice salarios (INDEC)'!F135</f>
        <v>0</v>
      </c>
      <c r="F132" s="7">
        <f>'Índice salarios (INDEC)'!H135</f>
        <v>0</v>
      </c>
      <c r="G132" s="13"/>
      <c r="J132" s="42" t="e">
        <f t="shared" ref="J132:L132" si="134">IF(C132="","",(C132/$F132)/(C$15/$F$15))</f>
        <v>#DIV/0!</v>
      </c>
      <c r="K132" s="42" t="e">
        <f t="shared" si="134"/>
        <v>#DIV/0!</v>
      </c>
      <c r="L132" s="42" t="e">
        <f t="shared" si="134"/>
        <v>#DIV/0!</v>
      </c>
      <c r="M132" s="42" t="str">
        <f t="shared" si="106"/>
        <v/>
      </c>
    </row>
    <row r="133" spans="1:13" ht="12.5">
      <c r="A133" s="40">
        <v>46235</v>
      </c>
      <c r="B133" s="5">
        <f t="shared" si="0"/>
        <v>46235</v>
      </c>
      <c r="C133" s="5">
        <f>'Índice salarios (INDEC)'!C136</f>
        <v>0</v>
      </c>
      <c r="D133" s="5">
        <f>'Índice salarios (INDEC)'!D136</f>
        <v>0</v>
      </c>
      <c r="E133" s="5">
        <f>'Índice salarios (INDEC)'!F136</f>
        <v>0</v>
      </c>
      <c r="F133" s="7">
        <f>'Índice salarios (INDEC)'!H136</f>
        <v>0</v>
      </c>
      <c r="G133" s="13"/>
      <c r="J133" s="42" t="e">
        <f t="shared" ref="J133:L133" si="135">IF(C133="","",(C133/$F133)/(C$15/$F$15))</f>
        <v>#DIV/0!</v>
      </c>
      <c r="K133" s="42" t="e">
        <f t="shared" si="135"/>
        <v>#DIV/0!</v>
      </c>
      <c r="L133" s="42" t="e">
        <f t="shared" si="135"/>
        <v>#DIV/0!</v>
      </c>
      <c r="M133" s="42" t="str">
        <f t="shared" si="106"/>
        <v/>
      </c>
    </row>
    <row r="134" spans="1:13" ht="12.5">
      <c r="A134" s="40">
        <v>46266</v>
      </c>
      <c r="B134" s="5">
        <f t="shared" si="0"/>
        <v>46266</v>
      </c>
      <c r="C134" s="5">
        <f>'Índice salarios (INDEC)'!C137</f>
        <v>0</v>
      </c>
      <c r="D134" s="5">
        <f>'Índice salarios (INDEC)'!D137</f>
        <v>0</v>
      </c>
      <c r="E134" s="5">
        <f>'Índice salarios (INDEC)'!F137</f>
        <v>0</v>
      </c>
      <c r="F134" s="7">
        <f>'Índice salarios (INDEC)'!H137</f>
        <v>0</v>
      </c>
      <c r="G134" s="13"/>
      <c r="J134" s="42" t="e">
        <f t="shared" ref="J134:L134" si="136">IF(C134="","",(C134/$F134)/(C$15/$F$15))</f>
        <v>#DIV/0!</v>
      </c>
      <c r="K134" s="42" t="e">
        <f t="shared" si="136"/>
        <v>#DIV/0!</v>
      </c>
      <c r="L134" s="42" t="e">
        <f t="shared" si="136"/>
        <v>#DIV/0!</v>
      </c>
      <c r="M134" s="42" t="str">
        <f t="shared" si="106"/>
        <v/>
      </c>
    </row>
    <row r="135" spans="1:13" ht="12.5">
      <c r="A135" s="40">
        <v>46296</v>
      </c>
      <c r="B135" s="5">
        <f t="shared" si="0"/>
        <v>46296</v>
      </c>
      <c r="C135" s="5">
        <f>'Índice salarios (INDEC)'!C138</f>
        <v>0</v>
      </c>
      <c r="D135" s="5">
        <f>'Índice salarios (INDEC)'!D138</f>
        <v>0</v>
      </c>
      <c r="E135" s="5">
        <f>'Índice salarios (INDEC)'!F138</f>
        <v>0</v>
      </c>
      <c r="F135" s="7">
        <f>'Índice salarios (INDEC)'!H138</f>
        <v>0</v>
      </c>
      <c r="G135" s="13"/>
      <c r="J135" s="42" t="e">
        <f t="shared" ref="J135:L135" si="137">IF(C135="","",(C135/$F135)/(C$15/$F$15))</f>
        <v>#DIV/0!</v>
      </c>
      <c r="K135" s="42" t="e">
        <f t="shared" si="137"/>
        <v>#DIV/0!</v>
      </c>
      <c r="L135" s="42" t="e">
        <f t="shared" si="137"/>
        <v>#DIV/0!</v>
      </c>
      <c r="M135" s="42" t="str">
        <f t="shared" si="106"/>
        <v/>
      </c>
    </row>
    <row r="136" spans="1:13" ht="12.5">
      <c r="A136" s="40">
        <v>46327</v>
      </c>
      <c r="B136" s="5">
        <f t="shared" si="0"/>
        <v>46327</v>
      </c>
      <c r="C136" s="5">
        <f>'Índice salarios (INDEC)'!C139</f>
        <v>0</v>
      </c>
      <c r="D136" s="5">
        <f>'Índice salarios (INDEC)'!D139</f>
        <v>0</v>
      </c>
      <c r="E136" s="5">
        <f>'Índice salarios (INDEC)'!F139</f>
        <v>0</v>
      </c>
      <c r="F136" s="7">
        <f>'Índice salarios (INDEC)'!H139</f>
        <v>0</v>
      </c>
      <c r="G136" s="13"/>
      <c r="J136" s="42" t="e">
        <f t="shared" ref="J136:L136" si="138">IF(C136="","",(C136/$F136)/(C$15/$F$15))</f>
        <v>#DIV/0!</v>
      </c>
      <c r="K136" s="42" t="e">
        <f t="shared" si="138"/>
        <v>#DIV/0!</v>
      </c>
      <c r="L136" s="42" t="e">
        <f t="shared" si="138"/>
        <v>#DIV/0!</v>
      </c>
      <c r="M136" s="42" t="str">
        <f t="shared" si="106"/>
        <v/>
      </c>
    </row>
    <row r="137" spans="1:13" ht="12.5">
      <c r="A137" s="40">
        <v>46357</v>
      </c>
      <c r="B137" s="5">
        <f t="shared" si="0"/>
        <v>46357</v>
      </c>
      <c r="C137" s="5">
        <f>'Índice salarios (INDEC)'!C140</f>
        <v>0</v>
      </c>
      <c r="D137" s="5">
        <f>'Índice salarios (INDEC)'!D140</f>
        <v>0</v>
      </c>
      <c r="E137" s="5">
        <f>'Índice salarios (INDEC)'!F140</f>
        <v>0</v>
      </c>
      <c r="F137" s="7">
        <f>'Índice salarios (INDEC)'!H140</f>
        <v>0</v>
      </c>
      <c r="G137" s="13"/>
      <c r="J137" s="42" t="e">
        <f t="shared" ref="J137:L137" si="139">IF(C137="","",(C137/$F137)/(C$15/$F$15))</f>
        <v>#DIV/0!</v>
      </c>
      <c r="K137" s="42" t="e">
        <f t="shared" si="139"/>
        <v>#DIV/0!</v>
      </c>
      <c r="L137" s="42" t="e">
        <f t="shared" si="139"/>
        <v>#DIV/0!</v>
      </c>
      <c r="M137" s="42" t="str">
        <f t="shared" si="106"/>
        <v/>
      </c>
    </row>
    <row r="138" spans="1:13" ht="12.5">
      <c r="A138" s="40">
        <v>46388</v>
      </c>
      <c r="B138" s="5">
        <f t="shared" si="0"/>
        <v>46388</v>
      </c>
      <c r="C138" s="5">
        <f>'Índice salarios (INDEC)'!C141</f>
        <v>0</v>
      </c>
      <c r="D138" s="5">
        <f>'Índice salarios (INDEC)'!D141</f>
        <v>0</v>
      </c>
      <c r="E138" s="5">
        <f>'Índice salarios (INDEC)'!F141</f>
        <v>0</v>
      </c>
      <c r="F138" s="7">
        <f>'Índice salarios (INDEC)'!H141</f>
        <v>0</v>
      </c>
      <c r="G138" s="13"/>
      <c r="J138" s="42" t="e">
        <f t="shared" ref="J138:L138" si="140">IF(C138="","",(C138/$F138)/(C$15/$F$15))</f>
        <v>#DIV/0!</v>
      </c>
      <c r="K138" s="42" t="e">
        <f t="shared" si="140"/>
        <v>#DIV/0!</v>
      </c>
      <c r="L138" s="42" t="e">
        <f t="shared" si="140"/>
        <v>#DIV/0!</v>
      </c>
      <c r="M138" s="42" t="str">
        <f t="shared" si="106"/>
        <v/>
      </c>
    </row>
    <row r="139" spans="1:13" ht="12.5">
      <c r="A139" s="40">
        <v>46419</v>
      </c>
      <c r="B139" s="5">
        <f t="shared" si="0"/>
        <v>46419</v>
      </c>
      <c r="C139" s="5">
        <f>'Índice salarios (INDEC)'!C142</f>
        <v>0</v>
      </c>
      <c r="D139" s="5">
        <f>'Índice salarios (INDEC)'!D142</f>
        <v>0</v>
      </c>
      <c r="E139" s="5">
        <f>'Índice salarios (INDEC)'!F142</f>
        <v>0</v>
      </c>
      <c r="F139" s="7">
        <f>'Índice salarios (INDEC)'!H142</f>
        <v>0</v>
      </c>
      <c r="G139" s="13"/>
      <c r="J139" s="42" t="e">
        <f t="shared" ref="J139:L139" si="141">IF(C139="","",(C139/$F139)/(C$15/$F$15))</f>
        <v>#DIV/0!</v>
      </c>
      <c r="K139" s="42" t="e">
        <f t="shared" si="141"/>
        <v>#DIV/0!</v>
      </c>
      <c r="L139" s="42" t="e">
        <f t="shared" si="141"/>
        <v>#DIV/0!</v>
      </c>
      <c r="M139" s="42" t="str">
        <f t="shared" si="106"/>
        <v/>
      </c>
    </row>
    <row r="140" spans="1:13" ht="12.5">
      <c r="A140" s="40">
        <v>46447</v>
      </c>
      <c r="B140" s="5">
        <f t="shared" si="0"/>
        <v>46447</v>
      </c>
      <c r="C140" s="5">
        <f>'Índice salarios (INDEC)'!C143</f>
        <v>0</v>
      </c>
      <c r="D140" s="5">
        <f>'Índice salarios (INDEC)'!D143</f>
        <v>0</v>
      </c>
      <c r="E140" s="5">
        <f>'Índice salarios (INDEC)'!F143</f>
        <v>0</v>
      </c>
      <c r="F140" s="7">
        <f>'Índice salarios (INDEC)'!H143</f>
        <v>0</v>
      </c>
      <c r="G140" s="13"/>
      <c r="J140" s="42" t="e">
        <f t="shared" ref="J140:L140" si="142">IF(C140="","",(C140/$F140)/(C$15/$F$15))</f>
        <v>#DIV/0!</v>
      </c>
      <c r="K140" s="42" t="e">
        <f t="shared" si="142"/>
        <v>#DIV/0!</v>
      </c>
      <c r="L140" s="42" t="e">
        <f t="shared" si="142"/>
        <v>#DIV/0!</v>
      </c>
      <c r="M140" s="42" t="str">
        <f t="shared" si="106"/>
        <v/>
      </c>
    </row>
    <row r="141" spans="1:13" ht="12.5">
      <c r="A141" s="40">
        <v>46478</v>
      </c>
      <c r="B141" s="5">
        <f t="shared" si="0"/>
        <v>46478</v>
      </c>
      <c r="C141" s="5">
        <f>'Índice salarios (INDEC)'!C144</f>
        <v>0</v>
      </c>
      <c r="D141" s="5">
        <f>'Índice salarios (INDEC)'!D144</f>
        <v>0</v>
      </c>
      <c r="E141" s="5">
        <f>'Índice salarios (INDEC)'!F144</f>
        <v>0</v>
      </c>
      <c r="F141" s="7">
        <f>'Índice salarios (INDEC)'!H144</f>
        <v>0</v>
      </c>
      <c r="G141" s="13"/>
      <c r="J141" s="42" t="e">
        <f t="shared" ref="J141:L141" si="143">IF(C141="","",(C141/$F141)/(C$15/$F$15))</f>
        <v>#DIV/0!</v>
      </c>
      <c r="K141" s="42" t="e">
        <f t="shared" si="143"/>
        <v>#DIV/0!</v>
      </c>
      <c r="L141" s="42" t="e">
        <f t="shared" si="143"/>
        <v>#DIV/0!</v>
      </c>
      <c r="M141" s="42" t="str">
        <f t="shared" si="106"/>
        <v/>
      </c>
    </row>
    <row r="142" spans="1:13" ht="12.5">
      <c r="A142" s="40">
        <v>46508</v>
      </c>
      <c r="B142" s="5">
        <f t="shared" si="0"/>
        <v>46508</v>
      </c>
      <c r="C142" s="5">
        <f>'Índice salarios (INDEC)'!C145</f>
        <v>0</v>
      </c>
      <c r="D142" s="5">
        <f>'Índice salarios (INDEC)'!D145</f>
        <v>0</v>
      </c>
      <c r="E142" s="5">
        <f>'Índice salarios (INDEC)'!F145</f>
        <v>0</v>
      </c>
      <c r="F142" s="7">
        <f>'Índice salarios (INDEC)'!H145</f>
        <v>0</v>
      </c>
      <c r="G142" s="13"/>
      <c r="J142" s="42" t="e">
        <f t="shared" ref="J142:L142" si="144">IF(C142="","",(C142/$F142)/(C$15/$F$15))</f>
        <v>#DIV/0!</v>
      </c>
      <c r="K142" s="42" t="e">
        <f t="shared" si="144"/>
        <v>#DIV/0!</v>
      </c>
      <c r="L142" s="42" t="e">
        <f t="shared" si="144"/>
        <v>#DIV/0!</v>
      </c>
      <c r="M142" s="42" t="str">
        <f t="shared" si="106"/>
        <v/>
      </c>
    </row>
    <row r="143" spans="1:13" ht="12.5">
      <c r="A143" s="40">
        <v>46539</v>
      </c>
      <c r="B143" s="5">
        <f t="shared" si="0"/>
        <v>46539</v>
      </c>
      <c r="C143" s="5">
        <f>'Índice salarios (INDEC)'!C146</f>
        <v>0</v>
      </c>
      <c r="D143" s="5">
        <f>'Índice salarios (INDEC)'!D146</f>
        <v>0</v>
      </c>
      <c r="E143" s="5">
        <f>'Índice salarios (INDEC)'!F146</f>
        <v>0</v>
      </c>
      <c r="F143" s="7">
        <f>'Índice salarios (INDEC)'!H146</f>
        <v>0</v>
      </c>
      <c r="G143" s="13"/>
      <c r="J143" s="42" t="e">
        <f t="shared" ref="J143:L143" si="145">IF(C143="","",(C143/$F143)/(C$15/$F$15))</f>
        <v>#DIV/0!</v>
      </c>
      <c r="K143" s="42" t="e">
        <f t="shared" si="145"/>
        <v>#DIV/0!</v>
      </c>
      <c r="L143" s="42" t="e">
        <f t="shared" si="145"/>
        <v>#DIV/0!</v>
      </c>
      <c r="M143" s="42" t="str">
        <f t="shared" si="106"/>
        <v/>
      </c>
    </row>
    <row r="144" spans="1:13" ht="12.5">
      <c r="A144" s="40">
        <v>46569</v>
      </c>
      <c r="B144" s="5">
        <f t="shared" si="0"/>
        <v>46569</v>
      </c>
      <c r="C144" s="5">
        <f>'Índice salarios (INDEC)'!C147</f>
        <v>0</v>
      </c>
      <c r="D144" s="5">
        <f>'Índice salarios (INDEC)'!D147</f>
        <v>0</v>
      </c>
      <c r="E144" s="5">
        <f>'Índice salarios (INDEC)'!F147</f>
        <v>0</v>
      </c>
      <c r="F144" s="7">
        <f>'Índice salarios (INDEC)'!H147</f>
        <v>0</v>
      </c>
      <c r="G144" s="13"/>
      <c r="J144" s="42" t="e">
        <f t="shared" ref="J144:L144" si="146">IF(C144="","",(C144/$F144)/(C$15/$F$15))</f>
        <v>#DIV/0!</v>
      </c>
      <c r="K144" s="42" t="e">
        <f t="shared" si="146"/>
        <v>#DIV/0!</v>
      </c>
      <c r="L144" s="42" t="e">
        <f t="shared" si="146"/>
        <v>#DIV/0!</v>
      </c>
      <c r="M144" s="42" t="str">
        <f t="shared" si="106"/>
        <v/>
      </c>
    </row>
    <row r="145" spans="1:13" ht="12.5">
      <c r="A145" s="40">
        <v>46600</v>
      </c>
      <c r="B145" s="5">
        <f t="shared" si="0"/>
        <v>46600</v>
      </c>
      <c r="C145" s="5">
        <f>'Índice salarios (INDEC)'!C148</f>
        <v>0</v>
      </c>
      <c r="D145" s="5">
        <f>'Índice salarios (INDEC)'!D148</f>
        <v>0</v>
      </c>
      <c r="E145" s="5">
        <f>'Índice salarios (INDEC)'!F148</f>
        <v>0</v>
      </c>
      <c r="F145" s="7">
        <f>'Índice salarios (INDEC)'!H148</f>
        <v>0</v>
      </c>
      <c r="G145" s="13"/>
      <c r="J145" s="42" t="e">
        <f t="shared" ref="J145:L145" si="147">IF(C145="","",(C145/$F145)/(C$15/$F$15))</f>
        <v>#DIV/0!</v>
      </c>
      <c r="K145" s="42" t="e">
        <f t="shared" si="147"/>
        <v>#DIV/0!</v>
      </c>
      <c r="L145" s="42" t="e">
        <f t="shared" si="147"/>
        <v>#DIV/0!</v>
      </c>
      <c r="M145" s="42" t="str">
        <f t="shared" si="106"/>
        <v/>
      </c>
    </row>
    <row r="146" spans="1:13" ht="12.5">
      <c r="A146" s="40">
        <v>46631</v>
      </c>
      <c r="B146" s="5">
        <f t="shared" si="0"/>
        <v>46631</v>
      </c>
      <c r="C146" s="5">
        <f>'Índice salarios (INDEC)'!C149</f>
        <v>0</v>
      </c>
      <c r="J146" s="42" t="e">
        <f t="shared" ref="J146:L146" si="148">IF(C146="","",(C146/$F146)/(C$15/$F$15))</f>
        <v>#DIV/0!</v>
      </c>
      <c r="K146" s="42" t="str">
        <f t="shared" si="148"/>
        <v/>
      </c>
      <c r="L146" s="42" t="str">
        <f t="shared" si="148"/>
        <v/>
      </c>
      <c r="M146" s="42" t="str">
        <f t="shared" si="106"/>
        <v/>
      </c>
    </row>
    <row r="147" spans="1:13" ht="12.5">
      <c r="A147" s="40">
        <v>46661</v>
      </c>
      <c r="B147" s="5">
        <f t="shared" si="0"/>
        <v>46661</v>
      </c>
      <c r="C147" s="5">
        <f>'Índice salarios (INDEC)'!C150</f>
        <v>0</v>
      </c>
      <c r="J147" s="42" t="e">
        <f t="shared" ref="J147:L147" si="149">IF(C147="","",(C147/$F147)/(C$15/$F$15))</f>
        <v>#DIV/0!</v>
      </c>
      <c r="K147" s="42" t="str">
        <f t="shared" si="149"/>
        <v/>
      </c>
      <c r="L147" s="42" t="str">
        <f t="shared" si="149"/>
        <v/>
      </c>
      <c r="M147" s="42" t="str">
        <f t="shared" si="106"/>
        <v/>
      </c>
    </row>
    <row r="148" spans="1:13" ht="12.5">
      <c r="A148" s="40">
        <v>46692</v>
      </c>
      <c r="B148" s="5">
        <f t="shared" si="0"/>
        <v>46692</v>
      </c>
      <c r="C148" s="5">
        <f>'Índice salarios (INDEC)'!C151</f>
        <v>0</v>
      </c>
      <c r="J148" s="42" t="e">
        <f t="shared" ref="J148:L148" si="150">IF(C148="","",(C148/$F148)/(C$15/$F$15))</f>
        <v>#DIV/0!</v>
      </c>
      <c r="K148" s="42" t="str">
        <f t="shared" si="150"/>
        <v/>
      </c>
      <c r="L148" s="42" t="str">
        <f t="shared" si="150"/>
        <v/>
      </c>
      <c r="M148" s="42" t="str">
        <f t="shared" si="106"/>
        <v/>
      </c>
    </row>
    <row r="149" spans="1:13" ht="12.5">
      <c r="A149" s="40">
        <v>46722</v>
      </c>
      <c r="B149" s="5">
        <f t="shared" si="0"/>
        <v>46722</v>
      </c>
      <c r="C149" s="5">
        <f>'Índice salarios (INDEC)'!C152</f>
        <v>0</v>
      </c>
      <c r="J149" s="42" t="e">
        <f t="shared" ref="J149:L149" si="151">IF(C149="","",(C149/$F149)/(C$15/$F$15))</f>
        <v>#DIV/0!</v>
      </c>
      <c r="K149" s="42" t="str">
        <f t="shared" si="151"/>
        <v/>
      </c>
      <c r="L149" s="42" t="str">
        <f t="shared" si="151"/>
        <v/>
      </c>
      <c r="M149" s="42" t="str">
        <f t="shared" si="106"/>
        <v/>
      </c>
    </row>
    <row r="150" spans="1:13" ht="12.5">
      <c r="A150" s="40">
        <v>46753</v>
      </c>
      <c r="B150" s="5">
        <f t="shared" si="0"/>
        <v>46753</v>
      </c>
      <c r="C150" s="5">
        <f>'Índice salarios (INDEC)'!C153</f>
        <v>0</v>
      </c>
      <c r="J150" s="42" t="e">
        <f t="shared" ref="J150:L150" si="152">IF(C150="","",(C150/$F150)/(C$15/$F$15))</f>
        <v>#DIV/0!</v>
      </c>
      <c r="K150" s="42" t="str">
        <f t="shared" si="152"/>
        <v/>
      </c>
      <c r="L150" s="42" t="str">
        <f t="shared" si="152"/>
        <v/>
      </c>
      <c r="M150" s="42" t="str">
        <f t="shared" si="106"/>
        <v/>
      </c>
    </row>
    <row r="151" spans="1:13" ht="12.5">
      <c r="A151" s="40">
        <v>46784</v>
      </c>
      <c r="B151" s="5">
        <f t="shared" si="0"/>
        <v>46784</v>
      </c>
      <c r="C151" s="5">
        <f>'Índice salarios (INDEC)'!C154</f>
        <v>0</v>
      </c>
      <c r="J151" s="42" t="e">
        <f t="shared" ref="J151:L151" si="153">IF(C151="","",(C151/$F151)/(C$15/$F$15))</f>
        <v>#DIV/0!</v>
      </c>
      <c r="K151" s="42" t="str">
        <f t="shared" si="153"/>
        <v/>
      </c>
      <c r="L151" s="42" t="str">
        <f t="shared" si="153"/>
        <v/>
      </c>
      <c r="M151" s="42" t="str">
        <f t="shared" si="106"/>
        <v/>
      </c>
    </row>
    <row r="152" spans="1:13" ht="12.5">
      <c r="A152" s="40">
        <v>46813</v>
      </c>
      <c r="B152" s="5">
        <f t="shared" si="0"/>
        <v>46813</v>
      </c>
      <c r="C152" s="5">
        <f>'Índice salarios (INDEC)'!C155</f>
        <v>0</v>
      </c>
      <c r="J152" s="42" t="e">
        <f t="shared" ref="J152:L152" si="154">IF(C152="","",(C152/$F152)/(C$15/$F$15))</f>
        <v>#DIV/0!</v>
      </c>
      <c r="K152" s="42" t="str">
        <f t="shared" si="154"/>
        <v/>
      </c>
      <c r="L152" s="42" t="str">
        <f t="shared" si="154"/>
        <v/>
      </c>
      <c r="M152" s="42" t="str">
        <f t="shared" si="106"/>
        <v/>
      </c>
    </row>
    <row r="153" spans="1:13" ht="12.5">
      <c r="A153" s="40">
        <v>46844</v>
      </c>
      <c r="B153" s="5">
        <f t="shared" si="0"/>
        <v>46844</v>
      </c>
      <c r="C153" s="5">
        <f>'Índice salarios (INDEC)'!C156</f>
        <v>0</v>
      </c>
      <c r="J153" s="42" t="e">
        <f t="shared" ref="J153:L153" si="155">IF(C153="","",(C153/$F153)/(C$15/$F$15))</f>
        <v>#DIV/0!</v>
      </c>
      <c r="K153" s="42" t="str">
        <f t="shared" si="155"/>
        <v/>
      </c>
      <c r="L153" s="42" t="str">
        <f t="shared" si="155"/>
        <v/>
      </c>
      <c r="M153" s="42" t="str">
        <f t="shared" si="106"/>
        <v/>
      </c>
    </row>
    <row r="154" spans="1:13" ht="12.5">
      <c r="A154" s="40">
        <v>46874</v>
      </c>
      <c r="B154" s="5">
        <f t="shared" si="0"/>
        <v>46874</v>
      </c>
      <c r="C154" s="5">
        <f>'Índice salarios (INDEC)'!C157</f>
        <v>0</v>
      </c>
      <c r="J154" s="42" t="e">
        <f t="shared" ref="J154:L154" si="156">IF(C154="","",(C154/$F154)/(C$15/$F$15))</f>
        <v>#DIV/0!</v>
      </c>
      <c r="K154" s="42" t="str">
        <f t="shared" si="156"/>
        <v/>
      </c>
      <c r="L154" s="42" t="str">
        <f t="shared" si="156"/>
        <v/>
      </c>
      <c r="M154" s="42" t="str">
        <f t="shared" si="106"/>
        <v/>
      </c>
    </row>
    <row r="155" spans="1:13" ht="12.5">
      <c r="A155" s="40">
        <v>46905</v>
      </c>
      <c r="B155" s="5">
        <f t="shared" si="0"/>
        <v>46905</v>
      </c>
      <c r="C155" s="5">
        <f>'Índice salarios (INDEC)'!C158</f>
        <v>0</v>
      </c>
      <c r="J155" s="42" t="e">
        <f t="shared" ref="J155:L155" si="157">IF(C155="","",(C155/$F155)/(C$15/$F$15))</f>
        <v>#DIV/0!</v>
      </c>
      <c r="K155" s="42" t="str">
        <f t="shared" si="157"/>
        <v/>
      </c>
      <c r="L155" s="42" t="str">
        <f t="shared" si="157"/>
        <v/>
      </c>
      <c r="M155" s="42" t="str">
        <f t="shared" si="106"/>
        <v/>
      </c>
    </row>
    <row r="156" spans="1:13" ht="12.5">
      <c r="A156" s="40">
        <v>46935</v>
      </c>
      <c r="B156" s="5">
        <f t="shared" si="0"/>
        <v>46935</v>
      </c>
      <c r="C156" s="5">
        <f>'Índice salarios (INDEC)'!C159</f>
        <v>0</v>
      </c>
      <c r="J156" s="42" t="e">
        <f t="shared" ref="J156:L156" si="158">IF(C156="","",(C156/$F156)/(C$15/$F$15))</f>
        <v>#DIV/0!</v>
      </c>
      <c r="K156" s="42" t="str">
        <f t="shared" si="158"/>
        <v/>
      </c>
      <c r="L156" s="42" t="str">
        <f t="shared" si="158"/>
        <v/>
      </c>
      <c r="M156" s="42" t="str">
        <f t="shared" si="106"/>
        <v/>
      </c>
    </row>
    <row r="157" spans="1:13" ht="12.5">
      <c r="A157" s="40">
        <v>46966</v>
      </c>
      <c r="B157" s="5">
        <f t="shared" si="0"/>
        <v>46966</v>
      </c>
      <c r="C157" s="5">
        <f>'Índice salarios (INDEC)'!C160</f>
        <v>0</v>
      </c>
      <c r="J157" s="42" t="e">
        <f t="shared" ref="J157:L157" si="159">IF(C157="","",(C157/$F157)/(C$15/$F$15))</f>
        <v>#DIV/0!</v>
      </c>
      <c r="K157" s="42" t="str">
        <f t="shared" si="159"/>
        <v/>
      </c>
      <c r="L157" s="42" t="str">
        <f t="shared" si="159"/>
        <v/>
      </c>
      <c r="M157" s="42" t="str">
        <f t="shared" si="106"/>
        <v/>
      </c>
    </row>
    <row r="158" spans="1:13" ht="12.5">
      <c r="A158" s="40">
        <v>46997</v>
      </c>
      <c r="B158" s="5">
        <f t="shared" si="0"/>
        <v>46997</v>
      </c>
      <c r="C158" s="5">
        <f>'Índice salarios (INDEC)'!C161</f>
        <v>0</v>
      </c>
      <c r="J158" s="42" t="e">
        <f t="shared" ref="J158:L158" si="160">IF(C158="","",(C158/$F158)/(C$15/$F$15))</f>
        <v>#DIV/0!</v>
      </c>
      <c r="K158" s="42" t="str">
        <f t="shared" si="160"/>
        <v/>
      </c>
      <c r="L158" s="42" t="str">
        <f t="shared" si="160"/>
        <v/>
      </c>
      <c r="M158" s="42" t="str">
        <f t="shared" si="106"/>
        <v/>
      </c>
    </row>
    <row r="159" spans="1:13" ht="12.5">
      <c r="A159" s="40">
        <v>47027</v>
      </c>
      <c r="B159" s="5">
        <f t="shared" si="0"/>
        <v>47027</v>
      </c>
      <c r="C159" s="5">
        <f>'Índice salarios (INDEC)'!C162</f>
        <v>0</v>
      </c>
      <c r="J159" s="42" t="e">
        <f t="shared" ref="J159:L159" si="161">IF(C159="","",(C159/$F159)/(C$15/$F$15))</f>
        <v>#DIV/0!</v>
      </c>
      <c r="K159" s="42" t="str">
        <f t="shared" si="161"/>
        <v/>
      </c>
      <c r="L159" s="42" t="str">
        <f t="shared" si="161"/>
        <v/>
      </c>
      <c r="M159" s="42" t="str">
        <f t="shared" si="106"/>
        <v/>
      </c>
    </row>
    <row r="160" spans="1:13" ht="12.5">
      <c r="A160" s="40">
        <v>47058</v>
      </c>
      <c r="B160" s="5">
        <f t="shared" si="0"/>
        <v>47058</v>
      </c>
      <c r="C160" s="5">
        <f>'Índice salarios (INDEC)'!C163</f>
        <v>0</v>
      </c>
      <c r="J160" s="42" t="e">
        <f t="shared" ref="J160:L160" si="162">IF(C160="","",(C160/$F160)/(C$15/$F$15))</f>
        <v>#DIV/0!</v>
      </c>
      <c r="K160" s="42" t="str">
        <f t="shared" si="162"/>
        <v/>
      </c>
      <c r="L160" s="42" t="str">
        <f t="shared" si="162"/>
        <v/>
      </c>
      <c r="M160" s="42" t="str">
        <f t="shared" si="106"/>
        <v/>
      </c>
    </row>
    <row r="161" spans="1:13" ht="12.5">
      <c r="A161" s="40">
        <v>47088</v>
      </c>
      <c r="B161" s="5">
        <f t="shared" si="0"/>
        <v>47088</v>
      </c>
      <c r="C161" s="5">
        <f>'Índice salarios (INDEC)'!C164</f>
        <v>0</v>
      </c>
      <c r="J161" s="42" t="e">
        <f t="shared" ref="J161:L161" si="163">IF(C161="","",(C161/$F161)/(C$15/$F$15))</f>
        <v>#DIV/0!</v>
      </c>
      <c r="K161" s="42" t="str">
        <f t="shared" si="163"/>
        <v/>
      </c>
      <c r="L161" s="42" t="str">
        <f t="shared" si="163"/>
        <v/>
      </c>
      <c r="M161" s="42" t="str">
        <f t="shared" si="106"/>
        <v/>
      </c>
    </row>
    <row r="162" spans="1:13" ht="12.5">
      <c r="A162" s="40">
        <v>47119</v>
      </c>
      <c r="B162" s="5">
        <f t="shared" si="0"/>
        <v>47119</v>
      </c>
      <c r="C162" s="5">
        <f>'Índice salarios (INDEC)'!C165</f>
        <v>0</v>
      </c>
      <c r="J162" s="42" t="e">
        <f t="shared" ref="J162:L162" si="164">IF(C162="","",(C162/$F162)/(C$15/$F$15))</f>
        <v>#DIV/0!</v>
      </c>
      <c r="K162" s="42" t="str">
        <f t="shared" si="164"/>
        <v/>
      </c>
      <c r="L162" s="42" t="str">
        <f t="shared" si="164"/>
        <v/>
      </c>
      <c r="M162" s="42" t="str">
        <f t="shared" si="106"/>
        <v/>
      </c>
    </row>
    <row r="163" spans="1:13" ht="12.5">
      <c r="A163" s="40">
        <v>47150</v>
      </c>
      <c r="B163" s="5">
        <f t="shared" si="0"/>
        <v>47150</v>
      </c>
      <c r="C163" s="5">
        <f>'Índice salarios (INDEC)'!C166</f>
        <v>0</v>
      </c>
      <c r="J163" s="42" t="e">
        <f t="shared" ref="J163:L163" si="165">IF(C163="","",(C163/$F163)/(C$15/$F$15))</f>
        <v>#DIV/0!</v>
      </c>
      <c r="K163" s="42" t="str">
        <f t="shared" si="165"/>
        <v/>
      </c>
      <c r="L163" s="42" t="str">
        <f t="shared" si="165"/>
        <v/>
      </c>
      <c r="M163" s="42" t="str">
        <f t="shared" si="106"/>
        <v/>
      </c>
    </row>
    <row r="164" spans="1:13" ht="12.5">
      <c r="A164" s="40">
        <v>47178</v>
      </c>
      <c r="B164" s="5">
        <f t="shared" si="0"/>
        <v>47178</v>
      </c>
      <c r="C164" s="5">
        <f>'Índice salarios (INDEC)'!C167</f>
        <v>0</v>
      </c>
      <c r="J164" s="42" t="e">
        <f t="shared" ref="J164:L164" si="166">IF(C164="","",(C164/$F164)/(C$15/$F$15))</f>
        <v>#DIV/0!</v>
      </c>
      <c r="K164" s="42" t="str">
        <f t="shared" si="166"/>
        <v/>
      </c>
      <c r="L164" s="42" t="str">
        <f t="shared" si="166"/>
        <v/>
      </c>
      <c r="M164" s="42" t="str">
        <f t="shared" si="106"/>
        <v/>
      </c>
    </row>
    <row r="165" spans="1:13" ht="12.5">
      <c r="A165" s="40">
        <v>47209</v>
      </c>
      <c r="B165" s="5">
        <f t="shared" si="0"/>
        <v>47209</v>
      </c>
      <c r="C165" s="5">
        <f>'Índice salarios (INDEC)'!C168</f>
        <v>0</v>
      </c>
      <c r="J165" s="42" t="e">
        <f t="shared" ref="J165:L165" si="167">IF(C165="","",(C165/$F165)/(C$15/$F$15))</f>
        <v>#DIV/0!</v>
      </c>
      <c r="K165" s="42" t="str">
        <f t="shared" si="167"/>
        <v/>
      </c>
      <c r="L165" s="42" t="str">
        <f t="shared" si="167"/>
        <v/>
      </c>
      <c r="M165" s="42" t="str">
        <f t="shared" si="106"/>
        <v/>
      </c>
    </row>
    <row r="166" spans="1:13" ht="12.5">
      <c r="A166" s="40">
        <v>47239</v>
      </c>
      <c r="B166" s="5">
        <f t="shared" si="0"/>
        <v>47239</v>
      </c>
      <c r="C166" s="5">
        <f>'Índice salarios (INDEC)'!C169</f>
        <v>0</v>
      </c>
      <c r="J166" s="42" t="e">
        <f t="shared" ref="J166:L166" si="168">IF(C166="","",(C166/$F166)/(C$15/$F$15))</f>
        <v>#DIV/0!</v>
      </c>
      <c r="K166" s="42" t="str">
        <f t="shared" si="168"/>
        <v/>
      </c>
      <c r="L166" s="42" t="str">
        <f t="shared" si="168"/>
        <v/>
      </c>
      <c r="M166" s="42" t="str">
        <f t="shared" si="106"/>
        <v/>
      </c>
    </row>
    <row r="167" spans="1:13" ht="12.5">
      <c r="A167" s="40">
        <v>47270</v>
      </c>
      <c r="B167" s="5">
        <f t="shared" si="0"/>
        <v>47270</v>
      </c>
      <c r="C167" s="5">
        <f>'Índice salarios (INDEC)'!C170</f>
        <v>0</v>
      </c>
      <c r="J167" s="42" t="e">
        <f t="shared" ref="J167:L167" si="169">IF(C167="","",(C167/$F167)/(C$15/$F$15))</f>
        <v>#DIV/0!</v>
      </c>
      <c r="K167" s="42" t="str">
        <f t="shared" si="169"/>
        <v/>
      </c>
      <c r="L167" s="42" t="str">
        <f t="shared" si="169"/>
        <v/>
      </c>
      <c r="M167" s="42" t="str">
        <f t="shared" si="106"/>
        <v/>
      </c>
    </row>
    <row r="168" spans="1:13" ht="12.5">
      <c r="A168" s="40">
        <v>47300</v>
      </c>
      <c r="B168" s="5">
        <f t="shared" si="0"/>
        <v>47300</v>
      </c>
      <c r="C168" s="5">
        <f>'Índice salarios (INDEC)'!C171</f>
        <v>0</v>
      </c>
      <c r="J168" s="42" t="e">
        <f t="shared" ref="J168:L168" si="170">IF(C168="","",(C168/$F168)/(C$15/$F$15))</f>
        <v>#DIV/0!</v>
      </c>
      <c r="K168" s="42" t="str">
        <f t="shared" si="170"/>
        <v/>
      </c>
      <c r="L168" s="42" t="str">
        <f t="shared" si="170"/>
        <v/>
      </c>
      <c r="M168" s="42" t="str">
        <f t="shared" si="106"/>
        <v/>
      </c>
    </row>
    <row r="169" spans="1:13" ht="12.5">
      <c r="A169" s="40">
        <v>47331</v>
      </c>
      <c r="B169" s="5">
        <f t="shared" si="0"/>
        <v>47331</v>
      </c>
      <c r="C169" s="5">
        <f>'Índice salarios (INDEC)'!C172</f>
        <v>0</v>
      </c>
      <c r="J169" s="42" t="e">
        <f t="shared" ref="J169:L169" si="171">IF(C169="","",(C169/$F169)/(C$15/$F$15))</f>
        <v>#DIV/0!</v>
      </c>
      <c r="K169" s="42" t="str">
        <f t="shared" si="171"/>
        <v/>
      </c>
      <c r="L169" s="42" t="str">
        <f t="shared" si="171"/>
        <v/>
      </c>
      <c r="M169" s="42" t="str">
        <f t="shared" si="106"/>
        <v/>
      </c>
    </row>
    <row r="170" spans="1:13" ht="12.5">
      <c r="A170" s="40">
        <v>47362</v>
      </c>
      <c r="B170" s="5">
        <f t="shared" si="0"/>
        <v>47362</v>
      </c>
      <c r="C170" s="5">
        <f>'Índice salarios (INDEC)'!C173</f>
        <v>0</v>
      </c>
      <c r="J170" s="42" t="e">
        <f t="shared" ref="J170:L170" si="172">IF(C170="","",(C170/$F170)/(C$15/$F$15))</f>
        <v>#DIV/0!</v>
      </c>
      <c r="K170" s="42" t="str">
        <f t="shared" si="172"/>
        <v/>
      </c>
      <c r="L170" s="42" t="str">
        <f t="shared" si="172"/>
        <v/>
      </c>
      <c r="M170" s="42" t="str">
        <f t="shared" si="106"/>
        <v/>
      </c>
    </row>
    <row r="171" spans="1:13" ht="12.5">
      <c r="A171" s="40">
        <v>47392</v>
      </c>
      <c r="B171" s="5">
        <f t="shared" si="0"/>
        <v>47392</v>
      </c>
      <c r="C171" s="5">
        <f>'Índice salarios (INDEC)'!C174</f>
        <v>0</v>
      </c>
      <c r="J171" s="42" t="e">
        <f t="shared" ref="J171:L171" si="173">IF(C171="","",(C171/$F171)/(C$15/$F$15))</f>
        <v>#DIV/0!</v>
      </c>
      <c r="K171" s="42" t="str">
        <f t="shared" si="173"/>
        <v/>
      </c>
      <c r="L171" s="42" t="str">
        <f t="shared" si="173"/>
        <v/>
      </c>
      <c r="M171" s="42" t="str">
        <f t="shared" si="106"/>
        <v/>
      </c>
    </row>
    <row r="172" spans="1:13" ht="12.5">
      <c r="A172" s="40">
        <v>47423</v>
      </c>
      <c r="B172" s="5">
        <f t="shared" si="0"/>
        <v>47423</v>
      </c>
      <c r="C172" s="5">
        <f>'Índice salarios (INDEC)'!C175</f>
        <v>0</v>
      </c>
      <c r="J172" s="42" t="e">
        <f t="shared" ref="J172:L172" si="174">IF(C172="","",(C172/$F172)/(C$15/$F$15))</f>
        <v>#DIV/0!</v>
      </c>
      <c r="K172" s="42" t="str">
        <f t="shared" si="174"/>
        <v/>
      </c>
      <c r="L172" s="42" t="str">
        <f t="shared" si="174"/>
        <v/>
      </c>
      <c r="M172" s="42" t="str">
        <f t="shared" si="106"/>
        <v/>
      </c>
    </row>
    <row r="173" spans="1:13" ht="12.5">
      <c r="A173" s="40">
        <v>47453</v>
      </c>
      <c r="B173" s="5">
        <f t="shared" si="0"/>
        <v>47453</v>
      </c>
      <c r="C173" s="5">
        <f>'Índice salarios (INDEC)'!C176</f>
        <v>0</v>
      </c>
      <c r="J173" s="42" t="e">
        <f t="shared" ref="J173:L173" si="175">IF(C173="","",(C173/$F173)/(C$15/$F$15))</f>
        <v>#DIV/0!</v>
      </c>
      <c r="K173" s="42" t="str">
        <f t="shared" si="175"/>
        <v/>
      </c>
      <c r="L173" s="42" t="str">
        <f t="shared" si="175"/>
        <v/>
      </c>
      <c r="M173" s="42" t="str">
        <f t="shared" si="106"/>
        <v/>
      </c>
    </row>
    <row r="174" spans="1:13" ht="12.5">
      <c r="A174" s="40">
        <v>47484</v>
      </c>
      <c r="B174" s="5">
        <f t="shared" si="0"/>
        <v>47484</v>
      </c>
      <c r="C174" s="5">
        <f>'Índice salarios (INDEC)'!C177</f>
        <v>0</v>
      </c>
      <c r="J174" s="42" t="e">
        <f t="shared" ref="J174:L174" si="176">IF(C174="","",(C174/$F174)/(C$15/$F$15))</f>
        <v>#DIV/0!</v>
      </c>
      <c r="K174" s="42" t="str">
        <f t="shared" si="176"/>
        <v/>
      </c>
      <c r="L174" s="42" t="str">
        <f t="shared" si="176"/>
        <v/>
      </c>
      <c r="M174" s="42" t="str">
        <f t="shared" si="106"/>
        <v/>
      </c>
    </row>
    <row r="175" spans="1:13" ht="12.5">
      <c r="A175" s="40">
        <v>47515</v>
      </c>
      <c r="B175" s="5">
        <f t="shared" si="0"/>
        <v>47515</v>
      </c>
      <c r="C175" s="5">
        <f>'Índice salarios (INDEC)'!C178</f>
        <v>0</v>
      </c>
      <c r="J175" s="42" t="e">
        <f t="shared" ref="J175:L175" si="177">IF(C175="","",(C175/$F175)/(C$15/$F$15))</f>
        <v>#DIV/0!</v>
      </c>
      <c r="K175" s="42" t="str">
        <f t="shared" si="177"/>
        <v/>
      </c>
      <c r="L175" s="42" t="str">
        <f t="shared" si="177"/>
        <v/>
      </c>
      <c r="M175" s="42" t="str">
        <f t="shared" si="106"/>
        <v/>
      </c>
    </row>
    <row r="176" spans="1:13" ht="12.5">
      <c r="A176" s="40">
        <v>47543</v>
      </c>
      <c r="B176" s="5">
        <f t="shared" si="0"/>
        <v>47543</v>
      </c>
      <c r="C176" s="5">
        <f>'Índice salarios (INDEC)'!C179</f>
        <v>0</v>
      </c>
      <c r="J176" s="42" t="e">
        <f t="shared" ref="J176:L176" si="178">IF(C176="","",(C176/$F176)/(C$15/$F$15))</f>
        <v>#DIV/0!</v>
      </c>
      <c r="K176" s="42" t="str">
        <f t="shared" si="178"/>
        <v/>
      </c>
      <c r="L176" s="42" t="str">
        <f t="shared" si="178"/>
        <v/>
      </c>
      <c r="M176" s="42" t="str">
        <f t="shared" si="106"/>
        <v/>
      </c>
    </row>
    <row r="177" spans="1:13" ht="12.5">
      <c r="A177" s="40">
        <v>47574</v>
      </c>
      <c r="B177" s="5">
        <f t="shared" si="0"/>
        <v>47574</v>
      </c>
      <c r="C177" s="5">
        <f>'Índice salarios (INDEC)'!C180</f>
        <v>0</v>
      </c>
      <c r="J177" s="42" t="e">
        <f t="shared" ref="J177:L177" si="179">IF(C177="","",(C177/$F177)/(C$15/$F$15))</f>
        <v>#DIV/0!</v>
      </c>
      <c r="K177" s="42" t="str">
        <f t="shared" si="179"/>
        <v/>
      </c>
      <c r="L177" s="42" t="str">
        <f t="shared" si="179"/>
        <v/>
      </c>
      <c r="M177" s="42" t="str">
        <f t="shared" si="106"/>
        <v/>
      </c>
    </row>
    <row r="178" spans="1:13" ht="12.5">
      <c r="A178" s="40">
        <v>47604</v>
      </c>
      <c r="B178" s="5">
        <f t="shared" si="0"/>
        <v>47604</v>
      </c>
      <c r="C178" s="5">
        <f>'Índice salarios (INDEC)'!C181</f>
        <v>0</v>
      </c>
      <c r="J178" s="42" t="e">
        <f t="shared" ref="J178:L178" si="180">IF(C178="","",(C178/$F178)/(C$15/$F$15))</f>
        <v>#DIV/0!</v>
      </c>
      <c r="K178" s="42" t="str">
        <f t="shared" si="180"/>
        <v/>
      </c>
      <c r="L178" s="42" t="str">
        <f t="shared" si="180"/>
        <v/>
      </c>
      <c r="M178" s="42" t="str">
        <f t="shared" si="106"/>
        <v/>
      </c>
    </row>
    <row r="179" spans="1:13" ht="12.5">
      <c r="A179" s="40">
        <v>47635</v>
      </c>
      <c r="B179" s="5">
        <f t="shared" si="0"/>
        <v>47635</v>
      </c>
      <c r="C179" s="5">
        <f>'Índice salarios (INDEC)'!C182</f>
        <v>0</v>
      </c>
      <c r="J179" s="42" t="e">
        <f t="shared" ref="J179:L179" si="181">IF(C179="","",(C179/$F179)/(C$15/$F$15))</f>
        <v>#DIV/0!</v>
      </c>
      <c r="K179" s="42" t="str">
        <f t="shared" si="181"/>
        <v/>
      </c>
      <c r="L179" s="42" t="str">
        <f t="shared" si="181"/>
        <v/>
      </c>
      <c r="M179" s="42" t="str">
        <f t="shared" si="106"/>
        <v/>
      </c>
    </row>
    <row r="180" spans="1:13" ht="12.5">
      <c r="A180" s="40">
        <v>47665</v>
      </c>
      <c r="B180" s="5">
        <f t="shared" si="0"/>
        <v>47665</v>
      </c>
      <c r="C180" s="5">
        <f>'Índice salarios (INDEC)'!C183</f>
        <v>0</v>
      </c>
      <c r="J180" s="42" t="e">
        <f t="shared" ref="J180:L180" si="182">IF(C180="","",(C180/$F180)/(C$15/$F$15))</f>
        <v>#DIV/0!</v>
      </c>
      <c r="K180" s="42" t="str">
        <f t="shared" si="182"/>
        <v/>
      </c>
      <c r="L180" s="42" t="str">
        <f t="shared" si="182"/>
        <v/>
      </c>
      <c r="M180" s="42" t="str">
        <f t="shared" si="106"/>
        <v/>
      </c>
    </row>
    <row r="181" spans="1:13" ht="12.5">
      <c r="A181" s="40">
        <v>47696</v>
      </c>
      <c r="B181" s="5">
        <f t="shared" si="0"/>
        <v>47696</v>
      </c>
      <c r="C181" s="5">
        <f>'Índice salarios (INDEC)'!C184</f>
        <v>0</v>
      </c>
      <c r="J181" s="42" t="e">
        <f t="shared" ref="J181:L181" si="183">IF(C181="","",(C181/$F181)/(C$15/$F$15))</f>
        <v>#DIV/0!</v>
      </c>
      <c r="K181" s="42" t="str">
        <f t="shared" si="183"/>
        <v/>
      </c>
      <c r="L181" s="42" t="str">
        <f t="shared" si="183"/>
        <v/>
      </c>
      <c r="M181" s="42" t="str">
        <f t="shared" si="106"/>
        <v/>
      </c>
    </row>
    <row r="182" spans="1:13" ht="12.5">
      <c r="A182" s="40">
        <v>47727</v>
      </c>
      <c r="B182" s="5">
        <f t="shared" si="0"/>
        <v>47727</v>
      </c>
      <c r="C182" s="5">
        <f>'Índice salarios (INDEC)'!C185</f>
        <v>0</v>
      </c>
      <c r="J182" s="42" t="e">
        <f t="shared" ref="J182:L182" si="184">IF(C182="","",(C182/$F182)/(C$15/$F$15))</f>
        <v>#DIV/0!</v>
      </c>
      <c r="K182" s="42" t="str">
        <f t="shared" si="184"/>
        <v/>
      </c>
      <c r="L182" s="42" t="str">
        <f t="shared" si="184"/>
        <v/>
      </c>
      <c r="M182" s="42" t="str">
        <f t="shared" si="106"/>
        <v/>
      </c>
    </row>
    <row r="183" spans="1:13" ht="12.5">
      <c r="A183" s="40">
        <v>47757</v>
      </c>
      <c r="B183" s="5">
        <f t="shared" si="0"/>
        <v>47757</v>
      </c>
      <c r="C183" s="5">
        <f>'Índice salarios (INDEC)'!C186</f>
        <v>0</v>
      </c>
      <c r="J183" s="42" t="e">
        <f t="shared" ref="J183:L183" si="185">IF(C183="","",(C183/$F183)/(C$15/$F$15))</f>
        <v>#DIV/0!</v>
      </c>
      <c r="K183" s="42" t="str">
        <f t="shared" si="185"/>
        <v/>
      </c>
      <c r="L183" s="42" t="str">
        <f t="shared" si="185"/>
        <v/>
      </c>
      <c r="M183" s="42" t="str">
        <f t="shared" si="106"/>
        <v/>
      </c>
    </row>
    <row r="184" spans="1:13" ht="12.5">
      <c r="A184" s="40"/>
      <c r="B184" s="5"/>
      <c r="C184" s="5">
        <f>'Índice salarios (INDEC)'!C187</f>
        <v>0</v>
      </c>
    </row>
    <row r="185" spans="1:13" ht="12.5">
      <c r="A185" s="40"/>
      <c r="B185" s="5"/>
      <c r="C185" s="5">
        <f>'Índice salarios (INDEC)'!C188</f>
        <v>0</v>
      </c>
    </row>
    <row r="186" spans="1:13" ht="12.5">
      <c r="A186" s="40"/>
      <c r="B186" s="5"/>
      <c r="C186" s="5">
        <f>'Índice salarios (INDEC)'!C189</f>
        <v>0</v>
      </c>
    </row>
    <row r="187" spans="1:13" ht="12.5">
      <c r="A187" s="40"/>
      <c r="B187" s="5"/>
      <c r="C187" s="5">
        <f>'Índice salarios (INDEC)'!C190</f>
        <v>0</v>
      </c>
    </row>
    <row r="188" spans="1:13" ht="12.5">
      <c r="A188" s="40"/>
      <c r="B188" s="5"/>
      <c r="C188" s="5">
        <f>'Índice salarios (INDEC)'!C191</f>
        <v>0</v>
      </c>
    </row>
    <row r="189" spans="1:13" ht="12.5">
      <c r="A189" s="40"/>
      <c r="B189" s="5"/>
      <c r="C189" s="5">
        <f>'Índice salarios (INDEC)'!C192</f>
        <v>0</v>
      </c>
    </row>
    <row r="190" spans="1:13" ht="12.5">
      <c r="A190" s="40"/>
      <c r="B190" s="5"/>
      <c r="C190" s="5">
        <f>'Índice salarios (INDEC)'!C193</f>
        <v>0</v>
      </c>
    </row>
    <row r="191" spans="1:13" ht="12.5">
      <c r="A191" s="40"/>
      <c r="B191" s="5"/>
      <c r="C191" s="5">
        <f>'Índice salarios (INDEC)'!C194</f>
        <v>0</v>
      </c>
    </row>
    <row r="192" spans="1:13" ht="12.5">
      <c r="A192" s="40"/>
      <c r="B192" s="5"/>
      <c r="C192" s="5">
        <f>'Índice salarios (INDEC)'!C195</f>
        <v>0</v>
      </c>
    </row>
    <row r="193" spans="1:1" ht="12.5">
      <c r="A193" s="40"/>
    </row>
    <row r="194" spans="1:1" ht="12.5">
      <c r="A194" s="40"/>
    </row>
    <row r="195" spans="1:1" ht="12.5">
      <c r="A195" s="40"/>
    </row>
    <row r="196" spans="1:1" ht="12.5">
      <c r="A196" s="40"/>
    </row>
    <row r="197" spans="1:1" ht="12.5">
      <c r="A197" s="40"/>
    </row>
    <row r="198" spans="1:1" ht="12.5">
      <c r="A198" s="40"/>
    </row>
    <row r="199" spans="1:1" ht="12.5">
      <c r="A199" s="40"/>
    </row>
    <row r="200" spans="1:1" ht="12.5">
      <c r="A200" s="40"/>
    </row>
    <row r="201" spans="1:1" ht="12.5">
      <c r="A201" s="40"/>
    </row>
    <row r="202" spans="1:1" ht="12.5">
      <c r="A202" s="40"/>
    </row>
    <row r="203" spans="1:1" ht="12.5">
      <c r="A203" s="40"/>
    </row>
    <row r="204" spans="1:1" ht="12.5">
      <c r="A204" s="40"/>
    </row>
    <row r="205" spans="1:1" ht="12.5">
      <c r="A205" s="40"/>
    </row>
    <row r="206" spans="1:1" ht="12.5">
      <c r="A206" s="40"/>
    </row>
    <row r="207" spans="1:1" ht="12.5">
      <c r="A207" s="40"/>
    </row>
    <row r="208" spans="1:1" ht="12.5">
      <c r="A208" s="40"/>
    </row>
    <row r="209" spans="1:1" ht="12.5">
      <c r="A209" s="40"/>
    </row>
    <row r="210" spans="1:1" ht="12.5">
      <c r="A210" s="40"/>
    </row>
    <row r="211" spans="1:1" ht="12.5">
      <c r="A211" s="40"/>
    </row>
    <row r="212" spans="1:1" ht="12.5">
      <c r="A212" s="40"/>
    </row>
    <row r="213" spans="1:1" ht="12.5">
      <c r="A213" s="40"/>
    </row>
    <row r="214" spans="1:1" ht="12.5">
      <c r="A214" s="40"/>
    </row>
    <row r="215" spans="1:1" ht="12.5">
      <c r="A215" s="40"/>
    </row>
    <row r="216" spans="1:1" ht="12.5">
      <c r="A216" s="40"/>
    </row>
    <row r="217" spans="1:1" ht="12.5">
      <c r="A217" s="40"/>
    </row>
    <row r="218" spans="1:1" ht="12.5">
      <c r="A218" s="40"/>
    </row>
    <row r="219" spans="1:1" ht="12.5">
      <c r="A219" s="40"/>
    </row>
    <row r="220" spans="1:1" ht="12.5">
      <c r="A220" s="40"/>
    </row>
    <row r="221" spans="1:1" ht="12.5">
      <c r="A221" s="40"/>
    </row>
    <row r="222" spans="1:1" ht="12.5">
      <c r="A222" s="40"/>
    </row>
    <row r="223" spans="1:1" ht="12.5">
      <c r="A223" s="40"/>
    </row>
    <row r="224" spans="1:1" ht="12.5">
      <c r="A224" s="40"/>
    </row>
    <row r="225" spans="1:1" ht="12.5">
      <c r="A225" s="40"/>
    </row>
    <row r="226" spans="1:1" ht="12.5">
      <c r="A226" s="40"/>
    </row>
    <row r="227" spans="1:1" ht="12.5">
      <c r="A227" s="40"/>
    </row>
    <row r="228" spans="1:1" ht="12.5">
      <c r="A228" s="40"/>
    </row>
    <row r="229" spans="1:1" ht="12.5">
      <c r="A229" s="40"/>
    </row>
    <row r="230" spans="1:1" ht="12.5">
      <c r="A230" s="40"/>
    </row>
    <row r="231" spans="1:1" ht="12.5">
      <c r="A231" s="40"/>
    </row>
    <row r="232" spans="1:1" ht="12.5">
      <c r="A232" s="40"/>
    </row>
    <row r="233" spans="1:1" ht="12.5">
      <c r="A233" s="40"/>
    </row>
    <row r="234" spans="1:1" ht="12.5">
      <c r="A234" s="40"/>
    </row>
    <row r="235" spans="1:1" ht="12.5">
      <c r="A235" s="40"/>
    </row>
    <row r="236" spans="1:1" ht="12.5">
      <c r="A236" s="40"/>
    </row>
    <row r="237" spans="1:1" ht="12.5">
      <c r="A237" s="40"/>
    </row>
    <row r="238" spans="1:1" ht="12.5">
      <c r="A238" s="40"/>
    </row>
    <row r="239" spans="1:1" ht="12.5">
      <c r="A239" s="40"/>
    </row>
    <row r="240" spans="1:1" ht="12.5">
      <c r="A240" s="40"/>
    </row>
    <row r="241" spans="1:1" ht="12.5">
      <c r="A241" s="40"/>
    </row>
    <row r="242" spans="1:1" ht="12.5">
      <c r="A242" s="40"/>
    </row>
    <row r="243" spans="1:1" ht="12.5">
      <c r="A243" s="40"/>
    </row>
    <row r="244" spans="1:1" ht="12.5">
      <c r="A244" s="40"/>
    </row>
    <row r="245" spans="1:1" ht="12.5">
      <c r="A245" s="40"/>
    </row>
    <row r="246" spans="1:1" ht="12.5">
      <c r="A246" s="40"/>
    </row>
    <row r="247" spans="1:1" ht="12.5">
      <c r="A247" s="40"/>
    </row>
    <row r="248" spans="1:1" ht="12.5">
      <c r="A248" s="40"/>
    </row>
    <row r="249" spans="1:1" ht="12.5">
      <c r="A249" s="40"/>
    </row>
    <row r="250" spans="1:1" ht="12.5">
      <c r="A250" s="40"/>
    </row>
    <row r="251" spans="1:1" ht="12.5">
      <c r="A251" s="40"/>
    </row>
    <row r="252" spans="1:1" ht="12.5">
      <c r="A252" s="40"/>
    </row>
    <row r="253" spans="1:1" ht="12.5">
      <c r="A253" s="40"/>
    </row>
    <row r="254" spans="1:1" ht="12.5">
      <c r="A254" s="40"/>
    </row>
    <row r="255" spans="1:1" ht="12.5">
      <c r="A255" s="40"/>
    </row>
    <row r="256" spans="1:1" ht="12.5">
      <c r="A256" s="40"/>
    </row>
    <row r="257" spans="1:1" ht="12.5">
      <c r="A257" s="40"/>
    </row>
    <row r="258" spans="1:1" ht="12.5">
      <c r="A258" s="40"/>
    </row>
    <row r="259" spans="1:1" ht="12.5">
      <c r="A259" s="40"/>
    </row>
    <row r="260" spans="1:1" ht="12.5">
      <c r="A260" s="40"/>
    </row>
    <row r="261" spans="1:1" ht="12.5">
      <c r="A261" s="40"/>
    </row>
    <row r="262" spans="1:1" ht="12.5">
      <c r="A262" s="40"/>
    </row>
    <row r="263" spans="1:1" ht="12.5">
      <c r="A263" s="40"/>
    </row>
    <row r="264" spans="1:1" ht="12.5">
      <c r="A264" s="40"/>
    </row>
    <row r="265" spans="1:1" ht="12.5">
      <c r="A265" s="40"/>
    </row>
    <row r="266" spans="1:1" ht="12.5">
      <c r="A266" s="40"/>
    </row>
    <row r="267" spans="1:1" ht="12.5">
      <c r="A267" s="40"/>
    </row>
    <row r="268" spans="1:1" ht="12.5">
      <c r="A268" s="40"/>
    </row>
    <row r="269" spans="1:1" ht="12.5">
      <c r="A269" s="40"/>
    </row>
    <row r="270" spans="1:1" ht="12.5">
      <c r="A270" s="40"/>
    </row>
    <row r="271" spans="1:1" ht="12.5">
      <c r="A271" s="40"/>
    </row>
    <row r="272" spans="1:1" ht="12.5">
      <c r="A272" s="40"/>
    </row>
    <row r="273" spans="1:1" ht="12.5">
      <c r="A273" s="40"/>
    </row>
    <row r="274" spans="1:1" ht="12.5">
      <c r="A274" s="40"/>
    </row>
    <row r="275" spans="1:1" ht="12.5">
      <c r="A275" s="40"/>
    </row>
    <row r="276" spans="1:1" ht="12.5">
      <c r="A276" s="40"/>
    </row>
    <row r="277" spans="1:1" ht="12.5">
      <c r="A277" s="40"/>
    </row>
    <row r="278" spans="1:1" ht="12.5">
      <c r="A278" s="40"/>
    </row>
    <row r="279" spans="1:1" ht="12.5">
      <c r="A279" s="40"/>
    </row>
    <row r="280" spans="1:1" ht="12.5">
      <c r="A280" s="40"/>
    </row>
    <row r="281" spans="1:1" ht="12.5">
      <c r="A281" s="40"/>
    </row>
    <row r="282" spans="1:1" ht="12.5">
      <c r="A282" s="40"/>
    </row>
    <row r="283" spans="1:1" ht="12.5">
      <c r="A283" s="40"/>
    </row>
    <row r="284" spans="1:1" ht="12.5">
      <c r="A284" s="40"/>
    </row>
    <row r="285" spans="1:1" ht="12.5">
      <c r="A285" s="40"/>
    </row>
    <row r="286" spans="1:1" ht="12.5">
      <c r="A286" s="40"/>
    </row>
    <row r="287" spans="1:1" ht="12.5">
      <c r="A287" s="40"/>
    </row>
    <row r="288" spans="1:1" ht="12.5">
      <c r="A288" s="40"/>
    </row>
    <row r="289" spans="1:1" ht="12.5">
      <c r="A289" s="40"/>
    </row>
    <row r="290" spans="1:1" ht="12.5">
      <c r="A290" s="40"/>
    </row>
    <row r="291" spans="1:1" ht="12.5">
      <c r="A291" s="40"/>
    </row>
    <row r="292" spans="1:1" ht="12.5">
      <c r="A292" s="40"/>
    </row>
    <row r="293" spans="1:1" ht="12.5">
      <c r="A293" s="40"/>
    </row>
    <row r="294" spans="1:1" ht="12.5">
      <c r="A294" s="40"/>
    </row>
    <row r="295" spans="1:1" ht="12.5">
      <c r="A295" s="40"/>
    </row>
    <row r="296" spans="1:1" ht="12.5">
      <c r="A296" s="40"/>
    </row>
    <row r="297" spans="1:1" ht="12.5">
      <c r="A297" s="40"/>
    </row>
    <row r="298" spans="1:1" ht="12.5">
      <c r="A298" s="40"/>
    </row>
    <row r="299" spans="1:1" ht="12.5">
      <c r="A299" s="40"/>
    </row>
    <row r="300" spans="1:1" ht="12.5">
      <c r="A300" s="40"/>
    </row>
    <row r="301" spans="1:1" ht="12.5">
      <c r="A301" s="40"/>
    </row>
    <row r="302" spans="1:1" ht="12.5">
      <c r="A302" s="40"/>
    </row>
    <row r="303" spans="1:1" ht="12.5">
      <c r="A303" s="40"/>
    </row>
    <row r="304" spans="1:1" ht="12.5">
      <c r="A304" s="40"/>
    </row>
    <row r="305" spans="1:1" ht="12.5">
      <c r="A305" s="40"/>
    </row>
    <row r="306" spans="1:1" ht="12.5">
      <c r="A306" s="40"/>
    </row>
    <row r="307" spans="1:1" ht="12.5">
      <c r="A307" s="40"/>
    </row>
    <row r="308" spans="1:1" ht="12.5">
      <c r="A308" s="40"/>
    </row>
    <row r="309" spans="1:1" ht="12.5">
      <c r="A309" s="40"/>
    </row>
    <row r="310" spans="1:1" ht="12.5">
      <c r="A310" s="40"/>
    </row>
    <row r="311" spans="1:1" ht="12.5">
      <c r="A311" s="40"/>
    </row>
    <row r="312" spans="1:1" ht="12.5">
      <c r="A312" s="40"/>
    </row>
    <row r="313" spans="1:1" ht="12.5">
      <c r="A313" s="40"/>
    </row>
    <row r="314" spans="1:1" ht="12.5">
      <c r="A314" s="40"/>
    </row>
    <row r="315" spans="1:1" ht="12.5">
      <c r="A315" s="40"/>
    </row>
    <row r="316" spans="1:1" ht="12.5">
      <c r="A316" s="40"/>
    </row>
    <row r="317" spans="1:1" ht="12.5">
      <c r="A317" s="40"/>
    </row>
    <row r="318" spans="1:1" ht="12.5">
      <c r="A318" s="40"/>
    </row>
    <row r="319" spans="1:1" ht="12.5">
      <c r="A319" s="40"/>
    </row>
    <row r="320" spans="1:1" ht="12.5">
      <c r="A320" s="40"/>
    </row>
    <row r="321" spans="1:1" ht="12.5">
      <c r="A321" s="40"/>
    </row>
    <row r="322" spans="1:1" ht="12.5">
      <c r="A322" s="40"/>
    </row>
    <row r="323" spans="1:1" ht="12.5">
      <c r="A323" s="40"/>
    </row>
    <row r="324" spans="1:1" ht="12.5">
      <c r="A324" s="40"/>
    </row>
    <row r="325" spans="1:1" ht="12.5">
      <c r="A325" s="40"/>
    </row>
    <row r="326" spans="1:1" ht="12.5">
      <c r="A326" s="40"/>
    </row>
    <row r="327" spans="1:1" ht="12.5">
      <c r="A327" s="40"/>
    </row>
    <row r="328" spans="1:1" ht="12.5">
      <c r="A328" s="40"/>
    </row>
    <row r="329" spans="1:1" ht="12.5">
      <c r="A329" s="40"/>
    </row>
    <row r="330" spans="1:1" ht="12.5">
      <c r="A330" s="40"/>
    </row>
    <row r="331" spans="1:1" ht="12.5">
      <c r="A331" s="40"/>
    </row>
    <row r="332" spans="1:1" ht="12.5">
      <c r="A332" s="40"/>
    </row>
    <row r="333" spans="1:1" ht="12.5">
      <c r="A333" s="40"/>
    </row>
    <row r="334" spans="1:1" ht="12.5">
      <c r="A334" s="40"/>
    </row>
    <row r="335" spans="1:1" ht="12.5">
      <c r="A335" s="40"/>
    </row>
    <row r="336" spans="1:1" ht="12.5">
      <c r="A336" s="40"/>
    </row>
    <row r="337" spans="1:1" ht="12.5">
      <c r="A337" s="40"/>
    </row>
    <row r="338" spans="1:1" ht="12.5">
      <c r="A338" s="40"/>
    </row>
    <row r="339" spans="1:1" ht="12.5">
      <c r="A339" s="40"/>
    </row>
    <row r="340" spans="1:1" ht="12.5">
      <c r="A340" s="40"/>
    </row>
    <row r="341" spans="1:1" ht="12.5">
      <c r="A341" s="40"/>
    </row>
    <row r="342" spans="1:1" ht="12.5">
      <c r="A342" s="40"/>
    </row>
    <row r="343" spans="1:1" ht="12.5">
      <c r="A343" s="40"/>
    </row>
    <row r="344" spans="1:1" ht="12.5">
      <c r="A344" s="40"/>
    </row>
    <row r="345" spans="1:1" ht="12.5">
      <c r="A345" s="40"/>
    </row>
    <row r="346" spans="1:1" ht="12.5">
      <c r="A346" s="40"/>
    </row>
    <row r="347" spans="1:1" ht="12.5">
      <c r="A347" s="40"/>
    </row>
    <row r="348" spans="1:1" ht="12.5">
      <c r="A348" s="40"/>
    </row>
    <row r="349" spans="1:1" ht="12.5">
      <c r="A349" s="40"/>
    </row>
    <row r="350" spans="1:1" ht="12.5">
      <c r="A350" s="40"/>
    </row>
    <row r="351" spans="1:1" ht="12.5">
      <c r="A351" s="40"/>
    </row>
    <row r="352" spans="1:1" ht="12.5">
      <c r="A352" s="40"/>
    </row>
    <row r="353" spans="1:1" ht="12.5">
      <c r="A353" s="40"/>
    </row>
    <row r="354" spans="1:1" ht="12.5">
      <c r="A354" s="40"/>
    </row>
    <row r="355" spans="1:1" ht="12.5">
      <c r="A355" s="40"/>
    </row>
    <row r="356" spans="1:1" ht="12.5">
      <c r="A356" s="40"/>
    </row>
    <row r="357" spans="1:1" ht="12.5">
      <c r="A357" s="40"/>
    </row>
    <row r="358" spans="1:1" ht="12.5">
      <c r="A358" s="40"/>
    </row>
    <row r="359" spans="1:1" ht="12.5">
      <c r="A359" s="40"/>
    </row>
    <row r="360" spans="1:1" ht="12.5">
      <c r="A360" s="40"/>
    </row>
    <row r="361" spans="1:1" ht="12.5">
      <c r="A361" s="40"/>
    </row>
    <row r="362" spans="1:1" ht="12.5">
      <c r="A362" s="40"/>
    </row>
    <row r="363" spans="1:1" ht="12.5">
      <c r="A363" s="40"/>
    </row>
    <row r="364" spans="1:1" ht="12.5">
      <c r="A364" s="40"/>
    </row>
    <row r="365" spans="1:1" ht="12.5">
      <c r="A365" s="40"/>
    </row>
    <row r="366" spans="1:1" ht="12.5">
      <c r="A366" s="40"/>
    </row>
    <row r="367" spans="1:1" ht="12.5">
      <c r="A367" s="40"/>
    </row>
    <row r="368" spans="1:1" ht="12.5">
      <c r="A368" s="40"/>
    </row>
    <row r="369" spans="1:1" ht="12.5">
      <c r="A369" s="40"/>
    </row>
    <row r="370" spans="1:1" ht="12.5">
      <c r="A370" s="40"/>
    </row>
    <row r="371" spans="1:1" ht="12.5">
      <c r="A371" s="40"/>
    </row>
    <row r="372" spans="1:1" ht="12.5">
      <c r="A372" s="40"/>
    </row>
    <row r="373" spans="1:1" ht="12.5">
      <c r="A373" s="40"/>
    </row>
    <row r="374" spans="1:1" ht="12.5">
      <c r="A374" s="40"/>
    </row>
    <row r="375" spans="1:1" ht="12.5">
      <c r="A375" s="40"/>
    </row>
    <row r="376" spans="1:1" ht="12.5">
      <c r="A376" s="40"/>
    </row>
    <row r="377" spans="1:1" ht="12.5">
      <c r="A377" s="40"/>
    </row>
    <row r="378" spans="1:1" ht="12.5">
      <c r="A378" s="40"/>
    </row>
    <row r="379" spans="1:1" ht="12.5">
      <c r="A379" s="40"/>
    </row>
    <row r="380" spans="1:1" ht="12.5">
      <c r="A380" s="40"/>
    </row>
    <row r="381" spans="1:1" ht="12.5">
      <c r="A381" s="40"/>
    </row>
    <row r="382" spans="1:1" ht="12.5">
      <c r="A382" s="40"/>
    </row>
    <row r="383" spans="1:1" ht="12.5">
      <c r="A383" s="40"/>
    </row>
    <row r="384" spans="1:1" ht="12.5">
      <c r="A384" s="40"/>
    </row>
    <row r="385" spans="1:1" ht="12.5">
      <c r="A385" s="40"/>
    </row>
    <row r="386" spans="1:1" ht="12.5">
      <c r="A386" s="40"/>
    </row>
    <row r="387" spans="1:1" ht="12.5">
      <c r="A387" s="40"/>
    </row>
    <row r="388" spans="1:1" ht="12.5">
      <c r="A388" s="40"/>
    </row>
    <row r="389" spans="1:1" ht="12.5">
      <c r="A389" s="40"/>
    </row>
    <row r="390" spans="1:1" ht="12.5">
      <c r="A390" s="40"/>
    </row>
    <row r="391" spans="1:1" ht="12.5">
      <c r="A391" s="40"/>
    </row>
    <row r="392" spans="1:1" ht="12.5">
      <c r="A392" s="40"/>
    </row>
    <row r="393" spans="1:1" ht="12.5">
      <c r="A393" s="40"/>
    </row>
    <row r="394" spans="1:1" ht="12.5">
      <c r="A394" s="40"/>
    </row>
    <row r="395" spans="1:1" ht="12.5">
      <c r="A395" s="40"/>
    </row>
    <row r="396" spans="1:1" ht="12.5">
      <c r="A396" s="40"/>
    </row>
    <row r="397" spans="1:1" ht="12.5">
      <c r="A397" s="40"/>
    </row>
    <row r="398" spans="1:1" ht="12.5">
      <c r="A398" s="40"/>
    </row>
    <row r="399" spans="1:1" ht="12.5">
      <c r="A399" s="40"/>
    </row>
    <row r="400" spans="1:1" ht="12.5">
      <c r="A400" s="40"/>
    </row>
    <row r="401" spans="1:1" ht="12.5">
      <c r="A401" s="40"/>
    </row>
    <row r="402" spans="1:1" ht="12.5">
      <c r="A402" s="40"/>
    </row>
    <row r="403" spans="1:1" ht="12.5">
      <c r="A403" s="40"/>
    </row>
    <row r="404" spans="1:1" ht="12.5">
      <c r="A404" s="40"/>
    </row>
    <row r="405" spans="1:1" ht="12.5">
      <c r="A405" s="40"/>
    </row>
    <row r="406" spans="1:1" ht="12.5">
      <c r="A406" s="40"/>
    </row>
    <row r="407" spans="1:1" ht="12.5">
      <c r="A407" s="40"/>
    </row>
    <row r="408" spans="1:1" ht="12.5">
      <c r="A408" s="40"/>
    </row>
    <row r="409" spans="1:1" ht="12.5">
      <c r="A409" s="40"/>
    </row>
    <row r="410" spans="1:1" ht="12.5">
      <c r="A410" s="40"/>
    </row>
    <row r="411" spans="1:1" ht="12.5">
      <c r="A411" s="40"/>
    </row>
    <row r="412" spans="1:1" ht="12.5">
      <c r="A412" s="40"/>
    </row>
    <row r="413" spans="1:1" ht="12.5">
      <c r="A413" s="40"/>
    </row>
    <row r="414" spans="1:1" ht="12.5">
      <c r="A414" s="40"/>
    </row>
    <row r="415" spans="1:1" ht="12.5">
      <c r="A415" s="40"/>
    </row>
    <row r="416" spans="1:1" ht="12.5">
      <c r="A416" s="40"/>
    </row>
    <row r="417" spans="1:1" ht="12.5">
      <c r="A417" s="40"/>
    </row>
    <row r="418" spans="1:1" ht="12.5">
      <c r="A418" s="40"/>
    </row>
    <row r="419" spans="1:1" ht="12.5">
      <c r="A419" s="40"/>
    </row>
    <row r="420" spans="1:1" ht="12.5">
      <c r="A420" s="40"/>
    </row>
    <row r="421" spans="1:1" ht="12.5">
      <c r="A421" s="40"/>
    </row>
    <row r="422" spans="1:1" ht="12.5">
      <c r="A422" s="40"/>
    </row>
    <row r="423" spans="1:1" ht="12.5">
      <c r="A423" s="40"/>
    </row>
    <row r="424" spans="1:1" ht="12.5">
      <c r="A424" s="40"/>
    </row>
    <row r="425" spans="1:1" ht="12.5">
      <c r="A425" s="40"/>
    </row>
    <row r="426" spans="1:1" ht="12.5">
      <c r="A426" s="40"/>
    </row>
    <row r="427" spans="1:1" ht="12.5">
      <c r="A427" s="40"/>
    </row>
    <row r="428" spans="1:1" ht="12.5">
      <c r="A428" s="40"/>
    </row>
    <row r="429" spans="1:1" ht="12.5">
      <c r="A429" s="40"/>
    </row>
    <row r="430" spans="1:1" ht="12.5">
      <c r="A430" s="40"/>
    </row>
    <row r="431" spans="1:1" ht="12.5">
      <c r="A431" s="40"/>
    </row>
    <row r="432" spans="1:1" ht="12.5">
      <c r="A432" s="40"/>
    </row>
    <row r="433" spans="1:1" ht="12.5">
      <c r="A433" s="40"/>
    </row>
    <row r="434" spans="1:1" ht="12.5">
      <c r="A434" s="40"/>
    </row>
    <row r="435" spans="1:1" ht="12.5">
      <c r="A435" s="40"/>
    </row>
    <row r="436" spans="1:1" ht="12.5">
      <c r="A436" s="40"/>
    </row>
    <row r="437" spans="1:1" ht="12.5">
      <c r="A437" s="40"/>
    </row>
    <row r="438" spans="1:1" ht="12.5">
      <c r="A438" s="40"/>
    </row>
    <row r="439" spans="1:1" ht="12.5">
      <c r="A439" s="40"/>
    </row>
    <row r="440" spans="1:1" ht="12.5">
      <c r="A440" s="40"/>
    </row>
    <row r="441" spans="1:1" ht="12.5">
      <c r="A441" s="40"/>
    </row>
    <row r="442" spans="1:1" ht="12.5">
      <c r="A442" s="40"/>
    </row>
    <row r="443" spans="1:1" ht="12.5">
      <c r="A443" s="40"/>
    </row>
    <row r="444" spans="1:1" ht="12.5">
      <c r="A444" s="40"/>
    </row>
    <row r="445" spans="1:1" ht="12.5">
      <c r="A445" s="40"/>
    </row>
    <row r="446" spans="1:1" ht="12.5">
      <c r="A446" s="40"/>
    </row>
    <row r="447" spans="1:1" ht="12.5">
      <c r="A447" s="40"/>
    </row>
    <row r="448" spans="1:1" ht="12.5">
      <c r="A448" s="40"/>
    </row>
    <row r="449" spans="1:1" ht="12.5">
      <c r="A449" s="40"/>
    </row>
    <row r="450" spans="1:1" ht="12.5">
      <c r="A450" s="40"/>
    </row>
    <row r="451" spans="1:1" ht="12.5">
      <c r="A451" s="40"/>
    </row>
    <row r="452" spans="1:1" ht="12.5">
      <c r="A452" s="40"/>
    </row>
    <row r="453" spans="1:1" ht="12.5">
      <c r="A453" s="40"/>
    </row>
    <row r="454" spans="1:1" ht="12.5">
      <c r="A454" s="40"/>
    </row>
    <row r="455" spans="1:1" ht="12.5">
      <c r="A455" s="40"/>
    </row>
    <row r="456" spans="1:1" ht="12.5">
      <c r="A456" s="40"/>
    </row>
    <row r="457" spans="1:1" ht="12.5">
      <c r="A457" s="40"/>
    </row>
    <row r="458" spans="1:1" ht="12.5">
      <c r="A458" s="40"/>
    </row>
    <row r="459" spans="1:1" ht="12.5">
      <c r="A459" s="40"/>
    </row>
    <row r="460" spans="1:1" ht="12.5">
      <c r="A460" s="40"/>
    </row>
    <row r="461" spans="1:1" ht="12.5">
      <c r="A461" s="40"/>
    </row>
    <row r="462" spans="1:1" ht="12.5">
      <c r="A462" s="40"/>
    </row>
    <row r="463" spans="1:1" ht="12.5">
      <c r="A463" s="40"/>
    </row>
    <row r="464" spans="1:1" ht="12.5">
      <c r="A464" s="40"/>
    </row>
    <row r="465" spans="1:1" ht="12.5">
      <c r="A465" s="40"/>
    </row>
    <row r="466" spans="1:1" ht="12.5">
      <c r="A466" s="40"/>
    </row>
    <row r="467" spans="1:1" ht="12.5">
      <c r="A467" s="40"/>
    </row>
    <row r="468" spans="1:1" ht="12.5">
      <c r="A468" s="40"/>
    </row>
    <row r="469" spans="1:1" ht="12.5">
      <c r="A469" s="40"/>
    </row>
    <row r="470" spans="1:1" ht="12.5">
      <c r="A470" s="40"/>
    </row>
    <row r="471" spans="1:1" ht="12.5">
      <c r="A471" s="40"/>
    </row>
    <row r="472" spans="1:1" ht="12.5">
      <c r="A472" s="40"/>
    </row>
    <row r="473" spans="1:1" ht="12.5">
      <c r="A473" s="40"/>
    </row>
    <row r="474" spans="1:1" ht="12.5">
      <c r="A474" s="40"/>
    </row>
    <row r="475" spans="1:1" ht="12.5">
      <c r="A475" s="40"/>
    </row>
    <row r="476" spans="1:1" ht="12.5">
      <c r="A476" s="40"/>
    </row>
    <row r="477" spans="1:1" ht="12.5">
      <c r="A477" s="40"/>
    </row>
    <row r="478" spans="1:1" ht="12.5">
      <c r="A478" s="40"/>
    </row>
    <row r="479" spans="1:1" ht="12.5">
      <c r="A479" s="40"/>
    </row>
    <row r="480" spans="1:1" ht="12.5">
      <c r="A480" s="40"/>
    </row>
    <row r="481" spans="1:1" ht="12.5">
      <c r="A481" s="40"/>
    </row>
    <row r="482" spans="1:1" ht="12.5">
      <c r="A482" s="40"/>
    </row>
    <row r="483" spans="1:1" ht="12.5">
      <c r="A483" s="40"/>
    </row>
    <row r="484" spans="1:1" ht="12.5">
      <c r="A484" s="40"/>
    </row>
    <row r="485" spans="1:1" ht="12.5">
      <c r="A485" s="40"/>
    </row>
    <row r="486" spans="1:1" ht="12.5">
      <c r="A486" s="40"/>
    </row>
    <row r="487" spans="1:1" ht="12.5">
      <c r="A487" s="40"/>
    </row>
    <row r="488" spans="1:1" ht="12.5">
      <c r="A488" s="40"/>
    </row>
    <row r="489" spans="1:1" ht="12.5">
      <c r="A489" s="40"/>
    </row>
    <row r="490" spans="1:1" ht="12.5">
      <c r="A490" s="40"/>
    </row>
    <row r="491" spans="1:1" ht="12.5">
      <c r="A491" s="40"/>
    </row>
    <row r="492" spans="1:1" ht="12.5">
      <c r="A492" s="40"/>
    </row>
    <row r="493" spans="1:1" ht="12.5">
      <c r="A493" s="40"/>
    </row>
    <row r="494" spans="1:1" ht="12.5">
      <c r="A494" s="40"/>
    </row>
    <row r="495" spans="1:1" ht="12.5">
      <c r="A495" s="40"/>
    </row>
    <row r="496" spans="1:1" ht="12.5">
      <c r="A496" s="40"/>
    </row>
    <row r="497" spans="1:1" ht="12.5">
      <c r="A497" s="40"/>
    </row>
    <row r="498" spans="1:1" ht="12.5">
      <c r="A498" s="40"/>
    </row>
    <row r="499" spans="1:1" ht="12.5">
      <c r="A499" s="40"/>
    </row>
    <row r="500" spans="1:1" ht="12.5">
      <c r="A500" s="40"/>
    </row>
    <row r="501" spans="1:1" ht="12.5">
      <c r="A501" s="40"/>
    </row>
    <row r="502" spans="1:1" ht="12.5">
      <c r="A502" s="40"/>
    </row>
    <row r="503" spans="1:1" ht="12.5">
      <c r="A503" s="40"/>
    </row>
    <row r="504" spans="1:1" ht="12.5">
      <c r="A504" s="40"/>
    </row>
    <row r="505" spans="1:1" ht="12.5">
      <c r="A505" s="40"/>
    </row>
    <row r="506" spans="1:1" ht="12.5">
      <c r="A506" s="40"/>
    </row>
    <row r="507" spans="1:1" ht="12.5">
      <c r="A507" s="40"/>
    </row>
    <row r="508" spans="1:1" ht="12.5">
      <c r="A508" s="40"/>
    </row>
    <row r="509" spans="1:1" ht="12.5">
      <c r="A509" s="40"/>
    </row>
    <row r="510" spans="1:1" ht="12.5">
      <c r="A510" s="40"/>
    </row>
    <row r="511" spans="1:1" ht="12.5">
      <c r="A511" s="40"/>
    </row>
    <row r="512" spans="1:1" ht="12.5">
      <c r="A512" s="40"/>
    </row>
    <row r="513" spans="1:1" ht="12.5">
      <c r="A513" s="40"/>
    </row>
    <row r="514" spans="1:1" ht="12.5">
      <c r="A514" s="40"/>
    </row>
    <row r="515" spans="1:1" ht="12.5">
      <c r="A515" s="40"/>
    </row>
    <row r="516" spans="1:1" ht="12.5">
      <c r="A516" s="40"/>
    </row>
    <row r="517" spans="1:1" ht="12.5">
      <c r="A517" s="40"/>
    </row>
    <row r="518" spans="1:1" ht="12.5">
      <c r="A518" s="40"/>
    </row>
    <row r="519" spans="1:1" ht="12.5">
      <c r="A519" s="40"/>
    </row>
    <row r="520" spans="1:1" ht="12.5">
      <c r="A520" s="40"/>
    </row>
    <row r="521" spans="1:1" ht="12.5">
      <c r="A521" s="40"/>
    </row>
    <row r="522" spans="1:1" ht="12.5">
      <c r="A522" s="40"/>
    </row>
    <row r="523" spans="1:1" ht="12.5">
      <c r="A523" s="40"/>
    </row>
    <row r="524" spans="1:1" ht="12.5">
      <c r="A524" s="40"/>
    </row>
    <row r="525" spans="1:1" ht="12.5">
      <c r="A525" s="40"/>
    </row>
    <row r="526" spans="1:1" ht="12.5">
      <c r="A526" s="40"/>
    </row>
    <row r="527" spans="1:1" ht="12.5">
      <c r="A527" s="40"/>
    </row>
    <row r="528" spans="1:1" ht="12.5">
      <c r="A528" s="40"/>
    </row>
    <row r="529" spans="1:1" ht="12.5">
      <c r="A529" s="40"/>
    </row>
    <row r="530" spans="1:1" ht="12.5">
      <c r="A530" s="40"/>
    </row>
    <row r="531" spans="1:1" ht="12.5">
      <c r="A531" s="40"/>
    </row>
    <row r="532" spans="1:1" ht="12.5">
      <c r="A532" s="40"/>
    </row>
    <row r="533" spans="1:1" ht="12.5">
      <c r="A533" s="40"/>
    </row>
    <row r="534" spans="1:1" ht="12.5">
      <c r="A534" s="40"/>
    </row>
    <row r="535" spans="1:1" ht="12.5">
      <c r="A535" s="40"/>
    </row>
    <row r="536" spans="1:1" ht="12.5">
      <c r="A536" s="40"/>
    </row>
    <row r="537" spans="1:1" ht="12.5">
      <c r="A537" s="40"/>
    </row>
    <row r="538" spans="1:1" ht="12.5">
      <c r="A538" s="40"/>
    </row>
    <row r="539" spans="1:1" ht="12.5">
      <c r="A539" s="40"/>
    </row>
    <row r="540" spans="1:1" ht="12.5">
      <c r="A540" s="40"/>
    </row>
    <row r="541" spans="1:1" ht="12.5">
      <c r="A541" s="40"/>
    </row>
    <row r="542" spans="1:1" ht="12.5">
      <c r="A542" s="40"/>
    </row>
    <row r="543" spans="1:1" ht="12.5">
      <c r="A543" s="40"/>
    </row>
    <row r="544" spans="1:1" ht="12.5">
      <c r="A544" s="40"/>
    </row>
    <row r="545" spans="1:1" ht="12.5">
      <c r="A545" s="40"/>
    </row>
    <row r="546" spans="1:1" ht="12.5">
      <c r="A546" s="40"/>
    </row>
    <row r="547" spans="1:1" ht="12.5">
      <c r="A547" s="40"/>
    </row>
    <row r="548" spans="1:1" ht="12.5">
      <c r="A548" s="40"/>
    </row>
    <row r="549" spans="1:1" ht="12.5">
      <c r="A549" s="40"/>
    </row>
    <row r="550" spans="1:1" ht="12.5">
      <c r="A550" s="40"/>
    </row>
    <row r="551" spans="1:1" ht="12.5">
      <c r="A551" s="40"/>
    </row>
    <row r="552" spans="1:1" ht="12.5">
      <c r="A552" s="40"/>
    </row>
    <row r="553" spans="1:1" ht="12.5">
      <c r="A553" s="40"/>
    </row>
    <row r="554" spans="1:1" ht="12.5">
      <c r="A554" s="40"/>
    </row>
    <row r="555" spans="1:1" ht="12.5">
      <c r="A555" s="40"/>
    </row>
    <row r="556" spans="1:1" ht="12.5">
      <c r="A556" s="40"/>
    </row>
    <row r="557" spans="1:1" ht="12.5">
      <c r="A557" s="40"/>
    </row>
    <row r="558" spans="1:1" ht="12.5">
      <c r="A558" s="40"/>
    </row>
    <row r="559" spans="1:1" ht="12.5">
      <c r="A559" s="40"/>
    </row>
    <row r="560" spans="1:1" ht="12.5">
      <c r="A560" s="40"/>
    </row>
    <row r="561" spans="1:1" ht="12.5">
      <c r="A561" s="40"/>
    </row>
    <row r="562" spans="1:1" ht="12.5">
      <c r="A562" s="40"/>
    </row>
    <row r="563" spans="1:1" ht="12.5">
      <c r="A563" s="40"/>
    </row>
    <row r="564" spans="1:1" ht="12.5">
      <c r="A564" s="40"/>
    </row>
    <row r="565" spans="1:1" ht="12.5">
      <c r="A565" s="40"/>
    </row>
    <row r="566" spans="1:1" ht="12.5">
      <c r="A566" s="40"/>
    </row>
    <row r="567" spans="1:1" ht="12.5">
      <c r="A567" s="40"/>
    </row>
    <row r="568" spans="1:1" ht="12.5">
      <c r="A568" s="40"/>
    </row>
    <row r="569" spans="1:1" ht="12.5">
      <c r="A569" s="40"/>
    </row>
    <row r="570" spans="1:1" ht="12.5">
      <c r="A570" s="40"/>
    </row>
    <row r="571" spans="1:1" ht="12.5">
      <c r="A571" s="40"/>
    </row>
    <row r="572" spans="1:1" ht="12.5">
      <c r="A572" s="40"/>
    </row>
    <row r="573" spans="1:1" ht="12.5">
      <c r="A573" s="40"/>
    </row>
    <row r="574" spans="1:1" ht="12.5">
      <c r="A574" s="40"/>
    </row>
    <row r="575" spans="1:1" ht="12.5">
      <c r="A575" s="40"/>
    </row>
    <row r="576" spans="1:1" ht="12.5">
      <c r="A576" s="40"/>
    </row>
    <row r="577" spans="1:1" ht="12.5">
      <c r="A577" s="40"/>
    </row>
    <row r="578" spans="1:1" ht="12.5">
      <c r="A578" s="40"/>
    </row>
    <row r="579" spans="1:1" ht="12.5">
      <c r="A579" s="40"/>
    </row>
    <row r="580" spans="1:1" ht="12.5">
      <c r="A580" s="40"/>
    </row>
    <row r="581" spans="1:1" ht="12.5">
      <c r="A581" s="40"/>
    </row>
    <row r="582" spans="1:1" ht="12.5">
      <c r="A582" s="40"/>
    </row>
    <row r="583" spans="1:1" ht="12.5">
      <c r="A583" s="40"/>
    </row>
    <row r="584" spans="1:1" ht="12.5">
      <c r="A584" s="40"/>
    </row>
    <row r="585" spans="1:1" ht="12.5">
      <c r="A585" s="40"/>
    </row>
    <row r="586" spans="1:1" ht="12.5">
      <c r="A586" s="40"/>
    </row>
    <row r="587" spans="1:1" ht="12.5">
      <c r="A587" s="40"/>
    </row>
    <row r="588" spans="1:1" ht="12.5">
      <c r="A588" s="40"/>
    </row>
    <row r="589" spans="1:1" ht="12.5">
      <c r="A589" s="40"/>
    </row>
    <row r="590" spans="1:1" ht="12.5">
      <c r="A590" s="40"/>
    </row>
    <row r="591" spans="1:1" ht="12.5">
      <c r="A591" s="40"/>
    </row>
    <row r="592" spans="1:1" ht="12.5">
      <c r="A592" s="40"/>
    </row>
    <row r="593" spans="1:1" ht="12.5">
      <c r="A593" s="40"/>
    </row>
    <row r="594" spans="1:1" ht="12.5">
      <c r="A594" s="40"/>
    </row>
    <row r="595" spans="1:1" ht="12.5">
      <c r="A595" s="40"/>
    </row>
    <row r="596" spans="1:1" ht="12.5">
      <c r="A596" s="40"/>
    </row>
    <row r="597" spans="1:1" ht="12.5">
      <c r="A597" s="40"/>
    </row>
    <row r="598" spans="1:1" ht="12.5">
      <c r="A598" s="40"/>
    </row>
    <row r="599" spans="1:1" ht="12.5">
      <c r="A599" s="40"/>
    </row>
    <row r="600" spans="1:1" ht="12.5">
      <c r="A600" s="40"/>
    </row>
    <row r="601" spans="1:1" ht="12.5">
      <c r="A601" s="40"/>
    </row>
    <row r="602" spans="1:1" ht="12.5">
      <c r="A602" s="40"/>
    </row>
    <row r="603" spans="1:1" ht="12.5">
      <c r="A603" s="40"/>
    </row>
    <row r="604" spans="1:1" ht="12.5">
      <c r="A604" s="40"/>
    </row>
    <row r="605" spans="1:1" ht="12.5">
      <c r="A605" s="40"/>
    </row>
    <row r="606" spans="1:1" ht="12.5">
      <c r="A606" s="40"/>
    </row>
    <row r="607" spans="1:1" ht="12.5">
      <c r="A607" s="40"/>
    </row>
    <row r="608" spans="1:1" ht="12.5">
      <c r="A608" s="40"/>
    </row>
    <row r="609" spans="1:1" ht="12.5">
      <c r="A609" s="40"/>
    </row>
    <row r="610" spans="1:1" ht="12.5">
      <c r="A610" s="40"/>
    </row>
    <row r="611" spans="1:1" ht="12.5">
      <c r="A611" s="40"/>
    </row>
    <row r="612" spans="1:1" ht="12.5">
      <c r="A612" s="40"/>
    </row>
    <row r="613" spans="1:1" ht="12.5">
      <c r="A613" s="40"/>
    </row>
    <row r="614" spans="1:1" ht="12.5">
      <c r="A614" s="40"/>
    </row>
    <row r="615" spans="1:1" ht="12.5">
      <c r="A615" s="40"/>
    </row>
    <row r="616" spans="1:1" ht="12.5">
      <c r="A616" s="40"/>
    </row>
    <row r="617" spans="1:1" ht="12.5">
      <c r="A617" s="40"/>
    </row>
    <row r="618" spans="1:1" ht="12.5">
      <c r="A618" s="40"/>
    </row>
    <row r="619" spans="1:1" ht="12.5">
      <c r="A619" s="40"/>
    </row>
    <row r="620" spans="1:1" ht="12.5">
      <c r="A620" s="40"/>
    </row>
    <row r="621" spans="1:1" ht="12.5">
      <c r="A621" s="40"/>
    </row>
    <row r="622" spans="1:1" ht="12.5">
      <c r="A622" s="40"/>
    </row>
    <row r="623" spans="1:1" ht="12.5">
      <c r="A623" s="40"/>
    </row>
    <row r="624" spans="1:1" ht="12.5">
      <c r="A624" s="40"/>
    </row>
    <row r="625" spans="1:1" ht="12.5">
      <c r="A625" s="40"/>
    </row>
    <row r="626" spans="1:1" ht="12.5">
      <c r="A626" s="40"/>
    </row>
    <row r="627" spans="1:1" ht="12.5">
      <c r="A627" s="40"/>
    </row>
    <row r="628" spans="1:1" ht="12.5">
      <c r="A628" s="40"/>
    </row>
    <row r="629" spans="1:1" ht="12.5">
      <c r="A629" s="40"/>
    </row>
    <row r="630" spans="1:1" ht="12.5">
      <c r="A630" s="40"/>
    </row>
    <row r="631" spans="1:1" ht="12.5">
      <c r="A631" s="40"/>
    </row>
    <row r="632" spans="1:1" ht="12.5">
      <c r="A632" s="40"/>
    </row>
    <row r="633" spans="1:1" ht="12.5">
      <c r="A633" s="40"/>
    </row>
    <row r="634" spans="1:1" ht="12.5">
      <c r="A634" s="40"/>
    </row>
    <row r="635" spans="1:1" ht="12.5">
      <c r="A635" s="40"/>
    </row>
    <row r="636" spans="1:1" ht="12.5">
      <c r="A636" s="40"/>
    </row>
    <row r="637" spans="1:1" ht="12.5">
      <c r="A637" s="40"/>
    </row>
    <row r="638" spans="1:1" ht="12.5">
      <c r="A638" s="40"/>
    </row>
    <row r="639" spans="1:1" ht="12.5">
      <c r="A639" s="40"/>
    </row>
    <row r="640" spans="1:1" ht="12.5">
      <c r="A640" s="40"/>
    </row>
    <row r="641" spans="1:1" ht="12.5">
      <c r="A641" s="40"/>
    </row>
    <row r="642" spans="1:1" ht="12.5">
      <c r="A642" s="40"/>
    </row>
    <row r="643" spans="1:1" ht="12.5">
      <c r="A643" s="40"/>
    </row>
    <row r="644" spans="1:1" ht="12.5">
      <c r="A644" s="40"/>
    </row>
    <row r="645" spans="1:1" ht="12.5">
      <c r="A645" s="40"/>
    </row>
    <row r="646" spans="1:1" ht="12.5">
      <c r="A646" s="40"/>
    </row>
    <row r="647" spans="1:1" ht="12.5">
      <c r="A647" s="40"/>
    </row>
    <row r="648" spans="1:1" ht="12.5">
      <c r="A648" s="40"/>
    </row>
    <row r="649" spans="1:1" ht="12.5">
      <c r="A649" s="40"/>
    </row>
    <row r="650" spans="1:1" ht="12.5">
      <c r="A650" s="40"/>
    </row>
    <row r="651" spans="1:1" ht="12.5">
      <c r="A651" s="40"/>
    </row>
    <row r="652" spans="1:1" ht="12.5">
      <c r="A652" s="40"/>
    </row>
    <row r="653" spans="1:1" ht="12.5">
      <c r="A653" s="40"/>
    </row>
    <row r="654" spans="1:1" ht="12.5">
      <c r="A654" s="40"/>
    </row>
    <row r="655" spans="1:1" ht="12.5">
      <c r="A655" s="40"/>
    </row>
    <row r="656" spans="1:1" ht="12.5">
      <c r="A656" s="40"/>
    </row>
    <row r="657" spans="1:1" ht="12.5">
      <c r="A657" s="40"/>
    </row>
    <row r="658" spans="1:1" ht="12.5">
      <c r="A658" s="40"/>
    </row>
    <row r="659" spans="1:1" ht="12.5">
      <c r="A659" s="40"/>
    </row>
    <row r="660" spans="1:1" ht="12.5">
      <c r="A660" s="40"/>
    </row>
    <row r="661" spans="1:1" ht="12.5">
      <c r="A661" s="40"/>
    </row>
    <row r="662" spans="1:1" ht="12.5">
      <c r="A662" s="40"/>
    </row>
    <row r="663" spans="1:1" ht="12.5">
      <c r="A663" s="40"/>
    </row>
    <row r="664" spans="1:1" ht="12.5">
      <c r="A664" s="40"/>
    </row>
    <row r="665" spans="1:1" ht="12.5">
      <c r="A665" s="40"/>
    </row>
    <row r="666" spans="1:1" ht="12.5">
      <c r="A666" s="40"/>
    </row>
    <row r="667" spans="1:1" ht="12.5">
      <c r="A667" s="40"/>
    </row>
    <row r="668" spans="1:1" ht="12.5">
      <c r="A668" s="40"/>
    </row>
    <row r="669" spans="1:1" ht="12.5">
      <c r="A669" s="40"/>
    </row>
    <row r="670" spans="1:1" ht="12.5">
      <c r="A670" s="40"/>
    </row>
    <row r="671" spans="1:1" ht="12.5">
      <c r="A671" s="40"/>
    </row>
    <row r="672" spans="1:1" ht="12.5">
      <c r="A672" s="40"/>
    </row>
    <row r="673" spans="1:1" ht="12.5">
      <c r="A673" s="40"/>
    </row>
    <row r="674" spans="1:1" ht="12.5">
      <c r="A674" s="40"/>
    </row>
    <row r="675" spans="1:1" ht="12.5">
      <c r="A675" s="40"/>
    </row>
    <row r="676" spans="1:1" ht="12.5">
      <c r="A676" s="40"/>
    </row>
    <row r="677" spans="1:1" ht="12.5">
      <c r="A677" s="40"/>
    </row>
    <row r="678" spans="1:1" ht="12.5">
      <c r="A678" s="40"/>
    </row>
    <row r="679" spans="1:1" ht="12.5">
      <c r="A679" s="40"/>
    </row>
    <row r="680" spans="1:1" ht="12.5">
      <c r="A680" s="40"/>
    </row>
    <row r="681" spans="1:1" ht="12.5">
      <c r="A681" s="40"/>
    </row>
    <row r="682" spans="1:1" ht="12.5">
      <c r="A682" s="40"/>
    </row>
    <row r="683" spans="1:1" ht="12.5">
      <c r="A683" s="40"/>
    </row>
    <row r="684" spans="1:1" ht="12.5">
      <c r="A684" s="40"/>
    </row>
    <row r="685" spans="1:1" ht="12.5">
      <c r="A685" s="40"/>
    </row>
    <row r="686" spans="1:1" ht="12.5">
      <c r="A686" s="40"/>
    </row>
    <row r="687" spans="1:1" ht="12.5">
      <c r="A687" s="40"/>
    </row>
    <row r="688" spans="1:1" ht="12.5">
      <c r="A688" s="40"/>
    </row>
    <row r="689" spans="1:1" ht="12.5">
      <c r="A689" s="40"/>
    </row>
    <row r="690" spans="1:1" ht="12.5">
      <c r="A690" s="40"/>
    </row>
    <row r="691" spans="1:1" ht="12.5">
      <c r="A691" s="40"/>
    </row>
    <row r="692" spans="1:1" ht="12.5">
      <c r="A692" s="40"/>
    </row>
    <row r="693" spans="1:1" ht="12.5">
      <c r="A693" s="40"/>
    </row>
    <row r="694" spans="1:1" ht="12.5">
      <c r="A694" s="40"/>
    </row>
    <row r="695" spans="1:1" ht="12.5">
      <c r="A695" s="40"/>
    </row>
    <row r="696" spans="1:1" ht="12.5">
      <c r="A696" s="40"/>
    </row>
    <row r="697" spans="1:1" ht="12.5">
      <c r="A697" s="40"/>
    </row>
    <row r="698" spans="1:1" ht="12.5">
      <c r="A698" s="40"/>
    </row>
    <row r="699" spans="1:1" ht="12.5">
      <c r="A699" s="40"/>
    </row>
    <row r="700" spans="1:1" ht="12.5">
      <c r="A700" s="40"/>
    </row>
    <row r="701" spans="1:1" ht="12.5">
      <c r="A701" s="40"/>
    </row>
    <row r="702" spans="1:1" ht="12.5">
      <c r="A702" s="40"/>
    </row>
    <row r="703" spans="1:1" ht="12.5">
      <c r="A703" s="40"/>
    </row>
    <row r="704" spans="1:1" ht="12.5">
      <c r="A704" s="40"/>
    </row>
    <row r="705" spans="1:1" ht="12.5">
      <c r="A705" s="40"/>
    </row>
    <row r="706" spans="1:1" ht="12.5">
      <c r="A706" s="40"/>
    </row>
    <row r="707" spans="1:1" ht="12.5">
      <c r="A707" s="40"/>
    </row>
    <row r="708" spans="1:1" ht="12.5">
      <c r="A708" s="40"/>
    </row>
    <row r="709" spans="1:1" ht="12.5">
      <c r="A709" s="40"/>
    </row>
    <row r="710" spans="1:1" ht="12.5">
      <c r="A710" s="40"/>
    </row>
    <row r="711" spans="1:1" ht="12.5">
      <c r="A711" s="40"/>
    </row>
    <row r="712" spans="1:1" ht="12.5">
      <c r="A712" s="40"/>
    </row>
    <row r="713" spans="1:1" ht="12.5">
      <c r="A713" s="40"/>
    </row>
    <row r="714" spans="1:1" ht="12.5">
      <c r="A714" s="40"/>
    </row>
    <row r="715" spans="1:1" ht="12.5">
      <c r="A715" s="40"/>
    </row>
    <row r="716" spans="1:1" ht="12.5">
      <c r="A716" s="40"/>
    </row>
    <row r="717" spans="1:1" ht="12.5">
      <c r="A717" s="40"/>
    </row>
    <row r="718" spans="1:1" ht="12.5">
      <c r="A718" s="40"/>
    </row>
    <row r="719" spans="1:1" ht="12.5">
      <c r="A719" s="40"/>
    </row>
    <row r="720" spans="1:1" ht="12.5">
      <c r="A720" s="40"/>
    </row>
    <row r="721" spans="1:1" ht="12.5">
      <c r="A721" s="40"/>
    </row>
    <row r="722" spans="1:1" ht="12.5">
      <c r="A722" s="40"/>
    </row>
    <row r="723" spans="1:1" ht="12.5">
      <c r="A723" s="40"/>
    </row>
    <row r="724" spans="1:1" ht="12.5">
      <c r="A724" s="40"/>
    </row>
    <row r="725" spans="1:1" ht="12.5">
      <c r="A725" s="40"/>
    </row>
    <row r="726" spans="1:1" ht="12.5">
      <c r="A726" s="40"/>
    </row>
    <row r="727" spans="1:1" ht="12.5">
      <c r="A727" s="40"/>
    </row>
    <row r="728" spans="1:1" ht="12.5">
      <c r="A728" s="40"/>
    </row>
    <row r="729" spans="1:1" ht="12.5">
      <c r="A729" s="40"/>
    </row>
    <row r="730" spans="1:1" ht="12.5">
      <c r="A730" s="40"/>
    </row>
    <row r="731" spans="1:1" ht="12.5">
      <c r="A731" s="40"/>
    </row>
    <row r="732" spans="1:1" ht="12.5">
      <c r="A732" s="40"/>
    </row>
    <row r="733" spans="1:1" ht="12.5">
      <c r="A733" s="40"/>
    </row>
    <row r="734" spans="1:1" ht="12.5">
      <c r="A734" s="40"/>
    </row>
    <row r="735" spans="1:1" ht="12.5">
      <c r="A735" s="40"/>
    </row>
    <row r="736" spans="1:1" ht="12.5">
      <c r="A736" s="40"/>
    </row>
    <row r="737" spans="1:1" ht="12.5">
      <c r="A737" s="40"/>
    </row>
    <row r="738" spans="1:1" ht="12.5">
      <c r="A738" s="40"/>
    </row>
    <row r="739" spans="1:1" ht="12.5">
      <c r="A739" s="40"/>
    </row>
    <row r="740" spans="1:1" ht="12.5">
      <c r="A740" s="40"/>
    </row>
    <row r="741" spans="1:1" ht="12.5">
      <c r="A741" s="40"/>
    </row>
    <row r="742" spans="1:1" ht="12.5">
      <c r="A742" s="40"/>
    </row>
    <row r="743" spans="1:1" ht="12.5">
      <c r="A743" s="40"/>
    </row>
    <row r="744" spans="1:1" ht="12.5">
      <c r="A744" s="40"/>
    </row>
    <row r="745" spans="1:1" ht="12.5">
      <c r="A745" s="40"/>
    </row>
    <row r="746" spans="1:1" ht="12.5">
      <c r="A746" s="40"/>
    </row>
    <row r="747" spans="1:1" ht="12.5">
      <c r="A747" s="40"/>
    </row>
    <row r="748" spans="1:1" ht="12.5">
      <c r="A748" s="40"/>
    </row>
    <row r="749" spans="1:1" ht="12.5">
      <c r="A749" s="40"/>
    </row>
    <row r="750" spans="1:1" ht="12.5">
      <c r="A750" s="40"/>
    </row>
    <row r="751" spans="1:1" ht="12.5">
      <c r="A751" s="40"/>
    </row>
    <row r="752" spans="1:1" ht="12.5">
      <c r="A752" s="40"/>
    </row>
    <row r="753" spans="1:1" ht="12.5">
      <c r="A753" s="40"/>
    </row>
    <row r="754" spans="1:1" ht="12.5">
      <c r="A754" s="40"/>
    </row>
    <row r="755" spans="1:1" ht="12.5">
      <c r="A755" s="40"/>
    </row>
    <row r="756" spans="1:1" ht="12.5">
      <c r="A756" s="40"/>
    </row>
    <row r="757" spans="1:1" ht="12.5">
      <c r="A757" s="40"/>
    </row>
    <row r="758" spans="1:1" ht="12.5">
      <c r="A758" s="40"/>
    </row>
    <row r="759" spans="1:1" ht="12.5">
      <c r="A759" s="40"/>
    </row>
    <row r="760" spans="1:1" ht="12.5">
      <c r="A760" s="40"/>
    </row>
    <row r="761" spans="1:1" ht="12.5">
      <c r="A761" s="40"/>
    </row>
    <row r="762" spans="1:1" ht="12.5">
      <c r="A762" s="40"/>
    </row>
    <row r="763" spans="1:1" ht="12.5">
      <c r="A763" s="40"/>
    </row>
    <row r="764" spans="1:1" ht="12.5">
      <c r="A764" s="40"/>
    </row>
    <row r="765" spans="1:1" ht="12.5">
      <c r="A765" s="40"/>
    </row>
    <row r="766" spans="1:1" ht="12.5">
      <c r="A766" s="40"/>
    </row>
    <row r="767" spans="1:1" ht="12.5">
      <c r="A767" s="40"/>
    </row>
    <row r="768" spans="1:1" ht="12.5">
      <c r="A768" s="40"/>
    </row>
    <row r="769" spans="1:1" ht="12.5">
      <c r="A769" s="40"/>
    </row>
    <row r="770" spans="1:1" ht="12.5">
      <c r="A770" s="40"/>
    </row>
    <row r="771" spans="1:1" ht="12.5">
      <c r="A771" s="40"/>
    </row>
    <row r="772" spans="1:1" ht="12.5">
      <c r="A772" s="40"/>
    </row>
    <row r="773" spans="1:1" ht="12.5">
      <c r="A773" s="40"/>
    </row>
    <row r="774" spans="1:1" ht="12.5">
      <c r="A774" s="40"/>
    </row>
    <row r="775" spans="1:1" ht="12.5">
      <c r="A775" s="40"/>
    </row>
    <row r="776" spans="1:1" ht="12.5">
      <c r="A776" s="40"/>
    </row>
    <row r="777" spans="1:1" ht="12.5">
      <c r="A777" s="40"/>
    </row>
    <row r="778" spans="1:1" ht="12.5">
      <c r="A778" s="40"/>
    </row>
    <row r="779" spans="1:1" ht="12.5">
      <c r="A779" s="40"/>
    </row>
    <row r="780" spans="1:1" ht="12.5">
      <c r="A780" s="40"/>
    </row>
    <row r="781" spans="1:1" ht="12.5">
      <c r="A781" s="40"/>
    </row>
    <row r="782" spans="1:1" ht="12.5">
      <c r="A782" s="40"/>
    </row>
    <row r="783" spans="1:1" ht="12.5">
      <c r="A783" s="40"/>
    </row>
    <row r="784" spans="1:1" ht="12.5">
      <c r="A784" s="40"/>
    </row>
    <row r="785" spans="1:1" ht="12.5">
      <c r="A785" s="40"/>
    </row>
    <row r="786" spans="1:1" ht="12.5">
      <c r="A786" s="40"/>
    </row>
    <row r="787" spans="1:1" ht="12.5">
      <c r="A787" s="40"/>
    </row>
    <row r="788" spans="1:1" ht="12.5">
      <c r="A788" s="40"/>
    </row>
    <row r="789" spans="1:1" ht="12.5">
      <c r="A789" s="40"/>
    </row>
    <row r="790" spans="1:1" ht="12.5">
      <c r="A790" s="40"/>
    </row>
    <row r="791" spans="1:1" ht="12.5">
      <c r="A791" s="40"/>
    </row>
    <row r="792" spans="1:1" ht="12.5">
      <c r="A792" s="40"/>
    </row>
    <row r="793" spans="1:1" ht="12.5">
      <c r="A793" s="40"/>
    </row>
    <row r="794" spans="1:1" ht="12.5">
      <c r="A794" s="40"/>
    </row>
    <row r="795" spans="1:1" ht="12.5">
      <c r="A795" s="40"/>
    </row>
    <row r="796" spans="1:1" ht="12.5">
      <c r="A796" s="40"/>
    </row>
    <row r="797" spans="1:1" ht="12.5">
      <c r="A797" s="40"/>
    </row>
    <row r="798" spans="1:1" ht="12.5">
      <c r="A798" s="40"/>
    </row>
    <row r="799" spans="1:1" ht="12.5">
      <c r="A799" s="40"/>
    </row>
    <row r="800" spans="1:1" ht="12.5">
      <c r="A800" s="40"/>
    </row>
    <row r="801" spans="1:1" ht="12.5">
      <c r="A801" s="40"/>
    </row>
    <row r="802" spans="1:1" ht="12.5">
      <c r="A802" s="40"/>
    </row>
    <row r="803" spans="1:1" ht="12.5">
      <c r="A803" s="40"/>
    </row>
    <row r="804" spans="1:1" ht="12.5">
      <c r="A804" s="40"/>
    </row>
    <row r="805" spans="1:1" ht="12.5">
      <c r="A805" s="40"/>
    </row>
    <row r="806" spans="1:1" ht="12.5">
      <c r="A806" s="40"/>
    </row>
    <row r="807" spans="1:1" ht="12.5">
      <c r="A807" s="40"/>
    </row>
    <row r="808" spans="1:1" ht="12.5">
      <c r="A808" s="40"/>
    </row>
    <row r="809" spans="1:1" ht="12.5">
      <c r="A809" s="40"/>
    </row>
    <row r="810" spans="1:1" ht="12.5">
      <c r="A810" s="40"/>
    </row>
    <row r="811" spans="1:1" ht="12.5">
      <c r="A811" s="40"/>
    </row>
    <row r="812" spans="1:1" ht="12.5">
      <c r="A812" s="40"/>
    </row>
    <row r="813" spans="1:1" ht="12.5">
      <c r="A813" s="40"/>
    </row>
    <row r="814" spans="1:1" ht="12.5">
      <c r="A814" s="40"/>
    </row>
    <row r="815" spans="1:1" ht="12.5">
      <c r="A815" s="40"/>
    </row>
    <row r="816" spans="1:1" ht="12.5">
      <c r="A816" s="40"/>
    </row>
    <row r="817" spans="1:1" ht="12.5">
      <c r="A817" s="40"/>
    </row>
    <row r="818" spans="1:1" ht="12.5">
      <c r="A818" s="40"/>
    </row>
    <row r="819" spans="1:1" ht="12.5">
      <c r="A819" s="40"/>
    </row>
    <row r="820" spans="1:1" ht="12.5">
      <c r="A820" s="40"/>
    </row>
    <row r="821" spans="1:1" ht="12.5">
      <c r="A821" s="40"/>
    </row>
    <row r="822" spans="1:1" ht="12.5">
      <c r="A822" s="40"/>
    </row>
    <row r="823" spans="1:1" ht="12.5">
      <c r="A823" s="40"/>
    </row>
    <row r="824" spans="1:1" ht="12.5">
      <c r="A824" s="40"/>
    </row>
    <row r="825" spans="1:1" ht="12.5">
      <c r="A825" s="40"/>
    </row>
    <row r="826" spans="1:1" ht="12.5">
      <c r="A826" s="40"/>
    </row>
    <row r="827" spans="1:1" ht="12.5">
      <c r="A827" s="40"/>
    </row>
    <row r="828" spans="1:1" ht="12.5">
      <c r="A828" s="40"/>
    </row>
    <row r="829" spans="1:1" ht="12.5">
      <c r="A829" s="40"/>
    </row>
    <row r="830" spans="1:1" ht="12.5">
      <c r="A830" s="40"/>
    </row>
    <row r="831" spans="1:1" ht="12.5">
      <c r="A831" s="40"/>
    </row>
    <row r="832" spans="1:1" ht="12.5">
      <c r="A832" s="40"/>
    </row>
    <row r="833" spans="1:1" ht="12.5">
      <c r="A833" s="40"/>
    </row>
    <row r="834" spans="1:1" ht="12.5">
      <c r="A834" s="40"/>
    </row>
    <row r="835" spans="1:1" ht="12.5">
      <c r="A835" s="40"/>
    </row>
    <row r="836" spans="1:1" ht="12.5">
      <c r="A836" s="40"/>
    </row>
    <row r="837" spans="1:1" ht="12.5">
      <c r="A837" s="40"/>
    </row>
    <row r="838" spans="1:1" ht="12.5">
      <c r="A838" s="40"/>
    </row>
    <row r="839" spans="1:1" ht="12.5">
      <c r="A839" s="40"/>
    </row>
    <row r="840" spans="1:1" ht="12.5">
      <c r="A840" s="40"/>
    </row>
    <row r="841" spans="1:1" ht="12.5">
      <c r="A841" s="40"/>
    </row>
    <row r="842" spans="1:1" ht="12.5">
      <c r="A842" s="40"/>
    </row>
    <row r="843" spans="1:1" ht="12.5">
      <c r="A843" s="40"/>
    </row>
    <row r="844" spans="1:1" ht="12.5">
      <c r="A844" s="40"/>
    </row>
    <row r="845" spans="1:1" ht="12.5">
      <c r="A845" s="40"/>
    </row>
    <row r="846" spans="1:1" ht="12.5">
      <c r="A846" s="40"/>
    </row>
    <row r="847" spans="1:1" ht="12.5">
      <c r="A847" s="40"/>
    </row>
    <row r="848" spans="1:1" ht="12.5">
      <c r="A848" s="40"/>
    </row>
    <row r="849" spans="1:1" ht="12.5">
      <c r="A849" s="40"/>
    </row>
    <row r="850" spans="1:1" ht="12.5">
      <c r="A850" s="40"/>
    </row>
    <row r="851" spans="1:1" ht="12.5">
      <c r="A851" s="40"/>
    </row>
    <row r="852" spans="1:1" ht="12.5">
      <c r="A852" s="40"/>
    </row>
    <row r="853" spans="1:1" ht="12.5">
      <c r="A853" s="40"/>
    </row>
    <row r="854" spans="1:1" ht="12.5">
      <c r="A854" s="40"/>
    </row>
    <row r="855" spans="1:1" ht="12.5">
      <c r="A855" s="40"/>
    </row>
    <row r="856" spans="1:1" ht="12.5">
      <c r="A856" s="40"/>
    </row>
    <row r="857" spans="1:1" ht="12.5">
      <c r="A857" s="40"/>
    </row>
    <row r="858" spans="1:1" ht="12.5">
      <c r="A858" s="40"/>
    </row>
    <row r="859" spans="1:1" ht="12.5">
      <c r="A859" s="40"/>
    </row>
    <row r="860" spans="1:1" ht="12.5">
      <c r="A860" s="40"/>
    </row>
    <row r="861" spans="1:1" ht="12.5">
      <c r="A861" s="40"/>
    </row>
    <row r="862" spans="1:1" ht="12.5">
      <c r="A862" s="40"/>
    </row>
    <row r="863" spans="1:1" ht="12.5">
      <c r="A863" s="40"/>
    </row>
    <row r="864" spans="1:1" ht="12.5">
      <c r="A864" s="40"/>
    </row>
    <row r="865" spans="1:1" ht="12.5">
      <c r="A865" s="40"/>
    </row>
    <row r="866" spans="1:1" ht="12.5">
      <c r="A866" s="40"/>
    </row>
    <row r="867" spans="1:1" ht="12.5">
      <c r="A867" s="40"/>
    </row>
    <row r="868" spans="1:1" ht="12.5">
      <c r="A868" s="40"/>
    </row>
    <row r="869" spans="1:1" ht="12.5">
      <c r="A869" s="40"/>
    </row>
    <row r="870" spans="1:1" ht="12.5">
      <c r="A870" s="40"/>
    </row>
    <row r="871" spans="1:1" ht="12.5">
      <c r="A871" s="40"/>
    </row>
    <row r="872" spans="1:1" ht="12.5">
      <c r="A872" s="40"/>
    </row>
    <row r="873" spans="1:1" ht="12.5">
      <c r="A873" s="40"/>
    </row>
    <row r="874" spans="1:1" ht="12.5">
      <c r="A874" s="40"/>
    </row>
    <row r="875" spans="1:1" ht="12.5">
      <c r="A875" s="40"/>
    </row>
    <row r="876" spans="1:1" ht="12.5">
      <c r="A876" s="40"/>
    </row>
    <row r="877" spans="1:1" ht="12.5">
      <c r="A877" s="40"/>
    </row>
    <row r="878" spans="1:1" ht="12.5">
      <c r="A878" s="40"/>
    </row>
    <row r="879" spans="1:1" ht="12.5">
      <c r="A879" s="40"/>
    </row>
    <row r="880" spans="1:1" ht="12.5">
      <c r="A880" s="40"/>
    </row>
    <row r="881" spans="1:1" ht="12.5">
      <c r="A881" s="40"/>
    </row>
    <row r="882" spans="1:1" ht="12.5">
      <c r="A882" s="40"/>
    </row>
    <row r="883" spans="1:1" ht="12.5">
      <c r="A883" s="40"/>
    </row>
    <row r="884" spans="1:1" ht="12.5">
      <c r="A884" s="40"/>
    </row>
    <row r="885" spans="1:1" ht="12.5">
      <c r="A885" s="40"/>
    </row>
    <row r="886" spans="1:1" ht="12.5">
      <c r="A886" s="40"/>
    </row>
    <row r="887" spans="1:1" ht="12.5">
      <c r="A887" s="40"/>
    </row>
    <row r="888" spans="1:1" ht="12.5">
      <c r="A888" s="40"/>
    </row>
    <row r="889" spans="1:1" ht="12.5">
      <c r="A889" s="40"/>
    </row>
    <row r="890" spans="1:1" ht="12.5">
      <c r="A890" s="40"/>
    </row>
    <row r="891" spans="1:1" ht="12.5">
      <c r="A891" s="40"/>
    </row>
    <row r="892" spans="1:1" ht="12.5">
      <c r="A892" s="40"/>
    </row>
    <row r="893" spans="1:1" ht="12.5">
      <c r="A893" s="40"/>
    </row>
    <row r="894" spans="1:1" ht="12.5">
      <c r="A894" s="40"/>
    </row>
    <row r="895" spans="1:1" ht="12.5">
      <c r="A895" s="40"/>
    </row>
    <row r="896" spans="1:1" ht="12.5">
      <c r="A896" s="40"/>
    </row>
    <row r="897" spans="1:1" ht="12.5">
      <c r="A897" s="40"/>
    </row>
    <row r="898" spans="1:1" ht="12.5">
      <c r="A898" s="40"/>
    </row>
    <row r="899" spans="1:1" ht="12.5">
      <c r="A899" s="40"/>
    </row>
    <row r="900" spans="1:1" ht="12.5">
      <c r="A900" s="40"/>
    </row>
    <row r="901" spans="1:1" ht="12.5">
      <c r="A901" s="40"/>
    </row>
    <row r="902" spans="1:1" ht="12.5">
      <c r="A902" s="40"/>
    </row>
    <row r="903" spans="1:1" ht="12.5">
      <c r="A903" s="40"/>
    </row>
    <row r="904" spans="1:1" ht="12.5">
      <c r="A904" s="40"/>
    </row>
    <row r="905" spans="1:1" ht="12.5">
      <c r="A905" s="40"/>
    </row>
    <row r="906" spans="1:1" ht="12.5">
      <c r="A906" s="40"/>
    </row>
    <row r="907" spans="1:1" ht="12.5">
      <c r="A907" s="40"/>
    </row>
    <row r="908" spans="1:1" ht="12.5">
      <c r="A908" s="40"/>
    </row>
    <row r="909" spans="1:1" ht="12.5">
      <c r="A909" s="40"/>
    </row>
    <row r="910" spans="1:1" ht="12.5">
      <c r="A910" s="40"/>
    </row>
    <row r="911" spans="1:1" ht="12.5">
      <c r="A911" s="40"/>
    </row>
    <row r="912" spans="1:1" ht="12.5">
      <c r="A912" s="40"/>
    </row>
    <row r="913" spans="1:1" ht="12.5">
      <c r="A913" s="40"/>
    </row>
    <row r="914" spans="1:1" ht="12.5">
      <c r="A914" s="40"/>
    </row>
    <row r="915" spans="1:1" ht="12.5">
      <c r="A915" s="40"/>
    </row>
    <row r="916" spans="1:1" ht="12.5">
      <c r="A916" s="40"/>
    </row>
    <row r="917" spans="1:1" ht="12.5">
      <c r="A917" s="40"/>
    </row>
    <row r="918" spans="1:1" ht="12.5">
      <c r="A918" s="40"/>
    </row>
    <row r="919" spans="1:1" ht="12.5">
      <c r="A919" s="40"/>
    </row>
    <row r="920" spans="1:1" ht="12.5">
      <c r="A920" s="40"/>
    </row>
    <row r="921" spans="1:1" ht="12.5">
      <c r="A921" s="40"/>
    </row>
    <row r="922" spans="1:1" ht="12.5">
      <c r="A922" s="40"/>
    </row>
    <row r="923" spans="1:1" ht="12.5">
      <c r="A923" s="40"/>
    </row>
    <row r="924" spans="1:1" ht="12.5">
      <c r="A924" s="40"/>
    </row>
    <row r="925" spans="1:1" ht="12.5">
      <c r="A925" s="40"/>
    </row>
    <row r="926" spans="1:1" ht="12.5">
      <c r="A926" s="40"/>
    </row>
    <row r="927" spans="1:1" ht="12.5">
      <c r="A927" s="40"/>
    </row>
    <row r="928" spans="1:1" ht="12.5">
      <c r="A928" s="40"/>
    </row>
    <row r="929" spans="1:1" ht="12.5">
      <c r="A929" s="40"/>
    </row>
    <row r="930" spans="1:1" ht="12.5">
      <c r="A930" s="40"/>
    </row>
    <row r="931" spans="1:1" ht="12.5">
      <c r="A931" s="40"/>
    </row>
    <row r="932" spans="1:1" ht="12.5">
      <c r="A932" s="40"/>
    </row>
    <row r="933" spans="1:1" ht="12.5">
      <c r="A933" s="40"/>
    </row>
    <row r="934" spans="1:1" ht="12.5">
      <c r="A934" s="40"/>
    </row>
    <row r="935" spans="1:1" ht="12.5">
      <c r="A935" s="40"/>
    </row>
    <row r="936" spans="1:1" ht="12.5">
      <c r="A936" s="40"/>
    </row>
    <row r="937" spans="1:1" ht="12.5">
      <c r="A937" s="40"/>
    </row>
    <row r="938" spans="1:1" ht="12.5">
      <c r="A938" s="40"/>
    </row>
    <row r="939" spans="1:1" ht="12.5">
      <c r="A939" s="40"/>
    </row>
    <row r="940" spans="1:1" ht="12.5">
      <c r="A940" s="40"/>
    </row>
    <row r="941" spans="1:1" ht="12.5">
      <c r="A941" s="40"/>
    </row>
    <row r="942" spans="1:1" ht="12.5">
      <c r="A942" s="40"/>
    </row>
    <row r="943" spans="1:1" ht="12.5">
      <c r="A943" s="40"/>
    </row>
    <row r="944" spans="1:1" ht="12.5">
      <c r="A944" s="40"/>
    </row>
    <row r="945" spans="1:1" ht="12.5">
      <c r="A945" s="40"/>
    </row>
    <row r="946" spans="1:1" ht="12.5">
      <c r="A946" s="40"/>
    </row>
    <row r="947" spans="1:1" ht="12.5">
      <c r="A947" s="40"/>
    </row>
    <row r="948" spans="1:1" ht="12.5">
      <c r="A948" s="40"/>
    </row>
    <row r="949" spans="1:1" ht="12.5">
      <c r="A949" s="40"/>
    </row>
    <row r="950" spans="1:1" ht="12.5">
      <c r="A950" s="40"/>
    </row>
    <row r="951" spans="1:1" ht="12.5">
      <c r="A951" s="40"/>
    </row>
    <row r="952" spans="1:1" ht="12.5">
      <c r="A952" s="40"/>
    </row>
    <row r="953" spans="1:1" ht="12.5">
      <c r="A953" s="40"/>
    </row>
    <row r="954" spans="1:1" ht="12.5">
      <c r="A954" s="40"/>
    </row>
    <row r="955" spans="1:1" ht="12.5">
      <c r="A955" s="40"/>
    </row>
    <row r="956" spans="1:1" ht="12.5">
      <c r="A956" s="40"/>
    </row>
    <row r="957" spans="1:1" ht="12.5">
      <c r="A957" s="40"/>
    </row>
    <row r="958" spans="1:1" ht="12.5">
      <c r="A958" s="40"/>
    </row>
    <row r="959" spans="1:1" ht="12.5">
      <c r="A959" s="40"/>
    </row>
    <row r="960" spans="1:1" ht="12.5">
      <c r="A960" s="40"/>
    </row>
    <row r="961" spans="1:1" ht="12.5">
      <c r="A961" s="40"/>
    </row>
    <row r="962" spans="1:1" ht="12.5">
      <c r="A962" s="40"/>
    </row>
    <row r="963" spans="1:1" ht="12.5">
      <c r="A963" s="40"/>
    </row>
    <row r="964" spans="1:1" ht="12.5">
      <c r="A964" s="40"/>
    </row>
    <row r="965" spans="1:1" ht="12.5">
      <c r="A965" s="40"/>
    </row>
    <row r="966" spans="1:1" ht="12.5">
      <c r="A966" s="40"/>
    </row>
    <row r="967" spans="1:1" ht="12.5">
      <c r="A967" s="40"/>
    </row>
    <row r="968" spans="1:1" ht="12.5">
      <c r="A968" s="40"/>
    </row>
    <row r="969" spans="1:1" ht="12.5">
      <c r="A969" s="40"/>
    </row>
    <row r="970" spans="1:1" ht="12.5">
      <c r="A970" s="40"/>
    </row>
    <row r="971" spans="1:1" ht="12.5">
      <c r="A971" s="40"/>
    </row>
    <row r="972" spans="1:1" ht="12.5">
      <c r="A972" s="40"/>
    </row>
    <row r="973" spans="1:1" ht="12.5">
      <c r="A973" s="40"/>
    </row>
    <row r="974" spans="1:1" ht="12.5">
      <c r="A974" s="40"/>
    </row>
    <row r="975" spans="1:1" ht="12.5">
      <c r="A975" s="40"/>
    </row>
    <row r="976" spans="1:1" ht="12.5">
      <c r="A976" s="40"/>
    </row>
    <row r="977" spans="1:1" ht="12.5">
      <c r="A977" s="40"/>
    </row>
    <row r="978" spans="1:1" ht="12.5">
      <c r="A978" s="40"/>
    </row>
    <row r="979" spans="1:1" ht="12.5">
      <c r="A979" s="40"/>
    </row>
    <row r="980" spans="1:1" ht="12.5">
      <c r="A980" s="40"/>
    </row>
    <row r="981" spans="1:1" ht="12.5">
      <c r="A981" s="40"/>
    </row>
    <row r="982" spans="1:1" ht="12.5">
      <c r="A982" s="40"/>
    </row>
    <row r="983" spans="1:1" ht="12.5">
      <c r="A983" s="40"/>
    </row>
    <row r="984" spans="1:1" ht="12.5">
      <c r="A984" s="40"/>
    </row>
    <row r="985" spans="1:1" ht="12.5">
      <c r="A985" s="40"/>
    </row>
    <row r="986" spans="1:1" ht="12.5">
      <c r="A986" s="40"/>
    </row>
    <row r="987" spans="1:1" ht="12.5">
      <c r="A987" s="40"/>
    </row>
    <row r="988" spans="1:1" ht="12.5">
      <c r="A988" s="40"/>
    </row>
    <row r="989" spans="1:1" ht="12.5">
      <c r="A989" s="40"/>
    </row>
    <row r="990" spans="1:1" ht="12.5">
      <c r="A990" s="40"/>
    </row>
    <row r="991" spans="1:1" ht="12.5">
      <c r="A991" s="40"/>
    </row>
    <row r="992" spans="1:1" ht="12.5">
      <c r="A992" s="40"/>
    </row>
    <row r="993" spans="1:1" ht="12.5">
      <c r="A993" s="40"/>
    </row>
    <row r="994" spans="1:1" ht="12.5">
      <c r="A994" s="40"/>
    </row>
    <row r="995" spans="1:1" ht="12.5">
      <c r="A995" s="40"/>
    </row>
    <row r="996" spans="1:1" ht="12.5">
      <c r="A996" s="40"/>
    </row>
    <row r="997" spans="1:1" ht="12.5">
      <c r="A997" s="40"/>
    </row>
    <row r="998" spans="1:1" ht="12.5">
      <c r="A998" s="40"/>
    </row>
    <row r="999" spans="1:1" ht="12.5">
      <c r="A999" s="40"/>
    </row>
    <row r="1000" spans="1:1" ht="12.5">
      <c r="A1000" s="40"/>
    </row>
  </sheetData>
  <mergeCells count="3">
    <mergeCell ref="C1:D1"/>
    <mergeCell ref="E1:E2"/>
    <mergeCell ref="F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200"/>
  <sheetViews>
    <sheetView workbookViewId="0"/>
  </sheetViews>
  <sheetFormatPr baseColWidth="10" defaultColWidth="12.6328125" defaultRowHeight="15.75" customHeight="1"/>
  <sheetData>
    <row r="1" spans="1:4" ht="15.75" customHeight="1">
      <c r="A1" s="5" t="str">
        <f>salario_real!B2</f>
        <v>mes</v>
      </c>
      <c r="B1" s="5" t="str">
        <f>salario_real!J2</f>
        <v>Empleo privado registrado</v>
      </c>
      <c r="C1" s="5" t="str">
        <f>salario_real!K2</f>
        <v>Empleo público</v>
      </c>
      <c r="D1" s="5" t="str">
        <f>salario_real!L2</f>
        <v>Empleo privado no registrado</v>
      </c>
    </row>
    <row r="2" spans="1:4" ht="15.75" customHeight="1">
      <c r="A2" s="40">
        <f>salario_real!B3</f>
        <v>42278</v>
      </c>
      <c r="B2" s="12">
        <f>salario_real!J3</f>
        <v>1.0586102768081824</v>
      </c>
      <c r="C2" s="12">
        <f>salario_real!K3</f>
        <v>1.0757769299456124</v>
      </c>
      <c r="D2" s="12">
        <f>salario_real!L3</f>
        <v>0</v>
      </c>
    </row>
    <row r="3" spans="1:4" ht="15.75" customHeight="1">
      <c r="A3" s="40">
        <f>salario_real!B4</f>
        <v>42309</v>
      </c>
      <c r="B3" s="12">
        <f>salario_real!J4</f>
        <v>1.0662209613686693</v>
      </c>
      <c r="C3" s="12">
        <f>salario_real!K4</f>
        <v>1.0704297283214403</v>
      </c>
      <c r="D3" s="12">
        <f>salario_real!L4</f>
        <v>0</v>
      </c>
    </row>
    <row r="4" spans="1:4" ht="15.75" customHeight="1">
      <c r="A4" s="40">
        <f>salario_real!B5</f>
        <v>42339</v>
      </c>
      <c r="B4" s="12">
        <f>salario_real!J5</f>
        <v>1.0448695464453095</v>
      </c>
      <c r="C4" s="12">
        <f>salario_real!K5</f>
        <v>1.0421696251366652</v>
      </c>
      <c r="D4" s="12">
        <f>salario_real!L5</f>
        <v>0</v>
      </c>
    </row>
    <row r="5" spans="1:4" ht="15.75" customHeight="1">
      <c r="A5" s="40">
        <f>salario_real!B6</f>
        <v>42370</v>
      </c>
      <c r="B5" s="12">
        <f>salario_real!J6</f>
        <v>1.0221813461114342</v>
      </c>
      <c r="C5" s="12">
        <f>salario_real!K6</f>
        <v>1.0040437810346785</v>
      </c>
      <c r="D5" s="12">
        <f>salario_real!L6</f>
        <v>0</v>
      </c>
    </row>
    <row r="6" spans="1:4" ht="15.75" customHeight="1">
      <c r="A6" s="40">
        <f>salario_real!B7</f>
        <v>42401</v>
      </c>
      <c r="B6" s="12">
        <f>salario_real!J7</f>
        <v>0.99760316490302658</v>
      </c>
      <c r="C6" s="12">
        <f>salario_real!K7</f>
        <v>0.97765110160496616</v>
      </c>
      <c r="D6" s="12">
        <f>salario_real!L7</f>
        <v>0</v>
      </c>
    </row>
    <row r="7" spans="1:4" ht="15.75" customHeight="1">
      <c r="A7" s="40">
        <f>salario_real!B8</f>
        <v>42430</v>
      </c>
      <c r="B7" s="12">
        <f>salario_real!J8</f>
        <v>0.9751788320258995</v>
      </c>
      <c r="C7" s="12">
        <f>salario_real!K8</f>
        <v>1.0113859668783463</v>
      </c>
      <c r="D7" s="12">
        <f>salario_real!L8</f>
        <v>0</v>
      </c>
    </row>
    <row r="8" spans="1:4" ht="15.75" customHeight="1">
      <c r="A8" s="40">
        <f>salario_real!B9</f>
        <v>42461</v>
      </c>
      <c r="B8" s="12">
        <f>salario_real!J9</f>
        <v>0.97614002579283665</v>
      </c>
      <c r="C8" s="12">
        <f>salario_real!K9</f>
        <v>0.95795813939855778</v>
      </c>
      <c r="D8" s="12">
        <f>salario_real!L9</f>
        <v>0</v>
      </c>
    </row>
    <row r="9" spans="1:4" ht="15.75" customHeight="1">
      <c r="A9" s="40">
        <f>salario_real!B10</f>
        <v>42491</v>
      </c>
      <c r="B9" s="12">
        <f>salario_real!J10</f>
        <v>0.967421772496596</v>
      </c>
      <c r="C9" s="12">
        <f>salario_real!K10</f>
        <v>0.94997109790815681</v>
      </c>
      <c r="D9" s="12">
        <f>salario_real!L10</f>
        <v>0</v>
      </c>
    </row>
    <row r="10" spans="1:4" ht="15.75" customHeight="1">
      <c r="A10" s="40">
        <f>salario_real!B11</f>
        <v>42522</v>
      </c>
      <c r="B10" s="12">
        <f>salario_real!J11</f>
        <v>0.9543883915900705</v>
      </c>
      <c r="C10" s="12">
        <f>salario_real!K11</f>
        <v>0.94486566927930482</v>
      </c>
      <c r="D10" s="12">
        <f>salario_real!L11</f>
        <v>0</v>
      </c>
    </row>
    <row r="11" spans="1:4" ht="15.75" customHeight="1">
      <c r="A11" s="40">
        <f>salario_real!B12</f>
        <v>42552</v>
      </c>
      <c r="B11" s="12">
        <f>salario_real!J12</f>
        <v>0.96887081273143683</v>
      </c>
      <c r="C11" s="12">
        <f>salario_real!K12</f>
        <v>0.98235616665596437</v>
      </c>
      <c r="D11" s="12">
        <f>salario_real!L12</f>
        <v>0</v>
      </c>
    </row>
    <row r="12" spans="1:4" ht="15.75" customHeight="1">
      <c r="A12" s="40">
        <f>salario_real!B13</f>
        <v>42583</v>
      </c>
      <c r="B12" s="12">
        <f>salario_real!J13</f>
        <v>0.98453512950600797</v>
      </c>
      <c r="C12" s="12">
        <f>salario_real!K13</f>
        <v>1.021804598130841</v>
      </c>
      <c r="D12" s="12">
        <f>salario_real!L13</f>
        <v>0</v>
      </c>
    </row>
    <row r="13" spans="1:4" ht="15.75" customHeight="1">
      <c r="A13" s="40">
        <f>salario_real!B14</f>
        <v>42614</v>
      </c>
      <c r="B13" s="12">
        <f>salario_real!J14</f>
        <v>0.98918175479372461</v>
      </c>
      <c r="C13" s="12">
        <f>salario_real!K14</f>
        <v>1.0188776873910517</v>
      </c>
      <c r="D13" s="12">
        <f>salario_real!L14</f>
        <v>0</v>
      </c>
    </row>
    <row r="14" spans="1:4" ht="15.75" customHeight="1">
      <c r="A14" s="40">
        <f>salario_real!B15</f>
        <v>42644</v>
      </c>
      <c r="B14" s="12">
        <f>salario_real!J15</f>
        <v>1</v>
      </c>
      <c r="C14" s="12">
        <f>salario_real!K15</f>
        <v>1</v>
      </c>
      <c r="D14" s="12">
        <f>salario_real!L15</f>
        <v>1</v>
      </c>
    </row>
    <row r="15" spans="1:4" ht="15.75" customHeight="1">
      <c r="A15" s="40">
        <f>salario_real!B16</f>
        <v>42675</v>
      </c>
      <c r="B15" s="12">
        <f>salario_real!J16</f>
        <v>1.0019667132086008</v>
      </c>
      <c r="C15" s="12">
        <f>salario_real!K16</f>
        <v>0.99606121195196862</v>
      </c>
      <c r="D15" s="12">
        <f>salario_real!L16</f>
        <v>0.99113996090477519</v>
      </c>
    </row>
    <row r="16" spans="1:4" ht="15.75" customHeight="1">
      <c r="A16" s="40">
        <f>salario_real!B17</f>
        <v>42705</v>
      </c>
      <c r="B16" s="12">
        <f>salario_real!J17</f>
        <v>1.0007863665097985</v>
      </c>
      <c r="C16" s="12">
        <f>salario_real!K17</f>
        <v>0.99592345899517343</v>
      </c>
      <c r="D16" s="12">
        <f>salario_real!L17</f>
        <v>1.0037041110185732</v>
      </c>
    </row>
    <row r="17" spans="1:4" ht="15.75" customHeight="1">
      <c r="A17" s="40">
        <f>salario_real!B18</f>
        <v>42736</v>
      </c>
      <c r="B17" s="12">
        <f>salario_real!J18</f>
        <v>1.0175734122771063</v>
      </c>
      <c r="C17" s="12">
        <f>salario_real!K18</f>
        <v>0.98311184798550177</v>
      </c>
      <c r="D17" s="12">
        <f>salario_real!L18</f>
        <v>0.97641098826213413</v>
      </c>
    </row>
    <row r="18" spans="1:4" ht="15.75" customHeight="1">
      <c r="A18" s="40">
        <f>salario_real!B19</f>
        <v>42767</v>
      </c>
      <c r="B18" s="12">
        <f>salario_real!J19</f>
        <v>1.0097682385374347</v>
      </c>
      <c r="C18" s="12">
        <f>salario_real!K19</f>
        <v>0.96663979009479584</v>
      </c>
      <c r="D18" s="12">
        <f>salario_real!L19</f>
        <v>0.98351613948539374</v>
      </c>
    </row>
    <row r="19" spans="1:4" ht="15.75" customHeight="1">
      <c r="A19" s="40">
        <f>salario_real!B20</f>
        <v>42795</v>
      </c>
      <c r="B19" s="12">
        <f>salario_real!J20</f>
        <v>1.0017319291775997</v>
      </c>
      <c r="C19" s="12">
        <f>salario_real!K20</f>
        <v>0.98248547857125967</v>
      </c>
      <c r="D19" s="12">
        <f>salario_real!L20</f>
        <v>1.0090639103609671</v>
      </c>
    </row>
    <row r="20" spans="1:4" ht="12.5">
      <c r="A20" s="40">
        <f>salario_real!B21</f>
        <v>42826</v>
      </c>
      <c r="B20" s="12">
        <f>salario_real!J21</f>
        <v>1.0075222901494296</v>
      </c>
      <c r="C20" s="12">
        <f>salario_real!K21</f>
        <v>0.98878184011122039</v>
      </c>
      <c r="D20" s="12">
        <f>salario_real!L21</f>
        <v>1.022693130656551</v>
      </c>
    </row>
    <row r="21" spans="1:4" ht="12.5">
      <c r="A21" s="40">
        <f>salario_real!B22</f>
        <v>42856</v>
      </c>
      <c r="B21" s="12">
        <f>salario_real!J22</f>
        <v>1.0138497466722356</v>
      </c>
      <c r="C21" s="12">
        <f>salario_real!K22</f>
        <v>0.98832748742441023</v>
      </c>
      <c r="D21" s="12">
        <f>salario_real!L22</f>
        <v>1.0191302141028202</v>
      </c>
    </row>
    <row r="22" spans="1:4" ht="12.5">
      <c r="A22" s="40">
        <f>salario_real!B23</f>
        <v>42887</v>
      </c>
      <c r="B22" s="12">
        <f>salario_real!J23</f>
        <v>1.0192216445128324</v>
      </c>
      <c r="C22" s="12">
        <f>salario_real!K23</f>
        <v>1.0026984267263614</v>
      </c>
      <c r="D22" s="12">
        <f>salario_real!L23</f>
        <v>1.0105252140989003</v>
      </c>
    </row>
    <row r="23" spans="1:4" ht="12.5">
      <c r="A23" s="40">
        <f>salario_real!B24</f>
        <v>42917</v>
      </c>
      <c r="B23" s="12">
        <f>salario_real!J24</f>
        <v>1.0490407935731503</v>
      </c>
      <c r="C23" s="12">
        <f>salario_real!K24</f>
        <v>1.0123072804431459</v>
      </c>
      <c r="D23" s="12">
        <f>salario_real!L24</f>
        <v>1.0311011708817528</v>
      </c>
    </row>
    <row r="24" spans="1:4" ht="12.5">
      <c r="A24" s="40">
        <f>salario_real!B25</f>
        <v>42948</v>
      </c>
      <c r="B24" s="12">
        <f>salario_real!J25</f>
        <v>1.049721156019122</v>
      </c>
      <c r="C24" s="12">
        <f>salario_real!K25</f>
        <v>1.0236044980443284</v>
      </c>
      <c r="D24" s="12">
        <f>salario_real!L25</f>
        <v>1.0623582485875704</v>
      </c>
    </row>
    <row r="25" spans="1:4" ht="12.5">
      <c r="A25" s="40">
        <f>salario_real!B26</f>
        <v>42979</v>
      </c>
      <c r="B25" s="12">
        <f>salario_real!J26</f>
        <v>1.0417225937425365</v>
      </c>
      <c r="C25" s="12">
        <f>salario_real!K26</f>
        <v>1.0243605505134943</v>
      </c>
      <c r="D25" s="12">
        <f>salario_real!L26</f>
        <v>1.0557775811184278</v>
      </c>
    </row>
    <row r="26" spans="1:4" ht="12.5">
      <c r="A26" s="40">
        <f>salario_real!B27</f>
        <v>43009</v>
      </c>
      <c r="B26" s="12">
        <f>salario_real!J27</f>
        <v>1.0442480366739637</v>
      </c>
      <c r="C26" s="12">
        <f>salario_real!K27</f>
        <v>1.0263280235641143</v>
      </c>
      <c r="D26" s="12">
        <f>salario_real!L27</f>
        <v>1.046691674825307</v>
      </c>
    </row>
    <row r="27" spans="1:4" ht="12.5">
      <c r="A27" s="40">
        <f>salario_real!B28</f>
        <v>43040</v>
      </c>
      <c r="B27" s="12">
        <f>salario_real!J28</f>
        <v>1.0442891418484093</v>
      </c>
      <c r="C27" s="12">
        <f>salario_real!K28</f>
        <v>1.0226000596715576</v>
      </c>
      <c r="D27" s="12">
        <f>salario_real!L28</f>
        <v>1.0603551286460771</v>
      </c>
    </row>
    <row r="28" spans="1:4" ht="12.5">
      <c r="A28" s="40">
        <f>salario_real!B29</f>
        <v>43070</v>
      </c>
      <c r="B28" s="12">
        <f>salario_real!J29</f>
        <v>1.0206808225014268</v>
      </c>
      <c r="C28" s="12">
        <f>salario_real!K29</f>
        <v>0.99652730685444646</v>
      </c>
      <c r="D28" s="12">
        <f>salario_real!L29</f>
        <v>1.0573006688049129</v>
      </c>
    </row>
    <row r="29" spans="1:4" ht="12.5">
      <c r="A29" s="40">
        <f>salario_real!B30</f>
        <v>43101</v>
      </c>
      <c r="B29" s="12">
        <f>salario_real!J30</f>
        <v>1.0202386647188881</v>
      </c>
      <c r="C29" s="12">
        <f>salario_real!K30</f>
        <v>0.98350088834491456</v>
      </c>
      <c r="D29" s="12">
        <f>salario_real!L30</f>
        <v>1.0454958859759949</v>
      </c>
    </row>
    <row r="30" spans="1:4" ht="12.5">
      <c r="A30" s="40">
        <f>salario_real!B31</f>
        <v>43132</v>
      </c>
      <c r="B30" s="12">
        <f>salario_real!J31</f>
        <v>1.0038000570637609</v>
      </c>
      <c r="C30" s="12">
        <f>salario_real!K31</f>
        <v>0.96642849872184877</v>
      </c>
      <c r="D30" s="12">
        <f>salario_real!L31</f>
        <v>1.0329498725704525</v>
      </c>
    </row>
    <row r="31" spans="1:4" ht="12.5">
      <c r="A31" s="40">
        <f>salario_real!B32</f>
        <v>43160</v>
      </c>
      <c r="B31" s="12">
        <f>salario_real!J32</f>
        <v>0.99511459950852532</v>
      </c>
      <c r="C31" s="12">
        <f>salario_real!K32</f>
        <v>0.97173452081228984</v>
      </c>
      <c r="D31" s="12">
        <f>salario_real!L32</f>
        <v>1.0279928351751066</v>
      </c>
    </row>
    <row r="32" spans="1:4" ht="12.5">
      <c r="A32" s="40">
        <f>salario_real!B33</f>
        <v>43191</v>
      </c>
      <c r="B32" s="12">
        <f>salario_real!J33</f>
        <v>1.0031000631220457</v>
      </c>
      <c r="C32" s="12">
        <f>salario_real!K33</f>
        <v>0.96041495405302235</v>
      </c>
      <c r="D32" s="12">
        <f>salario_real!L33</f>
        <v>1.0244426176565571</v>
      </c>
    </row>
    <row r="33" spans="1:4" ht="12.5">
      <c r="A33" s="40">
        <f>salario_real!B34</f>
        <v>43221</v>
      </c>
      <c r="B33" s="12">
        <f>salario_real!J34</f>
        <v>1.0068566370727148</v>
      </c>
      <c r="C33" s="12">
        <f>salario_real!K34</f>
        <v>0.95599121526904118</v>
      </c>
      <c r="D33" s="12">
        <f>salario_real!L34</f>
        <v>0.99431447827180897</v>
      </c>
    </row>
    <row r="34" spans="1:4" ht="12.5">
      <c r="A34" s="40">
        <f>salario_real!B35</f>
        <v>43252</v>
      </c>
      <c r="B34" s="12">
        <f>salario_real!J35</f>
        <v>0.98436987008845633</v>
      </c>
      <c r="C34" s="12">
        <f>salario_real!K35</f>
        <v>0.93397550813853525</v>
      </c>
      <c r="D34" s="12">
        <f>salario_real!L35</f>
        <v>0.94741400465851422</v>
      </c>
    </row>
    <row r="35" spans="1:4" ht="12.5">
      <c r="A35" s="40">
        <f>salario_real!B36</f>
        <v>43282</v>
      </c>
      <c r="B35" s="12">
        <f>salario_real!J36</f>
        <v>0.97692923468976089</v>
      </c>
      <c r="C35" s="12">
        <f>salario_real!K36</f>
        <v>0.93196051074473507</v>
      </c>
      <c r="D35" s="12">
        <f>salario_real!L36</f>
        <v>0.9456466441193081</v>
      </c>
    </row>
    <row r="36" spans="1:4" ht="12.5">
      <c r="A36" s="40">
        <f>salario_real!B37</f>
        <v>43313</v>
      </c>
      <c r="B36" s="12">
        <f>salario_real!J37</f>
        <v>0.96723268230177817</v>
      </c>
      <c r="C36" s="12">
        <f>salario_real!K37</f>
        <v>0.92395184243224349</v>
      </c>
      <c r="D36" s="12">
        <f>salario_real!L37</f>
        <v>0.93336072066475106</v>
      </c>
    </row>
    <row r="37" spans="1:4" ht="12.5">
      <c r="A37" s="40">
        <f>salario_real!B38</f>
        <v>43344</v>
      </c>
      <c r="B37" s="12">
        <f>salario_real!J38</f>
        <v>0.92940314641971711</v>
      </c>
      <c r="C37" s="12">
        <f>salario_real!K38</f>
        <v>0.89759847600991682</v>
      </c>
      <c r="D37" s="12">
        <f>salario_real!L38</f>
        <v>0.90702208205726498</v>
      </c>
    </row>
    <row r="38" spans="1:4" ht="12.5">
      <c r="A38" s="40">
        <f>salario_real!B39</f>
        <v>43374</v>
      </c>
      <c r="B38" s="12">
        <f>salario_real!J39</f>
        <v>0.91587174483295375</v>
      </c>
      <c r="C38" s="12">
        <f>salario_real!K39</f>
        <v>0.89128458389784093</v>
      </c>
      <c r="D38" s="12">
        <f>salario_real!L39</f>
        <v>0.87507940964515285</v>
      </c>
    </row>
    <row r="39" spans="1:4" ht="12.5">
      <c r="A39" s="40">
        <f>salario_real!B40</f>
        <v>43405</v>
      </c>
      <c r="B39" s="12">
        <f>salario_real!J40</f>
        <v>0.91021475038476463</v>
      </c>
      <c r="C39" s="12">
        <f>salario_real!K40</f>
        <v>0.88097525215705641</v>
      </c>
      <c r="D39" s="12">
        <f>salario_real!L40</f>
        <v>0.89288764032390056</v>
      </c>
    </row>
    <row r="40" spans="1:4" ht="12.5">
      <c r="A40" s="40">
        <f>salario_real!B41</f>
        <v>43435</v>
      </c>
      <c r="B40" s="12">
        <f>salario_real!J41</f>
        <v>0.90192660058423324</v>
      </c>
      <c r="C40" s="12">
        <f>salario_real!K41</f>
        <v>0.87976105510469094</v>
      </c>
      <c r="D40" s="12">
        <f>salario_real!L41</f>
        <v>0.91089836899261933</v>
      </c>
    </row>
    <row r="41" spans="1:4" ht="12.5">
      <c r="A41" s="40">
        <f>salario_real!B42</f>
        <v>43466</v>
      </c>
      <c r="B41" s="12">
        <f>salario_real!J42</f>
        <v>0.90722592686656389</v>
      </c>
      <c r="C41" s="12">
        <f>salario_real!K42</f>
        <v>0.87696796774551977</v>
      </c>
      <c r="D41" s="12">
        <f>salario_real!L42</f>
        <v>0.90876446716085435</v>
      </c>
    </row>
    <row r="42" spans="1:4" ht="12.5">
      <c r="A42" s="40">
        <f>salario_real!B43</f>
        <v>43497</v>
      </c>
      <c r="B42" s="12">
        <f>salario_real!J43</f>
        <v>0.89852013114820972</v>
      </c>
      <c r="C42" s="12">
        <f>salario_real!K43</f>
        <v>0.86688905942462036</v>
      </c>
      <c r="D42" s="12">
        <f>salario_real!L43</f>
        <v>0.89802589565252844</v>
      </c>
    </row>
    <row r="43" spans="1:4" ht="12.5">
      <c r="A43" s="40">
        <f>salario_real!B44</f>
        <v>43525</v>
      </c>
      <c r="B43" s="12">
        <f>salario_real!J44</f>
        <v>0.889043355529468</v>
      </c>
      <c r="C43" s="12">
        <f>salario_real!K44</f>
        <v>0.87346267006347089</v>
      </c>
      <c r="D43" s="12">
        <f>salario_real!L44</f>
        <v>0.88101694180456036</v>
      </c>
    </row>
    <row r="44" spans="1:4" ht="12.5">
      <c r="A44" s="40">
        <f>salario_real!B45</f>
        <v>43556</v>
      </c>
      <c r="B44" s="12">
        <f>salario_real!J45</f>
        <v>0.88317277061628108</v>
      </c>
      <c r="C44" s="12">
        <f>salario_real!K45</f>
        <v>0.86126460886455924</v>
      </c>
      <c r="D44" s="12">
        <f>salario_real!L45</f>
        <v>0.86217744893754789</v>
      </c>
    </row>
    <row r="45" spans="1:4" ht="12.5">
      <c r="A45" s="40">
        <f>salario_real!B46</f>
        <v>43586</v>
      </c>
      <c r="B45" s="12">
        <f>salario_real!J46</f>
        <v>0.8932726115901104</v>
      </c>
      <c r="C45" s="12">
        <f>salario_real!K46</f>
        <v>0.85562850054144435</v>
      </c>
      <c r="D45" s="12">
        <f>salario_real!L46</f>
        <v>0.83437064959631535</v>
      </c>
    </row>
    <row r="46" spans="1:4" ht="12.5">
      <c r="A46" s="40">
        <f>salario_real!B47</f>
        <v>43617</v>
      </c>
      <c r="B46" s="12">
        <f>salario_real!J47</f>
        <v>0.89248737252983112</v>
      </c>
      <c r="C46" s="12">
        <f>salario_real!K47</f>
        <v>0.85023434716368451</v>
      </c>
      <c r="D46" s="12">
        <f>salario_real!L47</f>
        <v>0.81401746827841603</v>
      </c>
    </row>
    <row r="47" spans="1:4" ht="12.5">
      <c r="A47" s="40">
        <f>salario_real!B48</f>
        <v>43647</v>
      </c>
      <c r="B47" s="12">
        <f>salario_real!J48</f>
        <v>0.91084082594663296</v>
      </c>
      <c r="C47" s="12">
        <f>salario_real!K48</f>
        <v>0.88384044944798312</v>
      </c>
      <c r="D47" s="12">
        <f>salario_real!L48</f>
        <v>0.82477712585718732</v>
      </c>
    </row>
    <row r="48" spans="1:4" ht="12.5">
      <c r="A48" s="40">
        <f>salario_real!B49</f>
        <v>43678</v>
      </c>
      <c r="B48" s="12">
        <f>salario_real!J49</f>
        <v>0.90054516545033558</v>
      </c>
      <c r="C48" s="12">
        <f>salario_real!K49</f>
        <v>0.86523762629117418</v>
      </c>
      <c r="D48" s="12">
        <f>salario_real!L49</f>
        <v>0.81369673579446722</v>
      </c>
    </row>
    <row r="49" spans="1:4" ht="12.5">
      <c r="A49" s="40">
        <f>salario_real!B50</f>
        <v>43709</v>
      </c>
      <c r="B49" s="12">
        <f>salario_real!J50</f>
        <v>0.87271794258373192</v>
      </c>
      <c r="C49" s="12">
        <f>salario_real!K50</f>
        <v>0.84627194432361896</v>
      </c>
      <c r="D49" s="12">
        <f>salario_real!L50</f>
        <v>0.77919876033057844</v>
      </c>
    </row>
    <row r="50" spans="1:4" ht="12.5">
      <c r="A50" s="40">
        <f>salario_real!B51</f>
        <v>43739</v>
      </c>
      <c r="B50" s="12">
        <f>salario_real!J51</f>
        <v>0.87680191525118756</v>
      </c>
      <c r="C50" s="12">
        <f>salario_real!K51</f>
        <v>0.84414911434466855</v>
      </c>
      <c r="D50" s="12">
        <f>salario_real!L51</f>
        <v>0.76993820319348893</v>
      </c>
    </row>
    <row r="51" spans="1:4" ht="12.5">
      <c r="A51" s="40">
        <f>salario_real!B52</f>
        <v>43770</v>
      </c>
      <c r="B51" s="12">
        <f>salario_real!J52</f>
        <v>0.86451109764717771</v>
      </c>
      <c r="C51" s="12">
        <f>salario_real!K52</f>
        <v>0.82358117742098358</v>
      </c>
      <c r="D51" s="12">
        <f>salario_real!L52</f>
        <v>0.75524600626072902</v>
      </c>
    </row>
    <row r="52" spans="1:4" ht="12.5">
      <c r="A52" s="40">
        <f>salario_real!B53</f>
        <v>43800</v>
      </c>
      <c r="B52" s="12">
        <f>salario_real!J53</f>
        <v>0.84566422620058879</v>
      </c>
      <c r="C52" s="12">
        <f>salario_real!K53</f>
        <v>0.81684645946596435</v>
      </c>
      <c r="D52" s="12">
        <f>salario_real!L53</f>
        <v>0.76675843633197416</v>
      </c>
    </row>
    <row r="53" spans="1:4" ht="12.5">
      <c r="A53" s="40">
        <f>salario_real!B54</f>
        <v>43831</v>
      </c>
      <c r="B53" s="12">
        <f>salario_real!J54</f>
        <v>0.89782484864638468</v>
      </c>
      <c r="C53" s="12">
        <f>salario_real!K54</f>
        <v>0.82065754102730071</v>
      </c>
      <c r="D53" s="12">
        <f>salario_real!L54</f>
        <v>0.78106735711837949</v>
      </c>
    </row>
    <row r="54" spans="1:4" ht="12.5">
      <c r="A54" s="40">
        <f>salario_real!B55</f>
        <v>43862</v>
      </c>
      <c r="B54" s="12">
        <f>salario_real!J55</f>
        <v>0.92088561636863353</v>
      </c>
      <c r="C54" s="12">
        <f>salario_real!K55</f>
        <v>0.82748150385124353</v>
      </c>
      <c r="D54" s="12">
        <f>salario_real!L55</f>
        <v>0.78998830375623486</v>
      </c>
    </row>
    <row r="55" spans="1:4" ht="12.5">
      <c r="A55" s="40">
        <f>salario_real!B56</f>
        <v>43891</v>
      </c>
      <c r="B55" s="12">
        <f>salario_real!J56</f>
        <v>0.91146015855478402</v>
      </c>
      <c r="C55" s="12">
        <f>salario_real!K56</f>
        <v>0.83412607387293625</v>
      </c>
      <c r="D55" s="12">
        <f>salario_real!L56</f>
        <v>0.7908444462320664</v>
      </c>
    </row>
    <row r="56" spans="1:4" ht="12.5">
      <c r="A56" s="40">
        <f>salario_real!B57</f>
        <v>43922</v>
      </c>
      <c r="B56" s="12">
        <f>salario_real!J57</f>
        <v>0.89582578533036361</v>
      </c>
      <c r="C56" s="12">
        <f>salario_real!K57</f>
        <v>0.82621664135299544</v>
      </c>
      <c r="D56" s="12">
        <f>salario_real!L57</f>
        <v>0.7845138659070946</v>
      </c>
    </row>
    <row r="57" spans="1:4" ht="12.5">
      <c r="A57" s="40">
        <f>salario_real!B58</f>
        <v>43952</v>
      </c>
      <c r="B57" s="12">
        <f>salario_real!J58</f>
        <v>0.88036258344868668</v>
      </c>
      <c r="C57" s="12">
        <f>salario_real!K58</f>
        <v>0.81798684095249763</v>
      </c>
      <c r="D57" s="12">
        <f>salario_real!L58</f>
        <v>0.76888910304708158</v>
      </c>
    </row>
    <row r="58" spans="1:4" ht="12.5">
      <c r="A58" s="40">
        <f>salario_real!B59</f>
        <v>43983</v>
      </c>
      <c r="B58" s="12">
        <f>salario_real!J59</f>
        <v>0.86195144150249658</v>
      </c>
      <c r="C58" s="12">
        <f>salario_real!K59</f>
        <v>0.80698467123148943</v>
      </c>
      <c r="D58" s="12">
        <f>salario_real!L59</f>
        <v>0.76319246414744524</v>
      </c>
    </row>
    <row r="59" spans="1:4" ht="12.5">
      <c r="A59" s="40">
        <f>salario_real!B60</f>
        <v>44013</v>
      </c>
      <c r="B59" s="12">
        <f>salario_real!J60</f>
        <v>0.85685467383994607</v>
      </c>
      <c r="C59" s="12">
        <f>salario_real!K60</f>
        <v>0.80026434095494281</v>
      </c>
      <c r="D59" s="12">
        <f>salario_real!L60</f>
        <v>0.78070956624075316</v>
      </c>
    </row>
    <row r="60" spans="1:4" ht="12.5">
      <c r="A60" s="40">
        <f>salario_real!B61</f>
        <v>44044</v>
      </c>
      <c r="B60" s="12">
        <f>salario_real!J61</f>
        <v>0.85134847591919594</v>
      </c>
      <c r="C60" s="12">
        <f>salario_real!K61</f>
        <v>0.78528314180008507</v>
      </c>
      <c r="D60" s="12">
        <f>salario_real!L61</f>
        <v>0.78845658579707301</v>
      </c>
    </row>
    <row r="61" spans="1:4" ht="12.5">
      <c r="A61" s="40">
        <f>salario_real!B62</f>
        <v>44075</v>
      </c>
      <c r="B61" s="12">
        <f>salario_real!J62</f>
        <v>0.84582871321087294</v>
      </c>
      <c r="C61" s="12">
        <f>salario_real!K62</f>
        <v>0.78803743131321446</v>
      </c>
      <c r="D61" s="12">
        <f>salario_real!L62</f>
        <v>0.78467094887257427</v>
      </c>
    </row>
    <row r="62" spans="1:4" ht="12.5">
      <c r="A62" s="40">
        <f>salario_real!B63</f>
        <v>44105</v>
      </c>
      <c r="B62" s="12">
        <f>salario_real!J63</f>
        <v>0.85897091718538821</v>
      </c>
      <c r="C62" s="12">
        <f>salario_real!K63</f>
        <v>0.78326683886876602</v>
      </c>
      <c r="D62" s="12">
        <f>salario_real!L63</f>
        <v>0.77245197053782011</v>
      </c>
    </row>
    <row r="63" spans="1:4" ht="12.5">
      <c r="A63" s="40">
        <f>salario_real!B64</f>
        <v>44136</v>
      </c>
      <c r="B63" s="12">
        <f>salario_real!J64</f>
        <v>0.85441440588825401</v>
      </c>
      <c r="C63" s="12">
        <f>salario_real!K64</f>
        <v>0.77290431992774866</v>
      </c>
      <c r="D63" s="12">
        <f>salario_real!L64</f>
        <v>0.80461724726286499</v>
      </c>
    </row>
    <row r="64" spans="1:4" ht="12.5">
      <c r="A64" s="40">
        <f>salario_real!B65</f>
        <v>44166</v>
      </c>
      <c r="B64" s="12">
        <f>salario_real!J65</f>
        <v>0.83486399295954994</v>
      </c>
      <c r="C64" s="12">
        <f>salario_real!K65</f>
        <v>0.76102905485597372</v>
      </c>
      <c r="D64" s="12">
        <f>salario_real!L65</f>
        <v>0.78320473592462458</v>
      </c>
    </row>
    <row r="65" spans="1:4" ht="12.5">
      <c r="A65" s="40">
        <f>salario_real!B66</f>
        <v>44197</v>
      </c>
      <c r="B65" s="12">
        <f>salario_real!J66</f>
        <v>0.83458676914658236</v>
      </c>
      <c r="C65" s="12">
        <f>salario_real!K66</f>
        <v>0.74909369616087607</v>
      </c>
      <c r="D65" s="12">
        <f>salario_real!L66</f>
        <v>0.77113298693056231</v>
      </c>
    </row>
    <row r="66" spans="1:4" ht="12.5">
      <c r="A66" s="40">
        <f>salario_real!B67</f>
        <v>44228</v>
      </c>
      <c r="B66" s="12">
        <f>salario_real!J67</f>
        <v>0.84696371944160376</v>
      </c>
      <c r="C66" s="12">
        <f>salario_real!K67</f>
        <v>0.75064877259922436</v>
      </c>
      <c r="D66" s="12">
        <f>salario_real!L67</f>
        <v>0.76537654359696683</v>
      </c>
    </row>
    <row r="67" spans="1:4" ht="12.5">
      <c r="A67" s="40">
        <f>salario_real!B68</f>
        <v>44256</v>
      </c>
      <c r="B67" s="12">
        <f>salario_real!J68</f>
        <v>0.84029325746373851</v>
      </c>
      <c r="C67" s="12">
        <f>salario_real!K68</f>
        <v>0.77047329739308523</v>
      </c>
      <c r="D67" s="12">
        <f>salario_real!L68</f>
        <v>0.7615506187898069</v>
      </c>
    </row>
    <row r="68" spans="1:4" ht="12.5">
      <c r="A68" s="40">
        <f>salario_real!B69</f>
        <v>44287</v>
      </c>
      <c r="B68" s="12">
        <f>salario_real!J69</f>
        <v>0.84534063437847151</v>
      </c>
      <c r="C68" s="12">
        <f>salario_real!K69</f>
        <v>0.75148532440185034</v>
      </c>
      <c r="D68" s="12">
        <f>salario_real!L69</f>
        <v>0.74205693709826293</v>
      </c>
    </row>
    <row r="69" spans="1:4" ht="12.5">
      <c r="A69" s="40">
        <f>salario_real!B70</f>
        <v>44317</v>
      </c>
      <c r="B69" s="12">
        <f>salario_real!J70</f>
        <v>0.84716913406789995</v>
      </c>
      <c r="C69" s="12">
        <f>salario_real!K70</f>
        <v>0.74842953861826245</v>
      </c>
      <c r="D69" s="12">
        <f>salario_real!L70</f>
        <v>0.72498925650521806</v>
      </c>
    </row>
    <row r="70" spans="1:4" ht="12.5">
      <c r="A70" s="40">
        <f>salario_real!B71</f>
        <v>44348</v>
      </c>
      <c r="B70" s="12">
        <f>salario_real!J71</f>
        <v>0.83537227194677854</v>
      </c>
      <c r="C70" s="12">
        <f>salario_real!K71</f>
        <v>0.75436769408475934</v>
      </c>
      <c r="D70" s="12">
        <f>salario_real!L71</f>
        <v>0.71054884055145862</v>
      </c>
    </row>
    <row r="71" spans="1:4" ht="12.5">
      <c r="A71" s="40">
        <f>salario_real!B72</f>
        <v>44378</v>
      </c>
      <c r="B71" s="12">
        <f>salario_real!J72</f>
        <v>0.8528027788599668</v>
      </c>
      <c r="C71" s="12">
        <f>salario_real!K72</f>
        <v>0.77649937233039068</v>
      </c>
      <c r="D71" s="12">
        <f>salario_real!L72</f>
        <v>0.70644074587484662</v>
      </c>
    </row>
    <row r="72" spans="1:4" ht="12.5">
      <c r="A72" s="40">
        <f>salario_real!B73</f>
        <v>44409</v>
      </c>
      <c r="B72" s="12">
        <f>salario_real!J73</f>
        <v>0.85979953466491066</v>
      </c>
      <c r="C72" s="12">
        <f>salario_real!K73</f>
        <v>0.78212056873415703</v>
      </c>
      <c r="D72" s="12">
        <f>salario_real!L73</f>
        <v>0.70672627827195489</v>
      </c>
    </row>
    <row r="73" spans="1:4" ht="12.5">
      <c r="A73" s="40">
        <f>salario_real!B74</f>
        <v>44440</v>
      </c>
      <c r="B73" s="12">
        <f>salario_real!J74</f>
        <v>0.86070881368573771</v>
      </c>
      <c r="C73" s="12">
        <f>salario_real!K74</f>
        <v>0.80589128291455803</v>
      </c>
      <c r="D73" s="12">
        <f>salario_real!L74</f>
        <v>0.68853026065948197</v>
      </c>
    </row>
    <row r="74" spans="1:4" ht="12.5">
      <c r="A74" s="40">
        <f>salario_real!B75</f>
        <v>44470</v>
      </c>
      <c r="B74" s="12">
        <f>salario_real!J75</f>
        <v>0.86252784559796314</v>
      </c>
      <c r="C74" s="12">
        <f>salario_real!K75</f>
        <v>0.80707581843403065</v>
      </c>
      <c r="D74" s="12">
        <f>salario_real!L75</f>
        <v>0.70292553664536239</v>
      </c>
    </row>
    <row r="75" spans="1:4" ht="12.5">
      <c r="A75" s="40">
        <f>salario_real!B76</f>
        <v>44501</v>
      </c>
      <c r="B75" s="12">
        <f>salario_real!J76</f>
        <v>0.87911732689075539</v>
      </c>
      <c r="C75" s="12">
        <f>salario_real!K76</f>
        <v>0.8088919782929731</v>
      </c>
      <c r="D75" s="12">
        <f>salario_real!L76</f>
        <v>0.71560497200752426</v>
      </c>
    </row>
    <row r="76" spans="1:4" ht="12.5">
      <c r="A76" s="40">
        <f>salario_real!B77</f>
        <v>44531</v>
      </c>
      <c r="B76" s="12">
        <f>salario_real!J77</f>
        <v>0.85912850140719799</v>
      </c>
      <c r="C76" s="12">
        <f>salario_real!K77</f>
        <v>0.80032756178142839</v>
      </c>
      <c r="D76" s="12">
        <f>salario_real!L77</f>
        <v>0.72966620535614257</v>
      </c>
    </row>
    <row r="77" spans="1:4" ht="12.5">
      <c r="A77" s="40">
        <f>salario_real!B78</f>
        <v>44562</v>
      </c>
      <c r="B77" s="12">
        <f>salario_real!J78</f>
        <v>0.86530607935507409</v>
      </c>
      <c r="C77" s="12">
        <f>salario_real!K78</f>
        <v>0.79263451713498978</v>
      </c>
      <c r="D77" s="12">
        <f>salario_real!L78</f>
        <v>0.7201237327074278</v>
      </c>
    </row>
    <row r="78" spans="1:4" ht="12.5">
      <c r="A78" s="40">
        <f>salario_real!B79</f>
        <v>44593</v>
      </c>
      <c r="B78" s="12">
        <f>salario_real!J79</f>
        <v>0.85840281402958996</v>
      </c>
      <c r="C78" s="12">
        <f>salario_real!K79</f>
        <v>0.77501949953619675</v>
      </c>
      <c r="D78" s="12">
        <f>salario_real!L79</f>
        <v>0.70269253613585048</v>
      </c>
    </row>
    <row r="79" spans="1:4" ht="12.5">
      <c r="A79" s="40">
        <f>salario_real!B80</f>
        <v>44621</v>
      </c>
      <c r="B79" s="12">
        <f>salario_real!J80</f>
        <v>0.84810840412808308</v>
      </c>
      <c r="C79" s="12">
        <f>salario_real!K80</f>
        <v>0.81428768887776914</v>
      </c>
      <c r="D79" s="12">
        <f>salario_real!L80</f>
        <v>0.69569930859581752</v>
      </c>
    </row>
    <row r="80" spans="1:4" ht="12.5">
      <c r="A80" s="40">
        <f>salario_real!B81</f>
        <v>44652</v>
      </c>
      <c r="B80" s="12">
        <f>salario_real!J81</f>
        <v>0.84490699172915829</v>
      </c>
      <c r="C80" s="12">
        <f>salario_real!K81</f>
        <v>0.78869752771246682</v>
      </c>
      <c r="D80" s="12">
        <f>salario_real!L81</f>
        <v>0.70261830020864446</v>
      </c>
    </row>
    <row r="81" spans="1:4" ht="12.5">
      <c r="A81" s="40">
        <f>salario_real!B82</f>
        <v>44682</v>
      </c>
      <c r="B81" s="12">
        <f>salario_real!J82</f>
        <v>0.85997275832081066</v>
      </c>
      <c r="C81" s="12">
        <f>salario_real!K82</f>
        <v>0.80016092309435194</v>
      </c>
      <c r="D81" s="12">
        <f>salario_real!L82</f>
        <v>0.69009681161931369</v>
      </c>
    </row>
    <row r="82" spans="1:4" ht="12.5">
      <c r="A82" s="40">
        <f>salario_real!B83</f>
        <v>44713</v>
      </c>
      <c r="B82" s="12">
        <f>salario_real!J83</f>
        <v>0.85803185546569682</v>
      </c>
      <c r="C82" s="12">
        <f>salario_real!K83</f>
        <v>0.7948510711412996</v>
      </c>
      <c r="D82" s="12">
        <f>salario_real!L83</f>
        <v>0.68541949906875155</v>
      </c>
    </row>
    <row r="83" spans="1:4" ht="12.5">
      <c r="A83" s="40">
        <f>salario_real!B84</f>
        <v>44743</v>
      </c>
      <c r="B83" s="12">
        <f>salario_real!J84</f>
        <v>0.84186223054245946</v>
      </c>
      <c r="C83" s="12">
        <f>salario_real!K84</f>
        <v>0.79422904870579647</v>
      </c>
      <c r="D83" s="12">
        <f>salario_real!L84</f>
        <v>0.65715514413986009</v>
      </c>
    </row>
    <row r="84" spans="1:4" ht="12.5">
      <c r="A84" s="40">
        <f>salario_real!B85</f>
        <v>44774</v>
      </c>
      <c r="B84" s="12">
        <f>salario_real!J85</f>
        <v>0.85084068108737387</v>
      </c>
      <c r="C84" s="12">
        <f>salario_real!K85</f>
        <v>0.77376326932512995</v>
      </c>
      <c r="D84" s="12">
        <f>salario_real!L85</f>
        <v>0.64736485446848624</v>
      </c>
    </row>
    <row r="85" spans="1:4" ht="12.5">
      <c r="A85" s="40">
        <f>salario_real!B86</f>
        <v>44805</v>
      </c>
      <c r="B85" s="12">
        <f>salario_real!J86</f>
        <v>0.84781064640163428</v>
      </c>
      <c r="C85" s="12">
        <f>salario_real!K86</f>
        <v>0.78488327331087993</v>
      </c>
      <c r="D85" s="12">
        <f>salario_real!L86</f>
        <v>0.65812382048749118</v>
      </c>
    </row>
    <row r="86" spans="1:4" ht="12.5">
      <c r="A86" s="40">
        <f>salario_real!B87</f>
        <v>44835</v>
      </c>
      <c r="B86" s="12">
        <f>salario_real!J87</f>
        <v>0.83983483053381647</v>
      </c>
      <c r="C86" s="12">
        <f>salario_real!K87</f>
        <v>0.78252823135540273</v>
      </c>
      <c r="D86" s="12">
        <f>salario_real!L87</f>
        <v>0.63850521064793708</v>
      </c>
    </row>
    <row r="87" spans="1:4" ht="12.5">
      <c r="A87" s="40">
        <f>salario_real!B88</f>
        <v>44866</v>
      </c>
      <c r="B87" s="12">
        <f>salario_real!J88</f>
        <v>0.85938169601336312</v>
      </c>
      <c r="C87" s="12">
        <f>salario_real!K88</f>
        <v>0.788615449147687</v>
      </c>
      <c r="D87" s="12">
        <f>salario_real!L88</f>
        <v>0.6478942881829477</v>
      </c>
    </row>
    <row r="88" spans="1:4" ht="12.5">
      <c r="A88" s="40">
        <f>salario_real!B89</f>
        <v>44896</v>
      </c>
      <c r="B88" s="12">
        <f>salario_real!J89</f>
        <v>0.85481999704658329</v>
      </c>
      <c r="C88" s="12">
        <f>salario_real!K89</f>
        <v>0.81913816694710717</v>
      </c>
      <c r="D88" s="12">
        <f>salario_real!L89</f>
        <v>0.61980025071830336</v>
      </c>
    </row>
    <row r="89" spans="1:4" ht="12.5">
      <c r="A89" s="40">
        <f>salario_real!B90</f>
        <v>44927</v>
      </c>
      <c r="B89" s="12">
        <f>salario_real!J90</f>
        <v>0.84349457038298892</v>
      </c>
      <c r="C89" s="12">
        <f>salario_real!K90</f>
        <v>0.80295439580874883</v>
      </c>
      <c r="D89" s="12">
        <f>salario_real!L90</f>
        <v>0.62404356550207318</v>
      </c>
    </row>
    <row r="90" spans="1:4" ht="12.5">
      <c r="A90" s="40">
        <f>salario_real!B91</f>
        <v>44958</v>
      </c>
      <c r="B90" s="12">
        <f>salario_real!J91</f>
        <v>0.8458489499064834</v>
      </c>
      <c r="C90" s="12">
        <f>salario_real!K91</f>
        <v>0.78223758671689048</v>
      </c>
      <c r="D90" s="12">
        <f>salario_real!L91</f>
        <v>0.62692869759289649</v>
      </c>
    </row>
    <row r="91" spans="1:4" ht="12.5">
      <c r="A91" s="40">
        <f>salario_real!B92</f>
        <v>44986</v>
      </c>
      <c r="B91" s="12">
        <f>salario_real!J92</f>
        <v>0.84725780409882434</v>
      </c>
      <c r="C91" s="12">
        <f>salario_real!K92</f>
        <v>0.84479095249384473</v>
      </c>
      <c r="D91" s="12">
        <f>salario_real!L92</f>
        <v>0.61741771598916084</v>
      </c>
    </row>
    <row r="92" spans="1:4" ht="12.5">
      <c r="A92" s="40">
        <f>salario_real!B93</f>
        <v>45017</v>
      </c>
      <c r="B92" s="12">
        <f>salario_real!J93</f>
        <v>0.83524448385785344</v>
      </c>
      <c r="C92" s="12">
        <f>salario_real!K93</f>
        <v>0.81105711440470696</v>
      </c>
      <c r="D92" s="12">
        <f>salario_real!L93</f>
        <v>0.59720695813750457</v>
      </c>
    </row>
    <row r="93" spans="1:4" ht="12.5">
      <c r="A93" s="40">
        <f>salario_real!B94</f>
        <v>45047</v>
      </c>
      <c r="B93" s="12">
        <f>salario_real!J94</f>
        <v>0.83789907745105641</v>
      </c>
      <c r="C93" s="12">
        <f>salario_real!K94</f>
        <v>0.81612528196013845</v>
      </c>
      <c r="D93" s="12">
        <f>salario_real!L94</f>
        <v>0.57166768327678608</v>
      </c>
    </row>
    <row r="94" spans="1:4" ht="12.5">
      <c r="A94" s="40">
        <f>salario_real!B95</f>
        <v>45078</v>
      </c>
      <c r="B94" s="12">
        <f>salario_real!J95</f>
        <v>0.83559344270143021</v>
      </c>
      <c r="C94" s="12">
        <f>salario_real!K95</f>
        <v>0.81624705042914647</v>
      </c>
      <c r="D94" s="12">
        <f>salario_real!L95</f>
        <v>0.57976585547734905</v>
      </c>
    </row>
    <row r="95" spans="1:4" ht="12.5">
      <c r="A95" s="40">
        <f>salario_real!B96</f>
        <v>45108</v>
      </c>
      <c r="B95" s="12">
        <f>salario_real!J96</f>
        <v>0.87080712048450926</v>
      </c>
      <c r="C95" s="12">
        <f>salario_real!K96</f>
        <v>0.87011124560337472</v>
      </c>
      <c r="D95" s="12">
        <f>salario_real!L96</f>
        <v>0.5836249099239369</v>
      </c>
    </row>
    <row r="96" spans="1:4" ht="12.5">
      <c r="A96" s="40">
        <f>salario_real!B97</f>
        <v>45139</v>
      </c>
      <c r="B96" s="12">
        <f>salario_real!J97</f>
        <v>0.83936454831633955</v>
      </c>
      <c r="C96" s="12">
        <f>salario_real!K97</f>
        <v>0.82069612829137473</v>
      </c>
      <c r="D96" s="12">
        <f>salario_real!L97</f>
        <v>0.5635767412638617</v>
      </c>
    </row>
    <row r="97" spans="1:4" ht="12.5">
      <c r="A97" s="40">
        <f>salario_real!B98</f>
        <v>45170</v>
      </c>
      <c r="B97" s="12">
        <f>salario_real!J98</f>
        <v>0.84327014182087434</v>
      </c>
      <c r="C97" s="12">
        <f>salario_real!K98</f>
        <v>0.80793915205466926</v>
      </c>
      <c r="D97" s="12">
        <f>salario_real!L98</f>
        <v>0.53735135170911641</v>
      </c>
    </row>
    <row r="98" spans="1:4" ht="12.5">
      <c r="A98" s="40">
        <f>salario_real!B99</f>
        <v>45200</v>
      </c>
      <c r="B98" s="12">
        <f>salario_real!J99</f>
        <v>0.84662459133992674</v>
      </c>
      <c r="C98" s="12">
        <f>salario_real!K99</f>
        <v>0.81424324235761947</v>
      </c>
      <c r="D98" s="12">
        <f>salario_real!L99</f>
        <v>0.52051682109733222</v>
      </c>
    </row>
    <row r="99" spans="1:4" ht="12.5">
      <c r="A99" s="40">
        <f>salario_real!B100</f>
        <v>45231</v>
      </c>
      <c r="B99" s="12">
        <f>salario_real!J100</f>
        <v>0.82517994439511633</v>
      </c>
      <c r="C99" s="12">
        <f>salario_real!K100</f>
        <v>0.77840977387608978</v>
      </c>
      <c r="D99" s="12">
        <f>salario_real!L100</f>
        <v>0.49995413251956033</v>
      </c>
    </row>
    <row r="100" spans="1:4" ht="12.5">
      <c r="A100" s="40">
        <f>salario_real!B101</f>
        <v>45261</v>
      </c>
      <c r="B100" s="12">
        <f>salario_real!J101</f>
        <v>0.73009110027496527</v>
      </c>
      <c r="C100" s="12">
        <f>salario_real!K101</f>
        <v>0.65433595226446484</v>
      </c>
      <c r="D100" s="12">
        <f>salario_real!L101</f>
        <v>0.42877386211582669</v>
      </c>
    </row>
    <row r="101" spans="1:4" ht="12.5">
      <c r="A101" s="40">
        <f>salario_real!B102</f>
        <v>45292</v>
      </c>
      <c r="B101" s="12">
        <f>salario_real!J102</f>
        <v>0.87601450580961782</v>
      </c>
      <c r="C101" s="12">
        <f>salario_real!K102</f>
        <v>0.73340685225082969</v>
      </c>
      <c r="D101" s="12">
        <f>salario_real!L102</f>
        <v>0.47696664956220103</v>
      </c>
    </row>
    <row r="102" spans="1:4" ht="12.5">
      <c r="A102" s="40">
        <f>salario_real!B103</f>
        <v>45323</v>
      </c>
      <c r="B102" s="12">
        <f>salario_real!J103</f>
        <v>0.82856201099232385</v>
      </c>
      <c r="C102" s="12">
        <f>salario_real!K103</f>
        <v>0.69998337487374895</v>
      </c>
      <c r="D102" s="12">
        <f>salario_real!L103</f>
        <v>0.41809768381678075</v>
      </c>
    </row>
    <row r="103" spans="1:4" ht="12.5">
      <c r="A103" s="40">
        <f>salario_real!B104</f>
        <v>45352</v>
      </c>
      <c r="B103" s="12">
        <f>salario_real!J104</f>
        <v>0.72527110822133389</v>
      </c>
      <c r="C103" s="12">
        <f>salario_real!K104</f>
        <v>0.6185039256442999</v>
      </c>
      <c r="D103" s="12">
        <f>salario_real!L104</f>
        <v>0.36517286620087069</v>
      </c>
    </row>
    <row r="104" spans="1:4" ht="12.5">
      <c r="A104" s="40">
        <f>salario_real!B105</f>
        <v>45383</v>
      </c>
      <c r="B104" s="12">
        <f>salario_real!J105</f>
        <v>0.74636856669854479</v>
      </c>
      <c r="C104" s="12">
        <f>salario_real!K105</f>
        <v>0.61120774911672937</v>
      </c>
      <c r="D104" s="12">
        <f>salario_real!L105</f>
        <v>0.36173281024555648</v>
      </c>
    </row>
    <row r="105" spans="1:4" ht="12.5">
      <c r="A105" s="40">
        <f>salario_real!B106</f>
        <v>45413</v>
      </c>
      <c r="B105" s="12">
        <f>salario_real!J106</f>
        <v>0.77126618730814944</v>
      </c>
      <c r="C105" s="12">
        <f>salario_real!K106</f>
        <v>0.6349914593944469</v>
      </c>
      <c r="D105" s="12">
        <f>salario_real!L106</f>
        <v>0.38812788058491771</v>
      </c>
    </row>
    <row r="106" spans="1:4" ht="12.5">
      <c r="A106" s="40">
        <f>salario_real!B107</f>
        <v>45444</v>
      </c>
      <c r="B106" s="12">
        <f>salario_real!J107</f>
        <v>0.78669081838600741</v>
      </c>
      <c r="C106" s="12">
        <f>salario_real!K107</f>
        <v>0.6310091688126408</v>
      </c>
      <c r="D106" s="12">
        <f>salario_real!L107</f>
        <v>0.40524776979092808</v>
      </c>
    </row>
    <row r="107" spans="1:4" ht="12.5">
      <c r="A107" s="5">
        <f>salario_real!B108</f>
        <v>45474</v>
      </c>
      <c r="B107" s="12" t="e">
        <f>salario_real!J108</f>
        <v>#DIV/0!</v>
      </c>
      <c r="C107" s="12" t="e">
        <f>salario_real!K108</f>
        <v>#DIV/0!</v>
      </c>
      <c r="D107" s="12" t="e">
        <f>salario_real!L108</f>
        <v>#DIV/0!</v>
      </c>
    </row>
    <row r="108" spans="1:4" ht="12.5">
      <c r="A108" s="5">
        <f>salario_real!B109</f>
        <v>45505</v>
      </c>
      <c r="B108" s="12" t="e">
        <f>salario_real!J109</f>
        <v>#DIV/0!</v>
      </c>
      <c r="C108" s="12" t="e">
        <f>salario_real!K109</f>
        <v>#DIV/0!</v>
      </c>
      <c r="D108" s="12" t="e">
        <f>salario_real!L109</f>
        <v>#DIV/0!</v>
      </c>
    </row>
    <row r="109" spans="1:4" ht="12.5">
      <c r="A109" s="5">
        <f>salario_real!B110</f>
        <v>45536</v>
      </c>
      <c r="B109" s="12" t="e">
        <f>salario_real!J110</f>
        <v>#DIV/0!</v>
      </c>
      <c r="C109" s="12" t="e">
        <f>salario_real!K110</f>
        <v>#DIV/0!</v>
      </c>
      <c r="D109" s="12" t="e">
        <f>salario_real!L110</f>
        <v>#DIV/0!</v>
      </c>
    </row>
    <row r="110" spans="1:4" ht="12.5">
      <c r="A110" s="5">
        <f>salario_real!B111</f>
        <v>45566</v>
      </c>
      <c r="B110" s="12" t="e">
        <f>salario_real!J111</f>
        <v>#DIV/0!</v>
      </c>
      <c r="C110" s="12" t="e">
        <f>salario_real!K111</f>
        <v>#DIV/0!</v>
      </c>
      <c r="D110" s="12" t="e">
        <f>salario_real!L111</f>
        <v>#DIV/0!</v>
      </c>
    </row>
    <row r="111" spans="1:4" ht="12.5">
      <c r="A111" s="5">
        <f>salario_real!B112</f>
        <v>45597</v>
      </c>
      <c r="B111" s="12" t="e">
        <f>salario_real!J112</f>
        <v>#DIV/0!</v>
      </c>
      <c r="C111" s="12" t="e">
        <f>salario_real!K112</f>
        <v>#DIV/0!</v>
      </c>
      <c r="D111" s="12" t="e">
        <f>salario_real!L112</f>
        <v>#DIV/0!</v>
      </c>
    </row>
    <row r="112" spans="1:4" ht="12.5">
      <c r="A112" s="5">
        <f>salario_real!B113</f>
        <v>45627</v>
      </c>
      <c r="B112" s="12" t="e">
        <f>salario_real!J113</f>
        <v>#DIV/0!</v>
      </c>
      <c r="C112" s="12" t="e">
        <f>salario_real!K113</f>
        <v>#DIV/0!</v>
      </c>
      <c r="D112" s="12" t="e">
        <f>salario_real!L113</f>
        <v>#DIV/0!</v>
      </c>
    </row>
    <row r="113" spans="1:4" ht="12.5">
      <c r="A113" s="5">
        <f>salario_real!B114</f>
        <v>45658</v>
      </c>
      <c r="B113" s="12" t="e">
        <f>salario_real!J114</f>
        <v>#DIV/0!</v>
      </c>
      <c r="C113" s="12" t="e">
        <f>salario_real!K114</f>
        <v>#DIV/0!</v>
      </c>
      <c r="D113" s="12" t="e">
        <f>salario_real!L114</f>
        <v>#DIV/0!</v>
      </c>
    </row>
    <row r="114" spans="1:4" ht="12.5">
      <c r="A114" s="5">
        <f>salario_real!B115</f>
        <v>45689</v>
      </c>
      <c r="B114" s="12" t="e">
        <f>salario_real!J115</f>
        <v>#DIV/0!</v>
      </c>
      <c r="C114" s="12" t="e">
        <f>salario_real!K115</f>
        <v>#DIV/0!</v>
      </c>
      <c r="D114" s="12" t="e">
        <f>salario_real!L115</f>
        <v>#DIV/0!</v>
      </c>
    </row>
    <row r="115" spans="1:4" ht="12.5">
      <c r="A115" s="5">
        <f>salario_real!B116</f>
        <v>45717</v>
      </c>
      <c r="B115" s="12" t="e">
        <f>salario_real!J116</f>
        <v>#DIV/0!</v>
      </c>
      <c r="C115" s="12" t="e">
        <f>salario_real!K116</f>
        <v>#DIV/0!</v>
      </c>
      <c r="D115" s="12" t="e">
        <f>salario_real!L116</f>
        <v>#DIV/0!</v>
      </c>
    </row>
    <row r="116" spans="1:4" ht="12.5">
      <c r="A116" s="5">
        <f>salario_real!B117</f>
        <v>45748</v>
      </c>
      <c r="B116" s="12" t="e">
        <f>salario_real!J117</f>
        <v>#DIV/0!</v>
      </c>
      <c r="C116" s="12" t="e">
        <f>salario_real!K117</f>
        <v>#DIV/0!</v>
      </c>
      <c r="D116" s="12" t="e">
        <f>salario_real!L117</f>
        <v>#DIV/0!</v>
      </c>
    </row>
    <row r="117" spans="1:4" ht="12.5">
      <c r="A117" s="5">
        <f>salario_real!B118</f>
        <v>45778</v>
      </c>
      <c r="B117" s="12" t="e">
        <f>salario_real!J118</f>
        <v>#DIV/0!</v>
      </c>
      <c r="C117" s="12" t="e">
        <f>salario_real!K118</f>
        <v>#DIV/0!</v>
      </c>
      <c r="D117" s="12" t="e">
        <f>salario_real!L118</f>
        <v>#DIV/0!</v>
      </c>
    </row>
    <row r="118" spans="1:4" ht="12.5">
      <c r="A118" s="5">
        <f>salario_real!B119</f>
        <v>45809</v>
      </c>
      <c r="B118" s="12" t="e">
        <f>salario_real!J119</f>
        <v>#DIV/0!</v>
      </c>
      <c r="C118" s="12" t="e">
        <f>salario_real!K119</f>
        <v>#DIV/0!</v>
      </c>
      <c r="D118" s="12" t="e">
        <f>salario_real!L119</f>
        <v>#DIV/0!</v>
      </c>
    </row>
    <row r="119" spans="1:4" ht="12.5">
      <c r="A119" s="5">
        <f>salario_real!B120</f>
        <v>45839</v>
      </c>
      <c r="B119" s="12" t="e">
        <f>salario_real!J120</f>
        <v>#DIV/0!</v>
      </c>
      <c r="C119" s="12" t="e">
        <f>salario_real!K120</f>
        <v>#DIV/0!</v>
      </c>
      <c r="D119" s="12" t="e">
        <f>salario_real!L120</f>
        <v>#DIV/0!</v>
      </c>
    </row>
    <row r="120" spans="1:4" ht="12.5">
      <c r="A120" s="5">
        <f>salario_real!B121</f>
        <v>45870</v>
      </c>
      <c r="B120" s="12" t="e">
        <f>salario_real!J121</f>
        <v>#DIV/0!</v>
      </c>
      <c r="C120" s="12" t="e">
        <f>salario_real!K121</f>
        <v>#DIV/0!</v>
      </c>
      <c r="D120" s="12" t="e">
        <f>salario_real!L121</f>
        <v>#DIV/0!</v>
      </c>
    </row>
    <row r="121" spans="1:4" ht="12.5">
      <c r="A121" s="5">
        <f>salario_real!B122</f>
        <v>45901</v>
      </c>
      <c r="B121" s="12" t="e">
        <f>salario_real!J122</f>
        <v>#DIV/0!</v>
      </c>
      <c r="C121" s="12" t="e">
        <f>salario_real!K122</f>
        <v>#DIV/0!</v>
      </c>
      <c r="D121" s="12" t="e">
        <f>salario_real!L122</f>
        <v>#DIV/0!</v>
      </c>
    </row>
    <row r="122" spans="1:4" ht="12.5">
      <c r="A122" s="5">
        <f>salario_real!B123</f>
        <v>45931</v>
      </c>
      <c r="B122" s="12" t="e">
        <f>salario_real!J123</f>
        <v>#DIV/0!</v>
      </c>
      <c r="C122" s="12" t="e">
        <f>salario_real!K123</f>
        <v>#DIV/0!</v>
      </c>
      <c r="D122" s="12" t="e">
        <f>salario_real!L123</f>
        <v>#DIV/0!</v>
      </c>
    </row>
    <row r="123" spans="1:4" ht="12.5">
      <c r="A123" s="5">
        <f>salario_real!B124</f>
        <v>45962</v>
      </c>
      <c r="B123" s="12" t="e">
        <f>salario_real!J124</f>
        <v>#DIV/0!</v>
      </c>
      <c r="C123" s="12" t="e">
        <f>salario_real!K124</f>
        <v>#DIV/0!</v>
      </c>
      <c r="D123" s="12" t="e">
        <f>salario_real!L124</f>
        <v>#DIV/0!</v>
      </c>
    </row>
    <row r="124" spans="1:4" ht="12.5">
      <c r="A124" s="5">
        <f>salario_real!B125</f>
        <v>45992</v>
      </c>
      <c r="B124" s="12" t="e">
        <f>salario_real!J125</f>
        <v>#DIV/0!</v>
      </c>
      <c r="C124" s="12" t="e">
        <f>salario_real!K125</f>
        <v>#DIV/0!</v>
      </c>
      <c r="D124" s="12" t="e">
        <f>salario_real!L125</f>
        <v>#DIV/0!</v>
      </c>
    </row>
    <row r="125" spans="1:4" ht="12.5">
      <c r="A125" s="5">
        <f>salario_real!B126</f>
        <v>46023</v>
      </c>
      <c r="B125" s="12" t="e">
        <f>salario_real!J126</f>
        <v>#DIV/0!</v>
      </c>
      <c r="C125" s="12" t="e">
        <f>salario_real!K126</f>
        <v>#DIV/0!</v>
      </c>
      <c r="D125" s="12" t="e">
        <f>salario_real!L126</f>
        <v>#DIV/0!</v>
      </c>
    </row>
    <row r="126" spans="1:4" ht="12.5">
      <c r="A126" s="5">
        <f>salario_real!B127</f>
        <v>46054</v>
      </c>
      <c r="B126" s="12" t="e">
        <f>salario_real!J127</f>
        <v>#DIV/0!</v>
      </c>
      <c r="C126" s="12" t="e">
        <f>salario_real!K127</f>
        <v>#DIV/0!</v>
      </c>
      <c r="D126" s="12" t="e">
        <f>salario_real!L127</f>
        <v>#DIV/0!</v>
      </c>
    </row>
    <row r="127" spans="1:4" ht="12.5">
      <c r="A127" s="5">
        <f>salario_real!B128</f>
        <v>46082</v>
      </c>
      <c r="B127" s="12" t="e">
        <f>salario_real!J128</f>
        <v>#DIV/0!</v>
      </c>
      <c r="C127" s="12" t="e">
        <f>salario_real!K128</f>
        <v>#DIV/0!</v>
      </c>
      <c r="D127" s="12" t="e">
        <f>salario_real!L128</f>
        <v>#DIV/0!</v>
      </c>
    </row>
    <row r="128" spans="1:4" ht="12.5">
      <c r="A128" s="5">
        <f>salario_real!B129</f>
        <v>46113</v>
      </c>
      <c r="B128" s="12" t="e">
        <f>salario_real!J129</f>
        <v>#DIV/0!</v>
      </c>
      <c r="C128" s="12" t="e">
        <f>salario_real!K129</f>
        <v>#DIV/0!</v>
      </c>
      <c r="D128" s="12" t="e">
        <f>salario_real!L129</f>
        <v>#DIV/0!</v>
      </c>
    </row>
    <row r="129" spans="1:4" ht="12.5">
      <c r="A129" s="5">
        <f>salario_real!B130</f>
        <v>46143</v>
      </c>
      <c r="B129" s="12" t="e">
        <f>salario_real!J130</f>
        <v>#DIV/0!</v>
      </c>
      <c r="C129" s="12" t="e">
        <f>salario_real!K130</f>
        <v>#DIV/0!</v>
      </c>
      <c r="D129" s="12" t="e">
        <f>salario_real!L130</f>
        <v>#DIV/0!</v>
      </c>
    </row>
    <row r="130" spans="1:4" ht="12.5">
      <c r="A130" s="5">
        <f>salario_real!B131</f>
        <v>46174</v>
      </c>
      <c r="B130" s="12" t="e">
        <f>salario_real!J131</f>
        <v>#DIV/0!</v>
      </c>
      <c r="C130" s="12" t="e">
        <f>salario_real!K131</f>
        <v>#DIV/0!</v>
      </c>
      <c r="D130" s="12" t="e">
        <f>salario_real!L131</f>
        <v>#DIV/0!</v>
      </c>
    </row>
    <row r="131" spans="1:4" ht="12.5">
      <c r="A131" s="5">
        <f>salario_real!B132</f>
        <v>46204</v>
      </c>
      <c r="B131" s="12" t="e">
        <f>salario_real!J132</f>
        <v>#DIV/0!</v>
      </c>
      <c r="C131" s="12" t="e">
        <f>salario_real!K132</f>
        <v>#DIV/0!</v>
      </c>
      <c r="D131" s="12" t="e">
        <f>salario_real!L132</f>
        <v>#DIV/0!</v>
      </c>
    </row>
    <row r="132" spans="1:4" ht="12.5">
      <c r="A132" s="5">
        <f>salario_real!B133</f>
        <v>46235</v>
      </c>
      <c r="B132" s="12" t="e">
        <f>salario_real!J133</f>
        <v>#DIV/0!</v>
      </c>
      <c r="C132" s="12" t="e">
        <f>salario_real!K133</f>
        <v>#DIV/0!</v>
      </c>
      <c r="D132" s="12" t="e">
        <f>salario_real!L133</f>
        <v>#DIV/0!</v>
      </c>
    </row>
    <row r="133" spans="1:4" ht="12.5">
      <c r="A133" s="5">
        <f>salario_real!B134</f>
        <v>46266</v>
      </c>
      <c r="B133" s="12" t="e">
        <f>salario_real!J134</f>
        <v>#DIV/0!</v>
      </c>
      <c r="C133" s="12" t="e">
        <f>salario_real!K134</f>
        <v>#DIV/0!</v>
      </c>
      <c r="D133" s="12" t="e">
        <f>salario_real!L134</f>
        <v>#DIV/0!</v>
      </c>
    </row>
    <row r="134" spans="1:4" ht="12.5">
      <c r="A134" s="5">
        <f>salario_real!B135</f>
        <v>46296</v>
      </c>
      <c r="B134" s="12" t="e">
        <f>salario_real!J135</f>
        <v>#DIV/0!</v>
      </c>
      <c r="C134" s="12" t="e">
        <f>salario_real!K135</f>
        <v>#DIV/0!</v>
      </c>
      <c r="D134" s="12" t="e">
        <f>salario_real!L135</f>
        <v>#DIV/0!</v>
      </c>
    </row>
    <row r="135" spans="1:4" ht="12.5">
      <c r="A135" s="5">
        <f>salario_real!B136</f>
        <v>46327</v>
      </c>
      <c r="B135" s="12" t="e">
        <f>salario_real!J136</f>
        <v>#DIV/0!</v>
      </c>
      <c r="C135" s="12" t="e">
        <f>salario_real!K136</f>
        <v>#DIV/0!</v>
      </c>
      <c r="D135" s="12" t="e">
        <f>salario_real!L136</f>
        <v>#DIV/0!</v>
      </c>
    </row>
    <row r="136" spans="1:4" ht="12.5">
      <c r="A136" s="5">
        <f>salario_real!B137</f>
        <v>46357</v>
      </c>
      <c r="B136" s="12" t="e">
        <f>salario_real!J137</f>
        <v>#DIV/0!</v>
      </c>
      <c r="C136" s="12" t="e">
        <f>salario_real!K137</f>
        <v>#DIV/0!</v>
      </c>
      <c r="D136" s="12" t="e">
        <f>salario_real!L137</f>
        <v>#DIV/0!</v>
      </c>
    </row>
    <row r="137" spans="1:4" ht="12.5">
      <c r="A137" s="5">
        <f>salario_real!B138</f>
        <v>46388</v>
      </c>
      <c r="B137" s="12" t="e">
        <f>salario_real!J138</f>
        <v>#DIV/0!</v>
      </c>
      <c r="C137" s="12" t="e">
        <f>salario_real!K138</f>
        <v>#DIV/0!</v>
      </c>
      <c r="D137" s="12" t="e">
        <f>salario_real!L138</f>
        <v>#DIV/0!</v>
      </c>
    </row>
    <row r="138" spans="1:4" ht="12.5">
      <c r="A138" s="5">
        <f>salario_real!B139</f>
        <v>46419</v>
      </c>
      <c r="B138" s="12" t="e">
        <f>salario_real!J139</f>
        <v>#DIV/0!</v>
      </c>
      <c r="C138" s="12" t="e">
        <f>salario_real!K139</f>
        <v>#DIV/0!</v>
      </c>
      <c r="D138" s="12" t="e">
        <f>salario_real!L139</f>
        <v>#DIV/0!</v>
      </c>
    </row>
    <row r="139" spans="1:4" ht="12.5">
      <c r="A139" s="5">
        <f>salario_real!B140</f>
        <v>46447</v>
      </c>
      <c r="B139" s="12" t="e">
        <f>salario_real!J140</f>
        <v>#DIV/0!</v>
      </c>
      <c r="C139" s="12" t="e">
        <f>salario_real!K140</f>
        <v>#DIV/0!</v>
      </c>
      <c r="D139" s="12" t="e">
        <f>salario_real!L140</f>
        <v>#DIV/0!</v>
      </c>
    </row>
    <row r="140" spans="1:4" ht="12.5">
      <c r="A140" s="5">
        <f>salario_real!B141</f>
        <v>46478</v>
      </c>
      <c r="B140" s="12" t="e">
        <f>salario_real!J141</f>
        <v>#DIV/0!</v>
      </c>
      <c r="C140" s="12" t="e">
        <f>salario_real!K141</f>
        <v>#DIV/0!</v>
      </c>
      <c r="D140" s="12" t="e">
        <f>salario_real!L141</f>
        <v>#DIV/0!</v>
      </c>
    </row>
    <row r="141" spans="1:4" ht="12.5">
      <c r="A141" s="5">
        <f>salario_real!B142</f>
        <v>46508</v>
      </c>
      <c r="B141" s="12" t="e">
        <f>salario_real!J142</f>
        <v>#DIV/0!</v>
      </c>
      <c r="C141" s="12" t="e">
        <f>salario_real!K142</f>
        <v>#DIV/0!</v>
      </c>
      <c r="D141" s="12" t="e">
        <f>salario_real!L142</f>
        <v>#DIV/0!</v>
      </c>
    </row>
    <row r="142" spans="1:4" ht="12.5">
      <c r="A142" s="5">
        <f>salario_real!B143</f>
        <v>46539</v>
      </c>
      <c r="B142" s="12" t="e">
        <f>salario_real!J143</f>
        <v>#DIV/0!</v>
      </c>
      <c r="C142" s="12" t="e">
        <f>salario_real!K143</f>
        <v>#DIV/0!</v>
      </c>
      <c r="D142" s="12" t="e">
        <f>salario_real!L143</f>
        <v>#DIV/0!</v>
      </c>
    </row>
    <row r="143" spans="1:4" ht="12.5">
      <c r="A143" s="5">
        <f>salario_real!B144</f>
        <v>46569</v>
      </c>
      <c r="B143" s="12" t="e">
        <f>salario_real!J144</f>
        <v>#DIV/0!</v>
      </c>
      <c r="C143" s="12" t="e">
        <f>salario_real!K144</f>
        <v>#DIV/0!</v>
      </c>
      <c r="D143" s="12" t="e">
        <f>salario_real!L144</f>
        <v>#DIV/0!</v>
      </c>
    </row>
    <row r="144" spans="1:4" ht="12.5">
      <c r="A144" s="5">
        <f>salario_real!B145</f>
        <v>46600</v>
      </c>
      <c r="B144" s="12" t="e">
        <f>salario_real!J145</f>
        <v>#DIV/0!</v>
      </c>
      <c r="C144" s="12" t="e">
        <f>salario_real!K145</f>
        <v>#DIV/0!</v>
      </c>
      <c r="D144" s="12" t="e">
        <f>salario_real!L145</f>
        <v>#DIV/0!</v>
      </c>
    </row>
    <row r="145" spans="1:4" ht="12.5">
      <c r="A145" s="5">
        <f>salario_real!B146</f>
        <v>46631</v>
      </c>
      <c r="B145" s="12" t="e">
        <f>salario_real!J146</f>
        <v>#DIV/0!</v>
      </c>
      <c r="C145" s="12" t="str">
        <f>salario_real!K146</f>
        <v/>
      </c>
      <c r="D145" s="12" t="str">
        <f>salario_real!L146</f>
        <v/>
      </c>
    </row>
    <row r="146" spans="1:4" ht="12.5">
      <c r="A146" s="5">
        <f>salario_real!B147</f>
        <v>46661</v>
      </c>
      <c r="B146" s="12" t="e">
        <f>salario_real!J147</f>
        <v>#DIV/0!</v>
      </c>
      <c r="C146" s="12" t="str">
        <f>salario_real!K147</f>
        <v/>
      </c>
      <c r="D146" s="12" t="str">
        <f>salario_real!L147</f>
        <v/>
      </c>
    </row>
    <row r="147" spans="1:4" ht="12.5">
      <c r="A147" s="5">
        <f>salario_real!B148</f>
        <v>46692</v>
      </c>
      <c r="B147" s="12" t="e">
        <f>salario_real!J148</f>
        <v>#DIV/0!</v>
      </c>
      <c r="C147" s="12" t="str">
        <f>salario_real!K148</f>
        <v/>
      </c>
      <c r="D147" s="12" t="str">
        <f>salario_real!L148</f>
        <v/>
      </c>
    </row>
    <row r="148" spans="1:4" ht="12.5">
      <c r="A148" s="5">
        <f>salario_real!B149</f>
        <v>46722</v>
      </c>
      <c r="B148" s="12" t="e">
        <f>salario_real!J149</f>
        <v>#DIV/0!</v>
      </c>
      <c r="C148" s="12" t="str">
        <f>salario_real!K149</f>
        <v/>
      </c>
      <c r="D148" s="12" t="str">
        <f>salario_real!L149</f>
        <v/>
      </c>
    </row>
    <row r="149" spans="1:4" ht="12.5">
      <c r="A149" s="5">
        <f>salario_real!B150</f>
        <v>46753</v>
      </c>
      <c r="B149" s="12" t="e">
        <f>salario_real!J150</f>
        <v>#DIV/0!</v>
      </c>
      <c r="C149" s="12" t="str">
        <f>salario_real!K150</f>
        <v/>
      </c>
      <c r="D149" s="12" t="str">
        <f>salario_real!L150</f>
        <v/>
      </c>
    </row>
    <row r="150" spans="1:4" ht="12.5">
      <c r="A150" s="5">
        <f>salario_real!B151</f>
        <v>46784</v>
      </c>
      <c r="B150" s="12" t="e">
        <f>salario_real!J151</f>
        <v>#DIV/0!</v>
      </c>
      <c r="C150" s="12" t="str">
        <f>salario_real!K151</f>
        <v/>
      </c>
      <c r="D150" s="12" t="str">
        <f>salario_real!L151</f>
        <v/>
      </c>
    </row>
    <row r="151" spans="1:4" ht="12.5">
      <c r="A151" s="5">
        <f>salario_real!B152</f>
        <v>46813</v>
      </c>
      <c r="B151" s="12" t="e">
        <f>salario_real!J152</f>
        <v>#DIV/0!</v>
      </c>
      <c r="C151" s="12" t="str">
        <f>salario_real!K152</f>
        <v/>
      </c>
      <c r="D151" s="12" t="str">
        <f>salario_real!L152</f>
        <v/>
      </c>
    </row>
    <row r="152" spans="1:4" ht="12.5">
      <c r="A152" s="5">
        <f>salario_real!B153</f>
        <v>46844</v>
      </c>
      <c r="B152" s="12" t="e">
        <f>salario_real!J153</f>
        <v>#DIV/0!</v>
      </c>
      <c r="C152" s="12" t="str">
        <f>salario_real!K153</f>
        <v/>
      </c>
      <c r="D152" s="12" t="str">
        <f>salario_real!L153</f>
        <v/>
      </c>
    </row>
    <row r="153" spans="1:4" ht="12.5">
      <c r="A153" s="5">
        <f>salario_real!B154</f>
        <v>46874</v>
      </c>
      <c r="B153" s="12" t="e">
        <f>salario_real!J154</f>
        <v>#DIV/0!</v>
      </c>
      <c r="C153" s="12" t="str">
        <f>salario_real!K154</f>
        <v/>
      </c>
      <c r="D153" s="12" t="str">
        <f>salario_real!L154</f>
        <v/>
      </c>
    </row>
    <row r="154" spans="1:4" ht="12.5">
      <c r="A154" s="5">
        <f>salario_real!B155</f>
        <v>46905</v>
      </c>
      <c r="B154" s="12" t="e">
        <f>salario_real!J155</f>
        <v>#DIV/0!</v>
      </c>
      <c r="C154" s="12" t="str">
        <f>salario_real!K155</f>
        <v/>
      </c>
      <c r="D154" s="12" t="str">
        <f>salario_real!L155</f>
        <v/>
      </c>
    </row>
    <row r="155" spans="1:4" ht="12.5">
      <c r="A155" s="5">
        <f>salario_real!B156</f>
        <v>46935</v>
      </c>
      <c r="B155" s="12" t="e">
        <f>salario_real!J156</f>
        <v>#DIV/0!</v>
      </c>
      <c r="C155" s="12" t="str">
        <f>salario_real!K156</f>
        <v/>
      </c>
      <c r="D155" s="12" t="str">
        <f>salario_real!L156</f>
        <v/>
      </c>
    </row>
    <row r="156" spans="1:4" ht="12.5">
      <c r="A156" s="5">
        <f>salario_real!B157</f>
        <v>46966</v>
      </c>
      <c r="B156" s="12" t="e">
        <f>salario_real!J157</f>
        <v>#DIV/0!</v>
      </c>
      <c r="C156" s="12" t="str">
        <f>salario_real!K157</f>
        <v/>
      </c>
      <c r="D156" s="12" t="str">
        <f>salario_real!L157</f>
        <v/>
      </c>
    </row>
    <row r="157" spans="1:4" ht="12.5">
      <c r="A157" s="5">
        <f>salario_real!B158</f>
        <v>46997</v>
      </c>
      <c r="B157" s="12" t="e">
        <f>salario_real!J158</f>
        <v>#DIV/0!</v>
      </c>
      <c r="C157" s="12" t="str">
        <f>salario_real!K158</f>
        <v/>
      </c>
      <c r="D157" s="12" t="str">
        <f>salario_real!L158</f>
        <v/>
      </c>
    </row>
    <row r="158" spans="1:4" ht="12.5">
      <c r="A158" s="5">
        <f>salario_real!B159</f>
        <v>47027</v>
      </c>
      <c r="B158" s="12" t="e">
        <f>salario_real!J159</f>
        <v>#DIV/0!</v>
      </c>
      <c r="C158" s="12" t="str">
        <f>salario_real!K159</f>
        <v/>
      </c>
      <c r="D158" s="12" t="str">
        <f>salario_real!L159</f>
        <v/>
      </c>
    </row>
    <row r="159" spans="1:4" ht="12.5">
      <c r="A159" s="5">
        <f>salario_real!B160</f>
        <v>47058</v>
      </c>
      <c r="B159" s="12" t="e">
        <f>salario_real!J160</f>
        <v>#DIV/0!</v>
      </c>
      <c r="C159" s="12" t="str">
        <f>salario_real!K160</f>
        <v/>
      </c>
      <c r="D159" s="12" t="str">
        <f>salario_real!L160</f>
        <v/>
      </c>
    </row>
    <row r="160" spans="1:4" ht="12.5">
      <c r="A160" s="5">
        <f>salario_real!B161</f>
        <v>47088</v>
      </c>
      <c r="B160" s="12" t="e">
        <f>salario_real!J161</f>
        <v>#DIV/0!</v>
      </c>
      <c r="C160" s="12" t="str">
        <f>salario_real!K161</f>
        <v/>
      </c>
      <c r="D160" s="12" t="str">
        <f>salario_real!L161</f>
        <v/>
      </c>
    </row>
    <row r="161" spans="1:4" ht="12.5">
      <c r="A161" s="5">
        <f>salario_real!B162</f>
        <v>47119</v>
      </c>
      <c r="B161" s="12" t="e">
        <f>salario_real!J162</f>
        <v>#DIV/0!</v>
      </c>
      <c r="C161" s="12" t="str">
        <f>salario_real!K162</f>
        <v/>
      </c>
      <c r="D161" s="12" t="str">
        <f>salario_real!L162</f>
        <v/>
      </c>
    </row>
    <row r="162" spans="1:4" ht="12.5">
      <c r="A162" s="5">
        <f>salario_real!B163</f>
        <v>47150</v>
      </c>
      <c r="B162" s="12" t="e">
        <f>salario_real!J163</f>
        <v>#DIV/0!</v>
      </c>
      <c r="C162" s="12" t="str">
        <f>salario_real!K163</f>
        <v/>
      </c>
      <c r="D162" s="12" t="str">
        <f>salario_real!L163</f>
        <v/>
      </c>
    </row>
    <row r="163" spans="1:4" ht="12.5">
      <c r="A163" s="5">
        <f>salario_real!B164</f>
        <v>47178</v>
      </c>
      <c r="B163" s="12" t="e">
        <f>salario_real!J164</f>
        <v>#DIV/0!</v>
      </c>
      <c r="C163" s="12" t="str">
        <f>salario_real!K164</f>
        <v/>
      </c>
      <c r="D163" s="12" t="str">
        <f>salario_real!L164</f>
        <v/>
      </c>
    </row>
    <row r="164" spans="1:4" ht="12.5">
      <c r="A164" s="5">
        <f>salario_real!B165</f>
        <v>47209</v>
      </c>
      <c r="B164" s="12" t="e">
        <f>salario_real!J165</f>
        <v>#DIV/0!</v>
      </c>
      <c r="C164" s="12" t="str">
        <f>salario_real!K165</f>
        <v/>
      </c>
      <c r="D164" s="12" t="str">
        <f>salario_real!L165</f>
        <v/>
      </c>
    </row>
    <row r="165" spans="1:4" ht="12.5">
      <c r="B165" s="12" t="e">
        <f>salario_real!J166</f>
        <v>#DIV/0!</v>
      </c>
      <c r="C165" s="12" t="str">
        <f>salario_real!K166</f>
        <v/>
      </c>
      <c r="D165" s="12" t="str">
        <f>salario_real!L166</f>
        <v/>
      </c>
    </row>
    <row r="166" spans="1:4" ht="12.5">
      <c r="B166" s="12" t="e">
        <f>salario_real!J167</f>
        <v>#DIV/0!</v>
      </c>
      <c r="C166" s="12" t="str">
        <f>salario_real!K167</f>
        <v/>
      </c>
      <c r="D166" s="12" t="str">
        <f>salario_real!L167</f>
        <v/>
      </c>
    </row>
    <row r="167" spans="1:4" ht="12.5">
      <c r="B167" s="12" t="e">
        <f>salario_real!J168</f>
        <v>#DIV/0!</v>
      </c>
      <c r="C167" s="12" t="str">
        <f>salario_real!K168</f>
        <v/>
      </c>
      <c r="D167" s="12" t="str">
        <f>salario_real!L168</f>
        <v/>
      </c>
    </row>
    <row r="168" spans="1:4" ht="12.5">
      <c r="B168" s="12" t="e">
        <f>salario_real!J169</f>
        <v>#DIV/0!</v>
      </c>
      <c r="C168" s="12" t="str">
        <f>salario_real!K169</f>
        <v/>
      </c>
      <c r="D168" s="12" t="str">
        <f>salario_real!L169</f>
        <v/>
      </c>
    </row>
    <row r="169" spans="1:4" ht="12.5">
      <c r="B169" s="12" t="e">
        <f>salario_real!J170</f>
        <v>#DIV/0!</v>
      </c>
      <c r="C169" s="12" t="str">
        <f>salario_real!K170</f>
        <v/>
      </c>
      <c r="D169" s="12" t="str">
        <f>salario_real!L170</f>
        <v/>
      </c>
    </row>
    <row r="170" spans="1:4" ht="12.5">
      <c r="B170" s="12" t="e">
        <f>salario_real!J171</f>
        <v>#DIV/0!</v>
      </c>
      <c r="C170" s="12" t="str">
        <f>salario_real!K171</f>
        <v/>
      </c>
      <c r="D170" s="12" t="str">
        <f>salario_real!L171</f>
        <v/>
      </c>
    </row>
    <row r="171" spans="1:4" ht="12.5">
      <c r="B171" s="12" t="e">
        <f>salario_real!J172</f>
        <v>#DIV/0!</v>
      </c>
      <c r="C171" s="12" t="str">
        <f>salario_real!K172</f>
        <v/>
      </c>
      <c r="D171" s="12" t="str">
        <f>salario_real!L172</f>
        <v/>
      </c>
    </row>
    <row r="172" spans="1:4" ht="12.5">
      <c r="B172" s="12" t="e">
        <f>salario_real!J173</f>
        <v>#DIV/0!</v>
      </c>
      <c r="C172" s="12" t="str">
        <f>salario_real!K173</f>
        <v/>
      </c>
      <c r="D172" s="12" t="str">
        <f>salario_real!L173</f>
        <v/>
      </c>
    </row>
    <row r="173" spans="1:4" ht="12.5">
      <c r="B173" s="12" t="e">
        <f>salario_real!J174</f>
        <v>#DIV/0!</v>
      </c>
      <c r="C173" s="12" t="str">
        <f>salario_real!K174</f>
        <v/>
      </c>
      <c r="D173" s="12" t="str">
        <f>salario_real!L174</f>
        <v/>
      </c>
    </row>
    <row r="174" spans="1:4" ht="12.5">
      <c r="B174" s="12" t="e">
        <f>salario_real!J175</f>
        <v>#DIV/0!</v>
      </c>
      <c r="C174" s="12" t="str">
        <f>salario_real!K175</f>
        <v/>
      </c>
      <c r="D174" s="12" t="str">
        <f>salario_real!L175</f>
        <v/>
      </c>
    </row>
    <row r="175" spans="1:4" ht="12.5">
      <c r="B175" s="12" t="e">
        <f>salario_real!J176</f>
        <v>#DIV/0!</v>
      </c>
      <c r="C175" s="12" t="str">
        <f>salario_real!K176</f>
        <v/>
      </c>
      <c r="D175" s="12" t="str">
        <f>salario_real!L176</f>
        <v/>
      </c>
    </row>
    <row r="176" spans="1:4" ht="12.5">
      <c r="B176" s="12" t="e">
        <f>salario_real!J177</f>
        <v>#DIV/0!</v>
      </c>
      <c r="C176" s="12" t="str">
        <f>salario_real!K177</f>
        <v/>
      </c>
      <c r="D176" s="12" t="str">
        <f>salario_real!L177</f>
        <v/>
      </c>
    </row>
    <row r="177" spans="2:4" ht="12.5">
      <c r="B177" s="12" t="e">
        <f>salario_real!J178</f>
        <v>#DIV/0!</v>
      </c>
      <c r="C177" s="12" t="str">
        <f>salario_real!K178</f>
        <v/>
      </c>
      <c r="D177" s="12" t="str">
        <f>salario_real!L178</f>
        <v/>
      </c>
    </row>
    <row r="178" spans="2:4" ht="12.5">
      <c r="B178" s="12" t="e">
        <f>salario_real!J179</f>
        <v>#DIV/0!</v>
      </c>
      <c r="C178" s="12" t="str">
        <f>salario_real!K179</f>
        <v/>
      </c>
      <c r="D178" s="12" t="str">
        <f>salario_real!L179</f>
        <v/>
      </c>
    </row>
    <row r="179" spans="2:4" ht="12.5">
      <c r="B179" s="12" t="e">
        <f>salario_real!J180</f>
        <v>#DIV/0!</v>
      </c>
      <c r="C179" s="12" t="str">
        <f>salario_real!K180</f>
        <v/>
      </c>
      <c r="D179" s="12" t="str">
        <f>salario_real!L180</f>
        <v/>
      </c>
    </row>
    <row r="180" spans="2:4" ht="12.5">
      <c r="B180" s="12" t="e">
        <f>salario_real!J181</f>
        <v>#DIV/0!</v>
      </c>
      <c r="C180" s="12" t="str">
        <f>salario_real!K181</f>
        <v/>
      </c>
      <c r="D180" s="12" t="str">
        <f>salario_real!L181</f>
        <v/>
      </c>
    </row>
    <row r="181" spans="2:4" ht="12.5">
      <c r="B181" s="12" t="e">
        <f>salario_real!J182</f>
        <v>#DIV/0!</v>
      </c>
      <c r="C181" s="12" t="str">
        <f>salario_real!K182</f>
        <v/>
      </c>
      <c r="D181" s="12" t="str">
        <f>salario_real!L182</f>
        <v/>
      </c>
    </row>
    <row r="182" spans="2:4" ht="12.5">
      <c r="B182" s="12" t="e">
        <f>salario_real!J183</f>
        <v>#DIV/0!</v>
      </c>
      <c r="C182" s="12" t="str">
        <f>salario_real!K183</f>
        <v/>
      </c>
      <c r="D182" s="12" t="str">
        <f>salario_real!L183</f>
        <v/>
      </c>
    </row>
    <row r="183" spans="2:4" ht="12.5">
      <c r="B183" s="5">
        <f>salario_real!J184</f>
        <v>0</v>
      </c>
      <c r="C183" s="5">
        <f>salario_real!K184</f>
        <v>0</v>
      </c>
      <c r="D183" s="5">
        <f>salario_real!L184</f>
        <v>0</v>
      </c>
    </row>
    <row r="184" spans="2:4" ht="12.5">
      <c r="B184" s="5">
        <f>salario_real!J185</f>
        <v>0</v>
      </c>
      <c r="C184" s="5">
        <f>salario_real!K185</f>
        <v>0</v>
      </c>
      <c r="D184" s="5">
        <f>salario_real!L185</f>
        <v>0</v>
      </c>
    </row>
    <row r="185" spans="2:4" ht="12.5">
      <c r="B185" s="5">
        <f>salario_real!J186</f>
        <v>0</v>
      </c>
      <c r="C185" s="5">
        <f>salario_real!K186</f>
        <v>0</v>
      </c>
      <c r="D185" s="5">
        <f>salario_real!L186</f>
        <v>0</v>
      </c>
    </row>
    <row r="186" spans="2:4" ht="12.5">
      <c r="B186" s="5">
        <f>salario_real!J187</f>
        <v>0</v>
      </c>
      <c r="C186" s="5">
        <f>salario_real!K187</f>
        <v>0</v>
      </c>
      <c r="D186" s="5">
        <f>salario_real!L187</f>
        <v>0</v>
      </c>
    </row>
    <row r="187" spans="2:4" ht="12.5">
      <c r="B187" s="5">
        <f>salario_real!J188</f>
        <v>0</v>
      </c>
      <c r="C187" s="5">
        <f>salario_real!K188</f>
        <v>0</v>
      </c>
      <c r="D187" s="5">
        <f>salario_real!L188</f>
        <v>0</v>
      </c>
    </row>
    <row r="188" spans="2:4" ht="12.5">
      <c r="B188" s="5">
        <f>salario_real!J189</f>
        <v>0</v>
      </c>
      <c r="C188" s="5">
        <f>salario_real!K189</f>
        <v>0</v>
      </c>
      <c r="D188" s="5">
        <f>salario_real!L189</f>
        <v>0</v>
      </c>
    </row>
    <row r="189" spans="2:4" ht="12.5">
      <c r="B189" s="5">
        <f>salario_real!J190</f>
        <v>0</v>
      </c>
      <c r="C189" s="5">
        <f>salario_real!K190</f>
        <v>0</v>
      </c>
      <c r="D189" s="5">
        <f>salario_real!L190</f>
        <v>0</v>
      </c>
    </row>
    <row r="190" spans="2:4" ht="12.5">
      <c r="B190" s="5">
        <f>salario_real!J191</f>
        <v>0</v>
      </c>
      <c r="C190" s="5">
        <f>salario_real!K191</f>
        <v>0</v>
      </c>
      <c r="D190" s="5">
        <f>salario_real!L191</f>
        <v>0</v>
      </c>
    </row>
    <row r="191" spans="2:4" ht="12.5">
      <c r="B191" s="5">
        <f>salario_real!J192</f>
        <v>0</v>
      </c>
      <c r="C191" s="5">
        <f>salario_real!K192</f>
        <v>0</v>
      </c>
      <c r="D191" s="5">
        <f>salario_real!L192</f>
        <v>0</v>
      </c>
    </row>
    <row r="192" spans="2:4" ht="12.5">
      <c r="B192" s="5">
        <f>salario_real!J193</f>
        <v>0</v>
      </c>
      <c r="C192" s="5">
        <f>salario_real!K193</f>
        <v>0</v>
      </c>
      <c r="D192" s="5">
        <f>salario_real!L193</f>
        <v>0</v>
      </c>
    </row>
    <row r="193" spans="2:4" ht="12.5">
      <c r="B193" s="5">
        <f>salario_real!J194</f>
        <v>0</v>
      </c>
      <c r="C193" s="5">
        <f>salario_real!K194</f>
        <v>0</v>
      </c>
      <c r="D193" s="5">
        <f>salario_real!L194</f>
        <v>0</v>
      </c>
    </row>
    <row r="194" spans="2:4" ht="12.5">
      <c r="B194" s="5">
        <f>salario_real!J195</f>
        <v>0</v>
      </c>
      <c r="C194" s="5">
        <f>salario_real!K195</f>
        <v>0</v>
      </c>
      <c r="D194" s="5">
        <f>salario_real!L195</f>
        <v>0</v>
      </c>
    </row>
    <row r="195" spans="2:4" ht="12.5">
      <c r="B195" s="5">
        <f>salario_real!J196</f>
        <v>0</v>
      </c>
      <c r="C195" s="5">
        <f>salario_real!K196</f>
        <v>0</v>
      </c>
      <c r="D195" s="5">
        <f>salario_real!L196</f>
        <v>0</v>
      </c>
    </row>
    <row r="196" spans="2:4" ht="12.5">
      <c r="B196" s="5">
        <f>salario_real!J197</f>
        <v>0</v>
      </c>
      <c r="C196" s="5">
        <f>salario_real!K197</f>
        <v>0</v>
      </c>
      <c r="D196" s="5">
        <f>salario_real!L197</f>
        <v>0</v>
      </c>
    </row>
    <row r="197" spans="2:4" ht="12.5">
      <c r="B197" s="5">
        <f>salario_real!J198</f>
        <v>0</v>
      </c>
      <c r="C197" s="5">
        <f>salario_real!K198</f>
        <v>0</v>
      </c>
      <c r="D197" s="5">
        <f>salario_real!L198</f>
        <v>0</v>
      </c>
    </row>
    <row r="198" spans="2:4" ht="12.5">
      <c r="B198" s="5">
        <f>salario_real!J199</f>
        <v>0</v>
      </c>
      <c r="C198" s="5">
        <f>salario_real!K199</f>
        <v>0</v>
      </c>
      <c r="D198" s="5">
        <f>salario_real!L199</f>
        <v>0</v>
      </c>
    </row>
    <row r="199" spans="2:4" ht="12.5">
      <c r="B199" s="5">
        <f>salario_real!J200</f>
        <v>0</v>
      </c>
      <c r="C199" s="5">
        <f>salario_real!K200</f>
        <v>0</v>
      </c>
      <c r="D199" s="5">
        <f>salario_real!L200</f>
        <v>0</v>
      </c>
    </row>
    <row r="200" spans="2:4" ht="12.5">
      <c r="B200" s="5">
        <f>salario_real!J201</f>
        <v>0</v>
      </c>
      <c r="C200" s="5">
        <f>salario_real!K201</f>
        <v>0</v>
      </c>
      <c r="D200" s="5">
        <f>salario_real!L201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Índice salarios (INDEC)</vt:lpstr>
      <vt:lpstr>Variación interanual INDEC (rea</vt:lpstr>
      <vt:lpstr>RIPTE</vt:lpstr>
      <vt:lpstr>Rem asalariados privados (Traba</vt:lpstr>
      <vt:lpstr>Salario Mínimo</vt:lpstr>
      <vt:lpstr>salario_real</vt:lpstr>
      <vt:lpstr>flourish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 Moran</dc:creator>
  <cp:lastModifiedBy>Jazmin Moran</cp:lastModifiedBy>
  <dcterms:created xsi:type="dcterms:W3CDTF">2024-08-19T20:48:00Z</dcterms:created>
  <dcterms:modified xsi:type="dcterms:W3CDTF">2024-08-19T20:48:00Z</dcterms:modified>
</cp:coreProperties>
</file>